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1" documentId="10_ncr:8100000_{7E25900C-C3EA-4170-82DC-F74B250668E6}" xr6:coauthVersionLast="47" xr6:coauthVersionMax="47" xr10:uidLastSave="{CE1DEF8D-AEC3-46CE-80AC-3024F4D4896C}"/>
  <bookViews>
    <workbookView xWindow="-120" yWindow="-120" windowWidth="23280" windowHeight="15000" xr2:uid="{00000000-000D-0000-FFFF-FFFF00000000}"/>
  </bookViews>
  <sheets>
    <sheet name="Financials" sheetId="1" r:id="rId1"/>
    <sheet name="Real Options" sheetId="5" r:id="rId2"/>
    <sheet name="Real Options 2" sheetId="6" r:id="rId3"/>
    <sheet name="Sheet3" sheetId="2" r:id="rId4"/>
    <sheet name="Mortgage Schedule" sheetId="3" r:id="rId5"/>
  </sheets>
  <externalReferences>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5" l="1"/>
  <c r="G10" i="5" l="1"/>
  <c r="G33" i="6"/>
  <c r="C22" i="6" s="1"/>
  <c r="G31" i="6"/>
  <c r="G27" i="6"/>
  <c r="G35" i="6" s="1"/>
  <c r="C17" i="6"/>
  <c r="M15" i="6"/>
  <c r="L15" i="6"/>
  <c r="K15" i="6"/>
  <c r="J15" i="6"/>
  <c r="I15" i="6"/>
  <c r="H15" i="6"/>
  <c r="G15" i="6"/>
  <c r="F15" i="6"/>
  <c r="E15" i="6"/>
  <c r="D15" i="6"/>
  <c r="C15" i="6"/>
  <c r="C8" i="6"/>
  <c r="M6" i="6"/>
  <c r="L6" i="6"/>
  <c r="K6" i="6"/>
  <c r="J6" i="6"/>
  <c r="I6" i="6"/>
  <c r="H6" i="6"/>
  <c r="G6" i="6"/>
  <c r="F6" i="6"/>
  <c r="E6" i="6"/>
  <c r="D6" i="6"/>
  <c r="C6" i="6"/>
  <c r="E23" i="1" l="1"/>
  <c r="F23" i="1" s="1"/>
  <c r="G23" i="1" s="1"/>
  <c r="H23" i="1" s="1"/>
  <c r="I23" i="1" s="1"/>
  <c r="J23" i="1" s="1"/>
  <c r="K23" i="1" s="1"/>
  <c r="L23" i="1" s="1"/>
  <c r="M23" i="1" s="1"/>
  <c r="F14" i="1"/>
  <c r="G14" i="1" s="1"/>
  <c r="H14" i="1" s="1"/>
  <c r="I14" i="1" s="1"/>
  <c r="J14" i="1" s="1"/>
  <c r="K14" i="1" s="1"/>
  <c r="L14" i="1" s="1"/>
  <c r="M14" i="1" s="1"/>
  <c r="F24" i="1"/>
  <c r="G24" i="1"/>
  <c r="H24" i="1" s="1"/>
  <c r="I24" i="1" s="1"/>
  <c r="J24" i="1" s="1"/>
  <c r="K24" i="1" s="1"/>
  <c r="L24" i="1" s="1"/>
  <c r="M24" i="1" s="1"/>
  <c r="E24" i="1"/>
  <c r="E22" i="1"/>
  <c r="F22" i="1" s="1"/>
  <c r="G22" i="1" s="1"/>
  <c r="H22" i="1" s="1"/>
  <c r="I22" i="1" s="1"/>
  <c r="J22" i="1" s="1"/>
  <c r="K22" i="1" s="1"/>
  <c r="L22" i="1" s="1"/>
  <c r="M22" i="1" s="1"/>
  <c r="O85" i="1" l="1"/>
  <c r="O81" i="1"/>
  <c r="P68" i="1" l="1"/>
  <c r="C119" i="1"/>
  <c r="D111" i="1"/>
  <c r="E111" i="1"/>
  <c r="F111" i="1"/>
  <c r="G111" i="1"/>
  <c r="H111" i="1"/>
  <c r="I111" i="1"/>
  <c r="J111" i="1"/>
  <c r="K111" i="1"/>
  <c r="L111" i="1"/>
  <c r="M111" i="1"/>
  <c r="O111" i="1" s="1"/>
  <c r="O112" i="1" s="1"/>
  <c r="C115" i="1"/>
  <c r="C111" i="1"/>
  <c r="D103" i="1"/>
  <c r="E103" i="1"/>
  <c r="F103" i="1"/>
  <c r="J103" i="1"/>
  <c r="C103" i="1"/>
  <c r="L103" i="1"/>
  <c r="K103" i="1"/>
  <c r="H103" i="1"/>
  <c r="G103" i="1"/>
  <c r="G27" i="3"/>
  <c r="G41" i="3" s="1"/>
  <c r="G55" i="3" s="1"/>
  <c r="G69" i="3" s="1"/>
  <c r="G83" i="3" s="1"/>
  <c r="G97" i="3" s="1"/>
  <c r="G111" i="3" s="1"/>
  <c r="G125" i="3" s="1"/>
  <c r="G139" i="3" s="1"/>
  <c r="I4" i="3"/>
  <c r="I5" i="3" s="1"/>
  <c r="I2" i="3"/>
  <c r="D10" i="1" l="1"/>
  <c r="E10" i="1" s="1"/>
  <c r="F10" i="1" s="1"/>
  <c r="G10" i="1" s="1"/>
  <c r="H10" i="1" s="1"/>
  <c r="I10" i="1" s="1"/>
  <c r="J10" i="1" s="1"/>
  <c r="K10" i="1" s="1"/>
  <c r="L10" i="1" s="1"/>
  <c r="M10" i="1" s="1"/>
  <c r="Q80" i="1"/>
  <c r="P69" i="1"/>
  <c r="M103" i="1"/>
  <c r="I103" i="1"/>
  <c r="D37" i="1"/>
  <c r="E67" i="1"/>
  <c r="D47" i="1"/>
  <c r="D68" i="1" s="1"/>
  <c r="D46" i="1"/>
  <c r="E65" i="1"/>
  <c r="G19" i="1"/>
  <c r="H19" i="1" s="1"/>
  <c r="I19" i="1" s="1"/>
  <c r="J19" i="1" s="1"/>
  <c r="K19" i="1" s="1"/>
  <c r="L19" i="1" s="1"/>
  <c r="M19" i="1" s="1"/>
  <c r="G18" i="1"/>
  <c r="D39" i="1" l="1"/>
  <c r="D40" i="1" s="1"/>
  <c r="D48" i="1"/>
  <c r="D95" i="1"/>
  <c r="H18" i="1"/>
  <c r="I18" i="1" s="1"/>
  <c r="J18" i="1" s="1"/>
  <c r="K18" i="1" s="1"/>
  <c r="L18" i="1" s="1"/>
  <c r="M18" i="1" s="1"/>
  <c r="P111" i="1" s="1"/>
  <c r="M113" i="1" s="1"/>
  <c r="P72" i="1"/>
  <c r="R80" i="1" s="1"/>
  <c r="F67" i="1"/>
  <c r="D119" i="1"/>
  <c r="Q81" i="1"/>
  <c r="D12" i="1"/>
  <c r="F65" i="1"/>
  <c r="E115" i="1" s="1"/>
  <c r="D115" i="1"/>
  <c r="D66" i="1"/>
  <c r="D69" i="1" s="1"/>
  <c r="E37" i="1"/>
  <c r="E38" i="1" s="1"/>
  <c r="D38" i="1"/>
  <c r="D42" i="1" s="1"/>
  <c r="E46" i="1"/>
  <c r="D58" i="1"/>
  <c r="C102" i="1" s="1"/>
  <c r="E47" i="1"/>
  <c r="E68" i="1" s="1"/>
  <c r="F46" i="1" l="1"/>
  <c r="R81" i="1"/>
  <c r="D45" i="1"/>
  <c r="E12" i="1"/>
  <c r="G67" i="1"/>
  <c r="E119" i="1"/>
  <c r="G65" i="1"/>
  <c r="F115" i="1" s="1"/>
  <c r="E58" i="1"/>
  <c r="E39" i="1"/>
  <c r="E60" i="1" s="1"/>
  <c r="E66" i="1"/>
  <c r="E69" i="1" s="1"/>
  <c r="E95" i="1"/>
  <c r="F37" i="1"/>
  <c r="D60" i="1"/>
  <c r="C104" i="1" s="1"/>
  <c r="F47" i="1"/>
  <c r="F68" i="1" s="1"/>
  <c r="D61" i="1"/>
  <c r="C105" i="1" s="1"/>
  <c r="D73" i="1"/>
  <c r="C106" i="1" s="1"/>
  <c r="D104" i="1" l="1"/>
  <c r="G46" i="1"/>
  <c r="H65" i="1"/>
  <c r="G115" i="1" s="1"/>
  <c r="H67" i="1"/>
  <c r="F119" i="1"/>
  <c r="E45" i="1"/>
  <c r="F12" i="1"/>
  <c r="E40" i="1"/>
  <c r="E42" i="1" s="1"/>
  <c r="F58" i="1"/>
  <c r="D102" i="1"/>
  <c r="F95" i="1"/>
  <c r="D62" i="1"/>
  <c r="D71" i="1" s="1"/>
  <c r="F38" i="1"/>
  <c r="F39" i="1"/>
  <c r="F40" i="1" s="1"/>
  <c r="G37" i="1"/>
  <c r="D49" i="1"/>
  <c r="G47" i="1"/>
  <c r="G68" i="1" s="1"/>
  <c r="F66" i="1"/>
  <c r="E48" i="1"/>
  <c r="E49" i="1" s="1"/>
  <c r="E61" i="1" l="1"/>
  <c r="H46" i="1"/>
  <c r="I65" i="1"/>
  <c r="H115" i="1" s="1"/>
  <c r="E73" i="1"/>
  <c r="D106" i="1" s="1"/>
  <c r="G12" i="1"/>
  <c r="F45" i="1"/>
  <c r="I67" i="1"/>
  <c r="G119" i="1"/>
  <c r="E62" i="1"/>
  <c r="E71" i="1" s="1"/>
  <c r="D105" i="1"/>
  <c r="G58" i="1"/>
  <c r="E102" i="1"/>
  <c r="G95" i="1"/>
  <c r="F42" i="1"/>
  <c r="G39" i="1"/>
  <c r="G40" i="1" s="1"/>
  <c r="G38" i="1"/>
  <c r="H37" i="1"/>
  <c r="F60" i="1"/>
  <c r="E104" i="1" s="1"/>
  <c r="F48" i="1"/>
  <c r="F49" i="1" s="1"/>
  <c r="F61" i="1"/>
  <c r="E105" i="1" s="1"/>
  <c r="F73" i="1"/>
  <c r="H47" i="1"/>
  <c r="H68" i="1" s="1"/>
  <c r="G66" i="1"/>
  <c r="F69" i="1"/>
  <c r="I46" i="1" l="1"/>
  <c r="E106" i="1"/>
  <c r="J65" i="1"/>
  <c r="I115" i="1" s="1"/>
  <c r="G42" i="1"/>
  <c r="J67" i="1"/>
  <c r="H119" i="1"/>
  <c r="H12" i="1"/>
  <c r="G45" i="1"/>
  <c r="H58" i="1"/>
  <c r="F102" i="1"/>
  <c r="H95" i="1"/>
  <c r="H38" i="1"/>
  <c r="H39" i="1"/>
  <c r="H40" i="1" s="1"/>
  <c r="I37" i="1"/>
  <c r="K65" i="1"/>
  <c r="J115" i="1" s="1"/>
  <c r="J46" i="1"/>
  <c r="G69" i="1"/>
  <c r="F62" i="1"/>
  <c r="F71" i="1" s="1"/>
  <c r="G73" i="1"/>
  <c r="F106" i="1" s="1"/>
  <c r="G61" i="1"/>
  <c r="F105" i="1" s="1"/>
  <c r="I47" i="1"/>
  <c r="I68" i="1" s="1"/>
  <c r="H66" i="1"/>
  <c r="G60" i="1"/>
  <c r="F104" i="1" s="1"/>
  <c r="G48" i="1"/>
  <c r="G49" i="1" s="1"/>
  <c r="I12" i="1" l="1"/>
  <c r="H45" i="1"/>
  <c r="H42" i="1"/>
  <c r="K67" i="1"/>
  <c r="I119" i="1"/>
  <c r="I58" i="1"/>
  <c r="G102" i="1"/>
  <c r="I95" i="1"/>
  <c r="I39" i="1"/>
  <c r="I40" i="1" s="1"/>
  <c r="I38" i="1"/>
  <c r="L65" i="1"/>
  <c r="K115" i="1" s="1"/>
  <c r="K46" i="1"/>
  <c r="J37" i="1"/>
  <c r="H69" i="1"/>
  <c r="H61" i="1"/>
  <c r="G105" i="1" s="1"/>
  <c r="H73" i="1"/>
  <c r="G106" i="1" s="1"/>
  <c r="I66" i="1"/>
  <c r="H48" i="1"/>
  <c r="H49" i="1" s="1"/>
  <c r="H60" i="1"/>
  <c r="G104" i="1" s="1"/>
  <c r="L67" i="1" l="1"/>
  <c r="J119" i="1"/>
  <c r="J12" i="1"/>
  <c r="I45" i="1"/>
  <c r="J58" i="1"/>
  <c r="H102" i="1"/>
  <c r="I42" i="1"/>
  <c r="J38" i="1"/>
  <c r="J39" i="1"/>
  <c r="J40" i="1" s="1"/>
  <c r="K37" i="1"/>
  <c r="M65" i="1"/>
  <c r="L46" i="1"/>
  <c r="H62" i="1"/>
  <c r="H71" i="1" s="1"/>
  <c r="I60" i="1"/>
  <c r="H104" i="1" s="1"/>
  <c r="I48" i="1"/>
  <c r="I49" i="1" s="1"/>
  <c r="I61" i="1"/>
  <c r="H105" i="1" s="1"/>
  <c r="I73" i="1"/>
  <c r="H106" i="1" s="1"/>
  <c r="J47" i="1"/>
  <c r="I69" i="1"/>
  <c r="K12" i="1" l="1"/>
  <c r="J45" i="1"/>
  <c r="M67" i="1"/>
  <c r="K119" i="1"/>
  <c r="M46" i="1"/>
  <c r="L115" i="1"/>
  <c r="M115" i="1"/>
  <c r="K58" i="1"/>
  <c r="I102" i="1"/>
  <c r="J42" i="1"/>
  <c r="J68" i="1"/>
  <c r="J95" i="1"/>
  <c r="K39" i="1"/>
  <c r="K40" i="1" s="1"/>
  <c r="K38" i="1"/>
  <c r="M37" i="1"/>
  <c r="L37" i="1"/>
  <c r="I62" i="1"/>
  <c r="I71" i="1" s="1"/>
  <c r="J73" i="1"/>
  <c r="I106" i="1" s="1"/>
  <c r="J61" i="1"/>
  <c r="I105" i="1" s="1"/>
  <c r="J60" i="1"/>
  <c r="I104" i="1" s="1"/>
  <c r="J48" i="1"/>
  <c r="J49" i="1" s="1"/>
  <c r="K47" i="1"/>
  <c r="J66" i="1"/>
  <c r="M116" i="1" l="1"/>
  <c r="L119" i="1"/>
  <c r="M119" i="1"/>
  <c r="M120" i="1" s="1"/>
  <c r="L12" i="1"/>
  <c r="K45" i="1"/>
  <c r="L58" i="1"/>
  <c r="J102" i="1"/>
  <c r="K68" i="1"/>
  <c r="K95" i="1"/>
  <c r="K42" i="1"/>
  <c r="M38" i="1"/>
  <c r="M39" i="1"/>
  <c r="L38" i="1"/>
  <c r="L39" i="1"/>
  <c r="L40" i="1" s="1"/>
  <c r="J69" i="1"/>
  <c r="J62" i="1"/>
  <c r="L47" i="1"/>
  <c r="K66" i="1"/>
  <c r="K60" i="1"/>
  <c r="J104" i="1" s="1"/>
  <c r="K48" i="1"/>
  <c r="K49" i="1" s="1"/>
  <c r="K73" i="1"/>
  <c r="J106" i="1" s="1"/>
  <c r="K61" i="1"/>
  <c r="J105" i="1" s="1"/>
  <c r="L45" i="1" l="1"/>
  <c r="M12" i="1"/>
  <c r="M45" i="1" s="1"/>
  <c r="M58" i="1"/>
  <c r="K102" i="1"/>
  <c r="L68" i="1"/>
  <c r="L95" i="1"/>
  <c r="L42" i="1"/>
  <c r="K62" i="1"/>
  <c r="J71" i="1"/>
  <c r="M40" i="1"/>
  <c r="M42" i="1" s="1"/>
  <c r="M47" i="1"/>
  <c r="L66" i="1"/>
  <c r="L48" i="1"/>
  <c r="L49" i="1" s="1"/>
  <c r="L60" i="1"/>
  <c r="K104" i="1" s="1"/>
  <c r="L73" i="1"/>
  <c r="K106" i="1" s="1"/>
  <c r="L61" i="1"/>
  <c r="K105" i="1" s="1"/>
  <c r="K69" i="1"/>
  <c r="M102" i="1" l="1"/>
  <c r="L102" i="1"/>
  <c r="M68" i="1"/>
  <c r="O119" i="1" s="1"/>
  <c r="O120" i="1" s="1"/>
  <c r="M121" i="1" s="1"/>
  <c r="M95" i="1"/>
  <c r="K71" i="1"/>
  <c r="L62" i="1"/>
  <c r="L69" i="1"/>
  <c r="M61" i="1"/>
  <c r="M73" i="1"/>
  <c r="M48" i="1"/>
  <c r="M49" i="1" s="1"/>
  <c r="M60" i="1"/>
  <c r="M66" i="1"/>
  <c r="O115" i="1" s="1"/>
  <c r="O116" i="1" s="1"/>
  <c r="M117" i="1" s="1"/>
  <c r="M106" i="1" l="1"/>
  <c r="L106" i="1"/>
  <c r="M104" i="1"/>
  <c r="L104" i="1"/>
  <c r="M69" i="1"/>
  <c r="L105" i="1"/>
  <c r="M105" i="1"/>
  <c r="L71" i="1"/>
  <c r="M62" i="1"/>
  <c r="M71" i="1" l="1"/>
  <c r="E31" i="1"/>
  <c r="F31" i="1"/>
  <c r="G31" i="1" s="1"/>
  <c r="H31" i="1" s="1"/>
  <c r="I31" i="1" l="1"/>
  <c r="J31" i="1" l="1"/>
  <c r="K31" i="1" l="1"/>
  <c r="L31" i="1" l="1"/>
  <c r="M31" i="1" l="1"/>
  <c r="G62" i="1" l="1"/>
  <c r="G71" i="1" s="1"/>
  <c r="D79" i="1"/>
  <c r="I7" i="3"/>
  <c r="I9" i="3" l="1"/>
  <c r="B2" i="3"/>
  <c r="D2" i="3" l="1"/>
  <c r="E36" i="3"/>
  <c r="E48" i="3"/>
  <c r="E63" i="3"/>
  <c r="E77" i="3"/>
  <c r="E16" i="3"/>
  <c r="E31" i="3"/>
  <c r="E47" i="3"/>
  <c r="E5" i="3"/>
  <c r="E26" i="3"/>
  <c r="E62" i="3"/>
  <c r="E69" i="3"/>
  <c r="E88" i="3"/>
  <c r="E110" i="3"/>
  <c r="E135" i="3"/>
  <c r="E18" i="3"/>
  <c r="E45" i="3"/>
  <c r="E38" i="3"/>
  <c r="E81" i="3"/>
  <c r="E105" i="3"/>
  <c r="E115" i="3"/>
  <c r="E122" i="3"/>
  <c r="E9" i="3"/>
  <c r="E24" i="3"/>
  <c r="E32" i="3"/>
  <c r="E59" i="3"/>
  <c r="E73" i="3"/>
  <c r="E6" i="3"/>
  <c r="E83" i="3"/>
  <c r="E106" i="3"/>
  <c r="E124" i="3"/>
  <c r="E131" i="3"/>
  <c r="E64" i="3"/>
  <c r="E54" i="3"/>
  <c r="E93" i="3"/>
  <c r="E4" i="3"/>
  <c r="E19" i="3"/>
  <c r="E27" i="3"/>
  <c r="E39" i="3"/>
  <c r="E55" i="3"/>
  <c r="E7" i="3"/>
  <c r="E34" i="3"/>
  <c r="E8" i="3"/>
  <c r="E60" i="3"/>
  <c r="E79" i="3"/>
  <c r="E3" i="3"/>
  <c r="E67" i="3"/>
  <c r="E20" i="3"/>
  <c r="E35" i="3"/>
  <c r="E51" i="3"/>
  <c r="E92" i="3"/>
  <c r="E116" i="3"/>
  <c r="E2" i="3"/>
  <c r="C2" i="3" s="1"/>
  <c r="E66" i="3"/>
  <c r="E75" i="3"/>
  <c r="E107" i="3"/>
  <c r="E52" i="3"/>
  <c r="E23" i="3"/>
  <c r="E96" i="3"/>
  <c r="E120" i="3"/>
  <c r="E21" i="3"/>
  <c r="E22" i="3"/>
  <c r="E17" i="3"/>
  <c r="E33" i="3"/>
  <c r="E119" i="3"/>
  <c r="E129" i="3"/>
  <c r="E139" i="3"/>
  <c r="E111" i="3"/>
  <c r="E44" i="3"/>
  <c r="E101" i="3"/>
  <c r="E133" i="3"/>
  <c r="E94" i="3"/>
  <c r="E53" i="3"/>
  <c r="E58" i="3"/>
  <c r="E74" i="3"/>
  <c r="E95" i="3"/>
  <c r="E49" i="3"/>
  <c r="E97" i="3"/>
  <c r="E109" i="3"/>
  <c r="E102" i="3"/>
  <c r="E136" i="3"/>
  <c r="E46" i="3"/>
  <c r="E76" i="3"/>
  <c r="E86" i="3"/>
  <c r="E132" i="3"/>
  <c r="E89" i="3"/>
  <c r="E13" i="3"/>
  <c r="E114" i="3"/>
  <c r="E128" i="3"/>
  <c r="E72" i="3"/>
  <c r="E91" i="3"/>
  <c r="E40" i="3"/>
  <c r="E50" i="3"/>
  <c r="E37" i="3"/>
  <c r="E103" i="3"/>
  <c r="E90" i="3"/>
  <c r="E138" i="3"/>
  <c r="E61" i="3"/>
  <c r="E104" i="3"/>
  <c r="E123" i="3"/>
  <c r="E137" i="3"/>
  <c r="E25" i="3"/>
  <c r="E41" i="3"/>
  <c r="E11" i="3"/>
  <c r="E78" i="3"/>
  <c r="E12" i="3"/>
  <c r="E121" i="3"/>
  <c r="E125" i="3"/>
  <c r="E30" i="3"/>
  <c r="E80" i="3"/>
  <c r="E130" i="3"/>
  <c r="E108" i="3"/>
  <c r="E82" i="3"/>
  <c r="E87" i="3"/>
  <c r="E65" i="3"/>
  <c r="E100" i="3"/>
  <c r="E68" i="3"/>
  <c r="E134" i="3"/>
  <c r="E10" i="3"/>
  <c r="E118" i="3"/>
  <c r="E117" i="3"/>
  <c r="F2" i="3" l="1"/>
  <c r="B3" i="3" s="1"/>
  <c r="D3" i="3" l="1"/>
  <c r="C3" i="3" l="1"/>
  <c r="F3" i="3" l="1"/>
  <c r="B4" i="3" s="1"/>
  <c r="D4" i="3" l="1"/>
  <c r="C4" i="3" l="1"/>
  <c r="F4" i="3" l="1"/>
  <c r="B5" i="3" s="1"/>
  <c r="D5" i="3" l="1"/>
  <c r="C5" i="3" l="1"/>
  <c r="F5" i="3" l="1"/>
  <c r="B6" i="3" s="1"/>
  <c r="D6" i="3" l="1"/>
  <c r="C6" i="3" s="1"/>
  <c r="F6" i="3"/>
  <c r="B7" i="3" s="1"/>
  <c r="D7" i="3" l="1"/>
  <c r="C7" i="3" s="1"/>
  <c r="F7" i="3" s="1"/>
  <c r="B8" i="3" s="1"/>
  <c r="D8" i="3" l="1"/>
  <c r="C8" i="3" s="1"/>
  <c r="F8" i="3"/>
  <c r="B9" i="3" s="1"/>
  <c r="D9" i="3" l="1"/>
  <c r="C9" i="3" s="1"/>
  <c r="F9" i="3" s="1"/>
  <c r="B10" i="3" s="1"/>
  <c r="D10" i="3" l="1"/>
  <c r="C10" i="3" s="1"/>
  <c r="F10" i="3"/>
  <c r="B11" i="3" s="1"/>
  <c r="D11" i="3" l="1"/>
  <c r="C11" i="3" s="1"/>
  <c r="F11" i="3"/>
  <c r="B12" i="3" s="1"/>
  <c r="D12" i="3" l="1"/>
  <c r="C12" i="3" s="1"/>
  <c r="F12" i="3"/>
  <c r="B13" i="3" s="1"/>
  <c r="D13" i="3" l="1"/>
  <c r="C13" i="3" l="1"/>
  <c r="D14" i="3"/>
  <c r="D44" i="1" s="1"/>
  <c r="D50" i="1" s="1"/>
  <c r="D94" i="1" s="1"/>
  <c r="D96" i="1" l="1"/>
  <c r="P64" i="1"/>
  <c r="D52" i="1"/>
  <c r="D74" i="1" s="1"/>
  <c r="C107" i="1" s="1"/>
  <c r="C14" i="3"/>
  <c r="F13" i="3"/>
  <c r="B16" i="3" s="1"/>
  <c r="D97" i="1" l="1"/>
  <c r="C108" i="1" s="1"/>
  <c r="C125" i="1" s="1"/>
  <c r="D98" i="1"/>
  <c r="D53" i="1"/>
  <c r="D82" i="1" s="1"/>
  <c r="D29" i="1"/>
  <c r="D16" i="3"/>
  <c r="D75" i="1"/>
  <c r="D32" i="1" s="1"/>
  <c r="E32" i="1" s="1"/>
  <c r="F32" i="1" s="1"/>
  <c r="G32" i="1" s="1"/>
  <c r="H32" i="1" s="1"/>
  <c r="I32" i="1" s="1"/>
  <c r="J32" i="1" s="1"/>
  <c r="K32" i="1" s="1"/>
  <c r="L32" i="1" s="1"/>
  <c r="M32" i="1" s="1"/>
  <c r="D8" i="1"/>
  <c r="E8" i="1" s="1"/>
  <c r="F8" i="1" s="1"/>
  <c r="G8" i="1" s="1"/>
  <c r="H8" i="1" s="1"/>
  <c r="I8" i="1" s="1"/>
  <c r="J8" i="1" s="1"/>
  <c r="K8" i="1" s="1"/>
  <c r="L8" i="1" s="1"/>
  <c r="M8" i="1" s="1"/>
  <c r="D30" i="1" l="1"/>
  <c r="D83" i="1"/>
  <c r="C16" i="3"/>
  <c r="F16" i="3" l="1"/>
  <c r="B17" i="3" s="1"/>
  <c r="D85" i="1"/>
  <c r="D33" i="1"/>
  <c r="D17" i="3" l="1"/>
  <c r="D87" i="1"/>
  <c r="C17" i="3" l="1"/>
  <c r="F17" i="3" l="1"/>
  <c r="B18" i="3" s="1"/>
  <c r="D18" i="3" l="1"/>
  <c r="C18" i="3" l="1"/>
  <c r="F18" i="3" l="1"/>
  <c r="B19" i="3" s="1"/>
  <c r="D19" i="3" l="1"/>
  <c r="C19" i="3" l="1"/>
  <c r="F19" i="3" l="1"/>
  <c r="B20" i="3" s="1"/>
  <c r="D20" i="3" l="1"/>
  <c r="C20" i="3" l="1"/>
  <c r="F20" i="3" l="1"/>
  <c r="B21" i="3" s="1"/>
  <c r="D21" i="3" l="1"/>
  <c r="C21" i="3" s="1"/>
  <c r="F21" i="3"/>
  <c r="B22" i="3" s="1"/>
  <c r="D22" i="3" l="1"/>
  <c r="C22" i="3" s="1"/>
  <c r="F22" i="3"/>
  <c r="B23" i="3" s="1"/>
  <c r="D23" i="3" l="1"/>
  <c r="C23" i="3" s="1"/>
  <c r="F23" i="3"/>
  <c r="B24" i="3" s="1"/>
  <c r="D24" i="3" l="1"/>
  <c r="C24" i="3" s="1"/>
  <c r="F24" i="3" s="1"/>
  <c r="B25" i="3" s="1"/>
  <c r="D25" i="3" l="1"/>
  <c r="C25" i="3" s="1"/>
  <c r="F25" i="3" s="1"/>
  <c r="B26" i="3" s="1"/>
  <c r="D26" i="3" l="1"/>
  <c r="C26" i="3" s="1"/>
  <c r="F26" i="3"/>
  <c r="B27" i="3" s="1"/>
  <c r="D27" i="3" l="1"/>
  <c r="C27" i="3" l="1"/>
  <c r="D28" i="3"/>
  <c r="E44" i="1" s="1"/>
  <c r="E50" i="1" s="1"/>
  <c r="E94" i="1" l="1"/>
  <c r="E52" i="1"/>
  <c r="E74" i="1" s="1"/>
  <c r="C28" i="3"/>
  <c r="F27" i="3"/>
  <c r="B30" i="3" l="1"/>
  <c r="E77" i="1"/>
  <c r="D107" i="1"/>
  <c r="E75" i="1"/>
  <c r="E96" i="1"/>
  <c r="E97" i="1" s="1"/>
  <c r="D30" i="3"/>
  <c r="E53" i="1"/>
  <c r="E98" i="1" l="1"/>
  <c r="D108" i="1"/>
  <c r="D125" i="1" s="1"/>
  <c r="E79" i="1"/>
  <c r="E30" i="1"/>
  <c r="E29" i="1"/>
  <c r="E82" i="1"/>
  <c r="C30" i="3"/>
  <c r="E83" i="1" l="1"/>
  <c r="F30" i="3"/>
  <c r="B31" i="3" s="1"/>
  <c r="D31" i="3" l="1"/>
  <c r="E85" i="1"/>
  <c r="E33" i="1"/>
  <c r="E87" i="1" l="1"/>
  <c r="C31" i="3"/>
  <c r="F31" i="3" l="1"/>
  <c r="B32" i="3" s="1"/>
  <c r="D32" i="3" l="1"/>
  <c r="C32" i="3" l="1"/>
  <c r="F32" i="3" l="1"/>
  <c r="B33" i="3" s="1"/>
  <c r="D33" i="3" l="1"/>
  <c r="C33" i="3" l="1"/>
  <c r="F33" i="3" l="1"/>
  <c r="B34" i="3" s="1"/>
  <c r="D34" i="3" l="1"/>
  <c r="C34" i="3" l="1"/>
  <c r="F34" i="3" l="1"/>
  <c r="B35" i="3" s="1"/>
  <c r="D35" i="3" l="1"/>
  <c r="C35" i="3" s="1"/>
  <c r="F35" i="3"/>
  <c r="B36" i="3" s="1"/>
  <c r="D36" i="3" l="1"/>
  <c r="C36" i="3" s="1"/>
  <c r="F36" i="3"/>
  <c r="B37" i="3" s="1"/>
  <c r="D37" i="3" l="1"/>
  <c r="C37" i="3" s="1"/>
  <c r="F37" i="3"/>
  <c r="B38" i="3" s="1"/>
  <c r="D38" i="3" l="1"/>
  <c r="C38" i="3" s="1"/>
  <c r="F38" i="3"/>
  <c r="B39" i="3" s="1"/>
  <c r="D39" i="3" l="1"/>
  <c r="C39" i="3" s="1"/>
  <c r="F39" i="3" s="1"/>
  <c r="B40" i="3" s="1"/>
  <c r="D40" i="3" l="1"/>
  <c r="C40" i="3" s="1"/>
  <c r="F40" i="3"/>
  <c r="B41" i="3" s="1"/>
  <c r="D41" i="3" l="1"/>
  <c r="C41" i="3" l="1"/>
  <c r="D42" i="3"/>
  <c r="F44" i="1" s="1"/>
  <c r="F50" i="1" s="1"/>
  <c r="F94" i="1" l="1"/>
  <c r="F52" i="1"/>
  <c r="F74" i="1" s="1"/>
  <c r="C42" i="3"/>
  <c r="F41" i="3"/>
  <c r="B44" i="3" l="1"/>
  <c r="F77" i="1"/>
  <c r="F75" i="1"/>
  <c r="E107" i="1"/>
  <c r="F53" i="1"/>
  <c r="D44" i="3"/>
  <c r="F96" i="1"/>
  <c r="F97" i="1" s="1"/>
  <c r="F98" i="1" l="1"/>
  <c r="E108" i="1"/>
  <c r="E125" i="1"/>
  <c r="F79" i="1"/>
  <c r="C44" i="3"/>
  <c r="F29" i="1"/>
  <c r="F30" i="1"/>
  <c r="F82" i="1"/>
  <c r="F44" i="3" l="1"/>
  <c r="B45" i="3" s="1"/>
  <c r="F83" i="1"/>
  <c r="F85" i="1" l="1"/>
  <c r="F33" i="1"/>
  <c r="D45" i="3"/>
  <c r="C45" i="3" l="1"/>
  <c r="F87" i="1"/>
  <c r="F45" i="3" l="1"/>
  <c r="B46" i="3" s="1"/>
  <c r="D46" i="3" l="1"/>
  <c r="C46" i="3" l="1"/>
  <c r="F46" i="3" l="1"/>
  <c r="B47" i="3" s="1"/>
  <c r="D47" i="3" l="1"/>
  <c r="C47" i="3" l="1"/>
  <c r="F47" i="3" l="1"/>
  <c r="B48" i="3" s="1"/>
  <c r="D48" i="3" l="1"/>
  <c r="C48" i="3" l="1"/>
  <c r="F48" i="3" l="1"/>
  <c r="B49" i="3" s="1"/>
  <c r="D49" i="3" l="1"/>
  <c r="C49" i="3" s="1"/>
  <c r="F49" i="3"/>
  <c r="B50" i="3" s="1"/>
  <c r="D50" i="3" l="1"/>
  <c r="C50" i="3" s="1"/>
  <c r="F50" i="3" s="1"/>
  <c r="B51" i="3" s="1"/>
  <c r="D51" i="3" l="1"/>
  <c r="C51" i="3" s="1"/>
  <c r="F51" i="3" s="1"/>
  <c r="B52" i="3" s="1"/>
  <c r="D52" i="3" l="1"/>
  <c r="C52" i="3" s="1"/>
  <c r="F52" i="3"/>
  <c r="B53" i="3" s="1"/>
  <c r="D53" i="3" l="1"/>
  <c r="C53" i="3" s="1"/>
  <c r="F53" i="3"/>
  <c r="B54" i="3" s="1"/>
  <c r="D54" i="3" l="1"/>
  <c r="C54" i="3" s="1"/>
  <c r="F54" i="3"/>
  <c r="B55" i="3" s="1"/>
  <c r="D55" i="3" l="1"/>
  <c r="C55" i="3" l="1"/>
  <c r="D56" i="3"/>
  <c r="G44" i="1" s="1"/>
  <c r="G50" i="1" s="1"/>
  <c r="G94" i="1" l="1"/>
  <c r="G52" i="1"/>
  <c r="G74" i="1" s="1"/>
  <c r="C56" i="3"/>
  <c r="F55" i="3"/>
  <c r="B58" i="3" l="1"/>
  <c r="G77" i="1"/>
  <c r="G75" i="1"/>
  <c r="F107" i="1"/>
  <c r="G53" i="1"/>
  <c r="D58" i="3"/>
  <c r="G96" i="1"/>
  <c r="G97" i="1" s="1"/>
  <c r="G98" i="1" l="1"/>
  <c r="F108" i="1"/>
  <c r="F125" i="1" s="1"/>
  <c r="G79" i="1"/>
  <c r="C58" i="3"/>
  <c r="G30" i="1"/>
  <c r="G29" i="1"/>
  <c r="G82" i="1"/>
  <c r="F58" i="3" l="1"/>
  <c r="B59" i="3" s="1"/>
  <c r="G83" i="1"/>
  <c r="G85" i="1" l="1"/>
  <c r="G33" i="1"/>
  <c r="D59" i="3"/>
  <c r="C59" i="3" l="1"/>
  <c r="G87" i="1"/>
  <c r="F59" i="3" l="1"/>
  <c r="B60" i="3" s="1"/>
  <c r="D60" i="3" l="1"/>
  <c r="C60" i="3" l="1"/>
  <c r="F60" i="3" l="1"/>
  <c r="B61" i="3" s="1"/>
  <c r="D61" i="3" l="1"/>
  <c r="C61" i="3" l="1"/>
  <c r="F61" i="3" l="1"/>
  <c r="B62" i="3" s="1"/>
  <c r="D62" i="3" l="1"/>
  <c r="C62" i="3" l="1"/>
  <c r="F62" i="3" l="1"/>
  <c r="B63" i="3" s="1"/>
  <c r="D63" i="3" l="1"/>
  <c r="C63" i="3" s="1"/>
  <c r="F63" i="3"/>
  <c r="B64" i="3" s="1"/>
  <c r="D64" i="3" l="1"/>
  <c r="C64" i="3" s="1"/>
  <c r="F64" i="3" s="1"/>
  <c r="B65" i="3" s="1"/>
  <c r="D65" i="3" l="1"/>
  <c r="C65" i="3" s="1"/>
  <c r="F65" i="3" s="1"/>
  <c r="B66" i="3" s="1"/>
  <c r="D66" i="3" l="1"/>
  <c r="C66" i="3" s="1"/>
  <c r="F66" i="3"/>
  <c r="B67" i="3" s="1"/>
  <c r="D67" i="3" l="1"/>
  <c r="C67" i="3" s="1"/>
  <c r="F67" i="3"/>
  <c r="B68" i="3" s="1"/>
  <c r="D68" i="3" l="1"/>
  <c r="C68" i="3" s="1"/>
  <c r="F68" i="3"/>
  <c r="B69" i="3" s="1"/>
  <c r="D69" i="3" l="1"/>
  <c r="C69" i="3" l="1"/>
  <c r="D70" i="3"/>
  <c r="H44" i="1" s="1"/>
  <c r="H50" i="1" s="1"/>
  <c r="H52" i="1" l="1"/>
  <c r="H74" i="1" s="1"/>
  <c r="H94" i="1"/>
  <c r="C70" i="3"/>
  <c r="F69" i="3"/>
  <c r="H53" i="1" l="1"/>
  <c r="B72" i="3"/>
  <c r="H77" i="1"/>
  <c r="H29" i="1"/>
  <c r="H30" i="1"/>
  <c r="H82" i="1"/>
  <c r="H96" i="1"/>
  <c r="H97" i="1" s="1"/>
  <c r="D72" i="3"/>
  <c r="H75" i="1"/>
  <c r="G107" i="1"/>
  <c r="H98" i="1" l="1"/>
  <c r="G108" i="1"/>
  <c r="G125" i="1"/>
  <c r="H79" i="1"/>
  <c r="H83" i="1"/>
  <c r="C72" i="3"/>
  <c r="F72" i="3" l="1"/>
  <c r="B73" i="3" s="1"/>
  <c r="H85" i="1"/>
  <c r="H33" i="1"/>
  <c r="H87" i="1" l="1"/>
  <c r="D73" i="3"/>
  <c r="C73" i="3" l="1"/>
  <c r="F73" i="3" l="1"/>
  <c r="B74" i="3" s="1"/>
  <c r="D74" i="3" l="1"/>
  <c r="C74" i="3" l="1"/>
  <c r="F74" i="3" l="1"/>
  <c r="B75" i="3" s="1"/>
  <c r="D75" i="3" l="1"/>
  <c r="C75" i="3" l="1"/>
  <c r="F75" i="3" l="1"/>
  <c r="B76" i="3" s="1"/>
  <c r="D76" i="3" l="1"/>
  <c r="C76" i="3" l="1"/>
  <c r="F76" i="3" l="1"/>
  <c r="B77" i="3" s="1"/>
  <c r="D77" i="3" l="1"/>
  <c r="C77" i="3" s="1"/>
  <c r="F77" i="3"/>
  <c r="B78" i="3" s="1"/>
  <c r="D78" i="3" l="1"/>
  <c r="C78" i="3" s="1"/>
  <c r="F78" i="3"/>
  <c r="B79" i="3" s="1"/>
  <c r="D79" i="3" l="1"/>
  <c r="C79" i="3" s="1"/>
  <c r="F79" i="3" s="1"/>
  <c r="B80" i="3" s="1"/>
  <c r="D80" i="3" l="1"/>
  <c r="C80" i="3" s="1"/>
  <c r="F80" i="3"/>
  <c r="B81" i="3" s="1"/>
  <c r="D81" i="3" l="1"/>
  <c r="C81" i="3" s="1"/>
  <c r="F81" i="3"/>
  <c r="B82" i="3" s="1"/>
  <c r="D82" i="3" l="1"/>
  <c r="C82" i="3" s="1"/>
  <c r="F82" i="3"/>
  <c r="B83" i="3" s="1"/>
  <c r="D83" i="3" l="1"/>
  <c r="C83" i="3" l="1"/>
  <c r="D84" i="3"/>
  <c r="I44" i="1" s="1"/>
  <c r="I50" i="1" s="1"/>
  <c r="I52" i="1" l="1"/>
  <c r="I74" i="1" s="1"/>
  <c r="I53" i="1"/>
  <c r="I94" i="1"/>
  <c r="C84" i="3"/>
  <c r="F83" i="3"/>
  <c r="B86" i="3" l="1"/>
  <c r="I77" i="1"/>
  <c r="I30" i="1"/>
  <c r="I29" i="1"/>
  <c r="I82" i="1"/>
  <c r="I96" i="1"/>
  <c r="I97" i="1" s="1"/>
  <c r="D86" i="3"/>
  <c r="I75" i="1"/>
  <c r="H107" i="1"/>
  <c r="I98" i="1" l="1"/>
  <c r="H108" i="1"/>
  <c r="H125" i="1" s="1"/>
  <c r="I79" i="1"/>
  <c r="I83" i="1"/>
  <c r="C86" i="3"/>
  <c r="F86" i="3" l="1"/>
  <c r="B87" i="3" s="1"/>
  <c r="I85" i="1"/>
  <c r="I87" i="1" s="1"/>
  <c r="I33" i="1"/>
  <c r="D87" i="3" l="1"/>
  <c r="C87" i="3" l="1"/>
  <c r="F87" i="3" l="1"/>
  <c r="B88" i="3" s="1"/>
  <c r="D88" i="3" l="1"/>
  <c r="C88" i="3" l="1"/>
  <c r="F88" i="3" l="1"/>
  <c r="B89" i="3" s="1"/>
  <c r="D89" i="3" l="1"/>
  <c r="C89" i="3" l="1"/>
  <c r="F89" i="3" l="1"/>
  <c r="B90" i="3" s="1"/>
  <c r="D90" i="3" l="1"/>
  <c r="C90" i="3" l="1"/>
  <c r="F90" i="3" l="1"/>
  <c r="B91" i="3" s="1"/>
  <c r="D91" i="3" l="1"/>
  <c r="C91" i="3" s="1"/>
  <c r="F91" i="3" s="1"/>
  <c r="B92" i="3" s="1"/>
  <c r="D92" i="3" l="1"/>
  <c r="C92" i="3" s="1"/>
  <c r="F92" i="3" s="1"/>
  <c r="B93" i="3" s="1"/>
  <c r="D93" i="3" l="1"/>
  <c r="C93" i="3" s="1"/>
  <c r="F93" i="3" s="1"/>
  <c r="B94" i="3" s="1"/>
  <c r="D94" i="3" l="1"/>
  <c r="C94" i="3" s="1"/>
  <c r="F94" i="3"/>
  <c r="B95" i="3" s="1"/>
  <c r="D95" i="3" l="1"/>
  <c r="C95" i="3" s="1"/>
  <c r="F95" i="3" s="1"/>
  <c r="B96" i="3" s="1"/>
  <c r="D96" i="3" l="1"/>
  <c r="C96" i="3" s="1"/>
  <c r="F96" i="3" s="1"/>
  <c r="B97" i="3" s="1"/>
  <c r="D97" i="3" l="1"/>
  <c r="C97" i="3" l="1"/>
  <c r="D98" i="3"/>
  <c r="J44" i="1" s="1"/>
  <c r="J50" i="1" s="1"/>
  <c r="J52" i="1" l="1"/>
  <c r="J74" i="1" s="1"/>
  <c r="J94" i="1"/>
  <c r="J53" i="1"/>
  <c r="C98" i="3"/>
  <c r="F97" i="3"/>
  <c r="B100" i="3" l="1"/>
  <c r="J77" i="1"/>
  <c r="J79" i="1" s="1"/>
  <c r="J30" i="1"/>
  <c r="J29" i="1"/>
  <c r="J82" i="1"/>
  <c r="J96" i="1"/>
  <c r="J97" i="1" s="1"/>
  <c r="D100" i="3"/>
  <c r="I107" i="1"/>
  <c r="J75" i="1"/>
  <c r="J98" i="1" l="1"/>
  <c r="I108" i="1"/>
  <c r="I125" i="1" s="1"/>
  <c r="J83" i="1"/>
  <c r="C100" i="3"/>
  <c r="F100" i="3" l="1"/>
  <c r="B101" i="3" s="1"/>
  <c r="J85" i="1"/>
  <c r="J87" i="1" s="1"/>
  <c r="J33" i="1"/>
  <c r="D101" i="3" l="1"/>
  <c r="C101" i="3" l="1"/>
  <c r="F101" i="3" l="1"/>
  <c r="B102" i="3" s="1"/>
  <c r="D102" i="3" l="1"/>
  <c r="C102" i="3" l="1"/>
  <c r="F102" i="3" l="1"/>
  <c r="B103" i="3" s="1"/>
  <c r="D103" i="3" l="1"/>
  <c r="C103" i="3" l="1"/>
  <c r="F103" i="3" l="1"/>
  <c r="B104" i="3" s="1"/>
  <c r="D104" i="3" l="1"/>
  <c r="C104" i="3" l="1"/>
  <c r="F104" i="3" l="1"/>
  <c r="B105" i="3" s="1"/>
  <c r="D105" i="3" l="1"/>
  <c r="C105" i="3" s="1"/>
  <c r="F105" i="3"/>
  <c r="B106" i="3" s="1"/>
  <c r="D106" i="3" l="1"/>
  <c r="C106" i="3" s="1"/>
  <c r="F106" i="3"/>
  <c r="B107" i="3" s="1"/>
  <c r="D107" i="3" l="1"/>
  <c r="C107" i="3" s="1"/>
  <c r="F107" i="3"/>
  <c r="B108" i="3" s="1"/>
  <c r="D108" i="3" l="1"/>
  <c r="C108" i="3" s="1"/>
  <c r="F108" i="3"/>
  <c r="B109" i="3" s="1"/>
  <c r="D109" i="3" l="1"/>
  <c r="C109" i="3" s="1"/>
  <c r="F109" i="3" s="1"/>
  <c r="B110" i="3" s="1"/>
  <c r="D110" i="3" l="1"/>
  <c r="C110" i="3" s="1"/>
  <c r="F110" i="3"/>
  <c r="B111" i="3" s="1"/>
  <c r="D111" i="3" l="1"/>
  <c r="C111" i="3" l="1"/>
  <c r="D112" i="3"/>
  <c r="K44" i="1" s="1"/>
  <c r="K50" i="1" s="1"/>
  <c r="K52" i="1" l="1"/>
  <c r="K74" i="1" s="1"/>
  <c r="K94" i="1"/>
  <c r="C112" i="3"/>
  <c r="F111" i="3"/>
  <c r="K53" i="1" l="1"/>
  <c r="B114" i="3"/>
  <c r="K77" i="1"/>
  <c r="K79" i="1" s="1"/>
  <c r="K96" i="1"/>
  <c r="K97" i="1" s="1"/>
  <c r="K30" i="1"/>
  <c r="K29" i="1"/>
  <c r="K82" i="1"/>
  <c r="D114" i="3"/>
  <c r="K75" i="1"/>
  <c r="J107" i="1"/>
  <c r="K98" i="1" l="1"/>
  <c r="J108" i="1"/>
  <c r="J125" i="1" s="1"/>
  <c r="C114" i="3"/>
  <c r="K83" i="1"/>
  <c r="K85" i="1" l="1"/>
  <c r="K87" i="1" s="1"/>
  <c r="K33" i="1"/>
  <c r="F114" i="3"/>
  <c r="B115" i="3" s="1"/>
  <c r="D115" i="3" l="1"/>
  <c r="C115" i="3" l="1"/>
  <c r="F115" i="3" l="1"/>
  <c r="B116" i="3" s="1"/>
  <c r="D116" i="3" l="1"/>
  <c r="C116" i="3" l="1"/>
  <c r="F116" i="3" l="1"/>
  <c r="B117" i="3" s="1"/>
  <c r="D117" i="3" l="1"/>
  <c r="C117" i="3" l="1"/>
  <c r="F117" i="3" l="1"/>
  <c r="B118" i="3" s="1"/>
  <c r="D118" i="3" l="1"/>
  <c r="C118" i="3" l="1"/>
  <c r="F118" i="3" l="1"/>
  <c r="B119" i="3" s="1"/>
  <c r="D119" i="3" l="1"/>
  <c r="C119" i="3" s="1"/>
  <c r="F119" i="3" s="1"/>
  <c r="B120" i="3" s="1"/>
  <c r="D120" i="3" l="1"/>
  <c r="C120" i="3" s="1"/>
  <c r="F120" i="3"/>
  <c r="B121" i="3" s="1"/>
  <c r="D121" i="3" l="1"/>
  <c r="C121" i="3" s="1"/>
  <c r="F121" i="3" s="1"/>
  <c r="B122" i="3" s="1"/>
  <c r="D122" i="3" l="1"/>
  <c r="C122" i="3" s="1"/>
  <c r="F122" i="3"/>
  <c r="B123" i="3" s="1"/>
  <c r="D123" i="3" l="1"/>
  <c r="C123" i="3" s="1"/>
  <c r="F123" i="3"/>
  <c r="B124" i="3" s="1"/>
  <c r="D124" i="3" l="1"/>
  <c r="C124" i="3" s="1"/>
  <c r="F124" i="3"/>
  <c r="B125" i="3" s="1"/>
  <c r="D125" i="3" l="1"/>
  <c r="C125" i="3" l="1"/>
  <c r="D126" i="3"/>
  <c r="L44" i="1" s="1"/>
  <c r="L50" i="1" s="1"/>
  <c r="L52" i="1" l="1"/>
  <c r="L74" i="1" s="1"/>
  <c r="L94" i="1"/>
  <c r="C126" i="3"/>
  <c r="F125" i="3"/>
  <c r="B128" i="3" l="1"/>
  <c r="L77" i="1"/>
  <c r="L79" i="1" s="1"/>
  <c r="L96" i="1"/>
  <c r="L97" i="1" s="1"/>
  <c r="L75" i="1"/>
  <c r="K107" i="1"/>
  <c r="D128" i="3"/>
  <c r="L53" i="1"/>
  <c r="L98" i="1" l="1"/>
  <c r="K108" i="1"/>
  <c r="K125" i="1"/>
  <c r="C128" i="3"/>
  <c r="L29" i="1"/>
  <c r="L30" i="1"/>
  <c r="L82" i="1"/>
  <c r="F128" i="3" l="1"/>
  <c r="B129" i="3" s="1"/>
  <c r="L83" i="1"/>
  <c r="L33" i="1" l="1"/>
  <c r="L85" i="1"/>
  <c r="D129" i="3"/>
  <c r="C129" i="3" l="1"/>
  <c r="L87" i="1"/>
  <c r="F129" i="3" l="1"/>
  <c r="B130" i="3" s="1"/>
  <c r="D130" i="3" l="1"/>
  <c r="C130" i="3" l="1"/>
  <c r="F130" i="3" l="1"/>
  <c r="B131" i="3" s="1"/>
  <c r="D131" i="3" l="1"/>
  <c r="C131" i="3" l="1"/>
  <c r="F131" i="3" l="1"/>
  <c r="B132" i="3" s="1"/>
  <c r="D132" i="3" l="1"/>
  <c r="C132" i="3" l="1"/>
  <c r="F132" i="3" l="1"/>
  <c r="B133" i="3" s="1"/>
  <c r="D133" i="3" l="1"/>
  <c r="C133" i="3" s="1"/>
  <c r="F133" i="3"/>
  <c r="B134" i="3" s="1"/>
  <c r="D134" i="3" l="1"/>
  <c r="C134" i="3" s="1"/>
  <c r="F134" i="3"/>
  <c r="B135" i="3" s="1"/>
  <c r="D135" i="3" l="1"/>
  <c r="C135" i="3" s="1"/>
  <c r="F135" i="3"/>
  <c r="B136" i="3" s="1"/>
  <c r="D136" i="3" l="1"/>
  <c r="C136" i="3" s="1"/>
  <c r="F136" i="3" s="1"/>
  <c r="B137" i="3" s="1"/>
  <c r="D137" i="3" l="1"/>
  <c r="C137" i="3" s="1"/>
  <c r="F137" i="3" s="1"/>
  <c r="B138" i="3" s="1"/>
  <c r="D138" i="3" l="1"/>
  <c r="C138" i="3" s="1"/>
  <c r="F138" i="3" s="1"/>
  <c r="B139" i="3" s="1"/>
  <c r="D139" i="3" l="1"/>
  <c r="C139" i="3" l="1"/>
  <c r="D140" i="3"/>
  <c r="M44" i="1" s="1"/>
  <c r="M50" i="1" s="1"/>
  <c r="M94" i="1" l="1"/>
  <c r="M52" i="1"/>
  <c r="M74" i="1" s="1"/>
  <c r="C140" i="3"/>
  <c r="F139" i="3"/>
  <c r="M77" i="1" s="1"/>
  <c r="O80" i="1" s="1"/>
  <c r="M79" i="1" l="1"/>
  <c r="M75" i="1"/>
  <c r="M107" i="1"/>
  <c r="L107" i="1"/>
  <c r="M53" i="1"/>
  <c r="M96" i="1"/>
  <c r="M97" i="1" s="1"/>
  <c r="M98" i="1" l="1"/>
  <c r="L108" i="1"/>
  <c r="M108" i="1"/>
  <c r="M125" i="1" s="1"/>
  <c r="L125" i="1"/>
  <c r="M30" i="1"/>
  <c r="M29" i="1"/>
  <c r="M82" i="1"/>
  <c r="O86" i="1" s="1"/>
  <c r="O88" i="1" s="1"/>
  <c r="C127" i="1" l="1"/>
  <c r="M83" i="1"/>
  <c r="M33" i="1" s="1"/>
  <c r="M85" i="1" l="1"/>
  <c r="M87" i="1" s="1"/>
  <c r="P80" i="1"/>
  <c r="S80" i="1" s="1"/>
  <c r="P81" i="1" l="1"/>
  <c r="P85" i="1"/>
  <c r="P88" i="1" s="1"/>
  <c r="P74" i="1"/>
  <c r="P77" i="1" s="1"/>
  <c r="Q85" i="1" s="1"/>
  <c r="S81" i="1"/>
  <c r="R85" i="1" l="1"/>
  <c r="S85" i="1" s="1"/>
  <c r="S88" i="1" s="1"/>
  <c r="C126" i="1" s="1"/>
  <c r="C7" i="6" l="1"/>
  <c r="F27" i="6" s="1"/>
  <c r="H27" i="6" s="1"/>
  <c r="C5" i="5"/>
  <c r="C4" i="5" s="1"/>
  <c r="C21" i="6"/>
  <c r="F33" i="6" s="1"/>
  <c r="H33" i="6" s="1"/>
  <c r="C16" i="6"/>
  <c r="F31" i="6" s="1"/>
  <c r="H31" i="6" s="1"/>
  <c r="C128" i="1"/>
  <c r="C10" i="5" l="1"/>
  <c r="H10" i="5" s="1"/>
  <c r="H35" i="6"/>
  <c r="C24" i="6" s="1"/>
</calcChain>
</file>

<file path=xl/sharedStrings.xml><?xml version="1.0" encoding="utf-8"?>
<sst xmlns="http://schemas.openxmlformats.org/spreadsheetml/2006/main" count="335" uniqueCount="186">
  <si>
    <t>Tex's Riverways</t>
  </si>
  <si>
    <t>Mortgage Loan</t>
  </si>
  <si>
    <t>ASSUMPTIONS</t>
  </si>
  <si>
    <t>Days of inventory</t>
  </si>
  <si>
    <t>Days of receivables</t>
  </si>
  <si>
    <t>Days of payables (COGS expense only)</t>
  </si>
  <si>
    <t>Days of accrued expenses (Operating expense and income tax expense only)</t>
  </si>
  <si>
    <t>Interest rate on Long Term Debt</t>
  </si>
  <si>
    <t>Average interest rate on existing Extra Bank Loan / Line of credit</t>
  </si>
  <si>
    <t>Growth of Sales</t>
  </si>
  <si>
    <t>COGS as percent of sales</t>
  </si>
  <si>
    <t>Genereal and Admin Exp as percent of service rev</t>
  </si>
  <si>
    <t>Average Income Tax Rate</t>
  </si>
  <si>
    <t>Aveage Depreciation Years for Buildings</t>
  </si>
  <si>
    <t>Average Depreciation Years for Equipment</t>
  </si>
  <si>
    <t>Computed Depreciation Expense (included in Operating expense)</t>
  </si>
  <si>
    <t>Ratios Related to Health of Company:</t>
  </si>
  <si>
    <t>Return on Assets</t>
  </si>
  <si>
    <t>Return on Sales</t>
  </si>
  <si>
    <t>Return on Equity</t>
  </si>
  <si>
    <t>Current Ratio</t>
  </si>
  <si>
    <t>Debt / Equity (using net interest bearing debt)</t>
  </si>
  <si>
    <t>INCOME STATEMENT</t>
  </si>
  <si>
    <t>Service Revenue</t>
  </si>
  <si>
    <t>Rent Revenue</t>
  </si>
  <si>
    <t>Sales Revenue</t>
  </si>
  <si>
    <t>Cost of Goods Sold</t>
  </si>
  <si>
    <t>Gross profit</t>
  </si>
  <si>
    <t>Mortgage Loan Interest expense</t>
  </si>
  <si>
    <t>General &amp; Admin Expense</t>
  </si>
  <si>
    <t>Salaries and Wages Expense</t>
  </si>
  <si>
    <t>Net income before taxes</t>
  </si>
  <si>
    <t>Income tax expense</t>
  </si>
  <si>
    <t>Net income</t>
  </si>
  <si>
    <t>BALANCE SHEET</t>
  </si>
  <si>
    <t>Minimum Cash</t>
  </si>
  <si>
    <t>Extra Cash</t>
  </si>
  <si>
    <t>Accounts Receivable</t>
  </si>
  <si>
    <t>Inventory</t>
  </si>
  <si>
    <t>Total Current assets</t>
  </si>
  <si>
    <t>Land</t>
  </si>
  <si>
    <t>Building</t>
  </si>
  <si>
    <t>Less: Accumulated depreciation</t>
  </si>
  <si>
    <t>Equipment</t>
  </si>
  <si>
    <t>Total PP&amp;E, net</t>
  </si>
  <si>
    <t>Total assets</t>
  </si>
  <si>
    <t>Accounts payable (on COGS expense only)</t>
  </si>
  <si>
    <t>Accrued expenses (on Operating Expense and Income Tax expense only)</t>
  </si>
  <si>
    <t>Current Liabilities</t>
  </si>
  <si>
    <t>Extra Bank Loan / Line of credit payable</t>
  </si>
  <si>
    <t>Total Liabilities</t>
  </si>
  <si>
    <t>Common Stock</t>
  </si>
  <si>
    <t>Retained Earnings</t>
  </si>
  <si>
    <t>Total Net Worth/Stockholders Equity</t>
  </si>
  <si>
    <t>Total liabilities and stockholders equity</t>
  </si>
  <si>
    <t>DFN</t>
  </si>
  <si>
    <t>(a) Operating expenses include decpreciation expense and a normal level of cash salary for Mr. Jones in all periods.</t>
  </si>
  <si>
    <t>Year 1</t>
  </si>
  <si>
    <t>Year 2</t>
  </si>
  <si>
    <t>Year 3</t>
  </si>
  <si>
    <t>Year 4</t>
  </si>
  <si>
    <t>Year 5</t>
  </si>
  <si>
    <t>Year 6</t>
  </si>
  <si>
    <t>Year 7</t>
  </si>
  <si>
    <t>Year 8</t>
  </si>
  <si>
    <t>Year 9</t>
  </si>
  <si>
    <t>Year 10</t>
  </si>
  <si>
    <t>Depreciation Expense - Equipment</t>
  </si>
  <si>
    <t>Depreciation Expense - Building</t>
  </si>
  <si>
    <t>Annual Customers</t>
  </si>
  <si>
    <t>Average spending per customer</t>
  </si>
  <si>
    <t>Tex's share of these profits</t>
  </si>
  <si>
    <t>Sales revenue as a percent of rent revenue</t>
  </si>
  <si>
    <t>Service revenue as a percent of rent revenue</t>
  </si>
  <si>
    <t>Beg Balance</t>
  </si>
  <si>
    <t>Principal</t>
  </si>
  <si>
    <t xml:space="preserve">Interest </t>
  </si>
  <si>
    <t>Payment</t>
  </si>
  <si>
    <t>End Balance</t>
  </si>
  <si>
    <t>Rate</t>
  </si>
  <si>
    <t>Jan</t>
  </si>
  <si>
    <t>Per Rate</t>
  </si>
  <si>
    <t>Feb</t>
  </si>
  <si>
    <t>FV</t>
  </si>
  <si>
    <t>Mar</t>
  </si>
  <si>
    <t>Years</t>
  </si>
  <si>
    <t>Apr</t>
  </si>
  <si>
    <t>Per</t>
  </si>
  <si>
    <t>May</t>
  </si>
  <si>
    <t>Type</t>
  </si>
  <si>
    <t>Jun</t>
  </si>
  <si>
    <t>PV</t>
  </si>
  <si>
    <t>Jul</t>
  </si>
  <si>
    <t>Aug</t>
  </si>
  <si>
    <t>Sep</t>
  </si>
  <si>
    <t>Oct</t>
  </si>
  <si>
    <t>Nov</t>
  </si>
  <si>
    <t>Dec</t>
  </si>
  <si>
    <t>TOTALS</t>
  </si>
  <si>
    <t>FREE CASH FLOWS</t>
  </si>
  <si>
    <t>Cash From Operatoins</t>
  </si>
  <si>
    <t>Operating Profit</t>
  </si>
  <si>
    <t>Less: Depreciation</t>
  </si>
  <si>
    <t>Taxable Operating Profit</t>
  </si>
  <si>
    <t>Taxes on Operations</t>
  </si>
  <si>
    <t>Total Cash from Operations</t>
  </si>
  <si>
    <t>Cash from Changes in Balance Sheet</t>
  </si>
  <si>
    <t>Working Capital</t>
  </si>
  <si>
    <t>Minimum Cash Balance</t>
  </si>
  <si>
    <t xml:space="preserve">Inventory </t>
  </si>
  <si>
    <t>Accounts Payable (COGS Expense)</t>
  </si>
  <si>
    <t>Fixed Assets</t>
  </si>
  <si>
    <t>Adjustment for Sale</t>
  </si>
  <si>
    <t>Taxes on Sale</t>
  </si>
  <si>
    <t>Buildings</t>
  </si>
  <si>
    <t>Goodwill At Purchase</t>
  </si>
  <si>
    <t>Total Free Cash Flows</t>
  </si>
  <si>
    <t>WACC</t>
  </si>
  <si>
    <t>IRR</t>
  </si>
  <si>
    <t>NPV</t>
  </si>
  <si>
    <t>Extra Loan Interest Expense</t>
  </si>
  <si>
    <t>Accrued Expenses</t>
  </si>
  <si>
    <t>Book</t>
  </si>
  <si>
    <t>Gain</t>
  </si>
  <si>
    <t>Tax rate</t>
  </si>
  <si>
    <t>Terminal Value: The Terminal Value chosen was a pretend sale at the end of 10 years, based on the following:</t>
  </si>
  <si>
    <t>Goodwill Description:   The goodwill of this company would come from the following</t>
  </si>
  <si>
    <t>- The store is family owned, so there are likely trade secrets in how to best sell, ship, order, etc., that are known and handed down</t>
  </si>
  <si>
    <t>- The building is n a tourist location where there is heavy foot traffic almost year round, the building will go up in value</t>
  </si>
  <si>
    <t>- The equipment is a very depreciable asset that has more than cosmetic wear and tear. Not to mention the unruly college students who will play with it and break things. The value is cut in half.</t>
  </si>
  <si>
    <t>- Tex's Riverways has been in business for more than 50 years and has been growing at an increasing rate every year.</t>
  </si>
  <si>
    <t>Coverage Ratio</t>
  </si>
  <si>
    <t>Used worst ratio, in first year of operation</t>
  </si>
  <si>
    <t>Credit Rating</t>
  </si>
  <si>
    <t>BB</t>
  </si>
  <si>
    <t>From NYU Stern chart for this industry, adjusted up</t>
  </si>
  <si>
    <t>Spread Above T-Bill</t>
  </si>
  <si>
    <t>From NYU Stern chart based on adjusted rating</t>
  </si>
  <si>
    <t>T-Bill Return</t>
  </si>
  <si>
    <t>Mortage Loan</t>
  </si>
  <si>
    <t>T-Bill Rate plus Spread based on Credit Rating</t>
  </si>
  <si>
    <t>Extra Bank Loan</t>
  </si>
  <si>
    <t>Add 3% to Mortgage Loan Rate</t>
  </si>
  <si>
    <t>CAPM</t>
  </si>
  <si>
    <t>Average Tax Rate</t>
  </si>
  <si>
    <t>Average over all years of forecast</t>
  </si>
  <si>
    <t>ADJUSTMENT OF UNLEVLERED BETA</t>
  </si>
  <si>
    <t>Unlevered Beta</t>
  </si>
  <si>
    <t>From NYU Stern chart for this industry, adjusted down</t>
  </si>
  <si>
    <t>Relevered Beta</t>
  </si>
  <si>
    <t>Based on this company's forecasted debt and equity</t>
  </si>
  <si>
    <t>S&amp;P 500 Return</t>
  </si>
  <si>
    <t>Equity Cost</t>
  </si>
  <si>
    <t>Average</t>
  </si>
  <si>
    <t>Proportion</t>
  </si>
  <si>
    <t>Tax Adjusted</t>
  </si>
  <si>
    <t>Weighted</t>
  </si>
  <si>
    <t>- The store website says that it has an average of 3500 customers per year and that it is growing annually.</t>
  </si>
  <si>
    <t>- The company has multiple branches and will continue to grow in size each year.</t>
  </si>
  <si>
    <t>- The store is family owned, so there are probably family secrets and trade discounts from relationships for 50 years of business.</t>
  </si>
  <si>
    <t>- The store has been in business for more than 50 years and has grown to up to 3 branches without much leverage involved.</t>
  </si>
  <si>
    <t>- The store has been growing with credit for at least 50 years.</t>
  </si>
  <si>
    <t>- The store says it is one of the only competitors for their type of service in the valley. They have somewhat of a monopoly.</t>
  </si>
  <si>
    <t>Taxes on operation</t>
  </si>
  <si>
    <t>Success - Success</t>
  </si>
  <si>
    <t>Normal Forecasted Operations</t>
  </si>
  <si>
    <t>Puchase New Land and Building Location</t>
  </si>
  <si>
    <t>Additional Revenues from New Location</t>
  </si>
  <si>
    <t>Sell New Location</t>
  </si>
  <si>
    <t>TOTAL</t>
  </si>
  <si>
    <t>Probability</t>
  </si>
  <si>
    <t>Success - Failure</t>
  </si>
  <si>
    <t>Failure</t>
  </si>
  <si>
    <t>Adjusted Forecasted Operations</t>
  </si>
  <si>
    <t>Total Expected NPV</t>
  </si>
  <si>
    <t>Decision Tree</t>
  </si>
  <si>
    <t>Expected Value</t>
  </si>
  <si>
    <t>Good-Expand</t>
  </si>
  <si>
    <t>Bad - Stop</t>
  </si>
  <si>
    <t>S</t>
  </si>
  <si>
    <t>X</t>
  </si>
  <si>
    <t>t</t>
  </si>
  <si>
    <t>STDEV(%)</t>
  </si>
  <si>
    <t>r</t>
  </si>
  <si>
    <t>VALUE</t>
  </si>
  <si>
    <t>Exercise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</si>
</sst>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409]#,##0.00;[Red]\-[$$-409]#,##0.00"/>
    <numFmt numFmtId="168" formatCode="_(\$* #,##0_);_(\$* \(#,##0\);_(\$* \-??_);_(@_)"/>
  </numFmts>
  <fonts count="16" x14ac:knownFonts="1">
    <font>
      <sz val="10"/>
      <color rgb="FF000000"/>
      <name val="Arial"/>
    </font>
    <font>
      <sz val="11"/>
      <color rgb="FF000000"/>
      <name val="Calibri"/>
      <family val="2"/>
    </font>
    <font>
      <sz val="10"/>
      <color rgb="FF000000"/>
      <name val="Arial"/>
      <family val="2"/>
    </font>
    <font>
      <sz val="11"/>
      <color rgb="FF000000"/>
      <name val="Calibri"/>
      <family val="2"/>
    </font>
    <font>
      <sz val="11"/>
      <name val="Arial"/>
      <family val="2"/>
    </font>
    <font>
      <sz val="11"/>
      <color indexed="8"/>
      <name val="Arial"/>
      <family val="2"/>
    </font>
    <font>
      <b/>
      <sz val="11"/>
      <name val="Arial"/>
      <family val="2"/>
    </font>
    <font>
      <b/>
      <u/>
      <sz val="11"/>
      <name val="Arial"/>
      <family val="2"/>
    </font>
    <font>
      <b/>
      <sz val="12"/>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i/>
      <sz val="12"/>
      <color rgb="FF000000"/>
      <name val="Calibri"/>
      <family val="2"/>
      <scheme val="minor"/>
    </font>
    <font>
      <sz val="12"/>
      <color theme="1"/>
      <name val="Calibri"/>
      <family val="2"/>
      <scheme val="minor"/>
    </font>
    <font>
      <sz val="12"/>
      <color indexed="8"/>
      <name val="Calibri"/>
      <family val="2"/>
    </font>
    <font>
      <b/>
      <sz val="12"/>
      <color theme="1"/>
      <name val="Calibri"/>
      <family val="2"/>
      <scheme val="minor"/>
    </font>
  </fonts>
  <fills count="8">
    <fill>
      <patternFill patternType="none"/>
    </fill>
    <fill>
      <patternFill patternType="gray125"/>
    </fill>
    <fill>
      <patternFill patternType="solid">
        <fgColor rgb="FFFFFFFF"/>
        <bgColor rgb="FFFFFFFF"/>
      </patternFill>
    </fill>
    <fill>
      <patternFill patternType="solid">
        <fgColor theme="6"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39997558519241921"/>
        <bgColor rgb="FFFFFFFF"/>
      </patternFill>
    </fill>
  </fills>
  <borders count="7">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84">
    <xf numFmtId="0" fontId="0" fillId="0" borderId="0" xfId="0"/>
    <xf numFmtId="44" fontId="5" fillId="0" borderId="0" xfId="6" applyFont="1"/>
    <xf numFmtId="0" fontId="4" fillId="0" borderId="0" xfId="0" applyFont="1"/>
    <xf numFmtId="0" fontId="7" fillId="0" borderId="0" xfId="0" applyFont="1" applyAlignment="1">
      <alignment horizontal="center"/>
    </xf>
    <xf numFmtId="0" fontId="6" fillId="0" borderId="0" xfId="0" applyFont="1"/>
    <xf numFmtId="10" fontId="4" fillId="0" borderId="0" xfId="0" applyNumberFormat="1" applyFont="1"/>
    <xf numFmtId="17" fontId="4" fillId="0" borderId="0" xfId="0" quotePrefix="1" applyNumberFormat="1" applyFont="1" applyAlignment="1">
      <alignment wrapText="1"/>
    </xf>
    <xf numFmtId="0" fontId="4" fillId="0" borderId="0" xfId="0" applyFont="1" applyAlignment="1">
      <alignment wrapText="1"/>
    </xf>
    <xf numFmtId="167" fontId="4" fillId="0" borderId="0" xfId="0" applyNumberFormat="1" applyFont="1"/>
    <xf numFmtId="43" fontId="4" fillId="0" borderId="0" xfId="0" applyNumberFormat="1" applyFont="1"/>
    <xf numFmtId="0" fontId="6" fillId="0" borderId="0" xfId="0" applyFont="1" applyAlignment="1">
      <alignment wrapText="1"/>
    </xf>
    <xf numFmtId="0" fontId="8" fillId="0" borderId="0" xfId="0" applyFont="1"/>
    <xf numFmtId="0" fontId="9" fillId="0" borderId="0" xfId="0" applyFont="1"/>
    <xf numFmtId="164" fontId="0" fillId="0" borderId="0" xfId="2" applyNumberFormat="1" applyFont="1" applyAlignment="1"/>
    <xf numFmtId="0" fontId="10" fillId="0" borderId="0" xfId="0" applyFont="1"/>
    <xf numFmtId="164" fontId="10" fillId="0" borderId="0" xfId="2" applyNumberFormat="1" applyFont="1" applyAlignment="1"/>
    <xf numFmtId="164" fontId="10" fillId="0" borderId="0" xfId="0" applyNumberFormat="1" applyFont="1"/>
    <xf numFmtId="9" fontId="9" fillId="0" borderId="0" xfId="0" applyNumberFormat="1" applyFont="1"/>
    <xf numFmtId="0" fontId="9" fillId="0" borderId="3" xfId="0" applyFont="1" applyBorder="1"/>
    <xf numFmtId="0" fontId="9" fillId="0" borderId="4" xfId="0" applyFont="1" applyBorder="1"/>
    <xf numFmtId="9" fontId="9" fillId="0" borderId="5" xfId="0" applyNumberFormat="1" applyFont="1" applyBorder="1"/>
    <xf numFmtId="10" fontId="9" fillId="0" borderId="0" xfId="0" applyNumberFormat="1" applyFont="1"/>
    <xf numFmtId="10" fontId="10" fillId="0" borderId="0" xfId="0" applyNumberFormat="1" applyFont="1"/>
    <xf numFmtId="164" fontId="9" fillId="0" borderId="0" xfId="0" applyNumberFormat="1" applyFont="1"/>
    <xf numFmtId="44" fontId="10" fillId="0" borderId="0" xfId="0" applyNumberFormat="1" applyFont="1"/>
    <xf numFmtId="9" fontId="10" fillId="0" borderId="0" xfId="0" applyNumberFormat="1" applyFont="1"/>
    <xf numFmtId="9" fontId="10" fillId="0" borderId="0" xfId="3" applyFont="1"/>
    <xf numFmtId="168" fontId="10" fillId="0" borderId="0" xfId="2" applyNumberFormat="1" applyFont="1"/>
    <xf numFmtId="43" fontId="10" fillId="0" borderId="0" xfId="0" applyNumberFormat="1" applyFont="1"/>
    <xf numFmtId="168" fontId="10" fillId="0" borderId="2" xfId="2" applyNumberFormat="1" applyFont="1" applyBorder="1"/>
    <xf numFmtId="168" fontId="10" fillId="0" borderId="3" xfId="2" applyNumberFormat="1" applyFont="1" applyBorder="1"/>
    <xf numFmtId="0" fontId="10" fillId="0" borderId="5" xfId="0" applyFont="1" applyBorder="1"/>
    <xf numFmtId="43" fontId="10" fillId="0" borderId="0" xfId="1" applyFont="1" applyAlignment="1"/>
    <xf numFmtId="0" fontId="11" fillId="3" borderId="0" xfId="0" quotePrefix="1" applyFont="1" applyFill="1"/>
    <xf numFmtId="0" fontId="10" fillId="3" borderId="0" xfId="0" applyFont="1" applyFill="1"/>
    <xf numFmtId="0" fontId="10" fillId="0" borderId="0" xfId="0" applyFont="1" applyAlignment="1">
      <alignment horizontal="right"/>
    </xf>
    <xf numFmtId="0" fontId="11" fillId="0" borderId="0" xfId="0" applyFont="1"/>
    <xf numFmtId="0" fontId="11" fillId="3" borderId="0" xfId="0" applyFont="1" applyFill="1"/>
    <xf numFmtId="43" fontId="10" fillId="0" borderId="0" xfId="5" applyFont="1" applyAlignment="1"/>
    <xf numFmtId="10" fontId="10" fillId="0" borderId="0" xfId="7" applyNumberFormat="1" applyFont="1" applyAlignment="1"/>
    <xf numFmtId="166" fontId="10" fillId="0" borderId="0" xfId="0" applyNumberFormat="1" applyFont="1"/>
    <xf numFmtId="10" fontId="10" fillId="0" borderId="0" xfId="3" applyNumberFormat="1" applyFont="1" applyAlignment="1"/>
    <xf numFmtId="10" fontId="11" fillId="0" borderId="0" xfId="7" applyNumberFormat="1" applyFont="1" applyAlignment="1"/>
    <xf numFmtId="0" fontId="11" fillId="0" borderId="1" xfId="0" applyFont="1" applyBorder="1"/>
    <xf numFmtId="0" fontId="10" fillId="0" borderId="1" xfId="0" applyFont="1" applyBorder="1"/>
    <xf numFmtId="0" fontId="12" fillId="0" borderId="0" xfId="0" applyFont="1"/>
    <xf numFmtId="2" fontId="10" fillId="0" borderId="0" xfId="0" applyNumberFormat="1" applyFont="1"/>
    <xf numFmtId="164" fontId="10" fillId="0" borderId="0" xfId="6" applyNumberFormat="1" applyFont="1" applyAlignment="1"/>
    <xf numFmtId="0" fontId="10" fillId="0" borderId="0" xfId="0" applyFont="1" applyAlignment="1">
      <alignment wrapText="1"/>
    </xf>
    <xf numFmtId="0" fontId="9" fillId="0" borderId="0" xfId="0" applyFont="1" applyAlignment="1">
      <alignment wrapText="1"/>
    </xf>
    <xf numFmtId="0" fontId="10" fillId="4" borderId="0" xfId="0" applyFont="1" applyFill="1"/>
    <xf numFmtId="0" fontId="10" fillId="4" borderId="0" xfId="0" applyFont="1" applyFill="1" applyAlignment="1">
      <alignment horizontal="right"/>
    </xf>
    <xf numFmtId="0" fontId="9" fillId="4" borderId="0" xfId="0" applyFont="1" applyFill="1"/>
    <xf numFmtId="2" fontId="10" fillId="4" borderId="0" xfId="0" applyNumberFormat="1" applyFont="1" applyFill="1"/>
    <xf numFmtId="10" fontId="10" fillId="4" borderId="0" xfId="0" applyNumberFormat="1" applyFont="1" applyFill="1"/>
    <xf numFmtId="165" fontId="10" fillId="4" borderId="0" xfId="1" applyNumberFormat="1" applyFont="1" applyFill="1" applyBorder="1" applyAlignment="1"/>
    <xf numFmtId="9" fontId="10" fillId="0" borderId="0" xfId="3" applyFont="1" applyBorder="1" applyAlignment="1"/>
    <xf numFmtId="9" fontId="10" fillId="4" borderId="0" xfId="3" applyFont="1" applyFill="1" applyBorder="1" applyAlignment="1"/>
    <xf numFmtId="2" fontId="10" fillId="0" borderId="0" xfId="0" applyNumberFormat="1" applyFont="1" applyAlignment="1">
      <alignment horizontal="center"/>
    </xf>
    <xf numFmtId="2" fontId="10" fillId="4" borderId="0" xfId="0" applyNumberFormat="1" applyFont="1" applyFill="1" applyAlignment="1">
      <alignment horizontal="center"/>
    </xf>
    <xf numFmtId="164" fontId="10" fillId="0" borderId="0" xfId="2" applyNumberFormat="1" applyFont="1" applyBorder="1" applyAlignment="1"/>
    <xf numFmtId="164" fontId="10" fillId="6" borderId="0" xfId="2" applyNumberFormat="1" applyFont="1" applyFill="1" applyBorder="1" applyAlignment="1"/>
    <xf numFmtId="164" fontId="10" fillId="2" borderId="0" xfId="2" applyNumberFormat="1" applyFont="1" applyFill="1" applyBorder="1" applyAlignment="1"/>
    <xf numFmtId="164" fontId="10" fillId="7" borderId="0" xfId="2" applyNumberFormat="1" applyFont="1" applyFill="1" applyBorder="1" applyAlignment="1"/>
    <xf numFmtId="44" fontId="10" fillId="0" borderId="0" xfId="2" applyFont="1" applyBorder="1" applyAlignment="1"/>
    <xf numFmtId="44" fontId="10" fillId="6" borderId="0" xfId="2" applyFont="1" applyFill="1" applyBorder="1" applyAlignment="1"/>
    <xf numFmtId="164" fontId="10" fillId="0" borderId="0" xfId="2" applyNumberFormat="1" applyFont="1" applyFill="1" applyBorder="1" applyAlignment="1"/>
    <xf numFmtId="164" fontId="10" fillId="5" borderId="0" xfId="2" applyNumberFormat="1" applyFont="1" applyFill="1" applyBorder="1" applyAlignment="1"/>
    <xf numFmtId="164" fontId="9" fillId="5" borderId="0" xfId="2" applyNumberFormat="1" applyFont="1" applyFill="1" applyBorder="1" applyAlignment="1"/>
    <xf numFmtId="0" fontId="13" fillId="0" borderId="0" xfId="0" applyFont="1"/>
    <xf numFmtId="44" fontId="14" fillId="0" borderId="0" xfId="2" applyFont="1" applyFill="1"/>
    <xf numFmtId="0" fontId="0" fillId="0" borderId="6" xfId="0" applyBorder="1"/>
    <xf numFmtId="44" fontId="0" fillId="0" borderId="6" xfId="2" applyFont="1" applyBorder="1"/>
    <xf numFmtId="9" fontId="0" fillId="0" borderId="6" xfId="3" applyFont="1" applyBorder="1"/>
    <xf numFmtId="164" fontId="2" fillId="0" borderId="6" xfId="2" applyNumberFormat="1" applyBorder="1"/>
    <xf numFmtId="8" fontId="14" fillId="0" borderId="0" xfId="2" applyNumberFormat="1" applyFont="1" applyFill="1"/>
    <xf numFmtId="164" fontId="9" fillId="0" borderId="0" xfId="2" applyNumberFormat="1" applyFont="1"/>
    <xf numFmtId="10" fontId="15" fillId="0" borderId="0" xfId="0" applyNumberFormat="1" applyFont="1"/>
    <xf numFmtId="0" fontId="10" fillId="0" borderId="0" xfId="1" applyNumberFormat="1" applyFont="1" applyAlignment="1"/>
    <xf numFmtId="8" fontId="0" fillId="0" borderId="6" xfId="2" applyNumberFormat="1" applyFont="1" applyBorder="1"/>
    <xf numFmtId="0" fontId="10" fillId="0" borderId="0" xfId="0" applyFont="1"/>
    <xf numFmtId="0" fontId="10" fillId="0" borderId="0" xfId="0" applyFont="1" applyAlignment="1">
      <alignment wrapText="1"/>
    </xf>
    <xf numFmtId="0" fontId="10" fillId="4" borderId="0" xfId="0" applyFont="1" applyFill="1"/>
    <xf numFmtId="0" fontId="0" fillId="0" borderId="0" xfId="0"/>
  </cellXfs>
  <cellStyles count="8">
    <cellStyle name="Comma" xfId="1" builtinId="3"/>
    <cellStyle name="Comma 2" xfId="5" xr:uid="{00000000-0005-0000-0000-00002F000000}"/>
    <cellStyle name="Currency" xfId="2" builtinId="4"/>
    <cellStyle name="Currency 2" xfId="6" xr:uid="{00000000-0005-0000-0000-000030000000}"/>
    <cellStyle name="Normal" xfId="0" builtinId="0"/>
    <cellStyle name="Normal 2" xfId="4" xr:uid="{00000000-0005-0000-0000-000031000000}"/>
    <cellStyle name="Percent" xfId="3" builtinId="5"/>
    <cellStyle name="Percent 2" xfId="7"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eph\Downloads\B401%20Consulting%20Project%20III%20Case%20FCFs%20Example%20-%20San%20Diego%20Furniture%20Store%2018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s"/>
      <sheetName val="Amortization Table"/>
      <sheetName val="Sources"/>
    </sheetNames>
    <sheetDataSet>
      <sheetData sheetId="0">
        <row r="22">
          <cell r="E22">
            <v>30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E128"/>
  <sheetViews>
    <sheetView tabSelected="1" topLeftCell="A108" zoomScale="80" zoomScaleNormal="80" workbookViewId="0">
      <selection activeCell="E134" sqref="E134"/>
    </sheetView>
  </sheetViews>
  <sheetFormatPr defaultColWidth="14.42578125" defaultRowHeight="15.75" customHeight="1" x14ac:dyDescent="0.25"/>
  <cols>
    <col min="1" max="1" width="14.42578125" style="14"/>
    <col min="2" max="2" width="50.28515625" style="14" customWidth="1"/>
    <col min="3" max="3" width="15.140625" style="14" customWidth="1"/>
    <col min="4" max="4" width="15.28515625" style="14" bestFit="1" customWidth="1"/>
    <col min="5" max="12" width="14.5703125" style="14" bestFit="1" customWidth="1"/>
    <col min="13" max="13" width="17.5703125" style="14" bestFit="1" customWidth="1"/>
    <col min="14" max="14" width="14.42578125" style="14"/>
    <col min="15" max="15" width="20.5703125" style="14" bestFit="1" customWidth="1"/>
    <col min="16" max="16" width="14.5703125" style="14" bestFit="1" customWidth="1"/>
    <col min="17" max="16384" width="14.42578125" style="14"/>
  </cols>
  <sheetData>
    <row r="1" spans="1:26" x14ac:dyDescent="0.25">
      <c r="A1" s="81" t="s">
        <v>0</v>
      </c>
      <c r="B1" s="80"/>
      <c r="C1" s="48"/>
      <c r="D1" s="48"/>
      <c r="E1" s="48"/>
      <c r="F1" s="48"/>
      <c r="G1" s="48"/>
      <c r="H1" s="48"/>
      <c r="I1" s="48"/>
      <c r="J1" s="48"/>
      <c r="K1" s="49"/>
      <c r="L1" s="49"/>
      <c r="M1" s="49"/>
      <c r="N1" s="49"/>
      <c r="O1" s="49"/>
      <c r="P1" s="49"/>
      <c r="Q1" s="49"/>
      <c r="R1" s="49"/>
      <c r="S1" s="49"/>
      <c r="T1" s="49"/>
      <c r="U1" s="49"/>
      <c r="V1" s="49"/>
      <c r="W1" s="49"/>
      <c r="X1" s="49"/>
      <c r="Y1" s="49"/>
      <c r="Z1" s="49"/>
    </row>
    <row r="2" spans="1:26" ht="15.75" customHeight="1" x14ac:dyDescent="0.25">
      <c r="D2" s="50" t="s">
        <v>57</v>
      </c>
      <c r="E2" s="50" t="s">
        <v>58</v>
      </c>
      <c r="F2" s="50" t="s">
        <v>59</v>
      </c>
      <c r="G2" s="50" t="s">
        <v>60</v>
      </c>
      <c r="H2" s="50" t="s">
        <v>61</v>
      </c>
      <c r="I2" s="50" t="s">
        <v>62</v>
      </c>
      <c r="J2" s="50" t="s">
        <v>63</v>
      </c>
      <c r="K2" s="50" t="s">
        <v>64</v>
      </c>
      <c r="L2" s="50" t="s">
        <v>65</v>
      </c>
      <c r="M2" s="50" t="s">
        <v>66</v>
      </c>
    </row>
    <row r="3" spans="1:26" x14ac:dyDescent="0.25">
      <c r="D3" s="50">
        <v>2018</v>
      </c>
      <c r="E3" s="51">
        <v>2019</v>
      </c>
      <c r="F3" s="50">
        <v>2020</v>
      </c>
      <c r="G3" s="50">
        <v>2021</v>
      </c>
      <c r="H3" s="50">
        <v>2022</v>
      </c>
      <c r="I3" s="50">
        <v>2023</v>
      </c>
      <c r="J3" s="50">
        <v>2024</v>
      </c>
      <c r="K3" s="50">
        <v>2025</v>
      </c>
      <c r="L3" s="50">
        <v>2026</v>
      </c>
      <c r="M3" s="50">
        <v>2027</v>
      </c>
    </row>
    <row r="4" spans="1:26" x14ac:dyDescent="0.25">
      <c r="A4" s="80" t="s">
        <v>2</v>
      </c>
      <c r="B4" s="80"/>
      <c r="D4" s="50"/>
      <c r="E4" s="50"/>
      <c r="F4" s="50"/>
      <c r="G4" s="50"/>
      <c r="H4" s="50"/>
      <c r="I4" s="50"/>
      <c r="J4" s="50"/>
      <c r="K4" s="50"/>
      <c r="L4" s="50"/>
      <c r="M4" s="50"/>
    </row>
    <row r="5" spans="1:26" x14ac:dyDescent="0.25">
      <c r="A5" s="80" t="s">
        <v>3</v>
      </c>
      <c r="B5" s="80"/>
      <c r="D5" s="50">
        <v>45</v>
      </c>
      <c r="E5" s="50">
        <v>42</v>
      </c>
      <c r="F5" s="50">
        <v>46</v>
      </c>
      <c r="G5" s="50">
        <v>47</v>
      </c>
      <c r="H5" s="50">
        <v>44</v>
      </c>
      <c r="I5" s="50">
        <v>41</v>
      </c>
      <c r="J5" s="50">
        <v>43</v>
      </c>
      <c r="K5" s="52">
        <v>40</v>
      </c>
      <c r="L5" s="52">
        <v>38</v>
      </c>
      <c r="M5" s="52">
        <v>37</v>
      </c>
    </row>
    <row r="6" spans="1:26" x14ac:dyDescent="0.25">
      <c r="A6" s="80" t="s">
        <v>4</v>
      </c>
      <c r="B6" s="80"/>
      <c r="D6" s="50">
        <v>2</v>
      </c>
      <c r="E6" s="50">
        <v>2.5</v>
      </c>
      <c r="F6" s="50">
        <v>2.1</v>
      </c>
      <c r="G6" s="50">
        <v>3</v>
      </c>
      <c r="H6" s="50">
        <v>2.6</v>
      </c>
      <c r="I6" s="50">
        <v>2.7</v>
      </c>
      <c r="J6" s="50">
        <v>2.4</v>
      </c>
      <c r="K6" s="52">
        <v>2.8</v>
      </c>
      <c r="L6" s="52">
        <v>2.2000000000000002</v>
      </c>
      <c r="M6" s="52">
        <v>2.1</v>
      </c>
    </row>
    <row r="7" spans="1:26" x14ac:dyDescent="0.25">
      <c r="A7" s="80" t="s">
        <v>5</v>
      </c>
      <c r="B7" s="80"/>
      <c r="D7" s="50">
        <v>5</v>
      </c>
      <c r="E7" s="50">
        <v>5.4</v>
      </c>
      <c r="F7" s="50">
        <v>6</v>
      </c>
      <c r="G7" s="50">
        <v>5.7</v>
      </c>
      <c r="H7" s="50">
        <v>5.2</v>
      </c>
      <c r="I7" s="50">
        <v>4.8</v>
      </c>
      <c r="J7" s="50">
        <v>4.9000000000000004</v>
      </c>
      <c r="K7" s="52">
        <v>5</v>
      </c>
      <c r="L7" s="52">
        <v>5.0999999999999996</v>
      </c>
      <c r="M7" s="52">
        <v>4.9000000000000004</v>
      </c>
    </row>
    <row r="8" spans="1:26" x14ac:dyDescent="0.25">
      <c r="A8" s="80" t="s">
        <v>6</v>
      </c>
      <c r="B8" s="80"/>
      <c r="C8" s="46"/>
      <c r="D8" s="53">
        <f>(D48)/(D74/100)</f>
        <v>86.909984337538802</v>
      </c>
      <c r="E8" s="53">
        <f>D8</f>
        <v>86.909984337538802</v>
      </c>
      <c r="F8" s="53">
        <f t="shared" ref="F8:M8" si="0">E8+0.32</f>
        <v>87.229984337538795</v>
      </c>
      <c r="G8" s="53">
        <f t="shared" si="0"/>
        <v>87.549984337538788</v>
      </c>
      <c r="H8" s="53">
        <f t="shared" si="0"/>
        <v>87.869984337538781</v>
      </c>
      <c r="I8" s="53">
        <f t="shared" si="0"/>
        <v>88.189984337538775</v>
      </c>
      <c r="J8" s="53">
        <f t="shared" si="0"/>
        <v>88.509984337538768</v>
      </c>
      <c r="K8" s="53">
        <f t="shared" si="0"/>
        <v>88.829984337538761</v>
      </c>
      <c r="L8" s="53">
        <f t="shared" si="0"/>
        <v>89.149984337538754</v>
      </c>
      <c r="M8" s="53">
        <f t="shared" si="0"/>
        <v>89.469984337538747</v>
      </c>
    </row>
    <row r="9" spans="1:26" x14ac:dyDescent="0.25">
      <c r="D9" s="50"/>
      <c r="E9" s="50"/>
      <c r="F9" s="50"/>
      <c r="G9" s="50"/>
      <c r="H9" s="50"/>
      <c r="I9" s="50"/>
      <c r="J9" s="50"/>
      <c r="K9" s="50"/>
      <c r="L9" s="50"/>
      <c r="M9" s="50"/>
    </row>
    <row r="10" spans="1:26" x14ac:dyDescent="0.25">
      <c r="A10" s="80" t="s">
        <v>7</v>
      </c>
      <c r="B10" s="80"/>
      <c r="D10" s="54">
        <f>P68</f>
        <v>0.05</v>
      </c>
      <c r="E10" s="54">
        <f>D10</f>
        <v>0.05</v>
      </c>
      <c r="F10" s="54">
        <f t="shared" ref="F10:M10" si="1">E10</f>
        <v>0.05</v>
      </c>
      <c r="G10" s="54">
        <f t="shared" si="1"/>
        <v>0.05</v>
      </c>
      <c r="H10" s="54">
        <f t="shared" si="1"/>
        <v>0.05</v>
      </c>
      <c r="I10" s="54">
        <f t="shared" si="1"/>
        <v>0.05</v>
      </c>
      <c r="J10" s="54">
        <f t="shared" si="1"/>
        <v>0.05</v>
      </c>
      <c r="K10" s="54">
        <f t="shared" si="1"/>
        <v>0.05</v>
      </c>
      <c r="L10" s="54">
        <f t="shared" si="1"/>
        <v>0.05</v>
      </c>
      <c r="M10" s="54">
        <f t="shared" si="1"/>
        <v>0.05</v>
      </c>
    </row>
    <row r="11" spans="1:26" x14ac:dyDescent="0.25">
      <c r="D11" s="50"/>
      <c r="E11" s="50"/>
      <c r="F11" s="50"/>
      <c r="G11" s="50"/>
      <c r="H11" s="50"/>
      <c r="I11" s="50"/>
      <c r="J11" s="50"/>
      <c r="K11" s="50"/>
      <c r="L11" s="50"/>
      <c r="M11" s="50"/>
    </row>
    <row r="12" spans="1:26" x14ac:dyDescent="0.25">
      <c r="A12" s="80" t="s">
        <v>8</v>
      </c>
      <c r="B12" s="80"/>
      <c r="D12" s="54">
        <f>P69</f>
        <v>0.08</v>
      </c>
      <c r="E12" s="54">
        <f>D12</f>
        <v>0.08</v>
      </c>
      <c r="F12" s="54">
        <f t="shared" ref="F12:M12" si="2">E12</f>
        <v>0.08</v>
      </c>
      <c r="G12" s="54">
        <f t="shared" si="2"/>
        <v>0.08</v>
      </c>
      <c r="H12" s="54">
        <f t="shared" si="2"/>
        <v>0.08</v>
      </c>
      <c r="I12" s="54">
        <f t="shared" si="2"/>
        <v>0.08</v>
      </c>
      <c r="J12" s="54">
        <f t="shared" si="2"/>
        <v>0.08</v>
      </c>
      <c r="K12" s="54">
        <f t="shared" si="2"/>
        <v>0.08</v>
      </c>
      <c r="L12" s="54">
        <f t="shared" si="2"/>
        <v>0.08</v>
      </c>
      <c r="M12" s="54">
        <f t="shared" si="2"/>
        <v>0.08</v>
      </c>
    </row>
    <row r="13" spans="1:26" x14ac:dyDescent="0.25">
      <c r="A13" s="80"/>
      <c r="B13" s="80"/>
      <c r="D13" s="50"/>
      <c r="E13" s="50"/>
      <c r="F13" s="50"/>
      <c r="G13" s="50"/>
      <c r="H13" s="82"/>
      <c r="I13" s="82"/>
      <c r="J13" s="82"/>
      <c r="K13" s="50"/>
      <c r="L13" s="50"/>
      <c r="M13" s="50"/>
    </row>
    <row r="14" spans="1:26" x14ac:dyDescent="0.25">
      <c r="A14" s="80" t="s">
        <v>9</v>
      </c>
      <c r="B14" s="80"/>
      <c r="D14" s="50"/>
      <c r="E14" s="54">
        <v>5.0000000000000001E-3</v>
      </c>
      <c r="F14" s="54">
        <f>E14*0.9</f>
        <v>4.5000000000000005E-3</v>
      </c>
      <c r="G14" s="54">
        <f t="shared" ref="G14:M14" si="3">F14*0.9</f>
        <v>4.0500000000000006E-3</v>
      </c>
      <c r="H14" s="54">
        <f t="shared" si="3"/>
        <v>3.6450000000000007E-3</v>
      </c>
      <c r="I14" s="54">
        <f t="shared" si="3"/>
        <v>3.2805000000000009E-3</v>
      </c>
      <c r="J14" s="54">
        <f t="shared" si="3"/>
        <v>2.952450000000001E-3</v>
      </c>
      <c r="K14" s="54">
        <f t="shared" si="3"/>
        <v>2.657205000000001E-3</v>
      </c>
      <c r="L14" s="54">
        <f t="shared" si="3"/>
        <v>2.3914845000000012E-3</v>
      </c>
      <c r="M14" s="54">
        <f t="shared" si="3"/>
        <v>2.152336050000001E-3</v>
      </c>
    </row>
    <row r="15" spans="1:26" x14ac:dyDescent="0.25">
      <c r="A15" s="80" t="s">
        <v>10</v>
      </c>
      <c r="B15" s="80"/>
      <c r="D15" s="50">
        <v>0.8</v>
      </c>
      <c r="E15" s="50">
        <v>0.8</v>
      </c>
      <c r="F15" s="50">
        <v>0.8</v>
      </c>
      <c r="G15" s="50">
        <v>0.8</v>
      </c>
      <c r="H15" s="50">
        <v>0.8</v>
      </c>
      <c r="I15" s="50">
        <v>0.8</v>
      </c>
      <c r="J15" s="50">
        <v>0.8</v>
      </c>
      <c r="K15" s="50">
        <v>0.8</v>
      </c>
      <c r="L15" s="50">
        <v>0.8</v>
      </c>
      <c r="M15" s="50">
        <v>0.8</v>
      </c>
    </row>
    <row r="16" spans="1:26" x14ac:dyDescent="0.25">
      <c r="A16" s="80" t="s">
        <v>11</v>
      </c>
      <c r="B16" s="80"/>
      <c r="D16" s="50">
        <v>0.15</v>
      </c>
      <c r="E16" s="50">
        <v>0.15</v>
      </c>
      <c r="F16" s="50">
        <v>0.15</v>
      </c>
      <c r="G16" s="50">
        <v>0.15</v>
      </c>
      <c r="H16" s="50">
        <v>0.15</v>
      </c>
      <c r="I16" s="50">
        <v>0.15</v>
      </c>
      <c r="J16" s="50">
        <v>0.15</v>
      </c>
      <c r="K16" s="50">
        <v>0.15</v>
      </c>
      <c r="L16" s="50">
        <v>0.15</v>
      </c>
      <c r="M16" s="50">
        <v>0.15</v>
      </c>
    </row>
    <row r="17" spans="1:13" x14ac:dyDescent="0.25">
      <c r="D17" s="50"/>
      <c r="E17" s="50"/>
      <c r="F17" s="50"/>
      <c r="G17" s="50"/>
      <c r="H17" s="50"/>
      <c r="I17" s="50"/>
      <c r="J17" s="50"/>
      <c r="K17" s="50"/>
      <c r="L17" s="50"/>
      <c r="M17" s="50"/>
    </row>
    <row r="18" spans="1:13" x14ac:dyDescent="0.25">
      <c r="A18" s="80" t="s">
        <v>12</v>
      </c>
      <c r="B18" s="80"/>
      <c r="D18" s="50">
        <v>0.22</v>
      </c>
      <c r="E18" s="50">
        <v>0.22</v>
      </c>
      <c r="F18" s="50">
        <v>0.22</v>
      </c>
      <c r="G18" s="53">
        <f t="shared" ref="G18:M18" si="4">F18*1.01</f>
        <v>0.22220000000000001</v>
      </c>
      <c r="H18" s="53">
        <f t="shared" si="4"/>
        <v>0.22442200000000001</v>
      </c>
      <c r="I18" s="53">
        <f t="shared" si="4"/>
        <v>0.22666622</v>
      </c>
      <c r="J18" s="53">
        <f t="shared" si="4"/>
        <v>0.22893288219999999</v>
      </c>
      <c r="K18" s="53">
        <f t="shared" si="4"/>
        <v>0.231222211022</v>
      </c>
      <c r="L18" s="53">
        <f t="shared" si="4"/>
        <v>0.23353443313222</v>
      </c>
      <c r="M18" s="53">
        <f t="shared" si="4"/>
        <v>0.23586977746354221</v>
      </c>
    </row>
    <row r="19" spans="1:13" x14ac:dyDescent="0.25">
      <c r="A19" s="80" t="s">
        <v>13</v>
      </c>
      <c r="B19" s="80"/>
      <c r="D19" s="50">
        <v>21.3</v>
      </c>
      <c r="E19" s="50">
        <v>21.3</v>
      </c>
      <c r="F19" s="50">
        <v>21.3</v>
      </c>
      <c r="G19" s="50">
        <f t="shared" ref="G19:M19" si="5">F19</f>
        <v>21.3</v>
      </c>
      <c r="H19" s="50">
        <f t="shared" si="5"/>
        <v>21.3</v>
      </c>
      <c r="I19" s="50">
        <f t="shared" si="5"/>
        <v>21.3</v>
      </c>
      <c r="J19" s="50">
        <f t="shared" si="5"/>
        <v>21.3</v>
      </c>
      <c r="K19" s="50">
        <f t="shared" si="5"/>
        <v>21.3</v>
      </c>
      <c r="L19" s="50">
        <f t="shared" si="5"/>
        <v>21.3</v>
      </c>
      <c r="M19" s="50">
        <f t="shared" si="5"/>
        <v>21.3</v>
      </c>
    </row>
    <row r="20" spans="1:13" x14ac:dyDescent="0.25">
      <c r="A20" s="14" t="s">
        <v>14</v>
      </c>
      <c r="D20" s="50">
        <v>15</v>
      </c>
      <c r="E20" s="50">
        <v>15</v>
      </c>
      <c r="F20" s="50">
        <v>15</v>
      </c>
      <c r="G20" s="50">
        <v>15</v>
      </c>
      <c r="H20" s="50">
        <v>15</v>
      </c>
      <c r="I20" s="50">
        <v>15</v>
      </c>
      <c r="J20" s="50">
        <v>15</v>
      </c>
      <c r="K20" s="50">
        <v>15</v>
      </c>
      <c r="L20" s="50">
        <v>15</v>
      </c>
      <c r="M20" s="50">
        <v>15</v>
      </c>
    </row>
    <row r="21" spans="1:13" x14ac:dyDescent="0.25">
      <c r="B21" s="14" t="s">
        <v>15</v>
      </c>
      <c r="D21" s="50"/>
      <c r="E21" s="50"/>
      <c r="F21" s="50"/>
      <c r="G21" s="50"/>
      <c r="H21" s="50"/>
      <c r="I21" s="50"/>
      <c r="J21" s="50"/>
      <c r="K21" s="50"/>
      <c r="L21" s="50"/>
      <c r="M21" s="50"/>
    </row>
    <row r="22" spans="1:13" x14ac:dyDescent="0.25">
      <c r="A22" s="14" t="s">
        <v>69</v>
      </c>
      <c r="D22" s="50">
        <v>3500</v>
      </c>
      <c r="E22" s="55">
        <f>D22*0.95</f>
        <v>3325</v>
      </c>
      <c r="F22" s="55">
        <f t="shared" ref="F22:M22" si="6">E22*0.95</f>
        <v>3158.75</v>
      </c>
      <c r="G22" s="55">
        <f t="shared" si="6"/>
        <v>3000.8125</v>
      </c>
      <c r="H22" s="55">
        <f t="shared" si="6"/>
        <v>2850.7718749999999</v>
      </c>
      <c r="I22" s="55">
        <f t="shared" si="6"/>
        <v>2708.2332812499999</v>
      </c>
      <c r="J22" s="55">
        <f t="shared" si="6"/>
        <v>2572.8216171874997</v>
      </c>
      <c r="K22" s="55">
        <f t="shared" si="6"/>
        <v>2444.1805363281246</v>
      </c>
      <c r="L22" s="55">
        <f t="shared" si="6"/>
        <v>2321.9715095117181</v>
      </c>
      <c r="M22" s="55">
        <f t="shared" si="6"/>
        <v>2205.8729340361319</v>
      </c>
    </row>
    <row r="23" spans="1:13" x14ac:dyDescent="0.25">
      <c r="A23" s="14" t="s">
        <v>70</v>
      </c>
      <c r="D23" s="50">
        <v>150</v>
      </c>
      <c r="E23" s="55">
        <f>D23*0.95</f>
        <v>142.5</v>
      </c>
      <c r="F23" s="55">
        <f t="shared" ref="F23:M23" si="7">E23*0.95</f>
        <v>135.375</v>
      </c>
      <c r="G23" s="55">
        <f t="shared" si="7"/>
        <v>128.60624999999999</v>
      </c>
      <c r="H23" s="55">
        <f t="shared" si="7"/>
        <v>122.17593749999999</v>
      </c>
      <c r="I23" s="55">
        <f t="shared" si="7"/>
        <v>116.06714062499998</v>
      </c>
      <c r="J23" s="55">
        <f t="shared" si="7"/>
        <v>110.26378359374998</v>
      </c>
      <c r="K23" s="55">
        <f t="shared" si="7"/>
        <v>104.75059441406248</v>
      </c>
      <c r="L23" s="55">
        <f t="shared" si="7"/>
        <v>99.513064693359354</v>
      </c>
      <c r="M23" s="55">
        <f t="shared" si="7"/>
        <v>94.537411458691381</v>
      </c>
    </row>
    <row r="24" spans="1:13" x14ac:dyDescent="0.25">
      <c r="A24" s="14" t="s">
        <v>71</v>
      </c>
      <c r="C24" s="56"/>
      <c r="D24" s="57">
        <v>0.75</v>
      </c>
      <c r="E24" s="57">
        <f>D24*0.95</f>
        <v>0.71249999999999991</v>
      </c>
      <c r="F24" s="57">
        <f t="shared" ref="F24:M24" si="8">E24*0.95</f>
        <v>0.67687499999999989</v>
      </c>
      <c r="G24" s="57">
        <f t="shared" si="8"/>
        <v>0.64303124999999983</v>
      </c>
      <c r="H24" s="57">
        <f t="shared" si="8"/>
        <v>0.61087968749999977</v>
      </c>
      <c r="I24" s="57">
        <f t="shared" si="8"/>
        <v>0.58033570312499971</v>
      </c>
      <c r="J24" s="57">
        <f t="shared" si="8"/>
        <v>0.55131891796874966</v>
      </c>
      <c r="K24" s="57">
        <f t="shared" si="8"/>
        <v>0.52375297207031213</v>
      </c>
      <c r="L24" s="57">
        <f t="shared" si="8"/>
        <v>0.49756532346679649</v>
      </c>
      <c r="M24" s="57">
        <f t="shared" si="8"/>
        <v>0.47268705729345667</v>
      </c>
    </row>
    <row r="25" spans="1:13" x14ac:dyDescent="0.25">
      <c r="A25" s="14" t="s">
        <v>73</v>
      </c>
      <c r="C25" s="56"/>
      <c r="D25" s="57">
        <v>0.3</v>
      </c>
      <c r="E25" s="57">
        <v>0.3</v>
      </c>
      <c r="F25" s="57">
        <v>0.3</v>
      </c>
      <c r="G25" s="57">
        <v>0.3</v>
      </c>
      <c r="H25" s="57">
        <v>0.3</v>
      </c>
      <c r="I25" s="57">
        <v>0.3</v>
      </c>
      <c r="J25" s="57">
        <v>0.3</v>
      </c>
      <c r="K25" s="57">
        <v>0.3</v>
      </c>
      <c r="L25" s="57">
        <v>0.3</v>
      </c>
      <c r="M25" s="57">
        <v>0.3</v>
      </c>
    </row>
    <row r="26" spans="1:13" x14ac:dyDescent="0.25">
      <c r="A26" s="14" t="s">
        <v>72</v>
      </c>
      <c r="C26" s="56"/>
      <c r="D26" s="57">
        <v>0.05</v>
      </c>
      <c r="E26" s="57">
        <v>0.05</v>
      </c>
      <c r="F26" s="57">
        <v>0.05</v>
      </c>
      <c r="G26" s="57">
        <v>0.05</v>
      </c>
      <c r="H26" s="57">
        <v>0.05</v>
      </c>
      <c r="I26" s="57">
        <v>0.05</v>
      </c>
      <c r="J26" s="57">
        <v>0.05</v>
      </c>
      <c r="K26" s="57">
        <v>0.05</v>
      </c>
      <c r="L26" s="57">
        <v>0.05</v>
      </c>
      <c r="M26" s="57">
        <v>0.05</v>
      </c>
    </row>
    <row r="27" spans="1:13" x14ac:dyDescent="0.25">
      <c r="D27" s="50"/>
      <c r="E27" s="50"/>
      <c r="F27" s="50"/>
      <c r="G27" s="50"/>
      <c r="H27" s="50"/>
      <c r="I27" s="50"/>
      <c r="J27" s="50"/>
      <c r="K27" s="50"/>
      <c r="L27" s="50"/>
      <c r="M27" s="50"/>
    </row>
    <row r="28" spans="1:13" x14ac:dyDescent="0.25">
      <c r="A28" s="80" t="s">
        <v>16</v>
      </c>
      <c r="B28" s="80"/>
      <c r="D28" s="50"/>
      <c r="E28" s="50"/>
      <c r="F28" s="50"/>
      <c r="G28" s="50"/>
      <c r="H28" s="50"/>
      <c r="I28" s="50"/>
      <c r="J28" s="50"/>
      <c r="K28" s="50"/>
      <c r="L28" s="50"/>
      <c r="M28" s="50"/>
    </row>
    <row r="29" spans="1:13" x14ac:dyDescent="0.25">
      <c r="A29" s="80" t="s">
        <v>17</v>
      </c>
      <c r="B29" s="80"/>
      <c r="C29" s="58"/>
      <c r="D29" s="59">
        <f>D71/D53</f>
        <v>5.7300272677614785</v>
      </c>
      <c r="E29" s="59">
        <f>E71/E53</f>
        <v>6.3139265034821461</v>
      </c>
      <c r="F29" s="59">
        <f t="shared" ref="F29:M29" si="9">F71/F53</f>
        <v>6.8917817650936355</v>
      </c>
      <c r="G29" s="59">
        <f t="shared" si="9"/>
        <v>7.4815989905665745</v>
      </c>
      <c r="H29" s="59">
        <f t="shared" si="9"/>
        <v>10.167508001218156</v>
      </c>
      <c r="I29" s="59">
        <f t="shared" si="9"/>
        <v>13.673696437086891</v>
      </c>
      <c r="J29" s="59">
        <f t="shared" si="9"/>
        <v>18.330101520290512</v>
      </c>
      <c r="K29" s="59">
        <f t="shared" si="9"/>
        <v>24.767206049134973</v>
      </c>
      <c r="L29" s="59">
        <f t="shared" si="9"/>
        <v>34.183840838834044</v>
      </c>
      <c r="M29" s="59">
        <f t="shared" si="9"/>
        <v>49.176417731107719</v>
      </c>
    </row>
    <row r="30" spans="1:13" x14ac:dyDescent="0.25">
      <c r="A30" s="80" t="s">
        <v>18</v>
      </c>
      <c r="B30" s="80"/>
      <c r="C30" s="58"/>
      <c r="D30" s="59">
        <f>D53/D39</f>
        <v>9.5792770039148021</v>
      </c>
      <c r="E30" s="59">
        <f t="shared" ref="E30:M30" si="10">E53/E39</f>
        <v>9.7079825857329869</v>
      </c>
      <c r="F30" s="59">
        <f t="shared" si="10"/>
        <v>9.9068563863286148</v>
      </c>
      <c r="G30" s="59">
        <f t="shared" si="10"/>
        <v>10.153173061087733</v>
      </c>
      <c r="H30" s="59">
        <f t="shared" si="10"/>
        <v>9.6134516484865777</v>
      </c>
      <c r="I30" s="59">
        <f t="shared" si="10"/>
        <v>8.9765221599905551</v>
      </c>
      <c r="J30" s="59">
        <f t="shared" si="10"/>
        <v>8.2438838779440697</v>
      </c>
      <c r="K30" s="59">
        <f t="shared" si="10"/>
        <v>7.4005063674320066</v>
      </c>
      <c r="L30" s="59">
        <f t="shared" si="10"/>
        <v>6.4290250707632284</v>
      </c>
      <c r="M30" s="59">
        <f t="shared" si="10"/>
        <v>5.3093863929395306</v>
      </c>
    </row>
    <row r="31" spans="1:13" x14ac:dyDescent="0.25">
      <c r="A31" s="80" t="s">
        <v>19</v>
      </c>
      <c r="B31" s="80"/>
      <c r="C31" s="58"/>
      <c r="D31" s="59">
        <v>1.5</v>
      </c>
      <c r="E31" s="59">
        <f t="shared" ref="E31:M31" si="11">D31*1.01</f>
        <v>1.5150000000000001</v>
      </c>
      <c r="F31" s="59">
        <f t="shared" si="11"/>
        <v>1.5301500000000001</v>
      </c>
      <c r="G31" s="59">
        <f t="shared" si="11"/>
        <v>1.5454515000000002</v>
      </c>
      <c r="H31" s="59">
        <f t="shared" si="11"/>
        <v>1.5609060150000003</v>
      </c>
      <c r="I31" s="59">
        <f t="shared" si="11"/>
        <v>1.5765150751500003</v>
      </c>
      <c r="J31" s="59">
        <f t="shared" si="11"/>
        <v>1.5922802259015003</v>
      </c>
      <c r="K31" s="59">
        <f t="shared" si="11"/>
        <v>1.6082030281605153</v>
      </c>
      <c r="L31" s="59">
        <f t="shared" si="11"/>
        <v>1.6242850584421205</v>
      </c>
      <c r="M31" s="59">
        <f t="shared" si="11"/>
        <v>1.6405279090265417</v>
      </c>
    </row>
    <row r="32" spans="1:13" x14ac:dyDescent="0.25">
      <c r="A32" s="80" t="s">
        <v>20</v>
      </c>
      <c r="B32" s="80"/>
      <c r="C32" s="58"/>
      <c r="D32" s="59">
        <f>D62/D75</f>
        <v>7.0376050966894907E-2</v>
      </c>
      <c r="E32" s="59">
        <f t="shared" ref="E32:M32" si="12">D32*1.02</f>
        <v>7.1783571986232808E-2</v>
      </c>
      <c r="F32" s="59">
        <f t="shared" si="12"/>
        <v>7.3219243425957467E-2</v>
      </c>
      <c r="G32" s="59">
        <f t="shared" si="12"/>
        <v>7.4683628294476612E-2</v>
      </c>
      <c r="H32" s="59">
        <f t="shared" si="12"/>
        <v>7.6177300860366143E-2</v>
      </c>
      <c r="I32" s="59">
        <f t="shared" si="12"/>
        <v>7.7700846877573462E-2</v>
      </c>
      <c r="J32" s="59">
        <f t="shared" si="12"/>
        <v>7.9254863815124935E-2</v>
      </c>
      <c r="K32" s="59">
        <f t="shared" si="12"/>
        <v>8.0839961091427437E-2</v>
      </c>
      <c r="L32" s="59">
        <f t="shared" si="12"/>
        <v>8.2456760313255981E-2</v>
      </c>
      <c r="M32" s="59">
        <f t="shared" si="12"/>
        <v>8.4105895519521107E-2</v>
      </c>
    </row>
    <row r="33" spans="1:13" x14ac:dyDescent="0.25">
      <c r="A33" s="80" t="s">
        <v>21</v>
      </c>
      <c r="B33" s="80"/>
      <c r="C33" s="58"/>
      <c r="D33" s="59">
        <f t="shared" ref="D33:M33" si="13">(D77-D58)/D83</f>
        <v>0.2874602861985347</v>
      </c>
      <c r="E33" s="59">
        <f t="shared" si="13"/>
        <v>0.1975151364423402</v>
      </c>
      <c r="F33" s="59">
        <f t="shared" si="13"/>
        <v>0.15473458369902376</v>
      </c>
      <c r="G33" s="59">
        <f t="shared" si="13"/>
        <v>0.12892690641114121</v>
      </c>
      <c r="H33" s="59">
        <f t="shared" si="13"/>
        <v>0.11259001961077432</v>
      </c>
      <c r="I33" s="59">
        <f t="shared" si="13"/>
        <v>0.1013700868631192</v>
      </c>
      <c r="J33" s="59">
        <f t="shared" si="13"/>
        <v>9.3199807635668541E-2</v>
      </c>
      <c r="K33" s="59">
        <f t="shared" si="13"/>
        <v>8.6975308456553616E-2</v>
      </c>
      <c r="L33" s="59">
        <f t="shared" si="13"/>
        <v>8.2050597606315515E-2</v>
      </c>
      <c r="M33" s="59">
        <f t="shared" si="13"/>
        <v>7.8019779298237293E-2</v>
      </c>
    </row>
    <row r="34" spans="1:13" x14ac:dyDescent="0.25"/>
    <row r="35" spans="1:13" x14ac:dyDescent="0.25">
      <c r="A35" s="80" t="s">
        <v>22</v>
      </c>
      <c r="B35" s="80"/>
    </row>
    <row r="36" spans="1:13" x14ac:dyDescent="0.25"/>
    <row r="37" spans="1:13" x14ac:dyDescent="0.25">
      <c r="A37" s="80" t="s">
        <v>24</v>
      </c>
      <c r="B37" s="80"/>
      <c r="C37" s="60"/>
      <c r="D37" s="61">
        <f t="shared" ref="D37:M37" si="14">D22*D23*D24</f>
        <v>393750</v>
      </c>
      <c r="E37" s="61">
        <f t="shared" si="14"/>
        <v>337591.40624999994</v>
      </c>
      <c r="F37" s="61">
        <f t="shared" si="14"/>
        <v>289442.4319335937</v>
      </c>
      <c r="G37" s="61">
        <f t="shared" si="14"/>
        <v>248160.70507906485</v>
      </c>
      <c r="H37" s="61">
        <f t="shared" si="14"/>
        <v>212766.78451716318</v>
      </c>
      <c r="I37" s="61">
        <f t="shared" si="14"/>
        <v>182420.92187540277</v>
      </c>
      <c r="J37" s="61">
        <f t="shared" si="14"/>
        <v>156403.13789292341</v>
      </c>
      <c r="K37" s="61">
        <f t="shared" si="14"/>
        <v>134096.14035094518</v>
      </c>
      <c r="L37" s="61">
        <f t="shared" si="14"/>
        <v>114970.67833339161</v>
      </c>
      <c r="M37" s="61">
        <f t="shared" si="14"/>
        <v>98572.985336091617</v>
      </c>
    </row>
    <row r="38" spans="1:13" x14ac:dyDescent="0.25">
      <c r="A38" s="14" t="s">
        <v>23</v>
      </c>
      <c r="C38" s="60"/>
      <c r="D38" s="61">
        <f>D37*D25</f>
        <v>118125</v>
      </c>
      <c r="E38" s="61">
        <f t="shared" ref="E38:M38" si="15">E37*E25</f>
        <v>101277.42187499999</v>
      </c>
      <c r="F38" s="61">
        <f t="shared" si="15"/>
        <v>86832.729580078114</v>
      </c>
      <c r="G38" s="61">
        <f t="shared" si="15"/>
        <v>74448.211523719452</v>
      </c>
      <c r="H38" s="61">
        <f t="shared" si="15"/>
        <v>63830.035355148953</v>
      </c>
      <c r="I38" s="61">
        <f t="shared" si="15"/>
        <v>54726.276562620827</v>
      </c>
      <c r="J38" s="61">
        <f t="shared" si="15"/>
        <v>46920.941367877022</v>
      </c>
      <c r="K38" s="61">
        <f t="shared" si="15"/>
        <v>40228.842105283555</v>
      </c>
      <c r="L38" s="61">
        <f t="shared" si="15"/>
        <v>34491.20350001748</v>
      </c>
      <c r="M38" s="61">
        <f t="shared" si="15"/>
        <v>29571.895600827484</v>
      </c>
    </row>
    <row r="39" spans="1:13" x14ac:dyDescent="0.25">
      <c r="A39" s="80" t="s">
        <v>25</v>
      </c>
      <c r="B39" s="80"/>
      <c r="C39" s="60"/>
      <c r="D39" s="61">
        <f>D37*D26</f>
        <v>19687.5</v>
      </c>
      <c r="E39" s="61">
        <f t="shared" ref="E39:M39" si="16">E37*E26</f>
        <v>16879.570312499996</v>
      </c>
      <c r="F39" s="61">
        <f t="shared" si="16"/>
        <v>14472.121596679686</v>
      </c>
      <c r="G39" s="61">
        <f t="shared" si="16"/>
        <v>12408.035253953243</v>
      </c>
      <c r="H39" s="61">
        <f t="shared" si="16"/>
        <v>10638.339225858159</v>
      </c>
      <c r="I39" s="61">
        <f t="shared" si="16"/>
        <v>9121.0460937701391</v>
      </c>
      <c r="J39" s="61">
        <f t="shared" si="16"/>
        <v>7820.1568946461703</v>
      </c>
      <c r="K39" s="61">
        <f t="shared" si="16"/>
        <v>6704.8070175472594</v>
      </c>
      <c r="L39" s="61">
        <f t="shared" si="16"/>
        <v>5748.5339166695812</v>
      </c>
      <c r="M39" s="61">
        <f t="shared" si="16"/>
        <v>4928.6492668045812</v>
      </c>
    </row>
    <row r="40" spans="1:13" x14ac:dyDescent="0.25">
      <c r="A40" s="14" t="s">
        <v>26</v>
      </c>
      <c r="C40" s="60"/>
      <c r="D40" s="61">
        <f t="shared" ref="D40:M40" si="17">D39*D15</f>
        <v>15750</v>
      </c>
      <c r="E40" s="61">
        <f t="shared" si="17"/>
        <v>13503.656249999998</v>
      </c>
      <c r="F40" s="61">
        <f t="shared" si="17"/>
        <v>11577.69727734375</v>
      </c>
      <c r="G40" s="61">
        <f t="shared" si="17"/>
        <v>9926.4282031625953</v>
      </c>
      <c r="H40" s="61">
        <f t="shared" si="17"/>
        <v>8510.6713806865282</v>
      </c>
      <c r="I40" s="61">
        <f t="shared" si="17"/>
        <v>7296.8368750161117</v>
      </c>
      <c r="J40" s="61">
        <f t="shared" si="17"/>
        <v>6256.1255157169362</v>
      </c>
      <c r="K40" s="61">
        <f t="shared" si="17"/>
        <v>5363.8456140378075</v>
      </c>
      <c r="L40" s="61">
        <f t="shared" si="17"/>
        <v>4598.8271333356652</v>
      </c>
      <c r="M40" s="61">
        <f t="shared" si="17"/>
        <v>3942.9194134436652</v>
      </c>
    </row>
    <row r="41" spans="1:13" x14ac:dyDescent="0.25">
      <c r="C41" s="60"/>
      <c r="D41" s="61"/>
      <c r="E41" s="61"/>
      <c r="F41" s="61"/>
      <c r="G41" s="61"/>
      <c r="H41" s="61"/>
      <c r="I41" s="61"/>
      <c r="J41" s="61"/>
      <c r="K41" s="61"/>
      <c r="L41" s="61"/>
      <c r="M41" s="61"/>
    </row>
    <row r="42" spans="1:13" x14ac:dyDescent="0.25">
      <c r="A42" s="80" t="s">
        <v>27</v>
      </c>
      <c r="B42" s="80"/>
      <c r="C42" s="60"/>
      <c r="D42" s="61">
        <f>SUM(D37:D39)-D40</f>
        <v>515812.5</v>
      </c>
      <c r="E42" s="61">
        <f t="shared" ref="E42:M42" si="18">SUM(E37:E39)-E40</f>
        <v>442244.74218749994</v>
      </c>
      <c r="F42" s="61">
        <f t="shared" si="18"/>
        <v>379169.5858330077</v>
      </c>
      <c r="G42" s="61">
        <f t="shared" si="18"/>
        <v>325090.52365357493</v>
      </c>
      <c r="H42" s="61">
        <f t="shared" si="18"/>
        <v>278724.48771748377</v>
      </c>
      <c r="I42" s="61">
        <f t="shared" si="18"/>
        <v>238971.40765677762</v>
      </c>
      <c r="J42" s="61">
        <f t="shared" si="18"/>
        <v>204888.11063972968</v>
      </c>
      <c r="K42" s="61">
        <f t="shared" si="18"/>
        <v>175665.94385973818</v>
      </c>
      <c r="L42" s="61">
        <f t="shared" si="18"/>
        <v>150611.58861674299</v>
      </c>
      <c r="M42" s="61">
        <f t="shared" si="18"/>
        <v>129130.61079028</v>
      </c>
    </row>
    <row r="43" spans="1:13" x14ac:dyDescent="0.25">
      <c r="C43" s="60"/>
      <c r="D43" s="61"/>
      <c r="E43" s="61"/>
      <c r="F43" s="61"/>
      <c r="G43" s="61"/>
      <c r="H43" s="61"/>
      <c r="I43" s="61"/>
      <c r="J43" s="61"/>
      <c r="K43" s="61"/>
      <c r="L43" s="61"/>
      <c r="M43" s="61"/>
    </row>
    <row r="44" spans="1:13" x14ac:dyDescent="0.25">
      <c r="A44" s="80" t="s">
        <v>28</v>
      </c>
      <c r="B44" s="80"/>
      <c r="C44" s="62"/>
      <c r="D44" s="63">
        <f>'Mortgage Schedule'!D14</f>
        <v>5719.9112901868994</v>
      </c>
      <c r="E44" s="63">
        <f>'Mortgage Schedule'!D28</f>
        <v>5632.9781051315513</v>
      </c>
      <c r="F44" s="63">
        <f>'Mortgage Schedule'!D42</f>
        <v>5541.5972533398653</v>
      </c>
      <c r="G44" s="63">
        <f>'Mortgage Schedule'!D56</f>
        <v>5445.541183740469</v>
      </c>
      <c r="H44" s="63">
        <f>'Mortgage Schedule'!D70</f>
        <v>5344.5707033173067</v>
      </c>
      <c r="I44" s="63">
        <f>'Mortgage Schedule'!D84</f>
        <v>5238.4343814856657</v>
      </c>
      <c r="J44" s="63">
        <f>'Mortgage Schedule'!D98</f>
        <v>5126.8679239949297</v>
      </c>
      <c r="K44" s="63">
        <f>'Mortgage Schedule'!D112</f>
        <v>5009.5935147990285</v>
      </c>
      <c r="L44" s="63">
        <f>'Mortgage Schedule'!D126</f>
        <v>4886.3191242557032</v>
      </c>
      <c r="M44" s="63">
        <f>'Mortgage Schedule'!D140</f>
        <v>4756.7377819319709</v>
      </c>
    </row>
    <row r="45" spans="1:13" x14ac:dyDescent="0.25">
      <c r="A45" s="14" t="s">
        <v>120</v>
      </c>
      <c r="C45" s="62"/>
      <c r="D45" s="63">
        <f t="shared" ref="D45:M45" si="19">D78*D12</f>
        <v>45350.030258483042</v>
      </c>
      <c r="E45" s="63">
        <f t="shared" si="19"/>
        <v>28839.856621316831</v>
      </c>
      <c r="F45" s="63">
        <f t="shared" si="19"/>
        <v>13796.638002813259</v>
      </c>
      <c r="G45" s="63">
        <f t="shared" si="19"/>
        <v>231.38988295382771</v>
      </c>
      <c r="H45" s="63">
        <f t="shared" si="19"/>
        <v>0</v>
      </c>
      <c r="I45" s="63">
        <f t="shared" si="19"/>
        <v>0</v>
      </c>
      <c r="J45" s="63">
        <f t="shared" si="19"/>
        <v>0</v>
      </c>
      <c r="K45" s="63">
        <f t="shared" si="19"/>
        <v>0</v>
      </c>
      <c r="L45" s="63">
        <f t="shared" si="19"/>
        <v>0</v>
      </c>
      <c r="M45" s="63">
        <f t="shared" si="19"/>
        <v>0</v>
      </c>
    </row>
    <row r="46" spans="1:13" x14ac:dyDescent="0.25">
      <c r="A46" s="14" t="s">
        <v>68</v>
      </c>
      <c r="C46" s="60"/>
      <c r="D46" s="61">
        <f t="shared" ref="D46:M46" si="20">D65/D19</f>
        <v>21437.089201877934</v>
      </c>
      <c r="E46" s="61">
        <f t="shared" si="20"/>
        <v>21437.089201877934</v>
      </c>
      <c r="F46" s="61">
        <f t="shared" si="20"/>
        <v>21437.089201877934</v>
      </c>
      <c r="G46" s="61">
        <f t="shared" si="20"/>
        <v>21437.089201877934</v>
      </c>
      <c r="H46" s="61">
        <f t="shared" si="20"/>
        <v>21437.089201877934</v>
      </c>
      <c r="I46" s="61">
        <f t="shared" si="20"/>
        <v>21437.089201877934</v>
      </c>
      <c r="J46" s="61">
        <f t="shared" si="20"/>
        <v>21437.089201877934</v>
      </c>
      <c r="K46" s="61">
        <f t="shared" si="20"/>
        <v>21437.089201877934</v>
      </c>
      <c r="L46" s="61">
        <f t="shared" si="20"/>
        <v>21437.089201877934</v>
      </c>
      <c r="M46" s="61">
        <f t="shared" si="20"/>
        <v>21437.089201877934</v>
      </c>
    </row>
    <row r="47" spans="1:13" x14ac:dyDescent="0.25">
      <c r="A47" s="14" t="s">
        <v>67</v>
      </c>
      <c r="C47" s="64"/>
      <c r="D47" s="65">
        <f t="shared" ref="D47:M47" si="21">D67/D20</f>
        <v>24333.333333333332</v>
      </c>
      <c r="E47" s="61">
        <f t="shared" si="21"/>
        <v>24333.333333333332</v>
      </c>
      <c r="F47" s="61">
        <f t="shared" si="21"/>
        <v>24333.333333333332</v>
      </c>
      <c r="G47" s="61">
        <f t="shared" si="21"/>
        <v>24333.333333333332</v>
      </c>
      <c r="H47" s="61">
        <f t="shared" si="21"/>
        <v>24333.333333333332</v>
      </c>
      <c r="I47" s="61">
        <f t="shared" si="21"/>
        <v>24333.333333333332</v>
      </c>
      <c r="J47" s="61">
        <f t="shared" si="21"/>
        <v>24333.333333333332</v>
      </c>
      <c r="K47" s="61">
        <f t="shared" si="21"/>
        <v>24333.333333333332</v>
      </c>
      <c r="L47" s="61">
        <f t="shared" si="21"/>
        <v>24333.333333333332</v>
      </c>
      <c r="M47" s="61">
        <f t="shared" si="21"/>
        <v>24333.333333333332</v>
      </c>
    </row>
    <row r="48" spans="1:13" x14ac:dyDescent="0.25">
      <c r="A48" s="14" t="s">
        <v>29</v>
      </c>
      <c r="C48" s="60"/>
      <c r="D48" s="65">
        <f>D37*D16</f>
        <v>59062.5</v>
      </c>
      <c r="E48" s="61">
        <f t="shared" ref="E48:M48" si="22">E37*E16</f>
        <v>50638.710937499993</v>
      </c>
      <c r="F48" s="61">
        <f t="shared" si="22"/>
        <v>43416.364790039057</v>
      </c>
      <c r="G48" s="61">
        <f t="shared" si="22"/>
        <v>37224.105761859726</v>
      </c>
      <c r="H48" s="61">
        <f t="shared" si="22"/>
        <v>31915.017677574477</v>
      </c>
      <c r="I48" s="61">
        <f t="shared" si="22"/>
        <v>27363.138281310414</v>
      </c>
      <c r="J48" s="61">
        <f t="shared" si="22"/>
        <v>23460.470683938511</v>
      </c>
      <c r="K48" s="61">
        <f t="shared" si="22"/>
        <v>20114.421052641777</v>
      </c>
      <c r="L48" s="61">
        <f t="shared" si="22"/>
        <v>17245.60175000874</v>
      </c>
      <c r="M48" s="61">
        <f t="shared" si="22"/>
        <v>14785.947800413742</v>
      </c>
    </row>
    <row r="49" spans="1:29" x14ac:dyDescent="0.25">
      <c r="A49" s="14" t="s">
        <v>30</v>
      </c>
      <c r="C49" s="60"/>
      <c r="D49" s="61">
        <f t="shared" ref="D49:M49" si="23">D48*2</f>
        <v>118125</v>
      </c>
      <c r="E49" s="61">
        <f t="shared" si="23"/>
        <v>101277.42187499999</v>
      </c>
      <c r="F49" s="61">
        <f t="shared" si="23"/>
        <v>86832.729580078114</v>
      </c>
      <c r="G49" s="61">
        <f t="shared" si="23"/>
        <v>74448.211523719452</v>
      </c>
      <c r="H49" s="61">
        <f t="shared" si="23"/>
        <v>63830.035355148953</v>
      </c>
      <c r="I49" s="61">
        <f t="shared" si="23"/>
        <v>54726.276562620827</v>
      </c>
      <c r="J49" s="61">
        <f t="shared" si="23"/>
        <v>46920.941367877022</v>
      </c>
      <c r="K49" s="61">
        <f t="shared" si="23"/>
        <v>40228.842105283555</v>
      </c>
      <c r="L49" s="61">
        <f t="shared" si="23"/>
        <v>34491.20350001748</v>
      </c>
      <c r="M49" s="61">
        <f t="shared" si="23"/>
        <v>29571.895600827484</v>
      </c>
    </row>
    <row r="50" spans="1:29" x14ac:dyDescent="0.25">
      <c r="A50" s="80" t="s">
        <v>31</v>
      </c>
      <c r="B50" s="80"/>
      <c r="C50" s="60"/>
      <c r="D50" s="61">
        <f t="shared" ref="D50:M50" si="24">D42- SUM(D44:D49)</f>
        <v>241784.6359161188</v>
      </c>
      <c r="E50" s="61">
        <f t="shared" si="24"/>
        <v>210085.35211334034</v>
      </c>
      <c r="F50" s="61">
        <f t="shared" si="24"/>
        <v>183811.83367152617</v>
      </c>
      <c r="G50" s="61">
        <f t="shared" si="24"/>
        <v>161970.85276609019</v>
      </c>
      <c r="H50" s="61">
        <f t="shared" si="24"/>
        <v>131864.44144623177</v>
      </c>
      <c r="I50" s="61">
        <f t="shared" si="24"/>
        <v>105873.13589614944</v>
      </c>
      <c r="J50" s="61">
        <f t="shared" si="24"/>
        <v>83609.408128707946</v>
      </c>
      <c r="K50" s="61">
        <f t="shared" si="24"/>
        <v>64542.664651802566</v>
      </c>
      <c r="L50" s="61">
        <f t="shared" si="24"/>
        <v>48218.041707249795</v>
      </c>
      <c r="M50" s="61">
        <f t="shared" si="24"/>
        <v>34245.607071895545</v>
      </c>
    </row>
    <row r="51" spans="1:29" x14ac:dyDescent="0.25">
      <c r="C51" s="60"/>
      <c r="D51" s="61"/>
      <c r="E51" s="61"/>
      <c r="F51" s="61"/>
      <c r="G51" s="61"/>
      <c r="H51" s="61"/>
      <c r="I51" s="61"/>
      <c r="J51" s="61"/>
      <c r="K51" s="61"/>
      <c r="L51" s="61"/>
      <c r="M51" s="61"/>
    </row>
    <row r="52" spans="1:29" x14ac:dyDescent="0.25">
      <c r="A52" s="80" t="s">
        <v>32</v>
      </c>
      <c r="B52" s="80"/>
      <c r="C52" s="60"/>
      <c r="D52" s="61">
        <f t="shared" ref="D52:M52" si="25">D50*D18</f>
        <v>53192.619901546139</v>
      </c>
      <c r="E52" s="61">
        <f t="shared" si="25"/>
        <v>46218.777464934872</v>
      </c>
      <c r="F52" s="61">
        <f t="shared" si="25"/>
        <v>40438.603407735754</v>
      </c>
      <c r="G52" s="61">
        <f t="shared" si="25"/>
        <v>35989.923484625244</v>
      </c>
      <c r="H52" s="61">
        <f t="shared" si="25"/>
        <v>29593.281678246225</v>
      </c>
      <c r="I52" s="61">
        <f t="shared" si="25"/>
        <v>23997.863513126507</v>
      </c>
      <c r="J52" s="61">
        <f t="shared" si="25"/>
        <v>19140.942781941219</v>
      </c>
      <c r="K52" s="61">
        <f t="shared" si="25"/>
        <v>14923.697626041272</v>
      </c>
      <c r="L52" s="61">
        <f t="shared" si="25"/>
        <v>11260.573036848322</v>
      </c>
      <c r="M52" s="61">
        <f t="shared" si="25"/>
        <v>8077.5037191519095</v>
      </c>
    </row>
    <row r="53" spans="1:29" x14ac:dyDescent="0.25">
      <c r="A53" s="80" t="s">
        <v>33</v>
      </c>
      <c r="B53" s="80"/>
      <c r="C53" s="60"/>
      <c r="D53" s="61">
        <f t="shared" ref="D53:M53" si="26">D50-D52</f>
        <v>188592.01601457267</v>
      </c>
      <c r="E53" s="61">
        <f t="shared" si="26"/>
        <v>163866.57464840548</v>
      </c>
      <c r="F53" s="61">
        <f t="shared" si="26"/>
        <v>143373.23026379041</v>
      </c>
      <c r="G53" s="61">
        <f t="shared" si="26"/>
        <v>125980.92928146495</v>
      </c>
      <c r="H53" s="61">
        <f t="shared" si="26"/>
        <v>102271.15976798555</v>
      </c>
      <c r="I53" s="61">
        <f t="shared" si="26"/>
        <v>81875.272383022937</v>
      </c>
      <c r="J53" s="61">
        <f t="shared" si="26"/>
        <v>64468.465346766723</v>
      </c>
      <c r="K53" s="61">
        <f t="shared" si="26"/>
        <v>49618.967025761296</v>
      </c>
      <c r="L53" s="61">
        <f t="shared" si="26"/>
        <v>36957.468670401475</v>
      </c>
      <c r="M53" s="61">
        <f t="shared" si="26"/>
        <v>26168.103352743638</v>
      </c>
    </row>
    <row r="54" spans="1:29" x14ac:dyDescent="0.25">
      <c r="C54" s="60"/>
      <c r="D54" s="66"/>
      <c r="E54" s="66"/>
      <c r="F54" s="66"/>
      <c r="G54" s="66"/>
      <c r="H54" s="66"/>
      <c r="I54" s="66"/>
      <c r="J54" s="66"/>
      <c r="K54" s="66"/>
      <c r="L54" s="66"/>
      <c r="M54" s="66"/>
    </row>
    <row r="55" spans="1:29" x14ac:dyDescent="0.25">
      <c r="C55" s="60"/>
      <c r="D55" s="66"/>
      <c r="E55" s="66"/>
      <c r="F55" s="66"/>
      <c r="G55" s="66"/>
      <c r="H55" s="66"/>
      <c r="I55" s="66"/>
      <c r="J55" s="66"/>
      <c r="K55" s="66"/>
      <c r="L55" s="66"/>
      <c r="M55" s="66"/>
    </row>
    <row r="56" spans="1:29" x14ac:dyDescent="0.25">
      <c r="A56" s="80" t="s">
        <v>34</v>
      </c>
      <c r="B56" s="80"/>
      <c r="C56" s="60"/>
      <c r="D56" s="66"/>
      <c r="E56" s="66"/>
      <c r="F56" s="66"/>
      <c r="G56" s="66"/>
      <c r="H56" s="66"/>
      <c r="I56" s="66"/>
      <c r="J56" s="66"/>
      <c r="K56" s="66"/>
      <c r="L56" s="66"/>
      <c r="M56" s="66"/>
    </row>
    <row r="57" spans="1:29" x14ac:dyDescent="0.25">
      <c r="C57" s="60"/>
      <c r="D57" s="66"/>
      <c r="E57" s="66"/>
      <c r="F57" s="66"/>
      <c r="G57" s="66"/>
      <c r="H57" s="66"/>
      <c r="I57" s="66"/>
      <c r="J57" s="66"/>
      <c r="K57" s="66"/>
      <c r="L57" s="66"/>
      <c r="M57" s="66"/>
    </row>
    <row r="58" spans="1:29" x14ac:dyDescent="0.25">
      <c r="A58" s="80" t="s">
        <v>35</v>
      </c>
      <c r="B58" s="80"/>
      <c r="C58" s="60"/>
      <c r="D58" s="67">
        <f>D39*0.03</f>
        <v>590.625</v>
      </c>
      <c r="E58" s="67">
        <f>D58</f>
        <v>590.625</v>
      </c>
      <c r="F58" s="67">
        <f t="shared" ref="F58:M58" si="27">E58</f>
        <v>590.625</v>
      </c>
      <c r="G58" s="67">
        <f t="shared" si="27"/>
        <v>590.625</v>
      </c>
      <c r="H58" s="67">
        <f t="shared" si="27"/>
        <v>590.625</v>
      </c>
      <c r="I58" s="67">
        <f t="shared" si="27"/>
        <v>590.625</v>
      </c>
      <c r="J58" s="67">
        <f t="shared" si="27"/>
        <v>590.625</v>
      </c>
      <c r="K58" s="67">
        <f t="shared" si="27"/>
        <v>590.625</v>
      </c>
      <c r="L58" s="67">
        <f t="shared" si="27"/>
        <v>590.625</v>
      </c>
      <c r="M58" s="67">
        <f t="shared" si="27"/>
        <v>590.625</v>
      </c>
    </row>
    <row r="59" spans="1:29" x14ac:dyDescent="0.25">
      <c r="A59" s="80" t="s">
        <v>36</v>
      </c>
      <c r="B59" s="80"/>
      <c r="C59" s="60"/>
      <c r="D59" s="67"/>
      <c r="E59" s="67"/>
      <c r="F59" s="67"/>
      <c r="G59" s="67"/>
      <c r="H59" s="67">
        <v>143877</v>
      </c>
      <c r="I59" s="67">
        <v>269723</v>
      </c>
      <c r="J59" s="67">
        <v>378089</v>
      </c>
      <c r="K59" s="68">
        <v>471218</v>
      </c>
      <c r="L59" s="68">
        <v>551875</v>
      </c>
      <c r="M59" s="68">
        <v>621362</v>
      </c>
    </row>
    <row r="60" spans="1:29" x14ac:dyDescent="0.25">
      <c r="A60" s="80" t="s">
        <v>37</v>
      </c>
      <c r="B60" s="80"/>
      <c r="C60" s="60"/>
      <c r="D60" s="67">
        <f t="shared" ref="D60:M60" si="28">D6*((D37+D39)/365)</f>
        <v>2265.4109589041095</v>
      </c>
      <c r="E60" s="67">
        <f t="shared" si="28"/>
        <v>2427.8834011130134</v>
      </c>
      <c r="F60" s="67">
        <f t="shared" si="28"/>
        <v>1748.5494860645867</v>
      </c>
      <c r="G60" s="67">
        <f t="shared" si="28"/>
        <v>2141.6608794494637</v>
      </c>
      <c r="H60" s="67">
        <f t="shared" si="28"/>
        <v>1591.3789636489194</v>
      </c>
      <c r="I60" s="67">
        <f t="shared" si="28"/>
        <v>1416.8857904568954</v>
      </c>
      <c r="J60" s="67">
        <f t="shared" si="28"/>
        <v>1079.8244040826492</v>
      </c>
      <c r="K60" s="67">
        <f t="shared" si="28"/>
        <v>1080.1168565254213</v>
      </c>
      <c r="L60" s="67">
        <f t="shared" si="28"/>
        <v>727.62264917845107</v>
      </c>
      <c r="M60" s="67">
        <f t="shared" si="28"/>
        <v>595.48885661940278</v>
      </c>
    </row>
    <row r="61" spans="1:29" x14ac:dyDescent="0.25">
      <c r="A61" s="80" t="s">
        <v>38</v>
      </c>
      <c r="B61" s="80"/>
      <c r="C61" s="60"/>
      <c r="D61" s="67">
        <f t="shared" ref="D61:M61" si="29">D5*(D40/365)</f>
        <v>1941.7808219178085</v>
      </c>
      <c r="E61" s="67">
        <f t="shared" si="29"/>
        <v>1553.8453767123287</v>
      </c>
      <c r="F61" s="67">
        <f t="shared" si="29"/>
        <v>1459.1070541309932</v>
      </c>
      <c r="G61" s="67">
        <f t="shared" si="29"/>
        <v>1278.1976042428548</v>
      </c>
      <c r="H61" s="67">
        <f t="shared" si="29"/>
        <v>1025.9439472608417</v>
      </c>
      <c r="I61" s="67">
        <f t="shared" si="29"/>
        <v>819.644690070303</v>
      </c>
      <c r="J61" s="67">
        <f t="shared" si="29"/>
        <v>737.02300596117334</v>
      </c>
      <c r="K61" s="67">
        <f t="shared" si="29"/>
        <v>587.81869742880087</v>
      </c>
      <c r="L61" s="67">
        <f t="shared" si="29"/>
        <v>478.78200292261721</v>
      </c>
      <c r="M61" s="67">
        <f t="shared" si="29"/>
        <v>399.69320081483727</v>
      </c>
    </row>
    <row r="62" spans="1:29" x14ac:dyDescent="0.25">
      <c r="A62" s="80" t="s">
        <v>39</v>
      </c>
      <c r="B62" s="80"/>
      <c r="C62" s="60"/>
      <c r="D62" s="67">
        <f t="shared" ref="D62:M62" si="30">SUM(D58:D61)</f>
        <v>4797.8167808219177</v>
      </c>
      <c r="E62" s="67">
        <f t="shared" si="30"/>
        <v>4572.3537778253421</v>
      </c>
      <c r="F62" s="67">
        <f t="shared" si="30"/>
        <v>3798.28154019558</v>
      </c>
      <c r="G62" s="67">
        <f t="shared" si="30"/>
        <v>4010.4834836923183</v>
      </c>
      <c r="H62" s="67">
        <f t="shared" si="30"/>
        <v>147084.94791090977</v>
      </c>
      <c r="I62" s="67">
        <f t="shared" si="30"/>
        <v>272550.1554805272</v>
      </c>
      <c r="J62" s="67">
        <f t="shared" si="30"/>
        <v>380496.47241004382</v>
      </c>
      <c r="K62" s="67">
        <f t="shared" si="30"/>
        <v>473476.56055395422</v>
      </c>
      <c r="L62" s="67">
        <f t="shared" si="30"/>
        <v>553672.0296521011</v>
      </c>
      <c r="M62" s="67">
        <f t="shared" si="30"/>
        <v>622947.80705743434</v>
      </c>
    </row>
    <row r="63" spans="1:29" x14ac:dyDescent="0.25">
      <c r="C63" s="60"/>
      <c r="D63" s="67"/>
      <c r="E63" s="67"/>
      <c r="F63" s="67"/>
      <c r="G63" s="67"/>
      <c r="H63" s="67"/>
      <c r="I63" s="67"/>
      <c r="J63" s="67"/>
      <c r="K63" s="67"/>
      <c r="L63" s="67"/>
      <c r="M63" s="67"/>
    </row>
    <row r="64" spans="1:29" x14ac:dyDescent="0.25">
      <c r="A64" s="14" t="s">
        <v>40</v>
      </c>
      <c r="C64" s="60"/>
      <c r="D64" s="67">
        <v>300000</v>
      </c>
      <c r="E64" s="67">
        <v>300000</v>
      </c>
      <c r="F64" s="67">
        <v>300000</v>
      </c>
      <c r="G64" s="67">
        <v>300000</v>
      </c>
      <c r="H64" s="67">
        <v>300000</v>
      </c>
      <c r="I64" s="67">
        <v>300000</v>
      </c>
      <c r="J64" s="67">
        <v>300000</v>
      </c>
      <c r="K64" s="67">
        <v>300000</v>
      </c>
      <c r="L64" s="67">
        <v>300000</v>
      </c>
      <c r="M64" s="67">
        <v>300000</v>
      </c>
      <c r="O64" s="14" t="s">
        <v>131</v>
      </c>
      <c r="P64" s="32">
        <f>D50/(D44+D45)</f>
        <v>4.7343824681235764</v>
      </c>
      <c r="Q64" s="14" t="s">
        <v>132</v>
      </c>
      <c r="U64" s="33" t="s">
        <v>161</v>
      </c>
      <c r="V64" s="34"/>
      <c r="W64" s="34"/>
      <c r="X64" s="34"/>
      <c r="Y64" s="34"/>
      <c r="Z64" s="34"/>
      <c r="AA64" s="34"/>
      <c r="AB64" s="34"/>
      <c r="AC64" s="34"/>
    </row>
    <row r="65" spans="1:29" x14ac:dyDescent="0.25">
      <c r="A65" s="14" t="s">
        <v>41</v>
      </c>
      <c r="C65" s="60"/>
      <c r="D65" s="67">
        <v>456610</v>
      </c>
      <c r="E65" s="67">
        <f>D65</f>
        <v>456610</v>
      </c>
      <c r="F65" s="67">
        <f t="shared" ref="F65:M65" si="31">E65</f>
        <v>456610</v>
      </c>
      <c r="G65" s="67">
        <f t="shared" si="31"/>
        <v>456610</v>
      </c>
      <c r="H65" s="67">
        <f t="shared" si="31"/>
        <v>456610</v>
      </c>
      <c r="I65" s="67">
        <f t="shared" si="31"/>
        <v>456610</v>
      </c>
      <c r="J65" s="67">
        <f t="shared" si="31"/>
        <v>456610</v>
      </c>
      <c r="K65" s="67">
        <f t="shared" si="31"/>
        <v>456610</v>
      </c>
      <c r="L65" s="67">
        <f t="shared" si="31"/>
        <v>456610</v>
      </c>
      <c r="M65" s="67">
        <f t="shared" si="31"/>
        <v>456610</v>
      </c>
      <c r="O65" s="14" t="s">
        <v>133</v>
      </c>
      <c r="P65" s="35" t="s">
        <v>134</v>
      </c>
      <c r="Q65" s="14" t="s">
        <v>135</v>
      </c>
      <c r="U65" s="33" t="s">
        <v>162</v>
      </c>
      <c r="V65" s="34"/>
      <c r="W65" s="34"/>
      <c r="X65" s="34"/>
      <c r="Y65" s="34"/>
      <c r="Z65" s="34"/>
      <c r="AA65" s="34"/>
      <c r="AB65" s="34"/>
      <c r="AC65" s="34"/>
    </row>
    <row r="66" spans="1:29" x14ac:dyDescent="0.25">
      <c r="A66" s="14" t="s">
        <v>42</v>
      </c>
      <c r="C66" s="60"/>
      <c r="D66" s="67">
        <f>D46</f>
        <v>21437.089201877934</v>
      </c>
      <c r="E66" s="67">
        <f>D66+E46</f>
        <v>42874.178403755868</v>
      </c>
      <c r="F66" s="67">
        <f t="shared" ref="F66:M66" si="32">E66+F46</f>
        <v>64311.267605633802</v>
      </c>
      <c r="G66" s="67">
        <f t="shared" si="32"/>
        <v>85748.356807511736</v>
      </c>
      <c r="H66" s="67">
        <f t="shared" si="32"/>
        <v>107185.44600938968</v>
      </c>
      <c r="I66" s="67">
        <f t="shared" si="32"/>
        <v>128622.53521126762</v>
      </c>
      <c r="J66" s="67">
        <f t="shared" si="32"/>
        <v>150059.62441314556</v>
      </c>
      <c r="K66" s="67">
        <f t="shared" si="32"/>
        <v>171496.7136150235</v>
      </c>
      <c r="L66" s="67">
        <f t="shared" si="32"/>
        <v>192933.80281690144</v>
      </c>
      <c r="M66" s="67">
        <f t="shared" si="32"/>
        <v>214370.89201877938</v>
      </c>
      <c r="O66" s="14" t="s">
        <v>136</v>
      </c>
      <c r="P66" s="22">
        <v>0.02</v>
      </c>
      <c r="Q66" s="14" t="s">
        <v>137</v>
      </c>
    </row>
    <row r="67" spans="1:29" x14ac:dyDescent="0.25">
      <c r="A67" s="80" t="s">
        <v>43</v>
      </c>
      <c r="B67" s="80"/>
      <c r="C67" s="60"/>
      <c r="D67" s="67">
        <v>365000</v>
      </c>
      <c r="E67" s="67">
        <f>D67</f>
        <v>365000</v>
      </c>
      <c r="F67" s="67">
        <f t="shared" ref="F67:M67" si="33">E67</f>
        <v>365000</v>
      </c>
      <c r="G67" s="67">
        <f t="shared" si="33"/>
        <v>365000</v>
      </c>
      <c r="H67" s="67">
        <f t="shared" si="33"/>
        <v>365000</v>
      </c>
      <c r="I67" s="67">
        <f t="shared" si="33"/>
        <v>365000</v>
      </c>
      <c r="J67" s="67">
        <f t="shared" si="33"/>
        <v>365000</v>
      </c>
      <c r="K67" s="67">
        <f t="shared" si="33"/>
        <v>365000</v>
      </c>
      <c r="L67" s="67">
        <f t="shared" si="33"/>
        <v>365000</v>
      </c>
      <c r="M67" s="67">
        <f t="shared" si="33"/>
        <v>365000</v>
      </c>
      <c r="O67" s="14" t="s">
        <v>138</v>
      </c>
      <c r="P67" s="22">
        <v>0.03</v>
      </c>
    </row>
    <row r="68" spans="1:29" x14ac:dyDescent="0.25">
      <c r="A68" s="80" t="s">
        <v>42</v>
      </c>
      <c r="B68" s="80"/>
      <c r="C68" s="60"/>
      <c r="D68" s="67">
        <f>D47</f>
        <v>24333.333333333332</v>
      </c>
      <c r="E68" s="67">
        <f>D68+E47</f>
        <v>48666.666666666664</v>
      </c>
      <c r="F68" s="67">
        <f t="shared" ref="F68:M68" si="34">E68+F47</f>
        <v>73000</v>
      </c>
      <c r="G68" s="67">
        <f t="shared" si="34"/>
        <v>97333.333333333328</v>
      </c>
      <c r="H68" s="67">
        <f t="shared" si="34"/>
        <v>121666.66666666666</v>
      </c>
      <c r="I68" s="67">
        <f t="shared" si="34"/>
        <v>146000</v>
      </c>
      <c r="J68" s="67">
        <f t="shared" si="34"/>
        <v>170333.33333333334</v>
      </c>
      <c r="K68" s="67">
        <f t="shared" si="34"/>
        <v>194666.66666666669</v>
      </c>
      <c r="L68" s="67">
        <f t="shared" si="34"/>
        <v>219000.00000000003</v>
      </c>
      <c r="M68" s="67">
        <f t="shared" si="34"/>
        <v>243333.33333333337</v>
      </c>
      <c r="O68" s="14" t="s">
        <v>139</v>
      </c>
      <c r="P68" s="22">
        <f>P66+P67</f>
        <v>0.05</v>
      </c>
      <c r="Q68" s="14" t="s">
        <v>140</v>
      </c>
    </row>
    <row r="69" spans="1:29" x14ac:dyDescent="0.25">
      <c r="A69" s="80" t="s">
        <v>44</v>
      </c>
      <c r="B69" s="80"/>
      <c r="C69" s="60"/>
      <c r="D69" s="67">
        <f t="shared" ref="D69:M69" si="35">D64+D65-D66+D67-D68</f>
        <v>1075839.5774647889</v>
      </c>
      <c r="E69" s="67">
        <f t="shared" si="35"/>
        <v>1030069.1549295775</v>
      </c>
      <c r="F69" s="67">
        <f t="shared" si="35"/>
        <v>984298.73239436606</v>
      </c>
      <c r="G69" s="67">
        <f t="shared" si="35"/>
        <v>938528.30985915486</v>
      </c>
      <c r="H69" s="67">
        <f t="shared" si="35"/>
        <v>892757.88732394367</v>
      </c>
      <c r="I69" s="67">
        <f t="shared" si="35"/>
        <v>846987.46478873235</v>
      </c>
      <c r="J69" s="67">
        <f t="shared" si="35"/>
        <v>801217.04225352104</v>
      </c>
      <c r="K69" s="67">
        <f t="shared" si="35"/>
        <v>755446.61971830972</v>
      </c>
      <c r="L69" s="67">
        <f t="shared" si="35"/>
        <v>709676.19718309853</v>
      </c>
      <c r="M69" s="67">
        <f t="shared" si="35"/>
        <v>663905.77464788721</v>
      </c>
      <c r="O69" s="14" t="s">
        <v>141</v>
      </c>
      <c r="P69" s="22">
        <f>P68+3%</f>
        <v>0.08</v>
      </c>
      <c r="Q69" s="14" t="s">
        <v>142</v>
      </c>
    </row>
    <row r="70" spans="1:29" x14ac:dyDescent="0.25">
      <c r="C70" s="60"/>
      <c r="D70" s="67"/>
      <c r="E70" s="67"/>
      <c r="F70" s="67"/>
      <c r="G70" s="67"/>
      <c r="H70" s="67"/>
      <c r="I70" s="67"/>
      <c r="J70" s="67"/>
      <c r="K70" s="67"/>
      <c r="L70" s="67"/>
      <c r="M70" s="67"/>
    </row>
    <row r="71" spans="1:29" x14ac:dyDescent="0.25">
      <c r="A71" s="80" t="s">
        <v>45</v>
      </c>
      <c r="B71" s="80"/>
      <c r="C71" s="60"/>
      <c r="D71" s="67">
        <f t="shared" ref="D71:M71" si="36">D69+D62</f>
        <v>1080637.3942456108</v>
      </c>
      <c r="E71" s="67">
        <f t="shared" si="36"/>
        <v>1034641.5087074029</v>
      </c>
      <c r="F71" s="67">
        <f t="shared" si="36"/>
        <v>988097.01393456163</v>
      </c>
      <c r="G71" s="67">
        <f t="shared" si="36"/>
        <v>942538.79334284714</v>
      </c>
      <c r="H71" s="67">
        <f t="shared" si="36"/>
        <v>1039842.8352348534</v>
      </c>
      <c r="I71" s="67">
        <f t="shared" si="36"/>
        <v>1119537.6202692594</v>
      </c>
      <c r="J71" s="67">
        <f t="shared" si="36"/>
        <v>1181713.514663565</v>
      </c>
      <c r="K71" s="67">
        <f t="shared" si="36"/>
        <v>1228923.1802722639</v>
      </c>
      <c r="L71" s="67">
        <f t="shared" si="36"/>
        <v>1263348.2268351996</v>
      </c>
      <c r="M71" s="67">
        <f t="shared" si="36"/>
        <v>1286853.5817053216</v>
      </c>
      <c r="O71" s="36" t="s">
        <v>143</v>
      </c>
    </row>
    <row r="72" spans="1:29" x14ac:dyDescent="0.25">
      <c r="C72" s="60"/>
      <c r="D72" s="67"/>
      <c r="E72" s="67"/>
      <c r="F72" s="67"/>
      <c r="G72" s="67"/>
      <c r="H72" s="67"/>
      <c r="I72" s="67"/>
      <c r="J72" s="67"/>
      <c r="K72" s="67"/>
      <c r="L72" s="67"/>
      <c r="M72" s="67"/>
      <c r="O72" s="14" t="s">
        <v>144</v>
      </c>
      <c r="P72" s="22">
        <f>AVERAGE(D18:M18)</f>
        <v>0.22628475238177623</v>
      </c>
      <c r="Q72" s="14" t="s">
        <v>145</v>
      </c>
      <c r="U72" s="37" t="s">
        <v>146</v>
      </c>
      <c r="V72" s="34"/>
      <c r="W72" s="34"/>
      <c r="X72" s="34"/>
      <c r="Y72" s="34"/>
      <c r="Z72" s="34"/>
      <c r="AA72" s="34"/>
      <c r="AB72" s="34"/>
      <c r="AC72" s="34"/>
    </row>
    <row r="73" spans="1:29" x14ac:dyDescent="0.25">
      <c r="A73" s="80" t="s">
        <v>46</v>
      </c>
      <c r="B73" s="80"/>
      <c r="C73" s="60"/>
      <c r="D73" s="67">
        <f t="shared" ref="D73:M73" si="37">D7/(365/D40)</f>
        <v>215.75342465753425</v>
      </c>
      <c r="E73" s="67">
        <f t="shared" si="37"/>
        <v>199.78011986301368</v>
      </c>
      <c r="F73" s="67">
        <f t="shared" si="37"/>
        <v>190.3183114083904</v>
      </c>
      <c r="G73" s="67">
        <f t="shared" si="37"/>
        <v>155.01545413158027</v>
      </c>
      <c r="H73" s="67">
        <f t="shared" si="37"/>
        <v>121.24792103991766</v>
      </c>
      <c r="I73" s="67">
        <f t="shared" si="37"/>
        <v>95.95840273993791</v>
      </c>
      <c r="J73" s="67">
        <f t="shared" si="37"/>
        <v>83.986342539761623</v>
      </c>
      <c r="K73" s="67">
        <f t="shared" si="37"/>
        <v>73.477337178600095</v>
      </c>
      <c r="L73" s="67">
        <f t="shared" si="37"/>
        <v>64.257584602772297</v>
      </c>
      <c r="M73" s="67">
        <f t="shared" si="37"/>
        <v>52.932342810613598</v>
      </c>
      <c r="O73" s="14" t="s">
        <v>147</v>
      </c>
      <c r="P73" s="14">
        <v>0.6</v>
      </c>
      <c r="Q73" s="14" t="s">
        <v>148</v>
      </c>
      <c r="U73" s="33" t="s">
        <v>160</v>
      </c>
      <c r="V73" s="34"/>
      <c r="W73" s="34"/>
      <c r="X73" s="34"/>
      <c r="Y73" s="34"/>
      <c r="Z73" s="34"/>
      <c r="AA73" s="34"/>
      <c r="AB73" s="34"/>
      <c r="AC73" s="34"/>
    </row>
    <row r="74" spans="1:29" x14ac:dyDescent="0.25">
      <c r="A74" s="80" t="s">
        <v>47</v>
      </c>
      <c r="B74" s="80"/>
      <c r="C74" s="60"/>
      <c r="D74" s="67">
        <f>D52+(0.25*D48)</f>
        <v>67958.244901546132</v>
      </c>
      <c r="E74" s="67">
        <f t="shared" ref="E74:M74" si="38">E52+(0.25*E48)</f>
        <v>58878.455199309872</v>
      </c>
      <c r="F74" s="67">
        <f t="shared" si="38"/>
        <v>51292.694605245517</v>
      </c>
      <c r="G74" s="67">
        <f t="shared" si="38"/>
        <v>45295.949925090172</v>
      </c>
      <c r="H74" s="67">
        <f t="shared" si="38"/>
        <v>37572.036097639844</v>
      </c>
      <c r="I74" s="67">
        <f t="shared" si="38"/>
        <v>30838.648083454111</v>
      </c>
      <c r="J74" s="67">
        <f t="shared" si="38"/>
        <v>25006.060452925849</v>
      </c>
      <c r="K74" s="67">
        <f t="shared" si="38"/>
        <v>19952.302889201717</v>
      </c>
      <c r="L74" s="67">
        <f t="shared" si="38"/>
        <v>15571.973474350507</v>
      </c>
      <c r="M74" s="67">
        <f t="shared" si="38"/>
        <v>11773.990669255345</v>
      </c>
      <c r="O74" s="14" t="s">
        <v>149</v>
      </c>
      <c r="P74" s="38">
        <f>P73*(1+(1-P72)*((P80+P81)/(P85+P86)))</f>
        <v>0.71049329840548403</v>
      </c>
      <c r="Q74" s="14" t="s">
        <v>150</v>
      </c>
      <c r="U74" s="33" t="s">
        <v>127</v>
      </c>
      <c r="V74" s="34"/>
      <c r="W74" s="34"/>
      <c r="X74" s="34"/>
      <c r="Y74" s="34"/>
      <c r="Z74" s="34"/>
      <c r="AA74" s="34"/>
      <c r="AB74" s="34"/>
      <c r="AC74" s="34"/>
    </row>
    <row r="75" spans="1:29" x14ac:dyDescent="0.25">
      <c r="A75" s="80" t="s">
        <v>48</v>
      </c>
      <c r="B75" s="80"/>
      <c r="C75" s="60"/>
      <c r="D75" s="67">
        <f t="shared" ref="D75:M75" si="39">SUM(D73:D74)</f>
        <v>68173.998326203669</v>
      </c>
      <c r="E75" s="67">
        <f t="shared" si="39"/>
        <v>59078.235319172883</v>
      </c>
      <c r="F75" s="67">
        <f t="shared" si="39"/>
        <v>51483.012916653905</v>
      </c>
      <c r="G75" s="67">
        <f t="shared" si="39"/>
        <v>45450.96537922175</v>
      </c>
      <c r="H75" s="67">
        <f t="shared" si="39"/>
        <v>37693.284018679762</v>
      </c>
      <c r="I75" s="67">
        <f t="shared" si="39"/>
        <v>30934.60648619405</v>
      </c>
      <c r="J75" s="67">
        <f t="shared" si="39"/>
        <v>25090.046795465612</v>
      </c>
      <c r="K75" s="67">
        <f t="shared" si="39"/>
        <v>20025.780226380317</v>
      </c>
      <c r="L75" s="67">
        <f t="shared" si="39"/>
        <v>15636.231058953279</v>
      </c>
      <c r="M75" s="67">
        <f t="shared" si="39"/>
        <v>11826.923012065959</v>
      </c>
      <c r="O75" s="14" t="s">
        <v>151</v>
      </c>
      <c r="P75" s="22">
        <v>8.5000000000000006E-2</v>
      </c>
    </row>
    <row r="76" spans="1:29" x14ac:dyDescent="0.25">
      <c r="C76" s="60"/>
      <c r="D76" s="67"/>
      <c r="E76" s="67"/>
      <c r="F76" s="67"/>
      <c r="G76" s="67"/>
      <c r="H76" s="67"/>
      <c r="I76" s="67"/>
      <c r="J76" s="67"/>
      <c r="K76" s="67"/>
      <c r="L76" s="67"/>
      <c r="M76" s="67"/>
      <c r="O76" s="14" t="s">
        <v>138</v>
      </c>
      <c r="P76" s="22">
        <v>0.03</v>
      </c>
    </row>
    <row r="77" spans="1:29" x14ac:dyDescent="0.25">
      <c r="A77" s="80" t="s">
        <v>1</v>
      </c>
      <c r="B77" s="80"/>
      <c r="C77" s="60"/>
      <c r="D77" s="67">
        <v>115170</v>
      </c>
      <c r="E77" s="67">
        <f>'Mortgage Schedule'!F27</f>
        <v>111684.71027796451</v>
      </c>
      <c r="F77" s="67">
        <f>'Mortgage Schedule'!F41</f>
        <v>109807.2179726274</v>
      </c>
      <c r="G77" s="67">
        <f>'Mortgage Schedule'!F55</f>
        <v>107833.6695976909</v>
      </c>
      <c r="H77" s="67">
        <f>'Mortgage Schedule'!F69</f>
        <v>105759.15074233126</v>
      </c>
      <c r="I77" s="67">
        <f>'Mortgage Schedule'!F83</f>
        <v>103578.49556513992</v>
      </c>
      <c r="J77" s="67">
        <f>'Mortgage Schedule'!F97</f>
        <v>101286.27393045787</v>
      </c>
      <c r="K77" s="67">
        <f>'Mortgage Schedule'!F111</f>
        <v>98876.777886579905</v>
      </c>
      <c r="L77" s="67">
        <f>'Mortgage Schedule'!F125</f>
        <v>96344.00745215865</v>
      </c>
      <c r="M77" s="67">
        <f>'Mortgage Schedule'!F139</f>
        <v>93681.655675413655</v>
      </c>
      <c r="O77" s="14" t="s">
        <v>152</v>
      </c>
      <c r="P77" s="39">
        <f>P76+P74*(P75-P76)</f>
        <v>6.9077131412301623E-2</v>
      </c>
    </row>
    <row r="78" spans="1:29" x14ac:dyDescent="0.25">
      <c r="A78" s="80" t="s">
        <v>49</v>
      </c>
      <c r="B78" s="80"/>
      <c r="C78" s="60"/>
      <c r="D78" s="67">
        <v>566875.37823103799</v>
      </c>
      <c r="E78" s="67">
        <v>360498.20776646037</v>
      </c>
      <c r="F78" s="67">
        <v>172457.97503516573</v>
      </c>
      <c r="G78" s="67">
        <v>2892.3735369228461</v>
      </c>
      <c r="H78" s="67">
        <v>0</v>
      </c>
      <c r="I78" s="67">
        <v>0</v>
      </c>
      <c r="J78" s="67">
        <v>0</v>
      </c>
      <c r="K78" s="67">
        <v>0</v>
      </c>
      <c r="L78" s="67">
        <v>0</v>
      </c>
      <c r="M78" s="67">
        <v>0</v>
      </c>
    </row>
    <row r="79" spans="1:29" x14ac:dyDescent="0.25">
      <c r="A79" s="80" t="s">
        <v>50</v>
      </c>
      <c r="B79" s="80"/>
      <c r="C79" s="60"/>
      <c r="D79" s="67">
        <f t="shared" ref="D79:M79" si="40">SUM(D77:D78)</f>
        <v>682045.37823103799</v>
      </c>
      <c r="E79" s="67">
        <f t="shared" si="40"/>
        <v>472182.91804442485</v>
      </c>
      <c r="F79" s="67">
        <f t="shared" si="40"/>
        <v>282265.19300779316</v>
      </c>
      <c r="G79" s="67">
        <f t="shared" si="40"/>
        <v>110726.04313461375</v>
      </c>
      <c r="H79" s="67">
        <f t="shared" si="40"/>
        <v>105759.15074233126</v>
      </c>
      <c r="I79" s="67">
        <f t="shared" si="40"/>
        <v>103578.49556513992</v>
      </c>
      <c r="J79" s="67">
        <f t="shared" si="40"/>
        <v>101286.27393045787</v>
      </c>
      <c r="K79" s="67">
        <f t="shared" si="40"/>
        <v>98876.777886579905</v>
      </c>
      <c r="L79" s="67">
        <f t="shared" si="40"/>
        <v>96344.00745215865</v>
      </c>
      <c r="M79" s="67">
        <f t="shared" si="40"/>
        <v>93681.655675413655</v>
      </c>
      <c r="O79" s="14" t="s">
        <v>153</v>
      </c>
      <c r="P79" s="14" t="s">
        <v>154</v>
      </c>
      <c r="Q79" s="14" t="s">
        <v>79</v>
      </c>
      <c r="R79" s="14" t="s">
        <v>155</v>
      </c>
      <c r="S79" s="14" t="s">
        <v>156</v>
      </c>
    </row>
    <row r="80" spans="1:29" x14ac:dyDescent="0.25">
      <c r="C80" s="60"/>
      <c r="D80" s="67"/>
      <c r="E80" s="67"/>
      <c r="F80" s="67"/>
      <c r="G80" s="67"/>
      <c r="H80" s="67"/>
      <c r="I80" s="67"/>
      <c r="J80" s="67"/>
      <c r="K80" s="67"/>
      <c r="L80" s="67"/>
      <c r="M80" s="67"/>
      <c r="O80" s="16">
        <f>AVERAGE(D77:M77)</f>
        <v>104402.1959100364</v>
      </c>
      <c r="P80" s="39">
        <f>O80/O88</f>
        <v>9.3498958008787117E-2</v>
      </c>
      <c r="Q80" s="40">
        <f>P68</f>
        <v>0.05</v>
      </c>
      <c r="R80" s="39">
        <f>Q80*(1-$P$72)</f>
        <v>3.868576238091119E-2</v>
      </c>
      <c r="S80" s="41">
        <f>P80*R80</f>
        <v>3.6170784723907317E-3</v>
      </c>
    </row>
    <row r="81" spans="1:31" x14ac:dyDescent="0.25">
      <c r="A81" s="80" t="s">
        <v>51</v>
      </c>
      <c r="B81" s="80"/>
      <c r="C81" s="60"/>
      <c r="D81" s="67">
        <v>200000</v>
      </c>
      <c r="E81" s="67">
        <v>200000</v>
      </c>
      <c r="F81" s="67">
        <v>200000</v>
      </c>
      <c r="G81" s="67">
        <v>200000</v>
      </c>
      <c r="H81" s="67">
        <v>200000</v>
      </c>
      <c r="I81" s="67">
        <v>200000</v>
      </c>
      <c r="J81" s="67">
        <v>200000</v>
      </c>
      <c r="K81" s="67">
        <v>200000</v>
      </c>
      <c r="L81" s="67">
        <v>200000</v>
      </c>
      <c r="M81" s="67">
        <v>200000</v>
      </c>
      <c r="O81" s="16">
        <f>AVERAGE(D78:M78)</f>
        <v>110272.39345695867</v>
      </c>
      <c r="P81" s="39">
        <f>O81/O88</f>
        <v>9.8756101780130029E-2</v>
      </c>
      <c r="Q81" s="40">
        <f>P69</f>
        <v>0.08</v>
      </c>
      <c r="R81" s="39">
        <f>Q81*(1-$P$72)</f>
        <v>6.18972198094579E-2</v>
      </c>
      <c r="S81" s="41">
        <f>P81*R81</f>
        <v>6.1127281394099051E-3</v>
      </c>
    </row>
    <row r="82" spans="1:31" x14ac:dyDescent="0.25">
      <c r="A82" s="80" t="s">
        <v>52</v>
      </c>
      <c r="B82" s="80"/>
      <c r="C82" s="60"/>
      <c r="D82" s="67">
        <f>10000+D53</f>
        <v>198592.01601457267</v>
      </c>
      <c r="E82" s="67">
        <f t="shared" ref="E82:M82" si="41">D82+E53</f>
        <v>362458.59066297812</v>
      </c>
      <c r="F82" s="67">
        <f t="shared" si="41"/>
        <v>505831.82092676853</v>
      </c>
      <c r="G82" s="67">
        <f t="shared" si="41"/>
        <v>631812.75020823348</v>
      </c>
      <c r="H82" s="67">
        <f t="shared" si="41"/>
        <v>734083.90997621906</v>
      </c>
      <c r="I82" s="67">
        <f t="shared" si="41"/>
        <v>815959.182359242</v>
      </c>
      <c r="J82" s="67">
        <f t="shared" si="41"/>
        <v>880427.64770600875</v>
      </c>
      <c r="K82" s="67">
        <f t="shared" si="41"/>
        <v>930046.61473177001</v>
      </c>
      <c r="L82" s="67">
        <f t="shared" si="41"/>
        <v>967004.0834021715</v>
      </c>
      <c r="M82" s="67">
        <f t="shared" si="41"/>
        <v>993172.18675491516</v>
      </c>
      <c r="P82" s="39"/>
      <c r="R82" s="39"/>
      <c r="S82" s="41"/>
    </row>
    <row r="83" spans="1:31" x14ac:dyDescent="0.25">
      <c r="A83" s="80" t="s">
        <v>53</v>
      </c>
      <c r="B83" s="80"/>
      <c r="C83" s="60"/>
      <c r="D83" s="67">
        <f>D81+D82</f>
        <v>398592.0160145727</v>
      </c>
      <c r="E83" s="67">
        <f t="shared" ref="E83:M83" si="42">E81+E82</f>
        <v>562458.59066297812</v>
      </c>
      <c r="F83" s="67">
        <f t="shared" si="42"/>
        <v>705831.82092676847</v>
      </c>
      <c r="G83" s="67">
        <f t="shared" si="42"/>
        <v>831812.75020823348</v>
      </c>
      <c r="H83" s="67">
        <f t="shared" si="42"/>
        <v>934083.90997621906</v>
      </c>
      <c r="I83" s="67">
        <f t="shared" si="42"/>
        <v>1015959.182359242</v>
      </c>
      <c r="J83" s="67">
        <f t="shared" si="42"/>
        <v>1080427.6477060087</v>
      </c>
      <c r="K83" s="67">
        <f t="shared" si="42"/>
        <v>1130046.61473177</v>
      </c>
      <c r="L83" s="67">
        <f t="shared" si="42"/>
        <v>1167004.0834021715</v>
      </c>
      <c r="M83" s="67">
        <f t="shared" si="42"/>
        <v>1193172.1867549152</v>
      </c>
      <c r="P83" s="39"/>
      <c r="R83" s="39"/>
      <c r="S83" s="41"/>
    </row>
    <row r="84" spans="1:31" x14ac:dyDescent="0.25">
      <c r="C84" s="60"/>
      <c r="D84" s="67"/>
      <c r="E84" s="67"/>
      <c r="F84" s="67"/>
      <c r="G84" s="67"/>
      <c r="H84" s="67"/>
      <c r="I84" s="67"/>
      <c r="J84" s="67"/>
      <c r="K84" s="67"/>
      <c r="L84" s="67"/>
      <c r="M84" s="67"/>
      <c r="P84" s="39"/>
      <c r="R84" s="39"/>
      <c r="S84" s="41"/>
    </row>
    <row r="85" spans="1:31" x14ac:dyDescent="0.25">
      <c r="A85" s="80" t="s">
        <v>54</v>
      </c>
      <c r="B85" s="80"/>
      <c r="C85" s="60"/>
      <c r="D85" s="67">
        <f>D83+D79</f>
        <v>1080637.3942456106</v>
      </c>
      <c r="E85" s="67">
        <f t="shared" ref="E85:M85" si="43">E83+E79</f>
        <v>1034641.508707403</v>
      </c>
      <c r="F85" s="67">
        <f t="shared" si="43"/>
        <v>988097.01393456163</v>
      </c>
      <c r="G85" s="67">
        <f t="shared" si="43"/>
        <v>942538.79334284726</v>
      </c>
      <c r="H85" s="67">
        <f t="shared" si="43"/>
        <v>1039843.0607185503</v>
      </c>
      <c r="I85" s="67">
        <f t="shared" si="43"/>
        <v>1119537.677924382</v>
      </c>
      <c r="J85" s="67">
        <f t="shared" si="43"/>
        <v>1181713.9216364666</v>
      </c>
      <c r="K85" s="67">
        <f t="shared" si="43"/>
        <v>1228923.39261835</v>
      </c>
      <c r="L85" s="67">
        <f t="shared" si="43"/>
        <v>1263348.0908543302</v>
      </c>
      <c r="M85" s="67">
        <f t="shared" si="43"/>
        <v>1286853.8424303287</v>
      </c>
      <c r="O85" s="16">
        <f>AVERAGE(D81:M81)</f>
        <v>200000</v>
      </c>
      <c r="P85" s="39">
        <f>(O85+O86)/O88</f>
        <v>0.8077449402110829</v>
      </c>
      <c r="Q85" s="22">
        <f>P77</f>
        <v>6.9077131412301623E-2</v>
      </c>
      <c r="R85" s="39">
        <f>Q85</f>
        <v>6.9077131412301623E-2</v>
      </c>
      <c r="S85" s="41">
        <f>P85*R85</f>
        <v>5.5796703382582691E-2</v>
      </c>
    </row>
    <row r="86" spans="1:31" x14ac:dyDescent="0.25">
      <c r="C86" s="60"/>
      <c r="D86" s="60"/>
      <c r="E86" s="60"/>
      <c r="F86" s="60"/>
      <c r="G86" s="60"/>
      <c r="H86" s="60"/>
      <c r="I86" s="60"/>
      <c r="J86" s="60"/>
      <c r="K86" s="60"/>
      <c r="L86" s="60"/>
      <c r="M86" s="60"/>
      <c r="O86" s="16">
        <f>AVERAGE(D82:M82)</f>
        <v>701938.88027428789</v>
      </c>
      <c r="P86" s="39"/>
      <c r="S86" s="39"/>
    </row>
    <row r="87" spans="1:31" x14ac:dyDescent="0.25">
      <c r="A87" s="80" t="s">
        <v>55</v>
      </c>
      <c r="B87" s="80"/>
      <c r="C87" s="60"/>
      <c r="D87" s="60">
        <f t="shared" ref="D87:M87" si="44">D71-D85</f>
        <v>0</v>
      </c>
      <c r="E87" s="60">
        <f t="shared" si="44"/>
        <v>0</v>
      </c>
      <c r="F87" s="60">
        <f t="shared" si="44"/>
        <v>0</v>
      </c>
      <c r="G87" s="60">
        <f t="shared" si="44"/>
        <v>0</v>
      </c>
      <c r="H87" s="60">
        <f t="shared" si="44"/>
        <v>-0.22548369690775871</v>
      </c>
      <c r="I87" s="60">
        <f t="shared" si="44"/>
        <v>-5.7655122596770525E-2</v>
      </c>
      <c r="J87" s="60">
        <f t="shared" si="44"/>
        <v>-0.40697290166281164</v>
      </c>
      <c r="K87" s="60">
        <f t="shared" si="44"/>
        <v>-0.21234608604572713</v>
      </c>
      <c r="L87" s="60">
        <f t="shared" si="44"/>
        <v>0.13598086941055954</v>
      </c>
      <c r="M87" s="60">
        <f t="shared" si="44"/>
        <v>-0.26072500715963542</v>
      </c>
      <c r="P87" s="39"/>
      <c r="S87" s="39"/>
    </row>
    <row r="88" spans="1:31" x14ac:dyDescent="0.25">
      <c r="O88" s="16">
        <f>SUM(O80:O86)</f>
        <v>1116613.4696412829</v>
      </c>
      <c r="P88" s="39">
        <f>SUM(P80:P86)</f>
        <v>1</v>
      </c>
      <c r="S88" s="42">
        <f>SUM(S80:S85)</f>
        <v>6.5526509994383322E-2</v>
      </c>
      <c r="T88" s="36" t="s">
        <v>117</v>
      </c>
    </row>
    <row r="89" spans="1:31" x14ac:dyDescent="0.25">
      <c r="A89" s="80" t="s">
        <v>56</v>
      </c>
      <c r="B89" s="80"/>
      <c r="C89" s="80"/>
      <c r="D89" s="80"/>
    </row>
    <row r="91" spans="1:31" ht="15.75" customHeight="1" x14ac:dyDescent="0.25">
      <c r="A91" s="43" t="s">
        <v>99</v>
      </c>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row>
    <row r="93" spans="1:31" ht="15.75" customHeight="1" x14ac:dyDescent="0.25">
      <c r="A93" s="36" t="s">
        <v>100</v>
      </c>
    </row>
    <row r="94" spans="1:31" ht="15.75" customHeight="1" x14ac:dyDescent="0.25">
      <c r="B94" s="14" t="s">
        <v>101</v>
      </c>
      <c r="C94" s="16"/>
      <c r="D94" s="16">
        <f>D50+D46+D47</f>
        <v>287555.05845133006</v>
      </c>
      <c r="E94" s="16">
        <f t="shared" ref="E94:M94" si="45">E50+E46+E47</f>
        <v>255855.77464855163</v>
      </c>
      <c r="F94" s="16">
        <f t="shared" si="45"/>
        <v>229582.25620673745</v>
      </c>
      <c r="G94" s="16">
        <f t="shared" si="45"/>
        <v>207741.27530130147</v>
      </c>
      <c r="H94" s="16">
        <f t="shared" si="45"/>
        <v>177634.86398144305</v>
      </c>
      <c r="I94" s="16">
        <f t="shared" si="45"/>
        <v>151643.55843136073</v>
      </c>
      <c r="J94" s="16">
        <f t="shared" si="45"/>
        <v>129379.8306639192</v>
      </c>
      <c r="K94" s="16">
        <f t="shared" si="45"/>
        <v>110313.08718701384</v>
      </c>
      <c r="L94" s="16">
        <f t="shared" si="45"/>
        <v>93988.464242461065</v>
      </c>
      <c r="M94" s="16">
        <f t="shared" si="45"/>
        <v>80016.029607106815</v>
      </c>
    </row>
    <row r="95" spans="1:31" ht="15.75" customHeight="1" x14ac:dyDescent="0.25">
      <c r="B95" s="14" t="s">
        <v>102</v>
      </c>
      <c r="C95" s="16"/>
      <c r="D95" s="16">
        <f>D46+D47</f>
        <v>45770.42253521127</v>
      </c>
      <c r="E95" s="16">
        <f t="shared" ref="E95:M95" si="46">E46+E47</f>
        <v>45770.42253521127</v>
      </c>
      <c r="F95" s="16">
        <f t="shared" si="46"/>
        <v>45770.42253521127</v>
      </c>
      <c r="G95" s="16">
        <f t="shared" si="46"/>
        <v>45770.42253521127</v>
      </c>
      <c r="H95" s="16">
        <f t="shared" si="46"/>
        <v>45770.42253521127</v>
      </c>
      <c r="I95" s="16">
        <f t="shared" si="46"/>
        <v>45770.42253521127</v>
      </c>
      <c r="J95" s="16">
        <f t="shared" si="46"/>
        <v>45770.42253521127</v>
      </c>
      <c r="K95" s="16">
        <f t="shared" si="46"/>
        <v>45770.42253521127</v>
      </c>
      <c r="L95" s="16">
        <f t="shared" si="46"/>
        <v>45770.42253521127</v>
      </c>
      <c r="M95" s="16">
        <f t="shared" si="46"/>
        <v>45770.42253521127</v>
      </c>
    </row>
    <row r="96" spans="1:31" ht="15.75" customHeight="1" x14ac:dyDescent="0.25">
      <c r="B96" s="14" t="s">
        <v>103</v>
      </c>
      <c r="C96" s="16"/>
      <c r="D96" s="16">
        <f>D94-D95</f>
        <v>241784.6359161188</v>
      </c>
      <c r="E96" s="16">
        <f t="shared" ref="E96:M96" si="47">E94-E95</f>
        <v>210085.35211334034</v>
      </c>
      <c r="F96" s="16">
        <f t="shared" si="47"/>
        <v>183811.83367152617</v>
      </c>
      <c r="G96" s="16">
        <f t="shared" si="47"/>
        <v>161970.85276609019</v>
      </c>
      <c r="H96" s="16">
        <f t="shared" si="47"/>
        <v>131864.44144623179</v>
      </c>
      <c r="I96" s="16">
        <f t="shared" si="47"/>
        <v>105873.13589614946</v>
      </c>
      <c r="J96" s="16">
        <f t="shared" si="47"/>
        <v>83609.408128707932</v>
      </c>
      <c r="K96" s="16">
        <f t="shared" si="47"/>
        <v>64542.664651802566</v>
      </c>
      <c r="L96" s="16">
        <f t="shared" si="47"/>
        <v>48218.041707249795</v>
      </c>
      <c r="M96" s="16">
        <f t="shared" si="47"/>
        <v>34245.607071895545</v>
      </c>
    </row>
    <row r="97" spans="1:31" ht="15.75" customHeight="1" x14ac:dyDescent="0.25">
      <c r="B97" s="14" t="s">
        <v>104</v>
      </c>
      <c r="C97" s="16"/>
      <c r="D97" s="24">
        <f>D96*D18</f>
        <v>53192.619901546139</v>
      </c>
      <c r="E97" s="16">
        <f t="shared" ref="E97:M97" si="48">E96*E18</f>
        <v>46218.777464934872</v>
      </c>
      <c r="F97" s="16">
        <f t="shared" si="48"/>
        <v>40438.603407735754</v>
      </c>
      <c r="G97" s="16">
        <f t="shared" si="48"/>
        <v>35989.923484625244</v>
      </c>
      <c r="H97" s="16">
        <f t="shared" si="48"/>
        <v>29593.281678246232</v>
      </c>
      <c r="I97" s="16">
        <f t="shared" si="48"/>
        <v>23997.863513126511</v>
      </c>
      <c r="J97" s="16">
        <f t="shared" si="48"/>
        <v>19140.942781941216</v>
      </c>
      <c r="K97" s="16">
        <f t="shared" si="48"/>
        <v>14923.697626041272</v>
      </c>
      <c r="L97" s="16">
        <f t="shared" si="48"/>
        <v>11260.573036848322</v>
      </c>
      <c r="M97" s="16">
        <f t="shared" si="48"/>
        <v>8077.5037191519095</v>
      </c>
    </row>
    <row r="98" spans="1:31" ht="15.75" customHeight="1" x14ac:dyDescent="0.25">
      <c r="B98" s="14" t="s">
        <v>105</v>
      </c>
      <c r="C98" s="16"/>
      <c r="D98" s="16">
        <f>D94-D97</f>
        <v>234362.43854978392</v>
      </c>
      <c r="E98" s="16">
        <f t="shared" ref="E98:M98" si="49">E94-E97</f>
        <v>209636.99718361674</v>
      </c>
      <c r="F98" s="16">
        <f t="shared" si="49"/>
        <v>189143.65279900169</v>
      </c>
      <c r="G98" s="16">
        <f t="shared" si="49"/>
        <v>171751.35181667624</v>
      </c>
      <c r="H98" s="16">
        <f t="shared" si="49"/>
        <v>148041.58230319683</v>
      </c>
      <c r="I98" s="16">
        <f t="shared" si="49"/>
        <v>127645.69491823422</v>
      </c>
      <c r="J98" s="16">
        <f t="shared" si="49"/>
        <v>110238.88788197798</v>
      </c>
      <c r="K98" s="16">
        <f t="shared" si="49"/>
        <v>95389.389560972559</v>
      </c>
      <c r="L98" s="16">
        <f t="shared" si="49"/>
        <v>82727.891205612745</v>
      </c>
      <c r="M98" s="16">
        <f t="shared" si="49"/>
        <v>71938.525887954907</v>
      </c>
    </row>
    <row r="100" spans="1:31" ht="15.75" customHeight="1" x14ac:dyDescent="0.25">
      <c r="A100" s="36" t="s">
        <v>106</v>
      </c>
    </row>
    <row r="101" spans="1:31" ht="15.75" customHeight="1" x14ac:dyDescent="0.25">
      <c r="A101" s="14" t="s">
        <v>107</v>
      </c>
    </row>
    <row r="102" spans="1:31" ht="15.75" customHeight="1" x14ac:dyDescent="0.25">
      <c r="B102" s="14" t="s">
        <v>108</v>
      </c>
      <c r="C102" s="16">
        <f>-(D58-C58)</f>
        <v>-590.625</v>
      </c>
      <c r="D102" s="16">
        <f t="shared" ref="D102:M102" si="50">-(E58-D58)</f>
        <v>0</v>
      </c>
      <c r="E102" s="16">
        <f t="shared" si="50"/>
        <v>0</v>
      </c>
      <c r="F102" s="16">
        <f t="shared" si="50"/>
        <v>0</v>
      </c>
      <c r="G102" s="16">
        <f t="shared" si="50"/>
        <v>0</v>
      </c>
      <c r="H102" s="16">
        <f t="shared" si="50"/>
        <v>0</v>
      </c>
      <c r="I102" s="16">
        <f t="shared" si="50"/>
        <v>0</v>
      </c>
      <c r="J102" s="16">
        <f t="shared" si="50"/>
        <v>0</v>
      </c>
      <c r="K102" s="16">
        <f t="shared" si="50"/>
        <v>0</v>
      </c>
      <c r="L102" s="16">
        <f t="shared" si="50"/>
        <v>0</v>
      </c>
      <c r="M102" s="16">
        <f t="shared" si="50"/>
        <v>590.625</v>
      </c>
    </row>
    <row r="103" spans="1:31" ht="15.75" customHeight="1" x14ac:dyDescent="0.25">
      <c r="B103" s="14" t="s">
        <v>36</v>
      </c>
      <c r="C103" s="16">
        <f t="shared" ref="C103:M103" si="51">-(D59-C59)</f>
        <v>0</v>
      </c>
      <c r="D103" s="16">
        <f t="shared" si="51"/>
        <v>0</v>
      </c>
      <c r="E103" s="16">
        <f t="shared" si="51"/>
        <v>0</v>
      </c>
      <c r="F103" s="16">
        <f t="shared" si="51"/>
        <v>0</v>
      </c>
      <c r="G103" s="16">
        <f t="shared" si="51"/>
        <v>-143877</v>
      </c>
      <c r="H103" s="16">
        <f t="shared" si="51"/>
        <v>-125846</v>
      </c>
      <c r="I103" s="16">
        <f t="shared" si="51"/>
        <v>-108366</v>
      </c>
      <c r="J103" s="16">
        <f t="shared" si="51"/>
        <v>-93129</v>
      </c>
      <c r="K103" s="16">
        <f t="shared" si="51"/>
        <v>-80657</v>
      </c>
      <c r="L103" s="16">
        <f t="shared" si="51"/>
        <v>-69487</v>
      </c>
      <c r="M103" s="16">
        <f t="shared" si="51"/>
        <v>621362</v>
      </c>
    </row>
    <row r="104" spans="1:31" ht="15.75" customHeight="1" x14ac:dyDescent="0.25">
      <c r="B104" s="14" t="s">
        <v>37</v>
      </c>
      <c r="C104" s="16">
        <f t="shared" ref="C104:M104" si="52">-(D60-C60)</f>
        <v>-2265.4109589041095</v>
      </c>
      <c r="D104" s="16">
        <f t="shared" si="52"/>
        <v>-162.47244220890389</v>
      </c>
      <c r="E104" s="16">
        <f t="shared" si="52"/>
        <v>679.33391504842666</v>
      </c>
      <c r="F104" s="16">
        <f t="shared" si="52"/>
        <v>-393.11139338487692</v>
      </c>
      <c r="G104" s="16">
        <f t="shared" si="52"/>
        <v>550.28191580054431</v>
      </c>
      <c r="H104" s="16">
        <f t="shared" si="52"/>
        <v>174.49317319202396</v>
      </c>
      <c r="I104" s="16">
        <f t="shared" si="52"/>
        <v>337.06138637424624</v>
      </c>
      <c r="J104" s="16">
        <f t="shared" si="52"/>
        <v>-0.29245244277217353</v>
      </c>
      <c r="K104" s="16">
        <f t="shared" si="52"/>
        <v>352.49420734697026</v>
      </c>
      <c r="L104" s="16">
        <f t="shared" si="52"/>
        <v>132.13379255904829</v>
      </c>
      <c r="M104" s="16">
        <f t="shared" si="52"/>
        <v>595.48885661940278</v>
      </c>
    </row>
    <row r="105" spans="1:31" ht="15.75" customHeight="1" x14ac:dyDescent="0.25">
      <c r="B105" s="14" t="s">
        <v>109</v>
      </c>
      <c r="C105" s="16">
        <f t="shared" ref="C105:M105" si="53">-(D61-C61)</f>
        <v>-1941.7808219178085</v>
      </c>
      <c r="D105" s="16">
        <f t="shared" si="53"/>
        <v>387.93544520547971</v>
      </c>
      <c r="E105" s="16">
        <f t="shared" si="53"/>
        <v>94.738322581335524</v>
      </c>
      <c r="F105" s="16">
        <f t="shared" si="53"/>
        <v>180.9094498881384</v>
      </c>
      <c r="G105" s="16">
        <f t="shared" si="53"/>
        <v>252.25365698201313</v>
      </c>
      <c r="H105" s="16">
        <f t="shared" si="53"/>
        <v>206.2992571905387</v>
      </c>
      <c r="I105" s="16">
        <f t="shared" si="53"/>
        <v>82.62168410912966</v>
      </c>
      <c r="J105" s="16">
        <f t="shared" si="53"/>
        <v>149.20430853237247</v>
      </c>
      <c r="K105" s="16">
        <f t="shared" si="53"/>
        <v>109.03669450618366</v>
      </c>
      <c r="L105" s="16">
        <f t="shared" si="53"/>
        <v>79.088802107779941</v>
      </c>
      <c r="M105" s="16">
        <f t="shared" si="53"/>
        <v>399.69320081483727</v>
      </c>
      <c r="Q105" s="37" t="s">
        <v>125</v>
      </c>
      <c r="R105" s="34"/>
      <c r="S105" s="34"/>
      <c r="T105" s="34"/>
      <c r="U105" s="34"/>
      <c r="V105" s="34"/>
      <c r="W105" s="34"/>
      <c r="X105" s="34"/>
      <c r="Y105" s="34"/>
      <c r="Z105" s="34"/>
      <c r="AA105" s="34"/>
      <c r="AB105" s="34"/>
      <c r="AC105" s="34"/>
      <c r="AD105" s="34"/>
      <c r="AE105" s="34"/>
    </row>
    <row r="106" spans="1:31" ht="15.75" customHeight="1" x14ac:dyDescent="0.25">
      <c r="B106" s="14" t="s">
        <v>110</v>
      </c>
      <c r="C106" s="16">
        <f t="shared" ref="C106:M106" si="54">D73-C73</f>
        <v>215.75342465753425</v>
      </c>
      <c r="D106" s="16">
        <f t="shared" si="54"/>
        <v>-15.973304794520573</v>
      </c>
      <c r="E106" s="16">
        <f t="shared" si="54"/>
        <v>-9.4618084546232808</v>
      </c>
      <c r="F106" s="16">
        <f t="shared" si="54"/>
        <v>-35.30285727681013</v>
      </c>
      <c r="G106" s="16">
        <f t="shared" si="54"/>
        <v>-33.767533091662614</v>
      </c>
      <c r="H106" s="16">
        <f t="shared" si="54"/>
        <v>-25.289518299979747</v>
      </c>
      <c r="I106" s="16">
        <f t="shared" si="54"/>
        <v>-11.972060200176287</v>
      </c>
      <c r="J106" s="16">
        <f t="shared" si="54"/>
        <v>-10.509005361161528</v>
      </c>
      <c r="K106" s="16">
        <f t="shared" si="54"/>
        <v>-9.2197525758277976</v>
      </c>
      <c r="L106" s="16">
        <f t="shared" si="54"/>
        <v>-11.3252417921587</v>
      </c>
      <c r="M106" s="16">
        <f t="shared" si="54"/>
        <v>-52.932342810613598</v>
      </c>
      <c r="Q106" s="33" t="s">
        <v>128</v>
      </c>
      <c r="R106" s="34"/>
      <c r="S106" s="34"/>
      <c r="T106" s="34"/>
      <c r="U106" s="34"/>
      <c r="V106" s="34"/>
      <c r="W106" s="34"/>
      <c r="X106" s="34"/>
      <c r="Y106" s="34"/>
      <c r="Z106" s="34"/>
      <c r="AA106" s="34"/>
      <c r="AB106" s="34"/>
      <c r="AC106" s="34"/>
      <c r="AD106" s="34"/>
      <c r="AE106" s="34"/>
    </row>
    <row r="107" spans="1:31" ht="15.75" customHeight="1" x14ac:dyDescent="0.25">
      <c r="B107" s="14" t="s">
        <v>121</v>
      </c>
      <c r="C107" s="16">
        <f>D74-C74</f>
        <v>67958.244901546132</v>
      </c>
      <c r="D107" s="16">
        <f t="shared" ref="D107:M107" si="55">E74-D74</f>
        <v>-9079.7897022362595</v>
      </c>
      <c r="E107" s="16">
        <f t="shared" si="55"/>
        <v>-7585.7605940643552</v>
      </c>
      <c r="F107" s="16">
        <f t="shared" si="55"/>
        <v>-5996.7446801553451</v>
      </c>
      <c r="G107" s="16">
        <f t="shared" si="55"/>
        <v>-7723.9138274503275</v>
      </c>
      <c r="H107" s="16">
        <f t="shared" si="55"/>
        <v>-6733.3880141857335</v>
      </c>
      <c r="I107" s="16">
        <f t="shared" si="55"/>
        <v>-5832.5876305282618</v>
      </c>
      <c r="J107" s="16">
        <f t="shared" si="55"/>
        <v>-5053.7575637241316</v>
      </c>
      <c r="K107" s="16">
        <f t="shared" si="55"/>
        <v>-4380.3294148512105</v>
      </c>
      <c r="L107" s="16">
        <f t="shared" si="55"/>
        <v>-3797.9828050951619</v>
      </c>
      <c r="M107" s="16">
        <f t="shared" si="55"/>
        <v>-11773.990669255345</v>
      </c>
      <c r="Q107" s="33" t="s">
        <v>129</v>
      </c>
      <c r="R107" s="34"/>
      <c r="S107" s="34"/>
      <c r="T107" s="34"/>
      <c r="U107" s="34"/>
      <c r="V107" s="34"/>
      <c r="W107" s="34"/>
      <c r="X107" s="34"/>
      <c r="Y107" s="34"/>
      <c r="Z107" s="34"/>
      <c r="AA107" s="34"/>
      <c r="AB107" s="34"/>
      <c r="AC107" s="34"/>
      <c r="AD107" s="34"/>
      <c r="AE107" s="34"/>
    </row>
    <row r="108" spans="1:31" ht="15.75" customHeight="1" x14ac:dyDescent="0.25">
      <c r="B108" s="14" t="s">
        <v>163</v>
      </c>
      <c r="C108" s="16">
        <f>D97-C97</f>
        <v>53192.619901546139</v>
      </c>
      <c r="D108" s="16">
        <f t="shared" ref="D108:M108" si="56">E97-D97</f>
        <v>-6973.8424366112667</v>
      </c>
      <c r="E108" s="16">
        <f t="shared" si="56"/>
        <v>-5780.1740571991177</v>
      </c>
      <c r="F108" s="16">
        <f t="shared" si="56"/>
        <v>-4448.6799231105106</v>
      </c>
      <c r="G108" s="16">
        <f t="shared" si="56"/>
        <v>-6396.6418063790115</v>
      </c>
      <c r="H108" s="16">
        <f t="shared" si="56"/>
        <v>-5595.4181651197214</v>
      </c>
      <c r="I108" s="16">
        <f t="shared" si="56"/>
        <v>-4856.9207311852952</v>
      </c>
      <c r="J108" s="16">
        <f t="shared" si="56"/>
        <v>-4217.2451558999437</v>
      </c>
      <c r="K108" s="16">
        <f t="shared" si="56"/>
        <v>-3663.1245891929502</v>
      </c>
      <c r="L108" s="16">
        <f t="shared" si="56"/>
        <v>-3183.0693176964123</v>
      </c>
      <c r="M108" s="16">
        <f t="shared" si="56"/>
        <v>-8077.5037191519095</v>
      </c>
      <c r="Q108" s="33"/>
      <c r="R108" s="34"/>
      <c r="S108" s="34"/>
      <c r="T108" s="34"/>
      <c r="U108" s="34"/>
      <c r="V108" s="34"/>
      <c r="W108" s="34"/>
      <c r="X108" s="34"/>
      <c r="Y108" s="34"/>
      <c r="Z108" s="34"/>
      <c r="AA108" s="34"/>
      <c r="AB108" s="34"/>
      <c r="AC108" s="34"/>
      <c r="AD108" s="34"/>
      <c r="AE108" s="34"/>
    </row>
    <row r="109" spans="1:31" s="45" customFormat="1" ht="15.75" customHeight="1" x14ac:dyDescent="0.25"/>
    <row r="110" spans="1:31" ht="15.75" customHeight="1" x14ac:dyDescent="0.25">
      <c r="A110" s="14" t="s">
        <v>111</v>
      </c>
      <c r="P110" s="14" t="s">
        <v>124</v>
      </c>
    </row>
    <row r="111" spans="1:31" ht="15.75" customHeight="1" x14ac:dyDescent="0.25">
      <c r="B111" s="14" t="s">
        <v>40</v>
      </c>
      <c r="C111" s="16">
        <f t="shared" ref="C111:M111" si="57">-(D64-C64)</f>
        <v>-300000</v>
      </c>
      <c r="D111" s="16">
        <f t="shared" si="57"/>
        <v>0</v>
      </c>
      <c r="E111" s="16">
        <f t="shared" si="57"/>
        <v>0</v>
      </c>
      <c r="F111" s="16">
        <f t="shared" si="57"/>
        <v>0</v>
      </c>
      <c r="G111" s="16">
        <f t="shared" si="57"/>
        <v>0</v>
      </c>
      <c r="H111" s="16">
        <f t="shared" si="57"/>
        <v>0</v>
      </c>
      <c r="I111" s="16">
        <f t="shared" si="57"/>
        <v>0</v>
      </c>
      <c r="J111" s="16">
        <f t="shared" si="57"/>
        <v>0</v>
      </c>
      <c r="K111" s="16">
        <f t="shared" si="57"/>
        <v>0</v>
      </c>
      <c r="L111" s="16">
        <f t="shared" si="57"/>
        <v>0</v>
      </c>
      <c r="M111" s="16">
        <f t="shared" si="57"/>
        <v>300000</v>
      </c>
      <c r="N111" s="14" t="s">
        <v>122</v>
      </c>
      <c r="O111" s="16">
        <f>M111</f>
        <v>300000</v>
      </c>
      <c r="P111" s="46">
        <f>M18</f>
        <v>0.23586977746354221</v>
      </c>
    </row>
    <row r="112" spans="1:31" ht="15.75" customHeight="1" x14ac:dyDescent="0.25">
      <c r="B112" s="14" t="s">
        <v>112</v>
      </c>
      <c r="M112" s="16">
        <v>30000</v>
      </c>
      <c r="N112" s="14" t="s">
        <v>123</v>
      </c>
      <c r="O112" s="16">
        <f>O111-M111+M112</f>
        <v>30000</v>
      </c>
    </row>
    <row r="113" spans="1:31" ht="15.75" customHeight="1" x14ac:dyDescent="0.25">
      <c r="B113" s="14" t="s">
        <v>113</v>
      </c>
      <c r="M113" s="16">
        <f>-O112*P111</f>
        <v>-7076.0933239062661</v>
      </c>
    </row>
    <row r="115" spans="1:31" ht="15.75" customHeight="1" x14ac:dyDescent="0.25">
      <c r="B115" s="14" t="s">
        <v>114</v>
      </c>
      <c r="C115" s="16">
        <f t="shared" ref="C115:M115" si="58">-(D65-C65)</f>
        <v>-456610</v>
      </c>
      <c r="D115" s="16">
        <f t="shared" si="58"/>
        <v>0</v>
      </c>
      <c r="E115" s="16">
        <f t="shared" si="58"/>
        <v>0</v>
      </c>
      <c r="F115" s="16">
        <f t="shared" si="58"/>
        <v>0</v>
      </c>
      <c r="G115" s="16">
        <f t="shared" si="58"/>
        <v>0</v>
      </c>
      <c r="H115" s="16">
        <f t="shared" si="58"/>
        <v>0</v>
      </c>
      <c r="I115" s="16">
        <f t="shared" si="58"/>
        <v>0</v>
      </c>
      <c r="J115" s="16">
        <f t="shared" si="58"/>
        <v>0</v>
      </c>
      <c r="K115" s="16">
        <f t="shared" si="58"/>
        <v>0</v>
      </c>
      <c r="L115" s="16">
        <f t="shared" si="58"/>
        <v>0</v>
      </c>
      <c r="M115" s="16">
        <f t="shared" si="58"/>
        <v>456610</v>
      </c>
      <c r="N115" s="14" t="s">
        <v>122</v>
      </c>
      <c r="O115" s="16">
        <f>M115-M66</f>
        <v>242239.10798122062</v>
      </c>
    </row>
    <row r="116" spans="1:31" ht="15.75" customHeight="1" x14ac:dyDescent="0.25">
      <c r="B116" s="14" t="s">
        <v>112</v>
      </c>
      <c r="M116" s="16">
        <f>M115*0.05</f>
        <v>22830.5</v>
      </c>
      <c r="N116" s="14" t="s">
        <v>123</v>
      </c>
      <c r="O116" s="47">
        <f>M115+M116-O115</f>
        <v>237201.39201877938</v>
      </c>
    </row>
    <row r="117" spans="1:31" ht="15.75" customHeight="1" x14ac:dyDescent="0.25">
      <c r="B117" s="14" t="s">
        <v>113</v>
      </c>
      <c r="M117" s="15">
        <f>-(O116*P111)</f>
        <v>-55948.639549511929</v>
      </c>
    </row>
    <row r="118" spans="1:31" ht="15.75" customHeight="1" x14ac:dyDescent="0.25">
      <c r="M118" s="15"/>
      <c r="Q118" s="37" t="s">
        <v>126</v>
      </c>
      <c r="R118" s="37"/>
      <c r="S118" s="37"/>
      <c r="T118" s="34"/>
      <c r="U118" s="34"/>
      <c r="V118" s="34"/>
      <c r="W118" s="34"/>
      <c r="X118" s="34"/>
      <c r="Y118" s="34"/>
      <c r="Z118" s="34"/>
      <c r="AA118" s="34"/>
      <c r="AB118" s="34"/>
      <c r="AC118" s="34"/>
      <c r="AD118" s="34"/>
      <c r="AE118" s="34"/>
    </row>
    <row r="119" spans="1:31" ht="15.75" customHeight="1" x14ac:dyDescent="0.25">
      <c r="B119" s="14" t="s">
        <v>43</v>
      </c>
      <c r="C119" s="16">
        <f t="shared" ref="C119:M119" si="59">-(D67-C67)</f>
        <v>-365000</v>
      </c>
      <c r="D119" s="16">
        <f t="shared" si="59"/>
        <v>0</v>
      </c>
      <c r="E119" s="16">
        <f t="shared" si="59"/>
        <v>0</v>
      </c>
      <c r="F119" s="16">
        <f t="shared" si="59"/>
        <v>0</v>
      </c>
      <c r="G119" s="16">
        <f t="shared" si="59"/>
        <v>0</v>
      </c>
      <c r="H119" s="16">
        <f t="shared" si="59"/>
        <v>0</v>
      </c>
      <c r="I119" s="16">
        <f t="shared" si="59"/>
        <v>0</v>
      </c>
      <c r="J119" s="16">
        <f t="shared" si="59"/>
        <v>0</v>
      </c>
      <c r="K119" s="16">
        <f t="shared" si="59"/>
        <v>0</v>
      </c>
      <c r="L119" s="16">
        <f t="shared" si="59"/>
        <v>0</v>
      </c>
      <c r="M119" s="16">
        <f t="shared" si="59"/>
        <v>365000</v>
      </c>
      <c r="N119" s="14" t="s">
        <v>122</v>
      </c>
      <c r="O119" s="16">
        <f>M119-M68</f>
        <v>121666.66666666663</v>
      </c>
      <c r="Q119" s="33" t="s">
        <v>130</v>
      </c>
      <c r="R119" s="37"/>
      <c r="S119" s="34"/>
      <c r="T119" s="34"/>
      <c r="U119" s="34"/>
      <c r="V119" s="34"/>
      <c r="W119" s="34"/>
      <c r="X119" s="34"/>
      <c r="Y119" s="34"/>
      <c r="Z119" s="34"/>
      <c r="AA119" s="34"/>
      <c r="AB119" s="34"/>
      <c r="AC119" s="34"/>
      <c r="AD119" s="34"/>
      <c r="AE119" s="34"/>
    </row>
    <row r="120" spans="1:31" ht="15.75" customHeight="1" x14ac:dyDescent="0.25">
      <c r="B120" s="14" t="s">
        <v>112</v>
      </c>
      <c r="M120" s="15">
        <f>-M119*0.5</f>
        <v>-182500</v>
      </c>
      <c r="N120" s="14" t="s">
        <v>123</v>
      </c>
      <c r="O120" s="47">
        <f>M119+M120-O119</f>
        <v>60833.333333333372</v>
      </c>
      <c r="Q120" s="33" t="s">
        <v>157</v>
      </c>
      <c r="R120" s="37"/>
      <c r="S120" s="34"/>
      <c r="T120" s="34"/>
      <c r="U120" s="34"/>
      <c r="V120" s="34"/>
      <c r="W120" s="34"/>
      <c r="X120" s="34"/>
      <c r="Y120" s="34"/>
      <c r="Z120" s="34"/>
      <c r="AA120" s="34"/>
      <c r="AB120" s="34"/>
      <c r="AC120" s="34"/>
      <c r="AD120" s="34"/>
      <c r="AE120" s="34"/>
    </row>
    <row r="121" spans="1:31" ht="15.75" customHeight="1" x14ac:dyDescent="0.25">
      <c r="B121" s="14" t="s">
        <v>113</v>
      </c>
      <c r="M121" s="15">
        <f>-O120*P111</f>
        <v>-14348.744795698827</v>
      </c>
      <c r="Q121" s="33" t="s">
        <v>158</v>
      </c>
      <c r="R121" s="37"/>
      <c r="S121" s="34"/>
      <c r="T121" s="34"/>
      <c r="U121" s="34"/>
      <c r="V121" s="34"/>
      <c r="W121" s="34"/>
      <c r="X121" s="34"/>
      <c r="Y121" s="34"/>
      <c r="Z121" s="34"/>
      <c r="AA121" s="34"/>
      <c r="AB121" s="34"/>
      <c r="AC121" s="34"/>
      <c r="AD121" s="34"/>
      <c r="AE121" s="34"/>
    </row>
    <row r="122" spans="1:31" ht="15.75" customHeight="1" x14ac:dyDescent="0.25">
      <c r="Q122" s="33" t="s">
        <v>159</v>
      </c>
      <c r="R122" s="34"/>
      <c r="S122" s="34"/>
      <c r="T122" s="34"/>
      <c r="U122" s="34"/>
      <c r="V122" s="34"/>
      <c r="W122" s="34"/>
      <c r="X122" s="34"/>
      <c r="Y122" s="34"/>
      <c r="Z122" s="34"/>
      <c r="AA122" s="34"/>
      <c r="AB122" s="34"/>
      <c r="AC122" s="34"/>
      <c r="AD122" s="34"/>
      <c r="AE122" s="34"/>
    </row>
    <row r="123" spans="1:31" ht="15.75" customHeight="1" x14ac:dyDescent="0.25">
      <c r="A123" s="14" t="s">
        <v>115</v>
      </c>
      <c r="C123" s="14">
        <v>-401636</v>
      </c>
    </row>
    <row r="125" spans="1:31" ht="15.75" customHeight="1" x14ac:dyDescent="0.25">
      <c r="A125" s="36" t="s">
        <v>116</v>
      </c>
      <c r="C125" s="16">
        <f t="shared" ref="C125:M125" si="60">SUM(C98:C123)</f>
        <v>-1406677.1985530721</v>
      </c>
      <c r="D125" s="16">
        <f t="shared" si="60"/>
        <v>218518.29610913843</v>
      </c>
      <c r="E125" s="16">
        <f t="shared" si="60"/>
        <v>197035.67296152838</v>
      </c>
      <c r="F125" s="16">
        <f t="shared" si="60"/>
        <v>178450.72339496226</v>
      </c>
      <c r="G125" s="16">
        <f t="shared" si="60"/>
        <v>14522.564222537796</v>
      </c>
      <c r="H125" s="16">
        <f t="shared" si="60"/>
        <v>10222.279035973959</v>
      </c>
      <c r="I125" s="16">
        <f t="shared" si="60"/>
        <v>8997.8975668038656</v>
      </c>
      <c r="J125" s="16">
        <f t="shared" si="60"/>
        <v>7977.2880130823414</v>
      </c>
      <c r="K125" s="16">
        <f t="shared" si="60"/>
        <v>7141.246706205724</v>
      </c>
      <c r="L125" s="16">
        <f t="shared" si="60"/>
        <v>6459.7364356958406</v>
      </c>
      <c r="M125" s="16">
        <f t="shared" si="60"/>
        <v>1589548.9285450543</v>
      </c>
    </row>
    <row r="126" spans="1:31" ht="15.75" customHeight="1" x14ac:dyDescent="0.25">
      <c r="A126" s="36" t="s">
        <v>117</v>
      </c>
      <c r="C126" s="22">
        <f>S88</f>
        <v>6.5526509994383322E-2</v>
      </c>
    </row>
    <row r="127" spans="1:31" ht="15.75" customHeight="1" x14ac:dyDescent="0.25">
      <c r="A127" s="36" t="s">
        <v>118</v>
      </c>
      <c r="C127" s="22">
        <f>IRR(C125:M125)</f>
        <v>6.5526487609151252E-2</v>
      </c>
    </row>
    <row r="128" spans="1:31" ht="15.75" customHeight="1" x14ac:dyDescent="0.25">
      <c r="A128" s="36" t="s">
        <v>119</v>
      </c>
      <c r="C128" s="16">
        <f>NPV(C126,D125:M125)+C125</f>
        <v>-0.20258814143016934</v>
      </c>
    </row>
  </sheetData>
  <mergeCells count="51">
    <mergeCell ref="A60:B60"/>
    <mergeCell ref="A61:B61"/>
    <mergeCell ref="A31:B31"/>
    <mergeCell ref="A32:B32"/>
    <mergeCell ref="A33:B33"/>
    <mergeCell ref="A35:B35"/>
    <mergeCell ref="A37:B37"/>
    <mergeCell ref="A59:B59"/>
    <mergeCell ref="A56:B56"/>
    <mergeCell ref="A58:B58"/>
    <mergeCell ref="A52:B52"/>
    <mergeCell ref="A53:B53"/>
    <mergeCell ref="A39:B39"/>
    <mergeCell ref="A10:B10"/>
    <mergeCell ref="A14:B14"/>
    <mergeCell ref="H13:J13"/>
    <mergeCell ref="A13:B13"/>
    <mergeCell ref="A12:B12"/>
    <mergeCell ref="A50:B50"/>
    <mergeCell ref="A44:B44"/>
    <mergeCell ref="A1:B1"/>
    <mergeCell ref="A8:B8"/>
    <mergeCell ref="A6:B6"/>
    <mergeCell ref="A7:B7"/>
    <mergeCell ref="A42:B42"/>
    <mergeCell ref="A19:B19"/>
    <mergeCell ref="A15:B15"/>
    <mergeCell ref="A16:B16"/>
    <mergeCell ref="A28:B28"/>
    <mergeCell ref="A29:B29"/>
    <mergeCell ref="A30:B30"/>
    <mergeCell ref="A18:B18"/>
    <mergeCell ref="A4:B4"/>
    <mergeCell ref="A5:B5"/>
    <mergeCell ref="A77:B77"/>
    <mergeCell ref="A78:B78"/>
    <mergeCell ref="A62:B62"/>
    <mergeCell ref="A68:B68"/>
    <mergeCell ref="A69:B69"/>
    <mergeCell ref="A71:B71"/>
    <mergeCell ref="A67:B67"/>
    <mergeCell ref="A73:B73"/>
    <mergeCell ref="A74:B74"/>
    <mergeCell ref="A75:B75"/>
    <mergeCell ref="A79:B79"/>
    <mergeCell ref="A83:B83"/>
    <mergeCell ref="A85:B85"/>
    <mergeCell ref="A87:B87"/>
    <mergeCell ref="A89:D89"/>
    <mergeCell ref="A81:B81"/>
    <mergeCell ref="A82:B8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C99B9-57CD-4EC2-8E6B-1BD6CA42729E}">
  <dimension ref="A1:N36"/>
  <sheetViews>
    <sheetView workbookViewId="0">
      <selection activeCell="E10" sqref="E10"/>
    </sheetView>
  </sheetViews>
  <sheetFormatPr defaultRowHeight="12.75" x14ac:dyDescent="0.2"/>
  <cols>
    <col min="2" max="2" width="9.28515625" bestFit="1" customWidth="1"/>
    <col min="3" max="3" width="15" bestFit="1" customWidth="1"/>
    <col min="4" max="4" width="16.5703125" bestFit="1" customWidth="1"/>
    <col min="5" max="7" width="14.140625" bestFit="1" customWidth="1"/>
    <col min="8" max="9" width="12.85546875" bestFit="1" customWidth="1"/>
    <col min="10" max="12" width="11.7109375" bestFit="1" customWidth="1"/>
    <col min="13" max="13" width="12.7109375" bestFit="1" customWidth="1"/>
    <col min="14" max="14" width="14" bestFit="1" customWidth="1"/>
  </cols>
  <sheetData>
    <row r="1" spans="1:14" ht="15.75" x14ac:dyDescent="0.25">
      <c r="A1" s="11" t="s">
        <v>116</v>
      </c>
      <c r="B1" s="14"/>
      <c r="C1" s="14"/>
      <c r="D1" s="14"/>
      <c r="E1" s="14"/>
      <c r="F1" s="14"/>
      <c r="G1" s="14"/>
      <c r="H1" s="14"/>
      <c r="I1" s="14"/>
      <c r="J1" s="14"/>
      <c r="K1" s="14"/>
      <c r="L1" s="14"/>
      <c r="M1" s="14"/>
    </row>
    <row r="2" spans="1:14" ht="15.75" x14ac:dyDescent="0.25">
      <c r="A2" s="12">
        <v>2018</v>
      </c>
      <c r="B2" s="78">
        <v>2019</v>
      </c>
      <c r="C2" s="12">
        <v>2020</v>
      </c>
      <c r="D2" s="78">
        <v>2021</v>
      </c>
      <c r="E2" s="12">
        <v>2022</v>
      </c>
      <c r="F2" s="78">
        <v>2023</v>
      </c>
      <c r="G2" s="12">
        <v>2024</v>
      </c>
      <c r="H2" s="78">
        <v>2025</v>
      </c>
      <c r="I2" s="12">
        <v>2026</v>
      </c>
      <c r="J2" s="78">
        <v>2027</v>
      </c>
      <c r="K2" s="12">
        <v>2028</v>
      </c>
      <c r="L2" s="78">
        <v>2029</v>
      </c>
      <c r="M2" s="12">
        <v>2030</v>
      </c>
      <c r="N2" s="14"/>
    </row>
    <row r="3" spans="1:14" ht="15.75" x14ac:dyDescent="0.25">
      <c r="A3" s="76">
        <v>0</v>
      </c>
      <c r="B3" s="15">
        <v>0</v>
      </c>
      <c r="C3" s="13">
        <v>0</v>
      </c>
      <c r="D3" s="15">
        <v>218518.29610913843</v>
      </c>
      <c r="E3" s="15">
        <v>197035.67296152838</v>
      </c>
      <c r="F3" s="15">
        <v>178450.72339496226</v>
      </c>
      <c r="G3" s="15">
        <v>14522.564222537796</v>
      </c>
      <c r="H3" s="15">
        <v>10222.279035973959</v>
      </c>
      <c r="I3" s="15">
        <v>8997.8975668038656</v>
      </c>
      <c r="J3" s="15">
        <v>7977.2880130823414</v>
      </c>
      <c r="K3" s="15">
        <v>7141.246706205724</v>
      </c>
      <c r="L3" s="15">
        <v>6459.7364356958406</v>
      </c>
      <c r="M3" s="15">
        <v>1589548.9285450543</v>
      </c>
      <c r="N3" s="14"/>
    </row>
    <row r="4" spans="1:14" ht="15.75" x14ac:dyDescent="0.25">
      <c r="A4" s="69" t="s">
        <v>119</v>
      </c>
      <c r="B4" s="12"/>
      <c r="C4" s="75">
        <f>NPV(C5,B3:M3)</f>
        <v>1238984.4811880821</v>
      </c>
      <c r="F4" s="70"/>
      <c r="G4" s="70"/>
      <c r="H4" s="70"/>
      <c r="I4" s="15"/>
      <c r="J4" s="15"/>
      <c r="K4" s="15"/>
      <c r="L4" s="15"/>
      <c r="M4" s="15"/>
    </row>
    <row r="5" spans="1:14" ht="15.75" x14ac:dyDescent="0.25">
      <c r="A5" s="12" t="s">
        <v>117</v>
      </c>
      <c r="B5" s="14"/>
      <c r="C5" s="77">
        <f>Financials!C126</f>
        <v>6.5526509994383322E-2</v>
      </c>
      <c r="D5" s="12"/>
      <c r="E5" s="70"/>
      <c r="F5" s="70"/>
      <c r="G5" s="70"/>
      <c r="H5" s="70"/>
      <c r="I5" s="15"/>
      <c r="J5" s="15"/>
      <c r="K5" s="15"/>
      <c r="L5" s="15"/>
      <c r="M5" s="15"/>
    </row>
    <row r="6" spans="1:14" ht="15.75" x14ac:dyDescent="0.25">
      <c r="A6" s="12" t="s">
        <v>185</v>
      </c>
      <c r="B6" s="14"/>
      <c r="C6" s="15">
        <v>-1406677.1985530721</v>
      </c>
      <c r="D6" s="12"/>
      <c r="E6" s="12"/>
      <c r="F6" s="12"/>
      <c r="G6" s="12"/>
      <c r="H6" s="12"/>
      <c r="I6" s="16"/>
      <c r="J6" s="16"/>
      <c r="K6" s="16"/>
      <c r="L6" s="16"/>
      <c r="M6" s="16"/>
    </row>
    <row r="7" spans="1:14" ht="15.75" x14ac:dyDescent="0.25">
      <c r="A7" s="12"/>
      <c r="B7" s="14"/>
      <c r="C7" s="15"/>
      <c r="D7" s="12"/>
      <c r="E7" s="12"/>
      <c r="F7" s="12"/>
      <c r="G7" s="12"/>
      <c r="H7" s="12"/>
      <c r="I7" s="16"/>
      <c r="J7" s="16"/>
      <c r="K7" s="16"/>
      <c r="L7" s="16"/>
      <c r="M7" s="16"/>
    </row>
    <row r="8" spans="1:14" ht="15.75" x14ac:dyDescent="0.25">
      <c r="A8" s="12"/>
      <c r="B8" s="14"/>
      <c r="C8" s="12"/>
      <c r="D8" s="12"/>
      <c r="E8" s="12"/>
      <c r="F8" s="12"/>
      <c r="G8" s="12"/>
      <c r="H8" s="12"/>
      <c r="I8" s="14"/>
      <c r="J8" s="14"/>
      <c r="K8" s="14"/>
      <c r="L8" s="14"/>
      <c r="M8" s="14"/>
    </row>
    <row r="9" spans="1:14" ht="15.75" x14ac:dyDescent="0.25">
      <c r="A9" s="12"/>
      <c r="B9" s="14"/>
      <c r="C9" s="71" t="s">
        <v>179</v>
      </c>
      <c r="D9" s="71" t="s">
        <v>180</v>
      </c>
      <c r="E9" s="71" t="s">
        <v>181</v>
      </c>
      <c r="F9" s="71" t="s">
        <v>182</v>
      </c>
      <c r="G9" s="71" t="s">
        <v>183</v>
      </c>
      <c r="H9" s="71" t="s">
        <v>184</v>
      </c>
      <c r="I9" s="14"/>
      <c r="J9" s="14"/>
      <c r="K9" s="14"/>
      <c r="L9" s="14"/>
      <c r="M9" s="14"/>
    </row>
    <row r="10" spans="1:14" ht="15.75" x14ac:dyDescent="0.25">
      <c r="A10" s="12"/>
      <c r="B10" s="14"/>
      <c r="C10" s="79">
        <f>C4</f>
        <v>1238984.4811880821</v>
      </c>
      <c r="D10" s="72">
        <f>-C6</f>
        <v>1406677.1985530721</v>
      </c>
      <c r="E10" s="71">
        <v>2</v>
      </c>
      <c r="F10" s="73">
        <v>0.3</v>
      </c>
      <c r="G10" s="73">
        <f>Financials!P67</f>
        <v>0.03</v>
      </c>
      <c r="H10" s="74">
        <f>(C10*_xlfn.NORM.DIST((LN(C10/D10)+(G10+((F10^2)/2))*E10)/(F10*SQRT(E10)),0,1,TRUE))-((D10*EXP(-G10*E10))*_xlfn.NORM.DIST((LN(C10/D10)+(G10+((F10^2)/2))*E10)/(F10*SQRT(E10))-(F10*(SQRT(E10))),0,1,TRUE))</f>
        <v>175095.83665146516</v>
      </c>
      <c r="I10" s="14"/>
      <c r="J10" s="14"/>
      <c r="K10" s="14"/>
      <c r="L10" s="14"/>
      <c r="M10" s="14"/>
    </row>
    <row r="11" spans="1:14" ht="15.75" x14ac:dyDescent="0.25">
      <c r="A11" s="11"/>
      <c r="B11" s="14"/>
      <c r="C11" s="14"/>
      <c r="D11" s="14"/>
      <c r="E11" s="14"/>
      <c r="F11" s="14"/>
      <c r="G11" s="14"/>
      <c r="H11" s="14"/>
      <c r="I11" s="14"/>
      <c r="J11" s="14"/>
      <c r="K11" s="14"/>
      <c r="L11" s="14"/>
      <c r="M11" s="14"/>
    </row>
    <row r="12" spans="1:14" ht="15.75" x14ac:dyDescent="0.25">
      <c r="A12" s="12"/>
      <c r="B12" s="14"/>
      <c r="C12" s="15"/>
      <c r="D12" s="15"/>
      <c r="E12" s="15"/>
      <c r="F12" s="15"/>
      <c r="G12" s="15"/>
      <c r="H12" s="15"/>
      <c r="I12" s="15"/>
      <c r="J12" s="15"/>
      <c r="K12" s="15"/>
      <c r="L12" s="15"/>
      <c r="M12" s="15"/>
    </row>
    <row r="13" spans="1:14" ht="15.75" x14ac:dyDescent="0.25">
      <c r="A13" s="12"/>
      <c r="B13" s="14"/>
      <c r="C13" s="14"/>
      <c r="D13" s="14"/>
      <c r="E13" s="14"/>
      <c r="F13" s="14"/>
      <c r="G13" s="14"/>
      <c r="H13" s="15"/>
      <c r="I13" s="15"/>
      <c r="J13" s="15"/>
      <c r="K13" s="15"/>
      <c r="L13" s="15"/>
      <c r="M13" s="15"/>
    </row>
    <row r="14" spans="1:14" ht="15.75" x14ac:dyDescent="0.25">
      <c r="A14" s="12"/>
      <c r="B14" s="14"/>
      <c r="C14" s="14"/>
      <c r="D14" s="14"/>
      <c r="E14" s="14"/>
      <c r="F14" s="14"/>
      <c r="G14" s="14"/>
      <c r="H14" s="15"/>
      <c r="I14" s="15"/>
      <c r="J14" s="15"/>
      <c r="K14" s="15"/>
      <c r="L14" s="15"/>
      <c r="M14" s="15"/>
    </row>
    <row r="15" spans="1:14" ht="15.75" x14ac:dyDescent="0.25">
      <c r="A15" s="12"/>
      <c r="B15" s="14"/>
      <c r="C15" s="14"/>
      <c r="D15" s="14"/>
      <c r="E15" s="14"/>
      <c r="F15" s="14"/>
      <c r="G15" s="14"/>
      <c r="H15" s="15"/>
      <c r="I15" s="15"/>
      <c r="J15" s="15"/>
      <c r="K15" s="15"/>
      <c r="L15" s="15"/>
      <c r="M15" s="15"/>
    </row>
    <row r="16" spans="1:14" ht="15.75" x14ac:dyDescent="0.25">
      <c r="A16" s="12"/>
      <c r="B16" s="14"/>
      <c r="C16" s="16"/>
      <c r="D16" s="16"/>
      <c r="E16" s="16"/>
      <c r="F16" s="16"/>
      <c r="G16" s="16"/>
      <c r="H16" s="16"/>
      <c r="I16" s="16"/>
      <c r="J16" s="16"/>
      <c r="K16" s="16"/>
      <c r="L16" s="16"/>
      <c r="M16" s="16"/>
    </row>
    <row r="17" spans="1:13" ht="15.75" x14ac:dyDescent="0.25">
      <c r="A17" s="12"/>
      <c r="B17" s="14"/>
      <c r="C17" s="16"/>
      <c r="D17" s="14"/>
      <c r="E17" s="14"/>
      <c r="F17" s="14"/>
      <c r="G17" s="14"/>
      <c r="H17" s="14"/>
      <c r="I17" s="14"/>
      <c r="J17" s="14"/>
      <c r="K17" s="14"/>
      <c r="L17" s="14"/>
      <c r="M17" s="14"/>
    </row>
    <row r="18" spans="1:13" ht="15.75" x14ac:dyDescent="0.25">
      <c r="A18" s="12"/>
      <c r="B18" s="14"/>
      <c r="C18" s="22"/>
      <c r="D18" s="14"/>
      <c r="E18" s="14"/>
      <c r="F18" s="14"/>
      <c r="G18" s="14"/>
      <c r="H18" s="14"/>
      <c r="I18" s="14"/>
      <c r="J18" s="14"/>
      <c r="K18" s="14"/>
      <c r="L18" s="14"/>
      <c r="M18" s="14"/>
    </row>
    <row r="19" spans="1:13" ht="15.75" x14ac:dyDescent="0.25">
      <c r="A19" s="12"/>
      <c r="B19" s="14"/>
      <c r="C19" s="14"/>
      <c r="D19" s="14"/>
      <c r="E19" s="14"/>
      <c r="F19" s="14"/>
      <c r="G19" s="14"/>
      <c r="H19" s="14"/>
      <c r="I19" s="14"/>
      <c r="J19" s="14"/>
      <c r="K19" s="14"/>
      <c r="L19" s="14"/>
      <c r="M19" s="14"/>
    </row>
    <row r="20" spans="1:13" ht="15.75" x14ac:dyDescent="0.25">
      <c r="A20" s="11"/>
      <c r="B20" s="14"/>
      <c r="C20" s="14"/>
      <c r="D20" s="14"/>
      <c r="E20" s="14"/>
      <c r="F20" s="14"/>
      <c r="G20" s="14"/>
      <c r="H20" s="14"/>
      <c r="I20" s="14"/>
      <c r="J20" s="14"/>
      <c r="K20" s="14"/>
      <c r="L20" s="14"/>
      <c r="M20" s="14"/>
    </row>
    <row r="21" spans="1:13" ht="15.75" x14ac:dyDescent="0.25">
      <c r="A21" s="12"/>
      <c r="B21" s="14"/>
      <c r="C21" s="15"/>
      <c r="D21" s="15"/>
      <c r="E21" s="15"/>
      <c r="F21" s="15"/>
      <c r="G21" s="15"/>
      <c r="H21" s="15"/>
      <c r="I21" s="15"/>
      <c r="J21" s="15"/>
      <c r="K21" s="15"/>
      <c r="L21" s="15"/>
      <c r="M21" s="15"/>
    </row>
    <row r="22" spans="1:13" ht="15.75" x14ac:dyDescent="0.25">
      <c r="A22" s="12"/>
      <c r="B22" s="14"/>
      <c r="C22" s="16"/>
      <c r="D22" s="14"/>
      <c r="E22" s="14"/>
      <c r="F22" s="14"/>
      <c r="G22" s="14"/>
      <c r="H22" s="14"/>
      <c r="I22" s="14"/>
      <c r="J22" s="14"/>
      <c r="K22" s="14"/>
      <c r="L22" s="14"/>
      <c r="M22" s="14"/>
    </row>
    <row r="23" spans="1:13" ht="15.75" x14ac:dyDescent="0.25">
      <c r="A23" s="12"/>
      <c r="B23" s="14"/>
      <c r="C23" s="25"/>
      <c r="D23" s="14"/>
      <c r="E23" s="14"/>
      <c r="F23" s="14"/>
      <c r="G23" s="14"/>
      <c r="H23" s="14"/>
      <c r="I23" s="14"/>
      <c r="J23" s="14"/>
      <c r="K23" s="14"/>
      <c r="L23" s="14"/>
      <c r="M23" s="14"/>
    </row>
    <row r="24" spans="1:13" ht="15.75" x14ac:dyDescent="0.25">
      <c r="A24" s="12"/>
      <c r="B24" s="14"/>
      <c r="C24" s="14"/>
      <c r="D24" s="14"/>
      <c r="E24" s="14"/>
      <c r="F24" s="14"/>
      <c r="G24" s="14"/>
      <c r="H24" s="14"/>
      <c r="I24" s="14"/>
      <c r="J24" s="14"/>
      <c r="K24" s="14"/>
      <c r="L24" s="14"/>
      <c r="M24" s="14"/>
    </row>
    <row r="25" spans="1:13" ht="15.75" x14ac:dyDescent="0.25">
      <c r="A25" s="12"/>
      <c r="B25" s="14"/>
      <c r="C25" s="24"/>
      <c r="D25" s="14"/>
      <c r="E25" s="14"/>
      <c r="F25" s="14"/>
      <c r="G25" s="14"/>
      <c r="H25" s="14"/>
      <c r="I25" s="14"/>
      <c r="J25" s="14"/>
      <c r="K25" s="14"/>
      <c r="L25" s="14"/>
      <c r="M25" s="14"/>
    </row>
    <row r="26" spans="1:13" ht="15.75" x14ac:dyDescent="0.25">
      <c r="A26" s="12"/>
      <c r="B26" s="14"/>
      <c r="C26" s="14"/>
      <c r="D26" s="14"/>
      <c r="E26" s="14"/>
      <c r="F26" s="14"/>
      <c r="G26" s="14"/>
      <c r="H26" s="14"/>
      <c r="I26" s="14"/>
      <c r="J26" s="14"/>
      <c r="K26" s="14"/>
      <c r="L26" s="14"/>
      <c r="M26" s="14"/>
    </row>
    <row r="27" spans="1:13" ht="15.75" x14ac:dyDescent="0.25">
      <c r="A27" s="12"/>
      <c r="B27" s="14"/>
      <c r="C27" s="14"/>
      <c r="D27" s="14"/>
      <c r="E27" s="14"/>
      <c r="F27" s="14"/>
      <c r="G27" s="14"/>
      <c r="H27" s="14"/>
      <c r="I27" s="14"/>
      <c r="J27" s="14"/>
      <c r="K27" s="14"/>
      <c r="L27" s="14"/>
      <c r="M27" s="14"/>
    </row>
    <row r="28" spans="1:13" ht="15.75" x14ac:dyDescent="0.25">
      <c r="A28" s="12"/>
      <c r="B28" s="14"/>
      <c r="C28" s="14"/>
      <c r="D28" s="12"/>
      <c r="E28" s="26"/>
      <c r="F28" s="27"/>
      <c r="G28" s="17"/>
      <c r="H28" s="28"/>
      <c r="I28" s="14"/>
      <c r="J28" s="14"/>
      <c r="K28" s="14"/>
      <c r="L28" s="14"/>
      <c r="M28" s="14"/>
    </row>
    <row r="29" spans="1:13" ht="15.75" x14ac:dyDescent="0.25">
      <c r="A29" s="12"/>
      <c r="B29" s="14"/>
      <c r="C29" s="14"/>
      <c r="D29" s="27"/>
      <c r="E29" s="29"/>
      <c r="F29" s="27"/>
      <c r="G29" s="17"/>
      <c r="H29" s="14"/>
      <c r="I29" s="14"/>
      <c r="J29" s="14"/>
      <c r="K29" s="14"/>
      <c r="L29" s="14"/>
      <c r="M29" s="14"/>
    </row>
    <row r="30" spans="1:13" ht="15.75" x14ac:dyDescent="0.25">
      <c r="A30" s="12"/>
      <c r="B30" s="14"/>
      <c r="C30" s="14"/>
      <c r="D30" s="26"/>
      <c r="E30" s="18"/>
      <c r="F30" s="12"/>
      <c r="G30" s="17"/>
      <c r="H30" s="14"/>
      <c r="I30" s="14"/>
      <c r="J30" s="14"/>
      <c r="K30" s="14"/>
      <c r="L30" s="14"/>
      <c r="M30" s="14"/>
    </row>
    <row r="31" spans="1:13" ht="15.75" x14ac:dyDescent="0.25">
      <c r="A31" s="12"/>
      <c r="B31" s="14"/>
      <c r="C31" s="14"/>
      <c r="D31" s="29"/>
      <c r="E31" s="19"/>
      <c r="F31" s="12"/>
      <c r="G31" s="17"/>
      <c r="H31" s="14"/>
      <c r="I31" s="14"/>
      <c r="J31" s="14"/>
      <c r="K31" s="14"/>
      <c r="L31" s="14"/>
      <c r="M31" s="14"/>
    </row>
    <row r="32" spans="1:13" ht="15.75" x14ac:dyDescent="0.25">
      <c r="A32" s="14"/>
      <c r="B32" s="14"/>
      <c r="C32" s="14"/>
      <c r="D32" s="30"/>
      <c r="E32" s="17"/>
      <c r="F32" s="23"/>
      <c r="G32" s="21"/>
      <c r="H32" s="24"/>
      <c r="I32" s="14"/>
      <c r="J32" s="14"/>
      <c r="K32" s="14"/>
      <c r="L32" s="14"/>
      <c r="M32" s="14"/>
    </row>
    <row r="33" spans="1:13" ht="15.75" x14ac:dyDescent="0.25">
      <c r="A33" s="14"/>
      <c r="B33" s="14"/>
      <c r="C33" s="14"/>
      <c r="D33" s="19"/>
      <c r="E33" s="12"/>
      <c r="F33" s="23"/>
      <c r="G33" s="17"/>
      <c r="H33" s="14"/>
      <c r="I33" s="14"/>
      <c r="J33" s="14"/>
      <c r="K33" s="14"/>
      <c r="L33" s="14"/>
      <c r="M33" s="14"/>
    </row>
    <row r="34" spans="1:13" ht="15.75" x14ac:dyDescent="0.25">
      <c r="A34" s="14"/>
      <c r="B34" s="14"/>
      <c r="C34" s="14"/>
      <c r="D34" s="17"/>
      <c r="E34" s="12"/>
      <c r="F34" s="23"/>
      <c r="G34" s="17"/>
      <c r="H34" s="24"/>
      <c r="I34" s="14"/>
      <c r="J34" s="14"/>
      <c r="K34" s="14"/>
      <c r="L34" s="14"/>
      <c r="M34" s="14"/>
    </row>
    <row r="35" spans="1:13" ht="15.75" x14ac:dyDescent="0.25">
      <c r="A35" s="14"/>
      <c r="B35" s="14"/>
      <c r="C35" s="14"/>
      <c r="D35" s="12"/>
      <c r="E35" s="12"/>
      <c r="F35" s="12"/>
      <c r="G35" s="20"/>
      <c r="H35" s="31"/>
      <c r="I35" s="14"/>
      <c r="J35" s="14"/>
      <c r="K35" s="14"/>
      <c r="L35" s="14"/>
      <c r="M35" s="14"/>
    </row>
    <row r="36" spans="1:13" ht="15.75" x14ac:dyDescent="0.25">
      <c r="A36" s="14"/>
      <c r="B36" s="14"/>
      <c r="C36" s="14"/>
      <c r="D36" s="12"/>
      <c r="E36" s="12"/>
      <c r="F36" s="12"/>
      <c r="G36" s="17"/>
      <c r="H36" s="28"/>
      <c r="I36" s="14"/>
      <c r="J36" s="14"/>
      <c r="K36" s="14"/>
      <c r="L36" s="14"/>
      <c r="M36"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6B7E8-8D6E-457F-BDBD-5AA19593F686}">
  <dimension ref="A1:M35"/>
  <sheetViews>
    <sheetView topLeftCell="A16" zoomScaleNormal="100" workbookViewId="0">
      <selection activeCell="C7" sqref="C7"/>
    </sheetView>
  </sheetViews>
  <sheetFormatPr defaultRowHeight="12.75" x14ac:dyDescent="0.2"/>
  <cols>
    <col min="1" max="1" width="31" customWidth="1"/>
    <col min="3" max="3" width="13.5703125" bestFit="1" customWidth="1"/>
    <col min="4" max="4" width="14.85546875" bestFit="1" customWidth="1"/>
    <col min="5" max="5" width="11" bestFit="1" customWidth="1"/>
    <col min="6" max="6" width="11.7109375" bestFit="1" customWidth="1"/>
    <col min="7" max="7" width="10.85546875" bestFit="1" customWidth="1"/>
    <col min="8" max="8" width="15.42578125" bestFit="1" customWidth="1"/>
    <col min="9" max="12" width="9.85546875" bestFit="1" customWidth="1"/>
    <col min="13" max="13" width="12.7109375" bestFit="1" customWidth="1"/>
  </cols>
  <sheetData>
    <row r="1" spans="1:13" ht="15.75" x14ac:dyDescent="0.25">
      <c r="A1" s="11" t="s">
        <v>164</v>
      </c>
      <c r="B1" s="14"/>
      <c r="C1" s="14"/>
      <c r="D1" s="14"/>
      <c r="E1" s="14"/>
      <c r="F1" s="14"/>
      <c r="G1" s="14"/>
      <c r="H1" s="14"/>
      <c r="I1" s="14"/>
      <c r="J1" s="14"/>
      <c r="K1" s="14"/>
      <c r="L1" s="14"/>
      <c r="M1" s="14"/>
    </row>
    <row r="2" spans="1:13" ht="15.75" x14ac:dyDescent="0.25">
      <c r="A2" s="12" t="s">
        <v>165</v>
      </c>
      <c r="B2" s="14"/>
      <c r="C2" s="15">
        <v>-1406677.1985530721</v>
      </c>
      <c r="D2" s="15">
        <v>218518.29610913843</v>
      </c>
      <c r="E2" s="15">
        <v>197035.67296152838</v>
      </c>
      <c r="F2" s="15">
        <v>178450.72339496226</v>
      </c>
      <c r="G2" s="15">
        <v>14522.564222537796</v>
      </c>
      <c r="H2" s="15">
        <v>10222.279035973959</v>
      </c>
      <c r="I2" s="15">
        <v>8997.8975668038656</v>
      </c>
      <c r="J2" s="15">
        <v>7977.2880130823414</v>
      </c>
      <c r="K2" s="15">
        <v>7141.246706205724</v>
      </c>
      <c r="L2" s="15">
        <v>6459.7364356958406</v>
      </c>
      <c r="M2" s="15">
        <v>1589548.9285450543</v>
      </c>
    </row>
    <row r="3" spans="1:13" ht="15.75" x14ac:dyDescent="0.25">
      <c r="A3" s="12" t="s">
        <v>166</v>
      </c>
      <c r="B3" s="14"/>
      <c r="C3" s="14"/>
      <c r="D3" s="14"/>
      <c r="E3" s="14"/>
      <c r="F3" s="14"/>
      <c r="G3" s="14"/>
      <c r="H3" s="15">
        <v>-500000</v>
      </c>
      <c r="I3" s="15"/>
      <c r="J3" s="15"/>
      <c r="K3" s="15"/>
      <c r="L3" s="15"/>
      <c r="M3" s="15"/>
    </row>
    <row r="4" spans="1:13" ht="15.75" x14ac:dyDescent="0.25">
      <c r="A4" s="12" t="s">
        <v>167</v>
      </c>
      <c r="B4" s="14"/>
      <c r="C4" s="14"/>
      <c r="D4" s="14"/>
      <c r="E4" s="14"/>
      <c r="F4" s="14"/>
      <c r="G4" s="14"/>
      <c r="H4" s="15"/>
      <c r="I4" s="15">
        <v>7000</v>
      </c>
      <c r="J4" s="15">
        <v>5000</v>
      </c>
      <c r="K4" s="15">
        <v>6000</v>
      </c>
      <c r="L4" s="15">
        <v>6500</v>
      </c>
      <c r="M4" s="15"/>
    </row>
    <row r="5" spans="1:13" ht="15.75" x14ac:dyDescent="0.25">
      <c r="A5" s="12" t="s">
        <v>168</v>
      </c>
      <c r="B5" s="14"/>
      <c r="C5" s="14"/>
      <c r="D5" s="14"/>
      <c r="E5" s="14"/>
      <c r="F5" s="14"/>
      <c r="G5" s="14"/>
      <c r="H5" s="15"/>
      <c r="I5" s="15"/>
      <c r="J5" s="15"/>
      <c r="K5" s="15"/>
      <c r="L5" s="15"/>
      <c r="M5" s="15">
        <v>700000</v>
      </c>
    </row>
    <row r="6" spans="1:13" ht="15.75" x14ac:dyDescent="0.25">
      <c r="A6" s="12" t="s">
        <v>169</v>
      </c>
      <c r="B6" s="14"/>
      <c r="C6" s="16">
        <f t="shared" ref="C6:M6" si="0">SUM(C2:C5)</f>
        <v>-1406677.1985530721</v>
      </c>
      <c r="D6" s="16">
        <f t="shared" si="0"/>
        <v>218518.29610913843</v>
      </c>
      <c r="E6" s="16">
        <f t="shared" si="0"/>
        <v>197035.67296152838</v>
      </c>
      <c r="F6" s="16">
        <f t="shared" si="0"/>
        <v>178450.72339496226</v>
      </c>
      <c r="G6" s="16">
        <f t="shared" si="0"/>
        <v>14522.564222537796</v>
      </c>
      <c r="H6" s="16">
        <f t="shared" si="0"/>
        <v>-489777.72096402606</v>
      </c>
      <c r="I6" s="16">
        <f t="shared" si="0"/>
        <v>15997.897566803866</v>
      </c>
      <c r="J6" s="16">
        <f t="shared" si="0"/>
        <v>12977.288013082341</v>
      </c>
      <c r="K6" s="16">
        <f t="shared" si="0"/>
        <v>13141.246706205724</v>
      </c>
      <c r="L6" s="16">
        <f t="shared" si="0"/>
        <v>12959.736435695841</v>
      </c>
      <c r="M6" s="16">
        <f t="shared" si="0"/>
        <v>2289548.928545054</v>
      </c>
    </row>
    <row r="7" spans="1:13" ht="15.75" x14ac:dyDescent="0.25">
      <c r="A7" s="12" t="s">
        <v>119</v>
      </c>
      <c r="B7" s="14"/>
      <c r="C7" s="24">
        <f>NPV(Financials!C126,D6:M6)+C6</f>
        <v>22301.851769120432</v>
      </c>
      <c r="D7" s="14"/>
      <c r="E7" s="14"/>
      <c r="F7" s="14"/>
      <c r="G7" s="14"/>
      <c r="H7" s="14"/>
      <c r="I7" s="14"/>
      <c r="J7" s="14"/>
      <c r="K7" s="14"/>
      <c r="L7" s="14"/>
      <c r="M7" s="14"/>
    </row>
    <row r="8" spans="1:13" ht="15.75" x14ac:dyDescent="0.25">
      <c r="A8" s="12" t="s">
        <v>170</v>
      </c>
      <c r="B8" s="14"/>
      <c r="C8" s="25">
        <f>G27</f>
        <v>0.39</v>
      </c>
      <c r="D8" s="14"/>
      <c r="E8" s="14"/>
      <c r="F8" s="14"/>
      <c r="G8" s="14"/>
      <c r="H8" s="14"/>
      <c r="I8" s="14"/>
      <c r="J8" s="14"/>
      <c r="K8" s="14"/>
      <c r="L8" s="14"/>
      <c r="M8" s="14"/>
    </row>
    <row r="9" spans="1:13" ht="15.75" x14ac:dyDescent="0.25">
      <c r="A9" s="12"/>
      <c r="B9" s="14"/>
      <c r="C9" s="14"/>
      <c r="D9" s="14"/>
      <c r="E9" s="14"/>
      <c r="F9" s="14"/>
      <c r="G9" s="14"/>
      <c r="H9" s="14"/>
      <c r="I9" s="14"/>
      <c r="J9" s="14"/>
      <c r="K9" s="14"/>
      <c r="L9" s="14"/>
      <c r="M9" s="14"/>
    </row>
    <row r="10" spans="1:13" ht="15.75" x14ac:dyDescent="0.25">
      <c r="A10" s="11" t="s">
        <v>171</v>
      </c>
      <c r="B10" s="14"/>
      <c r="C10" s="14"/>
      <c r="D10" s="14"/>
      <c r="E10" s="14"/>
      <c r="F10" s="14"/>
      <c r="G10" s="14"/>
      <c r="H10" s="14"/>
      <c r="I10" s="14"/>
      <c r="J10" s="14"/>
      <c r="K10" s="14"/>
      <c r="L10" s="14"/>
      <c r="M10" s="14"/>
    </row>
    <row r="11" spans="1:13" ht="15.75" x14ac:dyDescent="0.25">
      <c r="A11" s="12" t="s">
        <v>165</v>
      </c>
      <c r="B11" s="14"/>
      <c r="C11" s="15">
        <v>-1406677.1985530721</v>
      </c>
      <c r="D11" s="15">
        <v>218518.29610913843</v>
      </c>
      <c r="E11" s="15">
        <v>197035.67296152838</v>
      </c>
      <c r="F11" s="15">
        <v>178450.72339496226</v>
      </c>
      <c r="G11" s="15">
        <v>14522.564222537796</v>
      </c>
      <c r="H11" s="15">
        <v>10222.279035973959</v>
      </c>
      <c r="I11" s="15">
        <v>8997.8975668038656</v>
      </c>
      <c r="J11" s="15">
        <v>7977.2880130823414</v>
      </c>
      <c r="K11" s="15">
        <v>7141.246706205724</v>
      </c>
      <c r="L11" s="15">
        <v>6459.7364356958406</v>
      </c>
      <c r="M11" s="15">
        <v>1589548.9285450543</v>
      </c>
    </row>
    <row r="12" spans="1:13" ht="15.75" x14ac:dyDescent="0.25">
      <c r="A12" s="12" t="s">
        <v>166</v>
      </c>
      <c r="B12" s="14"/>
      <c r="C12" s="14"/>
      <c r="D12" s="14"/>
      <c r="E12" s="14"/>
      <c r="F12" s="14"/>
      <c r="G12" s="14"/>
      <c r="H12" s="15">
        <v>-500000</v>
      </c>
      <c r="I12" s="15"/>
      <c r="J12" s="15"/>
      <c r="K12" s="15"/>
      <c r="L12" s="15"/>
      <c r="M12" s="15"/>
    </row>
    <row r="13" spans="1:13" ht="15.75" x14ac:dyDescent="0.25">
      <c r="A13" s="12" t="s">
        <v>167</v>
      </c>
      <c r="B13" s="14"/>
      <c r="C13" s="14"/>
      <c r="D13" s="14"/>
      <c r="E13" s="14"/>
      <c r="F13" s="14"/>
      <c r="G13" s="14"/>
      <c r="H13" s="15"/>
      <c r="I13" s="15">
        <v>5000</v>
      </c>
      <c r="J13" s="15">
        <v>2000</v>
      </c>
      <c r="K13" s="15">
        <v>3000</v>
      </c>
      <c r="L13" s="15">
        <v>2500</v>
      </c>
      <c r="M13" s="15"/>
    </row>
    <row r="14" spans="1:13" ht="15.75" x14ac:dyDescent="0.25">
      <c r="A14" s="12" t="s">
        <v>168</v>
      </c>
      <c r="B14" s="14"/>
      <c r="C14" s="14"/>
      <c r="D14" s="14"/>
      <c r="E14" s="14"/>
      <c r="F14" s="14"/>
      <c r="G14" s="14"/>
      <c r="H14" s="15"/>
      <c r="I14" s="15"/>
      <c r="J14" s="15"/>
      <c r="K14" s="15"/>
      <c r="L14" s="15"/>
      <c r="M14" s="15">
        <v>400000</v>
      </c>
    </row>
    <row r="15" spans="1:13" ht="15.75" x14ac:dyDescent="0.25">
      <c r="A15" s="12" t="s">
        <v>169</v>
      </c>
      <c r="B15" s="14"/>
      <c r="C15" s="16">
        <f t="shared" ref="C15:M15" si="1">SUM(C11:C14)</f>
        <v>-1406677.1985530721</v>
      </c>
      <c r="D15" s="16">
        <f t="shared" si="1"/>
        <v>218518.29610913843</v>
      </c>
      <c r="E15" s="16">
        <f t="shared" si="1"/>
        <v>197035.67296152838</v>
      </c>
      <c r="F15" s="16">
        <f t="shared" si="1"/>
        <v>178450.72339496226</v>
      </c>
      <c r="G15" s="16">
        <f t="shared" si="1"/>
        <v>14522.564222537796</v>
      </c>
      <c r="H15" s="16">
        <f t="shared" si="1"/>
        <v>-489777.72096402606</v>
      </c>
      <c r="I15" s="16">
        <f t="shared" si="1"/>
        <v>13997.897566803866</v>
      </c>
      <c r="J15" s="16">
        <f t="shared" si="1"/>
        <v>9977.2880130823414</v>
      </c>
      <c r="K15" s="16">
        <f t="shared" si="1"/>
        <v>10141.246706205724</v>
      </c>
      <c r="L15" s="16">
        <f t="shared" si="1"/>
        <v>8959.7364356958406</v>
      </c>
      <c r="M15" s="16">
        <f t="shared" si="1"/>
        <v>1989548.9285450543</v>
      </c>
    </row>
    <row r="16" spans="1:13" ht="15.75" x14ac:dyDescent="0.25">
      <c r="A16" s="12" t="s">
        <v>119</v>
      </c>
      <c r="B16" s="14"/>
      <c r="C16" s="16">
        <f>NPV(Financials!C126,D15:M15)+C15</f>
        <v>-144083.3439096713</v>
      </c>
      <c r="D16" s="14"/>
      <c r="E16" s="14"/>
      <c r="F16" s="14"/>
      <c r="G16" s="14"/>
      <c r="H16" s="14"/>
      <c r="I16" s="14"/>
      <c r="J16" s="14"/>
      <c r="K16" s="14"/>
      <c r="L16" s="14"/>
      <c r="M16" s="14"/>
    </row>
    <row r="17" spans="1:13" ht="15.75" x14ac:dyDescent="0.25">
      <c r="A17" s="12" t="s">
        <v>170</v>
      </c>
      <c r="B17" s="14"/>
      <c r="C17" s="22">
        <f>G31</f>
        <v>0.26</v>
      </c>
      <c r="D17" s="14"/>
      <c r="E17" s="14"/>
      <c r="F17" s="14"/>
      <c r="G17" s="14"/>
      <c r="H17" s="14"/>
      <c r="I17" s="14"/>
      <c r="J17" s="14"/>
      <c r="K17" s="14"/>
      <c r="L17" s="14"/>
      <c r="M17" s="14"/>
    </row>
    <row r="18" spans="1:13" ht="15.75" x14ac:dyDescent="0.25">
      <c r="A18" s="12"/>
      <c r="B18" s="14"/>
      <c r="C18" s="14"/>
      <c r="D18" s="14"/>
      <c r="E18" s="14"/>
      <c r="F18" s="14"/>
      <c r="G18" s="14"/>
      <c r="H18" s="14"/>
      <c r="I18" s="14"/>
      <c r="J18" s="14"/>
      <c r="K18" s="14"/>
      <c r="L18" s="14"/>
      <c r="M18" s="14"/>
    </row>
    <row r="19" spans="1:13" ht="15.75" x14ac:dyDescent="0.25">
      <c r="A19" s="11" t="s">
        <v>172</v>
      </c>
      <c r="B19" s="14"/>
      <c r="C19" s="14"/>
      <c r="D19" s="14"/>
      <c r="E19" s="14"/>
      <c r="F19" s="14"/>
      <c r="G19" s="14"/>
      <c r="H19" s="14"/>
      <c r="I19" s="14"/>
      <c r="J19" s="14"/>
      <c r="K19" s="14"/>
      <c r="L19" s="14"/>
      <c r="M19" s="14"/>
    </row>
    <row r="20" spans="1:13" ht="15.75" x14ac:dyDescent="0.25">
      <c r="A20" s="12" t="s">
        <v>173</v>
      </c>
      <c r="B20" s="14"/>
      <c r="C20" s="15">
        <v>-1406677.1985530721</v>
      </c>
      <c r="D20" s="15">
        <v>218518.29610913843</v>
      </c>
      <c r="E20" s="15">
        <v>197035.67296152838</v>
      </c>
      <c r="F20" s="15">
        <v>178450.72339496226</v>
      </c>
      <c r="G20" s="15">
        <v>14522.564222537796</v>
      </c>
      <c r="H20" s="15">
        <v>1000000</v>
      </c>
      <c r="I20" s="15"/>
      <c r="J20" s="15"/>
      <c r="K20" s="15"/>
      <c r="L20" s="15"/>
      <c r="M20" s="15"/>
    </row>
    <row r="21" spans="1:13" ht="15.75" x14ac:dyDescent="0.25">
      <c r="A21" s="12" t="s">
        <v>119</v>
      </c>
      <c r="B21" s="14"/>
      <c r="C21" s="16">
        <f>NPV(Financials!C126,D20:H20)+C20</f>
        <v>-141193.24868807429</v>
      </c>
      <c r="D21" s="14"/>
      <c r="E21" s="14"/>
      <c r="F21" s="14"/>
      <c r="G21" s="14"/>
      <c r="H21" s="14"/>
      <c r="I21" s="14"/>
      <c r="J21" s="14"/>
      <c r="K21" s="14"/>
      <c r="L21" s="14"/>
      <c r="M21" s="14"/>
    </row>
    <row r="22" spans="1:13" ht="15.75" x14ac:dyDescent="0.25">
      <c r="A22" s="12" t="s">
        <v>170</v>
      </c>
      <c r="B22" s="14"/>
      <c r="C22" s="25">
        <f>G33</f>
        <v>0.35</v>
      </c>
      <c r="D22" s="14"/>
      <c r="E22" s="14"/>
      <c r="F22" s="14"/>
      <c r="G22" s="14"/>
      <c r="H22" s="14"/>
      <c r="I22" s="14"/>
      <c r="J22" s="14"/>
      <c r="K22" s="14"/>
      <c r="L22" s="14"/>
      <c r="M22" s="14"/>
    </row>
    <row r="23" spans="1:13" ht="15.75" x14ac:dyDescent="0.25">
      <c r="A23" s="12"/>
      <c r="B23" s="14"/>
      <c r="C23" s="14"/>
      <c r="D23" s="14"/>
      <c r="E23" s="14"/>
      <c r="F23" s="14"/>
      <c r="G23" s="14"/>
      <c r="H23" s="14"/>
      <c r="I23" s="14"/>
      <c r="J23" s="14"/>
      <c r="K23" s="14"/>
      <c r="L23" s="14"/>
      <c r="M23" s="14"/>
    </row>
    <row r="24" spans="1:13" ht="15.75" x14ac:dyDescent="0.25">
      <c r="A24" s="12" t="s">
        <v>174</v>
      </c>
      <c r="B24" s="14"/>
      <c r="C24" s="24">
        <f>H35</f>
        <v>-78181.584267383558</v>
      </c>
      <c r="D24" s="14"/>
      <c r="E24" s="14"/>
      <c r="F24" s="14"/>
      <c r="G24" s="14"/>
      <c r="H24" s="14"/>
      <c r="I24" s="14"/>
      <c r="J24" s="14"/>
      <c r="K24" s="14"/>
      <c r="L24" s="14"/>
      <c r="M24" s="14"/>
    </row>
    <row r="25" spans="1:13" ht="15.75" x14ac:dyDescent="0.25">
      <c r="A25" s="12"/>
      <c r="B25" s="14"/>
      <c r="C25" s="14"/>
      <c r="D25" s="14"/>
      <c r="E25" s="14"/>
      <c r="F25" s="14"/>
      <c r="G25" s="14"/>
      <c r="H25" s="14"/>
      <c r="I25" s="14"/>
      <c r="J25" s="14"/>
      <c r="K25" s="14"/>
      <c r="L25" s="14"/>
      <c r="M25" s="14"/>
    </row>
    <row r="26" spans="1:13" ht="15.75" x14ac:dyDescent="0.25">
      <c r="A26" s="12"/>
      <c r="B26" s="14"/>
      <c r="C26" s="14"/>
      <c r="D26" s="14"/>
      <c r="E26" s="14"/>
      <c r="F26" s="14" t="s">
        <v>119</v>
      </c>
      <c r="G26" s="14" t="s">
        <v>170</v>
      </c>
      <c r="H26" s="14" t="s">
        <v>176</v>
      </c>
      <c r="I26" s="14"/>
      <c r="J26" s="14"/>
      <c r="K26" s="14"/>
      <c r="L26" s="14"/>
      <c r="M26" s="14"/>
    </row>
    <row r="27" spans="1:13" ht="15.75" x14ac:dyDescent="0.25">
      <c r="A27" s="12"/>
      <c r="B27" s="14"/>
      <c r="C27" s="14"/>
      <c r="D27" s="12"/>
      <c r="E27" s="26">
        <v>0.6</v>
      </c>
      <c r="F27" s="27">
        <f>C7</f>
        <v>22301.851769120432</v>
      </c>
      <c r="G27" s="17">
        <f>E27*D29</f>
        <v>0.39</v>
      </c>
      <c r="H27" s="28">
        <f>F27*G27</f>
        <v>8697.7221899569686</v>
      </c>
      <c r="I27" s="14"/>
      <c r="J27" s="14"/>
      <c r="K27" s="14"/>
      <c r="L27" s="14"/>
      <c r="M27" s="14"/>
    </row>
    <row r="28" spans="1:13" ht="15.75" x14ac:dyDescent="0.25">
      <c r="A28" s="12"/>
      <c r="B28" s="14"/>
      <c r="C28" s="14"/>
      <c r="D28" s="27" t="s">
        <v>177</v>
      </c>
      <c r="E28" s="29"/>
      <c r="F28" s="27"/>
      <c r="G28" s="17"/>
      <c r="H28" s="14"/>
      <c r="I28" s="14"/>
      <c r="J28" s="14"/>
      <c r="K28" s="14"/>
      <c r="L28" s="14"/>
      <c r="M28" s="14"/>
    </row>
    <row r="29" spans="1:13" ht="15.75" x14ac:dyDescent="0.25">
      <c r="A29" s="12"/>
      <c r="B29" s="14"/>
      <c r="C29" s="14"/>
      <c r="D29" s="26">
        <v>0.65</v>
      </c>
      <c r="E29" s="18"/>
      <c r="F29" s="12"/>
      <c r="G29" s="17"/>
      <c r="H29" s="14"/>
      <c r="I29" s="14"/>
      <c r="J29" s="14"/>
      <c r="K29" s="14"/>
      <c r="L29" s="14"/>
      <c r="M29" s="14"/>
    </row>
    <row r="30" spans="1:13" ht="15.75" x14ac:dyDescent="0.25">
      <c r="A30" s="12" t="s">
        <v>175</v>
      </c>
      <c r="B30" s="14"/>
      <c r="C30" s="14"/>
      <c r="D30" s="29"/>
      <c r="E30" s="19"/>
      <c r="F30" s="12"/>
      <c r="G30" s="17"/>
      <c r="H30" s="14"/>
      <c r="I30" s="14"/>
      <c r="J30" s="14"/>
      <c r="K30" s="14"/>
      <c r="L30" s="14"/>
      <c r="M30" s="14"/>
    </row>
    <row r="31" spans="1:13" ht="15.75" x14ac:dyDescent="0.25">
      <c r="A31" s="14"/>
      <c r="B31" s="14"/>
      <c r="C31" s="14"/>
      <c r="D31" s="30"/>
      <c r="E31" s="17">
        <v>0.4</v>
      </c>
      <c r="F31" s="23">
        <f>C16</f>
        <v>-144083.3439096713</v>
      </c>
      <c r="G31" s="21">
        <f>E31*D29</f>
        <v>0.26</v>
      </c>
      <c r="H31" s="24">
        <f>F31*G31</f>
        <v>-37461.669416514538</v>
      </c>
      <c r="I31" s="14"/>
      <c r="J31" s="14"/>
      <c r="K31" s="14"/>
      <c r="L31" s="14"/>
      <c r="M31" s="14"/>
    </row>
    <row r="32" spans="1:13" ht="15.75" x14ac:dyDescent="0.25">
      <c r="A32" s="14"/>
      <c r="B32" s="14"/>
      <c r="C32" s="14"/>
      <c r="D32" s="19"/>
      <c r="E32" s="12"/>
      <c r="F32" s="23"/>
      <c r="G32" s="17"/>
      <c r="H32" s="14"/>
      <c r="I32" s="14"/>
      <c r="J32" s="14"/>
      <c r="K32" s="14"/>
      <c r="L32" s="14"/>
      <c r="M32" s="14"/>
    </row>
    <row r="33" spans="1:13" ht="15.75" x14ac:dyDescent="0.25">
      <c r="A33" s="14"/>
      <c r="B33" s="14"/>
      <c r="C33" s="14"/>
      <c r="D33" s="17">
        <v>0.35</v>
      </c>
      <c r="E33" s="12"/>
      <c r="F33" s="23">
        <f>C21</f>
        <v>-141193.24868807429</v>
      </c>
      <c r="G33" s="17">
        <f>D33</f>
        <v>0.35</v>
      </c>
      <c r="H33" s="24">
        <f>F33*G33</f>
        <v>-49417.637040825997</v>
      </c>
      <c r="I33" s="14"/>
      <c r="J33" s="14"/>
      <c r="K33" s="14"/>
      <c r="L33" s="14"/>
      <c r="M33" s="14"/>
    </row>
    <row r="34" spans="1:13" ht="15.75" x14ac:dyDescent="0.25">
      <c r="A34" s="14"/>
      <c r="B34" s="14"/>
      <c r="C34" s="14"/>
      <c r="D34" s="12" t="s">
        <v>178</v>
      </c>
      <c r="E34" s="12"/>
      <c r="F34" s="12"/>
      <c r="G34" s="20"/>
      <c r="H34" s="31"/>
      <c r="I34" s="14"/>
      <c r="J34" s="14"/>
      <c r="K34" s="14"/>
      <c r="L34" s="14"/>
      <c r="M34" s="14"/>
    </row>
    <row r="35" spans="1:13" ht="15.75" x14ac:dyDescent="0.25">
      <c r="A35" s="14"/>
      <c r="B35" s="14"/>
      <c r="C35" s="14"/>
      <c r="D35" s="12"/>
      <c r="E35" s="12"/>
      <c r="F35" s="12"/>
      <c r="G35" s="17">
        <f>SUM(G27:G33)</f>
        <v>1</v>
      </c>
      <c r="H35" s="28">
        <f>SUM(H27:H33)</f>
        <v>-78181.584267383558</v>
      </c>
      <c r="I35" s="14"/>
      <c r="J35" s="14"/>
      <c r="K35" s="14"/>
      <c r="L35" s="14"/>
      <c r="M35" s="1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96"/>
  <sheetViews>
    <sheetView workbookViewId="0">
      <selection sqref="A1:L1"/>
    </sheetView>
  </sheetViews>
  <sheetFormatPr defaultColWidth="14.42578125" defaultRowHeight="15.75" customHeight="1" x14ac:dyDescent="0.2"/>
  <sheetData>
    <row r="1" spans="1:12" ht="15.75" customHeight="1" x14ac:dyDescent="0.2">
      <c r="A1" s="83"/>
      <c r="B1" s="83"/>
      <c r="C1" s="83"/>
      <c r="D1" s="83"/>
      <c r="E1" s="83"/>
      <c r="F1" s="83"/>
      <c r="G1" s="83"/>
      <c r="H1" s="83"/>
      <c r="I1" s="83"/>
      <c r="J1" s="83"/>
      <c r="K1" s="83"/>
      <c r="L1" s="83"/>
    </row>
    <row r="3" spans="1:12" ht="15.75" customHeight="1" x14ac:dyDescent="0.2">
      <c r="A3" s="83"/>
      <c r="B3" s="83"/>
    </row>
    <row r="4" spans="1:12" ht="15.75" customHeight="1" x14ac:dyDescent="0.2">
      <c r="A4" s="83"/>
      <c r="B4" s="83"/>
    </row>
    <row r="5" spans="1:12" ht="15.75" customHeight="1" x14ac:dyDescent="0.2">
      <c r="A5" s="83"/>
      <c r="B5" s="83"/>
    </row>
    <row r="6" spans="1:12" ht="15.75" customHeight="1" x14ac:dyDescent="0.2">
      <c r="A6" s="83"/>
      <c r="B6" s="83"/>
    </row>
    <row r="7" spans="1:12" ht="15.75" customHeight="1" x14ac:dyDescent="0.2">
      <c r="A7" s="83"/>
      <c r="B7" s="83"/>
    </row>
    <row r="9" spans="1:12" ht="15.75" customHeight="1" x14ac:dyDescent="0.2">
      <c r="A9" s="83"/>
      <c r="B9" s="83"/>
    </row>
    <row r="11" spans="1:12" ht="15.75" customHeight="1" x14ac:dyDescent="0.2">
      <c r="A11" s="83"/>
      <c r="B11" s="83"/>
    </row>
    <row r="12" spans="1:12" ht="15.75" customHeight="1" x14ac:dyDescent="0.2">
      <c r="A12" s="83"/>
      <c r="B12" s="83"/>
      <c r="G12" s="83"/>
      <c r="H12" s="83"/>
      <c r="I12" s="83"/>
    </row>
    <row r="13" spans="1:12" ht="15.75" customHeight="1" x14ac:dyDescent="0.2">
      <c r="A13" s="83"/>
      <c r="B13" s="83"/>
    </row>
    <row r="14" spans="1:12" ht="15.75" customHeight="1" x14ac:dyDescent="0.2">
      <c r="A14" s="83"/>
      <c r="B14" s="83"/>
    </row>
    <row r="15" spans="1:12" ht="15.75" customHeight="1" x14ac:dyDescent="0.2">
      <c r="A15" s="83"/>
      <c r="B15" s="83"/>
    </row>
    <row r="17" spans="1:2" ht="15.75" customHeight="1" x14ac:dyDescent="0.2">
      <c r="A17" s="83"/>
      <c r="B17" s="83"/>
    </row>
    <row r="18" spans="1:2" ht="15.75" customHeight="1" x14ac:dyDescent="0.2">
      <c r="A18" s="83"/>
      <c r="B18" s="83"/>
    </row>
    <row r="19" spans="1:2" ht="15.75" customHeight="1" x14ac:dyDescent="0.2">
      <c r="A19" s="83"/>
      <c r="B19" s="83"/>
    </row>
    <row r="21" spans="1:2" ht="15.75" customHeight="1" x14ac:dyDescent="0.2">
      <c r="A21" s="83"/>
      <c r="B21" s="83"/>
    </row>
    <row r="25" spans="1:2" ht="15.75" customHeight="1" x14ac:dyDescent="0.2">
      <c r="A25" s="83"/>
      <c r="B25" s="83"/>
    </row>
    <row r="26" spans="1:2" ht="15.75" customHeight="1" x14ac:dyDescent="0.2">
      <c r="A26" s="83"/>
      <c r="B26" s="83"/>
    </row>
    <row r="27" spans="1:2" ht="15.75" customHeight="1" x14ac:dyDescent="0.2">
      <c r="A27" s="83"/>
      <c r="B27" s="83"/>
    </row>
    <row r="28" spans="1:2" ht="15.75" customHeight="1" x14ac:dyDescent="0.2">
      <c r="A28" s="83"/>
      <c r="B28" s="83"/>
    </row>
    <row r="29" spans="1:2" ht="15.75" customHeight="1" x14ac:dyDescent="0.2">
      <c r="A29" s="83"/>
      <c r="B29" s="83"/>
    </row>
    <row r="30" spans="1:2" ht="15.75" customHeight="1" x14ac:dyDescent="0.2">
      <c r="A30" s="83"/>
      <c r="B30" s="83"/>
    </row>
    <row r="32" spans="1:2" ht="15.75" customHeight="1" x14ac:dyDescent="0.2">
      <c r="A32" s="83"/>
      <c r="B32" s="83"/>
    </row>
    <row r="34" spans="1:2" ht="15.75" customHeight="1" x14ac:dyDescent="0.2">
      <c r="A34" s="83"/>
      <c r="B34" s="83"/>
    </row>
    <row r="36" spans="1:2" ht="15.75" customHeight="1" x14ac:dyDescent="0.2">
      <c r="A36" s="83"/>
      <c r="B36" s="83"/>
    </row>
    <row r="37" spans="1:2" ht="15.75" customHeight="1" x14ac:dyDescent="0.2">
      <c r="A37" s="83"/>
      <c r="B37" s="83"/>
    </row>
    <row r="39" spans="1:2" ht="15.75" customHeight="1" x14ac:dyDescent="0.2">
      <c r="A39" s="83"/>
      <c r="B39" s="83"/>
    </row>
    <row r="41" spans="1:2" ht="15.75" customHeight="1" x14ac:dyDescent="0.2">
      <c r="A41" s="83"/>
      <c r="B41" s="83"/>
    </row>
    <row r="42" spans="1:2" ht="15.75" customHeight="1" x14ac:dyDescent="0.2">
      <c r="A42" s="83"/>
      <c r="B42" s="83"/>
    </row>
    <row r="43" spans="1:2" ht="15.75" customHeight="1" x14ac:dyDescent="0.2">
      <c r="A43" s="83"/>
      <c r="B43" s="83"/>
    </row>
    <row r="44" spans="1:2" ht="15.75" customHeight="1" x14ac:dyDescent="0.2">
      <c r="A44" s="83"/>
      <c r="B44" s="83"/>
    </row>
    <row r="45" spans="1:2" ht="15.75" customHeight="1" x14ac:dyDescent="0.2">
      <c r="A45" s="83"/>
      <c r="B45" s="83"/>
    </row>
    <row r="47" spans="1:2" ht="15.75" customHeight="1" x14ac:dyDescent="0.2">
      <c r="A47" s="83"/>
      <c r="B47" s="83"/>
    </row>
    <row r="48" spans="1:2" ht="15.75" customHeight="1" x14ac:dyDescent="0.2">
      <c r="A48" s="83"/>
      <c r="B48" s="83"/>
    </row>
    <row r="51" spans="1:2" ht="15.75" customHeight="1" x14ac:dyDescent="0.2">
      <c r="A51" s="83"/>
      <c r="B51" s="83"/>
    </row>
    <row r="53" spans="1:2" ht="15.75" customHeight="1" x14ac:dyDescent="0.2">
      <c r="A53" s="83"/>
      <c r="B53" s="83"/>
    </row>
    <row r="54" spans="1:2" ht="15.75" customHeight="1" x14ac:dyDescent="0.2">
      <c r="A54" s="83"/>
      <c r="B54" s="83"/>
    </row>
    <row r="55" spans="1:2" ht="15.75" customHeight="1" x14ac:dyDescent="0.2">
      <c r="A55" s="83"/>
      <c r="B55" s="83"/>
    </row>
    <row r="56" spans="1:2" ht="15.75" customHeight="1" x14ac:dyDescent="0.2">
      <c r="A56" s="83"/>
      <c r="B56" s="83"/>
    </row>
    <row r="57" spans="1:2" ht="15.75" customHeight="1" x14ac:dyDescent="0.2">
      <c r="A57" s="83"/>
      <c r="B57" s="83"/>
    </row>
    <row r="61" spans="1:2" ht="15.75" customHeight="1" x14ac:dyDescent="0.2">
      <c r="A61" s="83"/>
      <c r="B61" s="83"/>
    </row>
    <row r="62" spans="1:2" ht="15.75" customHeight="1" x14ac:dyDescent="0.2">
      <c r="A62" s="83"/>
      <c r="B62" s="83"/>
    </row>
    <row r="63" spans="1:2" ht="15.75" customHeight="1" x14ac:dyDescent="0.2">
      <c r="A63" s="83"/>
      <c r="B63" s="83"/>
    </row>
    <row r="64" spans="1:2" ht="15.75" customHeight="1" x14ac:dyDescent="0.2">
      <c r="A64" s="83"/>
      <c r="B64" s="83"/>
    </row>
    <row r="66" spans="1:2" ht="15.75" customHeight="1" x14ac:dyDescent="0.2">
      <c r="A66" s="83"/>
      <c r="B66" s="83"/>
    </row>
    <row r="68" spans="1:2" ht="15.75" customHeight="1" x14ac:dyDescent="0.2">
      <c r="A68" s="83"/>
      <c r="B68" s="83"/>
    </row>
    <row r="69" spans="1:2" ht="15.75" customHeight="1" x14ac:dyDescent="0.2">
      <c r="A69" s="83"/>
      <c r="B69" s="83"/>
    </row>
    <row r="70" spans="1:2" ht="15.75" customHeight="1" x14ac:dyDescent="0.2">
      <c r="A70" s="83"/>
      <c r="B70" s="83"/>
    </row>
    <row r="71" spans="1:2" ht="15.75" customHeight="1" x14ac:dyDescent="0.2">
      <c r="A71" s="83"/>
      <c r="B71" s="83"/>
    </row>
    <row r="73" spans="1:2" ht="15.75" customHeight="1" x14ac:dyDescent="0.2">
      <c r="A73" s="83"/>
      <c r="B73" s="83"/>
    </row>
    <row r="74" spans="1:2" ht="15.75" customHeight="1" x14ac:dyDescent="0.2">
      <c r="A74" s="83"/>
      <c r="B74" s="83"/>
    </row>
    <row r="75" spans="1:2" ht="15.75" customHeight="1" x14ac:dyDescent="0.2">
      <c r="A75" s="83"/>
      <c r="B75" s="83"/>
    </row>
    <row r="77" spans="1:2" ht="15.75" customHeight="1" x14ac:dyDescent="0.2">
      <c r="A77" s="83"/>
      <c r="B77" s="83"/>
    </row>
    <row r="78" spans="1:2" ht="15.75" customHeight="1" x14ac:dyDescent="0.2">
      <c r="A78" s="83"/>
      <c r="B78" s="83"/>
    </row>
    <row r="79" spans="1:2" ht="15.75" customHeight="1" x14ac:dyDescent="0.2">
      <c r="A79" s="83"/>
      <c r="B79" s="83"/>
    </row>
    <row r="81" spans="1:3" ht="15.75" customHeight="1" x14ac:dyDescent="0.2">
      <c r="A81" s="83"/>
      <c r="B81" s="83"/>
    </row>
    <row r="83" spans="1:3" ht="15.75" customHeight="1" x14ac:dyDescent="0.2">
      <c r="A83" s="83"/>
      <c r="B83" s="83"/>
    </row>
    <row r="85" spans="1:3" ht="15.75" customHeight="1" x14ac:dyDescent="0.2">
      <c r="A85" s="83"/>
      <c r="B85" s="83"/>
      <c r="C85" s="83"/>
    </row>
    <row r="90" spans="1:3" ht="15.75" customHeight="1" x14ac:dyDescent="0.2">
      <c r="A90" s="83"/>
      <c r="B90" s="83"/>
    </row>
    <row r="91" spans="1:3" ht="15.75" customHeight="1" x14ac:dyDescent="0.2">
      <c r="A91" s="83"/>
      <c r="B91" s="83"/>
    </row>
    <row r="92" spans="1:3" ht="15.75" customHeight="1" x14ac:dyDescent="0.2">
      <c r="A92" s="83"/>
      <c r="B92" s="83"/>
    </row>
    <row r="93" spans="1:3" ht="15.75" customHeight="1" x14ac:dyDescent="0.2">
      <c r="A93" s="83"/>
      <c r="B93" s="83"/>
    </row>
    <row r="94" spans="1:3" ht="15.75" customHeight="1" x14ac:dyDescent="0.2">
      <c r="A94" s="83"/>
      <c r="B94" s="83"/>
    </row>
    <row r="95" spans="1:3" ht="15.75" customHeight="1" x14ac:dyDescent="0.2">
      <c r="A95" s="83"/>
      <c r="B95" s="83"/>
    </row>
    <row r="96" spans="1:3" ht="15.75" customHeight="1" x14ac:dyDescent="0.2">
      <c r="A96" s="83"/>
      <c r="B96" s="83"/>
    </row>
  </sheetData>
  <mergeCells count="66">
    <mergeCell ref="A93:B93"/>
    <mergeCell ref="A94:B94"/>
    <mergeCell ref="A95:B95"/>
    <mergeCell ref="A96:B96"/>
    <mergeCell ref="A71:B71"/>
    <mergeCell ref="A73:B73"/>
    <mergeCell ref="A74:B74"/>
    <mergeCell ref="A75:B75"/>
    <mergeCell ref="A77:B77"/>
    <mergeCell ref="A78:B78"/>
    <mergeCell ref="A79:B79"/>
    <mergeCell ref="A90:B90"/>
    <mergeCell ref="A91:B91"/>
    <mergeCell ref="A92:B92"/>
    <mergeCell ref="A1:L1"/>
    <mergeCell ref="A3:B3"/>
    <mergeCell ref="A4:B4"/>
    <mergeCell ref="A5:B5"/>
    <mergeCell ref="A6:B6"/>
    <mergeCell ref="A7:B7"/>
    <mergeCell ref="A9:B9"/>
    <mergeCell ref="A11:B11"/>
    <mergeCell ref="A12:B12"/>
    <mergeCell ref="G12:I12"/>
    <mergeCell ref="A13:B13"/>
    <mergeCell ref="A14:B14"/>
    <mergeCell ref="A15:B15"/>
    <mergeCell ref="A17:B17"/>
    <mergeCell ref="A18:B18"/>
    <mergeCell ref="A19:B19"/>
    <mergeCell ref="A21:B21"/>
    <mergeCell ref="A25:B25"/>
    <mergeCell ref="A26:B26"/>
    <mergeCell ref="A27:B27"/>
    <mergeCell ref="A28:B28"/>
    <mergeCell ref="A29:B29"/>
    <mergeCell ref="A30:B30"/>
    <mergeCell ref="A32:B32"/>
    <mergeCell ref="A34:B34"/>
    <mergeCell ref="A36:B36"/>
    <mergeCell ref="A37:B37"/>
    <mergeCell ref="A39:B39"/>
    <mergeCell ref="A41:B41"/>
    <mergeCell ref="A42:B42"/>
    <mergeCell ref="A43:B43"/>
    <mergeCell ref="A44:B44"/>
    <mergeCell ref="A45:B45"/>
    <mergeCell ref="A47:B47"/>
    <mergeCell ref="A48:B48"/>
    <mergeCell ref="A51:B51"/>
    <mergeCell ref="A53:B53"/>
    <mergeCell ref="A54:B54"/>
    <mergeCell ref="A55:B55"/>
    <mergeCell ref="A56:B56"/>
    <mergeCell ref="A57:B57"/>
    <mergeCell ref="A61:B61"/>
    <mergeCell ref="A81:B81"/>
    <mergeCell ref="A83:B83"/>
    <mergeCell ref="A85:C85"/>
    <mergeCell ref="A69:B69"/>
    <mergeCell ref="A70:B70"/>
    <mergeCell ref="A62:B62"/>
    <mergeCell ref="A63:B63"/>
    <mergeCell ref="A64:B64"/>
    <mergeCell ref="A66:B66"/>
    <mergeCell ref="A68:B6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140"/>
  <sheetViews>
    <sheetView topLeftCell="A124" workbookViewId="0">
      <selection activeCell="I2" sqref="I2"/>
    </sheetView>
  </sheetViews>
  <sheetFormatPr defaultColWidth="14.42578125" defaultRowHeight="15.75" customHeight="1" x14ac:dyDescent="0.2"/>
  <cols>
    <col min="2" max="2" width="15.7109375" bestFit="1" customWidth="1"/>
    <col min="6" max="6" width="15.7109375" bestFit="1" customWidth="1"/>
  </cols>
  <sheetData>
    <row r="1" spans="1:9" ht="15.75" customHeight="1" x14ac:dyDescent="0.25">
      <c r="A1" s="2"/>
      <c r="B1" s="3" t="s">
        <v>74</v>
      </c>
      <c r="C1" s="3" t="s">
        <v>75</v>
      </c>
      <c r="D1" s="3" t="s">
        <v>76</v>
      </c>
      <c r="E1" s="3" t="s">
        <v>77</v>
      </c>
      <c r="F1" s="3" t="s">
        <v>78</v>
      </c>
      <c r="G1" s="2"/>
      <c r="H1" s="4" t="s">
        <v>79</v>
      </c>
      <c r="I1" s="5">
        <v>0.05</v>
      </c>
    </row>
    <row r="2" spans="1:9" ht="15.75" customHeight="1" x14ac:dyDescent="0.25">
      <c r="A2" s="6" t="s">
        <v>80</v>
      </c>
      <c r="B2" s="1">
        <f>+I7</f>
        <v>115170</v>
      </c>
      <c r="C2" s="1">
        <f t="shared" ref="C2:C13" si="0">+E2-D2</f>
        <v>138.38246322308055</v>
      </c>
      <c r="D2" s="1">
        <f t="shared" ref="D2:D13" si="1">B2*$I$2</f>
        <v>479.875</v>
      </c>
      <c r="E2" s="1">
        <f t="shared" ref="E2:E13" si="2">-$I$9</f>
        <v>618.25746322308055</v>
      </c>
      <c r="F2" s="1">
        <f t="shared" ref="F2:F13" si="3">+B2-C2</f>
        <v>115031.61753677692</v>
      </c>
      <c r="G2" s="2"/>
      <c r="H2" s="4" t="s">
        <v>81</v>
      </c>
      <c r="I2" s="5">
        <f>+I1/12</f>
        <v>4.1666666666666666E-3</v>
      </c>
    </row>
    <row r="3" spans="1:9" ht="15.75" customHeight="1" x14ac:dyDescent="0.25">
      <c r="A3" s="7" t="s">
        <v>82</v>
      </c>
      <c r="B3" s="1">
        <f t="shared" ref="B3:B13" si="4">+F2</f>
        <v>115031.61753677692</v>
      </c>
      <c r="C3" s="1">
        <f t="shared" si="0"/>
        <v>138.9590568198434</v>
      </c>
      <c r="D3" s="1">
        <f t="shared" si="1"/>
        <v>479.29840640323715</v>
      </c>
      <c r="E3" s="1">
        <f t="shared" si="2"/>
        <v>618.25746322308055</v>
      </c>
      <c r="F3" s="1">
        <f t="shared" si="3"/>
        <v>114892.65847995707</v>
      </c>
      <c r="G3" s="2"/>
      <c r="H3" s="4" t="s">
        <v>83</v>
      </c>
      <c r="I3" s="8">
        <v>0</v>
      </c>
    </row>
    <row r="4" spans="1:9" ht="15.75" customHeight="1" x14ac:dyDescent="0.25">
      <c r="A4" s="7" t="s">
        <v>84</v>
      </c>
      <c r="B4" s="1">
        <f t="shared" si="4"/>
        <v>114892.65847995707</v>
      </c>
      <c r="C4" s="1">
        <f t="shared" si="0"/>
        <v>139.53805288992612</v>
      </c>
      <c r="D4" s="1">
        <f t="shared" si="1"/>
        <v>478.71941033315443</v>
      </c>
      <c r="E4" s="1">
        <f t="shared" si="2"/>
        <v>618.25746322308055</v>
      </c>
      <c r="F4" s="1">
        <f t="shared" si="3"/>
        <v>114753.12042706714</v>
      </c>
      <c r="G4" s="2"/>
      <c r="H4" s="4" t="s">
        <v>85</v>
      </c>
      <c r="I4" s="9">
        <f>[1]Forecasts!E22</f>
        <v>30</v>
      </c>
    </row>
    <row r="5" spans="1:9" ht="15.75" customHeight="1" x14ac:dyDescent="0.25">
      <c r="A5" s="7" t="s">
        <v>86</v>
      </c>
      <c r="B5" s="1">
        <f t="shared" si="4"/>
        <v>114753.12042706714</v>
      </c>
      <c r="C5" s="1">
        <f t="shared" si="0"/>
        <v>140.11946144363412</v>
      </c>
      <c r="D5" s="1">
        <f t="shared" si="1"/>
        <v>478.13800177944643</v>
      </c>
      <c r="E5" s="1">
        <f t="shared" si="2"/>
        <v>618.25746322308055</v>
      </c>
      <c r="F5" s="1">
        <f t="shared" si="3"/>
        <v>114613.00096562351</v>
      </c>
      <c r="G5" s="2"/>
      <c r="H5" s="4" t="s">
        <v>87</v>
      </c>
      <c r="I5" s="2">
        <f>I4*12</f>
        <v>360</v>
      </c>
    </row>
    <row r="6" spans="1:9" ht="15.75" customHeight="1" x14ac:dyDescent="0.25">
      <c r="A6" s="7" t="s">
        <v>88</v>
      </c>
      <c r="B6" s="1">
        <f t="shared" si="4"/>
        <v>114613.00096562351</v>
      </c>
      <c r="C6" s="1">
        <f t="shared" si="0"/>
        <v>140.70329253298263</v>
      </c>
      <c r="D6" s="1">
        <f t="shared" si="1"/>
        <v>477.55417069009792</v>
      </c>
      <c r="E6" s="1">
        <f t="shared" si="2"/>
        <v>618.25746322308055</v>
      </c>
      <c r="F6" s="1">
        <f t="shared" si="3"/>
        <v>114472.29767309052</v>
      </c>
      <c r="G6" s="2"/>
      <c r="H6" s="4" t="s">
        <v>89</v>
      </c>
      <c r="I6" s="2">
        <v>0</v>
      </c>
    </row>
    <row r="7" spans="1:9" ht="15.75" customHeight="1" x14ac:dyDescent="0.25">
      <c r="A7" s="7" t="s">
        <v>90</v>
      </c>
      <c r="B7" s="1">
        <f t="shared" si="4"/>
        <v>114472.29767309052</v>
      </c>
      <c r="C7" s="1">
        <f t="shared" si="0"/>
        <v>141.28955625187007</v>
      </c>
      <c r="D7" s="1">
        <f t="shared" si="1"/>
        <v>476.96790697121048</v>
      </c>
      <c r="E7" s="1">
        <f t="shared" si="2"/>
        <v>618.25746322308055</v>
      </c>
      <c r="F7" s="1">
        <f t="shared" si="3"/>
        <v>114331.00811683865</v>
      </c>
      <c r="G7" s="2"/>
      <c r="H7" s="4" t="s">
        <v>91</v>
      </c>
      <c r="I7" s="8">
        <f>Financials!D77</f>
        <v>115170</v>
      </c>
    </row>
    <row r="8" spans="1:9" ht="15.75" customHeight="1" x14ac:dyDescent="0.25">
      <c r="A8" s="7" t="s">
        <v>92</v>
      </c>
      <c r="B8" s="1">
        <f t="shared" si="4"/>
        <v>114331.00811683865</v>
      </c>
      <c r="C8" s="1">
        <f t="shared" si="0"/>
        <v>141.87826273625285</v>
      </c>
      <c r="D8" s="1">
        <f t="shared" si="1"/>
        <v>476.3792004868277</v>
      </c>
      <c r="E8" s="1">
        <f t="shared" si="2"/>
        <v>618.25746322308055</v>
      </c>
      <c r="F8" s="1">
        <f t="shared" si="3"/>
        <v>114189.1298541024</v>
      </c>
      <c r="G8" s="2"/>
      <c r="H8" s="4"/>
      <c r="I8" s="2"/>
    </row>
    <row r="9" spans="1:9" ht="15.75" customHeight="1" x14ac:dyDescent="0.25">
      <c r="A9" s="7" t="s">
        <v>93</v>
      </c>
      <c r="B9" s="1">
        <f t="shared" si="4"/>
        <v>114189.1298541024</v>
      </c>
      <c r="C9" s="1">
        <f t="shared" si="0"/>
        <v>142.46942216432058</v>
      </c>
      <c r="D9" s="1">
        <f t="shared" si="1"/>
        <v>475.78804105875997</v>
      </c>
      <c r="E9" s="1">
        <f t="shared" si="2"/>
        <v>618.25746322308055</v>
      </c>
      <c r="F9" s="1">
        <f t="shared" si="3"/>
        <v>114046.66043193809</v>
      </c>
      <c r="G9" s="2"/>
      <c r="H9" s="4" t="s">
        <v>77</v>
      </c>
      <c r="I9" s="1">
        <f>PMT(I2,I5,I7,I3,I6)</f>
        <v>-618.25746322308055</v>
      </c>
    </row>
    <row r="10" spans="1:9" ht="15.75" customHeight="1" x14ac:dyDescent="0.2">
      <c r="A10" s="7" t="s">
        <v>94</v>
      </c>
      <c r="B10" s="1">
        <f t="shared" si="4"/>
        <v>114046.66043193809</v>
      </c>
      <c r="C10" s="1">
        <f t="shared" si="0"/>
        <v>143.06304475667184</v>
      </c>
      <c r="D10" s="1">
        <f t="shared" si="1"/>
        <v>475.19441846640871</v>
      </c>
      <c r="E10" s="1">
        <f t="shared" si="2"/>
        <v>618.25746322308055</v>
      </c>
      <c r="F10" s="1">
        <f t="shared" si="3"/>
        <v>113903.59738718142</v>
      </c>
      <c r="G10" s="2"/>
      <c r="H10" s="2"/>
      <c r="I10" s="2"/>
    </row>
    <row r="11" spans="1:9" ht="15.75" customHeight="1" x14ac:dyDescent="0.2">
      <c r="A11" s="7" t="s">
        <v>95</v>
      </c>
      <c r="B11" s="1">
        <f t="shared" si="4"/>
        <v>113903.59738718142</v>
      </c>
      <c r="C11" s="1">
        <f t="shared" si="0"/>
        <v>143.65914077649131</v>
      </c>
      <c r="D11" s="1">
        <f t="shared" si="1"/>
        <v>474.59832244658924</v>
      </c>
      <c r="E11" s="1">
        <f t="shared" si="2"/>
        <v>618.25746322308055</v>
      </c>
      <c r="F11" s="1">
        <f t="shared" si="3"/>
        <v>113759.93824640493</v>
      </c>
      <c r="G11" s="2"/>
      <c r="H11" s="2"/>
      <c r="I11" s="2"/>
    </row>
    <row r="12" spans="1:9" ht="15.75" customHeight="1" x14ac:dyDescent="0.2">
      <c r="A12" s="7" t="s">
        <v>96</v>
      </c>
      <c r="B12" s="1">
        <f t="shared" si="4"/>
        <v>113759.93824640493</v>
      </c>
      <c r="C12" s="1">
        <f t="shared" si="0"/>
        <v>144.25772052972667</v>
      </c>
      <c r="D12" s="1">
        <f t="shared" si="1"/>
        <v>473.99974269335388</v>
      </c>
      <c r="E12" s="1">
        <f t="shared" si="2"/>
        <v>618.25746322308055</v>
      </c>
      <c r="F12" s="1">
        <f t="shared" si="3"/>
        <v>113615.6805258752</v>
      </c>
      <c r="G12" s="2"/>
      <c r="H12" s="2"/>
      <c r="I12" s="2"/>
    </row>
    <row r="13" spans="1:9" ht="15.75" customHeight="1" x14ac:dyDescent="0.2">
      <c r="A13" s="7" t="s">
        <v>97</v>
      </c>
      <c r="B13" s="1">
        <f t="shared" si="4"/>
        <v>113615.6805258752</v>
      </c>
      <c r="C13" s="1">
        <f t="shared" si="0"/>
        <v>144.85879436526722</v>
      </c>
      <c r="D13" s="1">
        <f t="shared" si="1"/>
        <v>473.39866885781333</v>
      </c>
      <c r="E13" s="1">
        <f t="shared" si="2"/>
        <v>618.25746322308055</v>
      </c>
      <c r="F13" s="1">
        <f t="shared" si="3"/>
        <v>113470.82173150993</v>
      </c>
      <c r="G13" s="2">
        <v>1</v>
      </c>
      <c r="H13" s="2"/>
      <c r="I13" s="2"/>
    </row>
    <row r="14" spans="1:9" ht="15.75" customHeight="1" x14ac:dyDescent="0.25">
      <c r="A14" s="10" t="s">
        <v>98</v>
      </c>
      <c r="B14" s="1"/>
      <c r="C14" s="1">
        <f>SUM(C2:C13)</f>
        <v>1699.1782684900672</v>
      </c>
      <c r="D14" s="1">
        <f>SUM(D2:D13)</f>
        <v>5719.9112901868994</v>
      </c>
      <c r="E14" s="1"/>
      <c r="F14" s="1"/>
      <c r="G14" s="2"/>
      <c r="H14" s="2"/>
      <c r="I14" s="2"/>
    </row>
    <row r="15" spans="1:9" ht="15.75" customHeight="1" x14ac:dyDescent="0.2">
      <c r="A15" s="7"/>
      <c r="B15" s="1"/>
      <c r="C15" s="1"/>
      <c r="D15" s="1"/>
      <c r="E15" s="1"/>
      <c r="F15" s="1"/>
      <c r="G15" s="2"/>
      <c r="H15" s="2"/>
      <c r="I15" s="2"/>
    </row>
    <row r="16" spans="1:9" ht="15.75" customHeight="1" x14ac:dyDescent="0.2">
      <c r="A16" s="6" t="s">
        <v>80</v>
      </c>
      <c r="B16" s="1">
        <f>+F13</f>
        <v>113470.82173150993</v>
      </c>
      <c r="C16" s="1">
        <f t="shared" ref="C16:C27" si="5">+E16-D16</f>
        <v>145.46237267512248</v>
      </c>
      <c r="D16" s="1">
        <f t="shared" ref="D16:D27" si="6">B16*$I$2</f>
        <v>472.79509054795807</v>
      </c>
      <c r="E16" s="1">
        <f t="shared" ref="E16:E27" si="7">-$I$9</f>
        <v>618.25746322308055</v>
      </c>
      <c r="F16" s="1">
        <f t="shared" ref="F16:F27" si="8">+B16-C16</f>
        <v>113325.35935883482</v>
      </c>
      <c r="G16" s="2"/>
      <c r="H16" s="2"/>
      <c r="I16" s="2"/>
    </row>
    <row r="17" spans="1:9" ht="15.75" customHeight="1" x14ac:dyDescent="0.2">
      <c r="A17" s="7" t="s">
        <v>82</v>
      </c>
      <c r="B17" s="1">
        <f t="shared" ref="B17:B27" si="9">+F16</f>
        <v>113325.35935883482</v>
      </c>
      <c r="C17" s="1">
        <f t="shared" si="5"/>
        <v>146.06846589460218</v>
      </c>
      <c r="D17" s="1">
        <f t="shared" si="6"/>
        <v>472.18899732847837</v>
      </c>
      <c r="E17" s="1">
        <f t="shared" si="7"/>
        <v>618.25746322308055</v>
      </c>
      <c r="F17" s="1">
        <f t="shared" si="8"/>
        <v>113179.29089294022</v>
      </c>
      <c r="G17" s="2"/>
      <c r="H17" s="2"/>
      <c r="I17" s="2"/>
    </row>
    <row r="18" spans="1:9" ht="15.75" customHeight="1" x14ac:dyDescent="0.2">
      <c r="A18" s="7" t="s">
        <v>84</v>
      </c>
      <c r="B18" s="1">
        <f t="shared" si="9"/>
        <v>113179.29089294022</v>
      </c>
      <c r="C18" s="1">
        <f t="shared" si="5"/>
        <v>146.67708450249631</v>
      </c>
      <c r="D18" s="1">
        <f t="shared" si="6"/>
        <v>471.58037872058424</v>
      </c>
      <c r="E18" s="1">
        <f t="shared" si="7"/>
        <v>618.25746322308055</v>
      </c>
      <c r="F18" s="1">
        <f t="shared" si="8"/>
        <v>113032.61380843772</v>
      </c>
      <c r="G18" s="2"/>
      <c r="H18" s="2"/>
      <c r="I18" s="2"/>
    </row>
    <row r="19" spans="1:9" ht="15.75" customHeight="1" x14ac:dyDescent="0.2">
      <c r="A19" s="7" t="s">
        <v>86</v>
      </c>
      <c r="B19" s="1">
        <f t="shared" si="9"/>
        <v>113032.61380843772</v>
      </c>
      <c r="C19" s="1">
        <f t="shared" si="5"/>
        <v>147.28823902125674</v>
      </c>
      <c r="D19" s="1">
        <f t="shared" si="6"/>
        <v>470.96922420182381</v>
      </c>
      <c r="E19" s="1">
        <f t="shared" si="7"/>
        <v>618.25746322308055</v>
      </c>
      <c r="F19" s="1">
        <f t="shared" si="8"/>
        <v>112885.32556941645</v>
      </c>
      <c r="G19" s="2"/>
      <c r="H19" s="2"/>
      <c r="I19" s="2"/>
    </row>
    <row r="20" spans="1:9" ht="15.75" customHeight="1" x14ac:dyDescent="0.2">
      <c r="A20" s="7" t="s">
        <v>88</v>
      </c>
      <c r="B20" s="1">
        <f t="shared" si="9"/>
        <v>112885.32556941645</v>
      </c>
      <c r="C20" s="1">
        <f t="shared" si="5"/>
        <v>147.90194001717867</v>
      </c>
      <c r="D20" s="1">
        <f t="shared" si="6"/>
        <v>470.35552320590187</v>
      </c>
      <c r="E20" s="1">
        <f t="shared" si="7"/>
        <v>618.25746322308055</v>
      </c>
      <c r="F20" s="1">
        <f t="shared" si="8"/>
        <v>112737.42362939927</v>
      </c>
      <c r="G20" s="2"/>
      <c r="H20" s="2"/>
      <c r="I20" s="2"/>
    </row>
    <row r="21" spans="1:9" ht="15.75" customHeight="1" x14ac:dyDescent="0.2">
      <c r="A21" s="7" t="s">
        <v>90</v>
      </c>
      <c r="B21" s="1">
        <f t="shared" si="9"/>
        <v>112737.42362939927</v>
      </c>
      <c r="C21" s="1">
        <f t="shared" si="5"/>
        <v>148.51819810058356</v>
      </c>
      <c r="D21" s="1">
        <f t="shared" si="6"/>
        <v>469.73926512249699</v>
      </c>
      <c r="E21" s="1">
        <f t="shared" si="7"/>
        <v>618.25746322308055</v>
      </c>
      <c r="F21" s="1">
        <f t="shared" si="8"/>
        <v>112588.90543129868</v>
      </c>
      <c r="G21" s="2"/>
      <c r="H21" s="2"/>
      <c r="I21" s="2"/>
    </row>
    <row r="22" spans="1:9" ht="15.75" customHeight="1" x14ac:dyDescent="0.2">
      <c r="A22" s="7" t="s">
        <v>92</v>
      </c>
      <c r="B22" s="1">
        <f t="shared" si="9"/>
        <v>112588.90543129868</v>
      </c>
      <c r="C22" s="1">
        <f t="shared" si="5"/>
        <v>149.13702392600271</v>
      </c>
      <c r="D22" s="1">
        <f t="shared" si="6"/>
        <v>469.12043929707784</v>
      </c>
      <c r="E22" s="1">
        <f t="shared" si="7"/>
        <v>618.25746322308055</v>
      </c>
      <c r="F22" s="1">
        <f t="shared" si="8"/>
        <v>112439.76840737269</v>
      </c>
      <c r="G22" s="2"/>
      <c r="H22" s="2"/>
      <c r="I22" s="2"/>
    </row>
    <row r="23" spans="1:9" ht="15.75" customHeight="1" x14ac:dyDescent="0.2">
      <c r="A23" s="7" t="s">
        <v>93</v>
      </c>
      <c r="B23" s="1">
        <f t="shared" si="9"/>
        <v>112439.76840737269</v>
      </c>
      <c r="C23" s="1">
        <f t="shared" si="5"/>
        <v>149.75842819236101</v>
      </c>
      <c r="D23" s="1">
        <f t="shared" si="6"/>
        <v>468.49903503071954</v>
      </c>
      <c r="E23" s="1">
        <f t="shared" si="7"/>
        <v>618.25746322308055</v>
      </c>
      <c r="F23" s="1">
        <f t="shared" si="8"/>
        <v>112290.00997918032</v>
      </c>
      <c r="G23" s="2"/>
      <c r="H23" s="2"/>
      <c r="I23" s="2"/>
    </row>
    <row r="24" spans="1:9" ht="15.75" customHeight="1" x14ac:dyDescent="0.2">
      <c r="A24" s="7" t="s">
        <v>94</v>
      </c>
      <c r="B24" s="1">
        <f t="shared" si="9"/>
        <v>112290.00997918032</v>
      </c>
      <c r="C24" s="1">
        <f t="shared" si="5"/>
        <v>150.38242164316256</v>
      </c>
      <c r="D24" s="1">
        <f t="shared" si="6"/>
        <v>467.87504157991799</v>
      </c>
      <c r="E24" s="1">
        <f t="shared" si="7"/>
        <v>618.25746322308055</v>
      </c>
      <c r="F24" s="1">
        <f t="shared" si="8"/>
        <v>112139.62755753715</v>
      </c>
      <c r="G24" s="2"/>
      <c r="H24" s="2"/>
      <c r="I24" s="2"/>
    </row>
    <row r="25" spans="1:9" ht="15.75" customHeight="1" x14ac:dyDescent="0.2">
      <c r="A25" s="7" t="s">
        <v>95</v>
      </c>
      <c r="B25" s="1">
        <f t="shared" si="9"/>
        <v>112139.62755753715</v>
      </c>
      <c r="C25" s="1">
        <f t="shared" si="5"/>
        <v>151.00901506667577</v>
      </c>
      <c r="D25" s="1">
        <f t="shared" si="6"/>
        <v>467.24844815640478</v>
      </c>
      <c r="E25" s="1">
        <f t="shared" si="7"/>
        <v>618.25746322308055</v>
      </c>
      <c r="F25" s="1">
        <f t="shared" si="8"/>
        <v>111988.61854247047</v>
      </c>
      <c r="G25" s="2"/>
      <c r="H25" s="2"/>
      <c r="I25" s="2"/>
    </row>
    <row r="26" spans="1:9" ht="15.75" customHeight="1" x14ac:dyDescent="0.2">
      <c r="A26" s="7" t="s">
        <v>96</v>
      </c>
      <c r="B26" s="1">
        <f t="shared" si="9"/>
        <v>111988.61854247047</v>
      </c>
      <c r="C26" s="1">
        <f t="shared" si="5"/>
        <v>151.63821929612027</v>
      </c>
      <c r="D26" s="1">
        <f t="shared" si="6"/>
        <v>466.61924392696028</v>
      </c>
      <c r="E26" s="1">
        <f t="shared" si="7"/>
        <v>618.25746322308055</v>
      </c>
      <c r="F26" s="1">
        <f t="shared" si="8"/>
        <v>111836.98032317436</v>
      </c>
      <c r="G26" s="2"/>
      <c r="H26" s="2"/>
      <c r="I26" s="2"/>
    </row>
    <row r="27" spans="1:9" ht="15.75" customHeight="1" x14ac:dyDescent="0.2">
      <c r="A27" s="7" t="s">
        <v>97</v>
      </c>
      <c r="B27" s="1">
        <f t="shared" si="9"/>
        <v>111836.98032317436</v>
      </c>
      <c r="C27" s="1">
        <f t="shared" si="5"/>
        <v>152.27004520985406</v>
      </c>
      <c r="D27" s="1">
        <f t="shared" si="6"/>
        <v>465.98741801322649</v>
      </c>
      <c r="E27" s="1">
        <f t="shared" si="7"/>
        <v>618.25746322308055</v>
      </c>
      <c r="F27" s="1">
        <f t="shared" si="8"/>
        <v>111684.71027796451</v>
      </c>
      <c r="G27" s="2">
        <f>G13+1</f>
        <v>2</v>
      </c>
      <c r="H27" s="2"/>
      <c r="I27" s="2"/>
    </row>
    <row r="28" spans="1:9" ht="15.75" customHeight="1" x14ac:dyDescent="0.25">
      <c r="A28" s="10" t="s">
        <v>98</v>
      </c>
      <c r="B28" s="1"/>
      <c r="C28" s="1">
        <f>SUM(C16:C27)</f>
        <v>1786.1114535454165</v>
      </c>
      <c r="D28" s="1">
        <f>SUM(D16:D27)</f>
        <v>5632.9781051315513</v>
      </c>
      <c r="E28" s="1"/>
      <c r="F28" s="1"/>
      <c r="G28" s="2"/>
      <c r="H28" s="2"/>
      <c r="I28" s="2"/>
    </row>
    <row r="29" spans="1:9" ht="15.75" customHeight="1" x14ac:dyDescent="0.2">
      <c r="A29" s="7"/>
      <c r="B29" s="1"/>
      <c r="C29" s="1"/>
      <c r="D29" s="1"/>
      <c r="E29" s="1"/>
      <c r="F29" s="1"/>
      <c r="G29" s="2"/>
      <c r="H29" s="2"/>
      <c r="I29" s="2"/>
    </row>
    <row r="30" spans="1:9" ht="15.75" customHeight="1" x14ac:dyDescent="0.2">
      <c r="A30" s="6" t="s">
        <v>80</v>
      </c>
      <c r="B30" s="1">
        <f>+F27</f>
        <v>111684.71027796451</v>
      </c>
      <c r="C30" s="1">
        <f t="shared" ref="C30:C41" si="10">+E30-D30</f>
        <v>152.90450373156176</v>
      </c>
      <c r="D30" s="1">
        <f t="shared" ref="D30:D41" si="11">B30*$I$2</f>
        <v>465.35295949151879</v>
      </c>
      <c r="E30" s="1">
        <f t="shared" ref="E30:E41" si="12">-$I$9</f>
        <v>618.25746322308055</v>
      </c>
      <c r="F30" s="1">
        <f t="shared" ref="F30:F41" si="13">+B30-C30</f>
        <v>111531.80577423294</v>
      </c>
      <c r="G30" s="2"/>
      <c r="H30" s="2"/>
      <c r="I30" s="2"/>
    </row>
    <row r="31" spans="1:9" ht="15.75" customHeight="1" x14ac:dyDescent="0.2">
      <c r="A31" s="7" t="s">
        <v>82</v>
      </c>
      <c r="B31" s="1">
        <f t="shared" ref="B31:B41" si="14">+F30</f>
        <v>111531.80577423294</v>
      </c>
      <c r="C31" s="1">
        <f t="shared" si="10"/>
        <v>153.5416058304433</v>
      </c>
      <c r="D31" s="1">
        <f t="shared" si="11"/>
        <v>464.71585739263725</v>
      </c>
      <c r="E31" s="1">
        <f t="shared" si="12"/>
        <v>618.25746322308055</v>
      </c>
      <c r="F31" s="1">
        <f t="shared" si="13"/>
        <v>111378.2641684025</v>
      </c>
      <c r="G31" s="2"/>
      <c r="H31" s="2"/>
      <c r="I31" s="2"/>
    </row>
    <row r="32" spans="1:9" ht="15.75" customHeight="1" x14ac:dyDescent="0.2">
      <c r="A32" s="7" t="s">
        <v>84</v>
      </c>
      <c r="B32" s="1">
        <f t="shared" si="14"/>
        <v>111378.2641684025</v>
      </c>
      <c r="C32" s="1">
        <f t="shared" si="10"/>
        <v>154.18136252140346</v>
      </c>
      <c r="D32" s="1">
        <f t="shared" si="11"/>
        <v>464.07610070167709</v>
      </c>
      <c r="E32" s="1">
        <f t="shared" si="12"/>
        <v>618.25746322308055</v>
      </c>
      <c r="F32" s="1">
        <f t="shared" si="13"/>
        <v>111224.0828058811</v>
      </c>
      <c r="G32" s="2"/>
      <c r="H32" s="2"/>
      <c r="I32" s="2"/>
    </row>
    <row r="33" spans="1:9" ht="15.75" customHeight="1" x14ac:dyDescent="0.2">
      <c r="A33" s="7" t="s">
        <v>86</v>
      </c>
      <c r="B33" s="1">
        <f t="shared" si="14"/>
        <v>111224.0828058811</v>
      </c>
      <c r="C33" s="1">
        <f t="shared" si="10"/>
        <v>154.82378486524266</v>
      </c>
      <c r="D33" s="1">
        <f t="shared" si="11"/>
        <v>463.43367835783789</v>
      </c>
      <c r="E33" s="1">
        <f t="shared" si="12"/>
        <v>618.25746322308055</v>
      </c>
      <c r="F33" s="1">
        <f t="shared" si="13"/>
        <v>111069.25902101585</v>
      </c>
      <c r="G33" s="2"/>
      <c r="H33" s="2"/>
      <c r="I33" s="2"/>
    </row>
    <row r="34" spans="1:9" ht="15.75" customHeight="1" x14ac:dyDescent="0.2">
      <c r="A34" s="7" t="s">
        <v>88</v>
      </c>
      <c r="B34" s="1">
        <f t="shared" si="14"/>
        <v>111069.25902101585</v>
      </c>
      <c r="C34" s="1">
        <f t="shared" si="10"/>
        <v>155.46888396884782</v>
      </c>
      <c r="D34" s="1">
        <f t="shared" si="11"/>
        <v>462.78857925423273</v>
      </c>
      <c r="E34" s="1">
        <f t="shared" si="12"/>
        <v>618.25746322308055</v>
      </c>
      <c r="F34" s="1">
        <f t="shared" si="13"/>
        <v>110913.79013704701</v>
      </c>
      <c r="G34" s="2"/>
      <c r="H34" s="2"/>
      <c r="I34" s="2"/>
    </row>
    <row r="35" spans="1:9" ht="15.75" customHeight="1" x14ac:dyDescent="0.2">
      <c r="A35" s="7" t="s">
        <v>90</v>
      </c>
      <c r="B35" s="1">
        <f t="shared" si="14"/>
        <v>110913.79013704701</v>
      </c>
      <c r="C35" s="1">
        <f t="shared" si="10"/>
        <v>156.1166709853847</v>
      </c>
      <c r="D35" s="1">
        <f t="shared" si="11"/>
        <v>462.14079223769585</v>
      </c>
      <c r="E35" s="1">
        <f t="shared" si="12"/>
        <v>618.25746322308055</v>
      </c>
      <c r="F35" s="1">
        <f t="shared" si="13"/>
        <v>110757.67346606162</v>
      </c>
      <c r="G35" s="2"/>
      <c r="H35" s="2"/>
      <c r="I35" s="2"/>
    </row>
    <row r="36" spans="1:9" ht="15.75" customHeight="1" x14ac:dyDescent="0.2">
      <c r="A36" s="7" t="s">
        <v>92</v>
      </c>
      <c r="B36" s="1">
        <f t="shared" si="14"/>
        <v>110757.67346606162</v>
      </c>
      <c r="C36" s="1">
        <f t="shared" si="10"/>
        <v>156.76715711449049</v>
      </c>
      <c r="D36" s="1">
        <f t="shared" si="11"/>
        <v>461.49030610859006</v>
      </c>
      <c r="E36" s="1">
        <f t="shared" si="12"/>
        <v>618.25746322308055</v>
      </c>
      <c r="F36" s="1">
        <f t="shared" si="13"/>
        <v>110600.90630894713</v>
      </c>
      <c r="G36" s="2"/>
      <c r="H36" s="2"/>
      <c r="I36" s="2"/>
    </row>
    <row r="37" spans="1:9" ht="15.75" customHeight="1" x14ac:dyDescent="0.2">
      <c r="A37" s="7" t="s">
        <v>93</v>
      </c>
      <c r="B37" s="1">
        <f t="shared" si="14"/>
        <v>110600.90630894713</v>
      </c>
      <c r="C37" s="1">
        <f t="shared" si="10"/>
        <v>157.42035360246751</v>
      </c>
      <c r="D37" s="1">
        <f t="shared" si="11"/>
        <v>460.83710962061303</v>
      </c>
      <c r="E37" s="1">
        <f t="shared" si="12"/>
        <v>618.25746322308055</v>
      </c>
      <c r="F37" s="1">
        <f t="shared" si="13"/>
        <v>110443.48595534466</v>
      </c>
      <c r="G37" s="2"/>
      <c r="H37" s="2"/>
      <c r="I37" s="2"/>
    </row>
    <row r="38" spans="1:9" ht="15.75" customHeight="1" x14ac:dyDescent="0.2">
      <c r="A38" s="7" t="s">
        <v>94</v>
      </c>
      <c r="B38" s="1">
        <f t="shared" si="14"/>
        <v>110443.48595534466</v>
      </c>
      <c r="C38" s="1">
        <f t="shared" si="10"/>
        <v>158.07627174247779</v>
      </c>
      <c r="D38" s="1">
        <f t="shared" si="11"/>
        <v>460.18119148060276</v>
      </c>
      <c r="E38" s="1">
        <f t="shared" si="12"/>
        <v>618.25746322308055</v>
      </c>
      <c r="F38" s="1">
        <f t="shared" si="13"/>
        <v>110285.40968360218</v>
      </c>
      <c r="G38" s="2"/>
      <c r="H38" s="2"/>
      <c r="I38" s="2"/>
    </row>
    <row r="39" spans="1:9" ht="15.75" customHeight="1" x14ac:dyDescent="0.2">
      <c r="A39" s="7" t="s">
        <v>95</v>
      </c>
      <c r="B39" s="1">
        <f t="shared" si="14"/>
        <v>110285.40968360218</v>
      </c>
      <c r="C39" s="1">
        <f t="shared" si="10"/>
        <v>158.73492287473817</v>
      </c>
      <c r="D39" s="1">
        <f t="shared" si="11"/>
        <v>459.52254034834237</v>
      </c>
      <c r="E39" s="1">
        <f t="shared" si="12"/>
        <v>618.25746322308055</v>
      </c>
      <c r="F39" s="1">
        <f t="shared" si="13"/>
        <v>110126.67476072744</v>
      </c>
      <c r="G39" s="2"/>
      <c r="H39" s="2"/>
      <c r="I39" s="2"/>
    </row>
    <row r="40" spans="1:9" ht="15.75" customHeight="1" x14ac:dyDescent="0.2">
      <c r="A40" s="7" t="s">
        <v>96</v>
      </c>
      <c r="B40" s="1">
        <f t="shared" si="14"/>
        <v>110126.67476072744</v>
      </c>
      <c r="C40" s="1">
        <f t="shared" si="10"/>
        <v>159.39631838671619</v>
      </c>
      <c r="D40" s="1">
        <f t="shared" si="11"/>
        <v>458.86114483636436</v>
      </c>
      <c r="E40" s="1">
        <f t="shared" si="12"/>
        <v>618.25746322308055</v>
      </c>
      <c r="F40" s="1">
        <f t="shared" si="13"/>
        <v>109967.27844234073</v>
      </c>
      <c r="G40" s="2"/>
      <c r="H40" s="2"/>
      <c r="I40" s="2"/>
    </row>
    <row r="41" spans="1:9" ht="15.75" customHeight="1" x14ac:dyDescent="0.2">
      <c r="A41" s="7" t="s">
        <v>97</v>
      </c>
      <c r="B41" s="1">
        <f t="shared" si="14"/>
        <v>109967.27844234073</v>
      </c>
      <c r="C41" s="1">
        <f t="shared" si="10"/>
        <v>160.06046971332751</v>
      </c>
      <c r="D41" s="1">
        <f t="shared" si="11"/>
        <v>458.19699350975304</v>
      </c>
      <c r="E41" s="1">
        <f t="shared" si="12"/>
        <v>618.25746322308055</v>
      </c>
      <c r="F41" s="1">
        <f t="shared" si="13"/>
        <v>109807.2179726274</v>
      </c>
      <c r="G41" s="2">
        <f>G27+1</f>
        <v>3</v>
      </c>
      <c r="H41" s="2"/>
      <c r="I41" s="2"/>
    </row>
    <row r="42" spans="1:9" ht="15.75" customHeight="1" x14ac:dyDescent="0.25">
      <c r="A42" s="10" t="s">
        <v>98</v>
      </c>
      <c r="B42" s="1"/>
      <c r="C42" s="1">
        <f>SUM(C30:C41)</f>
        <v>1877.4923053371012</v>
      </c>
      <c r="D42" s="1">
        <f>SUM(D30:D41)</f>
        <v>5541.5972533398653</v>
      </c>
      <c r="E42" s="1"/>
      <c r="F42" s="1"/>
      <c r="G42" s="2"/>
      <c r="H42" s="2"/>
      <c r="I42" s="2"/>
    </row>
    <row r="43" spans="1:9" ht="15.75" customHeight="1" x14ac:dyDescent="0.2">
      <c r="A43" s="7"/>
      <c r="B43" s="1"/>
      <c r="C43" s="1"/>
      <c r="D43" s="1"/>
      <c r="E43" s="1"/>
      <c r="F43" s="1"/>
      <c r="G43" s="2"/>
      <c r="H43" s="2"/>
      <c r="I43" s="2"/>
    </row>
    <row r="44" spans="1:9" ht="15.75" customHeight="1" x14ac:dyDescent="0.2">
      <c r="A44" s="6" t="s">
        <v>80</v>
      </c>
      <c r="B44" s="1">
        <f>+F41</f>
        <v>109807.2179726274</v>
      </c>
      <c r="C44" s="1">
        <f>+E44-D44</f>
        <v>160.72738833713305</v>
      </c>
      <c r="D44" s="1">
        <f>B44*$I$2</f>
        <v>457.5300748859475</v>
      </c>
      <c r="E44" s="1">
        <f t="shared" ref="E44:E55" si="15">-$I$9</f>
        <v>618.25746322308055</v>
      </c>
      <c r="F44" s="1">
        <f>+B44-C44</f>
        <v>109646.49058429027</v>
      </c>
      <c r="G44" s="2"/>
      <c r="H44" s="2"/>
      <c r="I44" s="2"/>
    </row>
    <row r="45" spans="1:9" ht="15.75" customHeight="1" x14ac:dyDescent="0.2">
      <c r="A45" s="7" t="s">
        <v>82</v>
      </c>
      <c r="B45" s="1">
        <f>+F44</f>
        <v>109646.49058429027</v>
      </c>
      <c r="C45" s="1">
        <f>+E45-D45</f>
        <v>161.39708578853777</v>
      </c>
      <c r="D45" s="1">
        <f>B45*$I$2</f>
        <v>456.86037743454278</v>
      </c>
      <c r="E45" s="1">
        <f t="shared" si="15"/>
        <v>618.25746322308055</v>
      </c>
      <c r="F45" s="1">
        <f>+B45-C45</f>
        <v>109485.09349850172</v>
      </c>
      <c r="G45" s="2"/>
      <c r="H45" s="2"/>
      <c r="I45" s="2"/>
    </row>
    <row r="46" spans="1:9" ht="15.75" customHeight="1" x14ac:dyDescent="0.2">
      <c r="A46" s="7" t="s">
        <v>84</v>
      </c>
      <c r="B46" s="1">
        <f>+F45</f>
        <v>109485.09349850172</v>
      </c>
      <c r="C46" s="1">
        <f>+E46-D46</f>
        <v>162.06957364599003</v>
      </c>
      <c r="D46" s="1">
        <f>B46*$I$2</f>
        <v>456.18788957709052</v>
      </c>
      <c r="E46" s="1">
        <f t="shared" si="15"/>
        <v>618.25746322308055</v>
      </c>
      <c r="F46" s="1">
        <f>+B46-C46</f>
        <v>109323.02392485573</v>
      </c>
      <c r="G46" s="2"/>
      <c r="H46" s="2"/>
      <c r="I46" s="2"/>
    </row>
    <row r="47" spans="1:9" ht="15.75" customHeight="1" x14ac:dyDescent="0.2">
      <c r="A47" s="7" t="s">
        <v>86</v>
      </c>
      <c r="B47" s="1">
        <f>+F46</f>
        <v>109323.02392485573</v>
      </c>
      <c r="C47" s="1">
        <f>+E47-D47</f>
        <v>162.74486353618164</v>
      </c>
      <c r="D47" s="1">
        <f>B47*$I$2</f>
        <v>455.51259968689891</v>
      </c>
      <c r="E47" s="1">
        <f t="shared" si="15"/>
        <v>618.25746322308055</v>
      </c>
      <c r="F47" s="1">
        <f>+B47-C47</f>
        <v>109160.27906131955</v>
      </c>
      <c r="G47" s="2"/>
      <c r="H47" s="2"/>
      <c r="I47" s="2"/>
    </row>
    <row r="48" spans="1:9" ht="15.75" customHeight="1" x14ac:dyDescent="0.2">
      <c r="A48" s="7" t="s">
        <v>88</v>
      </c>
      <c r="B48" s="1">
        <f t="shared" ref="B48:B55" si="16">+F47</f>
        <v>109160.27906131955</v>
      </c>
      <c r="C48" s="1">
        <f t="shared" ref="C48:C55" si="17">+E48-D48</f>
        <v>163.42296713424906</v>
      </c>
      <c r="D48" s="1">
        <f t="shared" ref="D48:D55" si="18">B48*$I$2</f>
        <v>454.83449608883149</v>
      </c>
      <c r="E48" s="1">
        <f t="shared" si="15"/>
        <v>618.25746322308055</v>
      </c>
      <c r="F48" s="1">
        <f t="shared" ref="F48:F55" si="19">+B48-C48</f>
        <v>108996.85609418531</v>
      </c>
      <c r="G48" s="2"/>
      <c r="H48" s="2"/>
      <c r="I48" s="2"/>
    </row>
    <row r="49" spans="1:9" ht="15.75" customHeight="1" x14ac:dyDescent="0.2">
      <c r="A49" s="7" t="s">
        <v>90</v>
      </c>
      <c r="B49" s="1">
        <f t="shared" si="16"/>
        <v>108996.85609418531</v>
      </c>
      <c r="C49" s="1">
        <f t="shared" si="17"/>
        <v>164.10389616397509</v>
      </c>
      <c r="D49" s="1">
        <f t="shared" si="18"/>
        <v>454.15356705910546</v>
      </c>
      <c r="E49" s="1">
        <f t="shared" si="15"/>
        <v>618.25746322308055</v>
      </c>
      <c r="F49" s="1">
        <f t="shared" si="19"/>
        <v>108832.75219802134</v>
      </c>
      <c r="G49" s="2"/>
      <c r="H49" s="2"/>
      <c r="I49" s="2"/>
    </row>
    <row r="50" spans="1:9" ht="15.75" customHeight="1" x14ac:dyDescent="0.2">
      <c r="A50" s="7" t="s">
        <v>92</v>
      </c>
      <c r="B50" s="1">
        <f t="shared" si="16"/>
        <v>108832.75219802134</v>
      </c>
      <c r="C50" s="1">
        <f t="shared" si="17"/>
        <v>164.78766239799165</v>
      </c>
      <c r="D50" s="1">
        <f t="shared" si="18"/>
        <v>453.4698008250889</v>
      </c>
      <c r="E50" s="1">
        <f t="shared" si="15"/>
        <v>618.25746322308055</v>
      </c>
      <c r="F50" s="1">
        <f t="shared" si="19"/>
        <v>108667.96453562334</v>
      </c>
      <c r="G50" s="2"/>
      <c r="H50" s="2"/>
      <c r="I50" s="2"/>
    </row>
    <row r="51" spans="1:9" ht="15.75" customHeight="1" x14ac:dyDescent="0.2">
      <c r="A51" s="7" t="s">
        <v>93</v>
      </c>
      <c r="B51" s="1">
        <f t="shared" si="16"/>
        <v>108667.96453562334</v>
      </c>
      <c r="C51" s="1">
        <f t="shared" si="17"/>
        <v>165.47427765798329</v>
      </c>
      <c r="D51" s="1">
        <f t="shared" si="18"/>
        <v>452.78318556509726</v>
      </c>
      <c r="E51" s="1">
        <f t="shared" si="15"/>
        <v>618.25746322308055</v>
      </c>
      <c r="F51" s="1">
        <f t="shared" si="19"/>
        <v>108502.49025796536</v>
      </c>
      <c r="G51" s="2"/>
      <c r="H51" s="2"/>
      <c r="I51" s="2"/>
    </row>
    <row r="52" spans="1:9" ht="15.75" customHeight="1" x14ac:dyDescent="0.2">
      <c r="A52" s="7" t="s">
        <v>94</v>
      </c>
      <c r="B52" s="1">
        <f t="shared" si="16"/>
        <v>108502.49025796536</v>
      </c>
      <c r="C52" s="1">
        <f t="shared" si="17"/>
        <v>166.16375381489155</v>
      </c>
      <c r="D52" s="1">
        <f t="shared" si="18"/>
        <v>452.093709408189</v>
      </c>
      <c r="E52" s="1">
        <f t="shared" si="15"/>
        <v>618.25746322308055</v>
      </c>
      <c r="F52" s="1">
        <f t="shared" si="19"/>
        <v>108336.32650415046</v>
      </c>
      <c r="G52" s="2"/>
      <c r="H52" s="2"/>
      <c r="I52" s="2"/>
    </row>
    <row r="53" spans="1:9" ht="15.75" customHeight="1" x14ac:dyDescent="0.2">
      <c r="A53" s="7" t="s">
        <v>95</v>
      </c>
      <c r="B53" s="1">
        <f t="shared" si="16"/>
        <v>108336.32650415046</v>
      </c>
      <c r="C53" s="1">
        <f t="shared" si="17"/>
        <v>166.85610278912031</v>
      </c>
      <c r="D53" s="1">
        <f t="shared" si="18"/>
        <v>451.40136043396024</v>
      </c>
      <c r="E53" s="1">
        <f t="shared" si="15"/>
        <v>618.25746322308055</v>
      </c>
      <c r="F53" s="1">
        <f t="shared" si="19"/>
        <v>108169.47040136134</v>
      </c>
      <c r="G53" s="2"/>
      <c r="H53" s="2"/>
      <c r="I53" s="2"/>
    </row>
    <row r="54" spans="1:9" ht="15.75" customHeight="1" x14ac:dyDescent="0.2">
      <c r="A54" s="7" t="s">
        <v>96</v>
      </c>
      <c r="B54" s="1">
        <f t="shared" si="16"/>
        <v>108169.47040136134</v>
      </c>
      <c r="C54" s="1">
        <f t="shared" si="17"/>
        <v>167.55133655074167</v>
      </c>
      <c r="D54" s="1">
        <f t="shared" si="18"/>
        <v>450.70612667233888</v>
      </c>
      <c r="E54" s="1">
        <f t="shared" si="15"/>
        <v>618.25746322308055</v>
      </c>
      <c r="F54" s="1">
        <f t="shared" si="19"/>
        <v>108001.9190648106</v>
      </c>
      <c r="G54" s="2"/>
      <c r="H54" s="2"/>
      <c r="I54" s="2"/>
    </row>
    <row r="55" spans="1:9" ht="15.75" customHeight="1" x14ac:dyDescent="0.2">
      <c r="A55" s="7" t="s">
        <v>97</v>
      </c>
      <c r="B55" s="1">
        <f t="shared" si="16"/>
        <v>108001.9190648106</v>
      </c>
      <c r="C55" s="1">
        <f t="shared" si="17"/>
        <v>168.24946711970307</v>
      </c>
      <c r="D55" s="1">
        <f t="shared" si="18"/>
        <v>450.00799610337748</v>
      </c>
      <c r="E55" s="1">
        <f t="shared" si="15"/>
        <v>618.25746322308055</v>
      </c>
      <c r="F55" s="1">
        <f t="shared" si="19"/>
        <v>107833.6695976909</v>
      </c>
      <c r="G55" s="2">
        <f>G41+1</f>
        <v>4</v>
      </c>
      <c r="H55" s="2"/>
      <c r="I55" s="2"/>
    </row>
    <row r="56" spans="1:9" ht="15.75" customHeight="1" x14ac:dyDescent="0.25">
      <c r="A56" s="10" t="s">
        <v>98</v>
      </c>
      <c r="B56" s="1"/>
      <c r="C56" s="1">
        <f>SUM(C44:C55)</f>
        <v>1973.5483749364982</v>
      </c>
      <c r="D56" s="1">
        <f>SUM(D44:D55)</f>
        <v>5445.541183740469</v>
      </c>
      <c r="E56" s="1"/>
      <c r="F56" s="1"/>
      <c r="G56" s="2"/>
      <c r="H56" s="2"/>
      <c r="I56" s="2"/>
    </row>
    <row r="57" spans="1:9" ht="15.75" customHeight="1" x14ac:dyDescent="0.2">
      <c r="A57" s="2"/>
      <c r="B57" s="1"/>
      <c r="C57" s="1"/>
      <c r="D57" s="1"/>
      <c r="E57" s="1"/>
      <c r="F57" s="1"/>
      <c r="G57" s="2"/>
      <c r="H57" s="2"/>
      <c r="I57" s="2"/>
    </row>
    <row r="58" spans="1:9" ht="15.75" customHeight="1" x14ac:dyDescent="0.2">
      <c r="A58" s="6" t="s">
        <v>80</v>
      </c>
      <c r="B58" s="1">
        <f>+F55</f>
        <v>107833.6695976909</v>
      </c>
      <c r="C58" s="1">
        <f t="shared" ref="C58:C69" si="20">+E58-D58</f>
        <v>168.95050656603513</v>
      </c>
      <c r="D58" s="1">
        <f t="shared" ref="D58:D69" si="21">B58*$I$2</f>
        <v>449.30695665704542</v>
      </c>
      <c r="E58" s="1">
        <f t="shared" ref="E58:E69" si="22">-$I$9</f>
        <v>618.25746322308055</v>
      </c>
      <c r="F58" s="1">
        <f t="shared" ref="F58:F69" si="23">+B58-C58</f>
        <v>107664.71909112486</v>
      </c>
      <c r="G58" s="2"/>
      <c r="H58" s="2"/>
      <c r="I58" s="2"/>
    </row>
    <row r="59" spans="1:9" ht="15.75" customHeight="1" x14ac:dyDescent="0.2">
      <c r="A59" s="7" t="s">
        <v>82</v>
      </c>
      <c r="B59" s="1">
        <f t="shared" ref="B59:B69" si="24">+F58</f>
        <v>107664.71909112486</v>
      </c>
      <c r="C59" s="1">
        <f t="shared" si="20"/>
        <v>169.65446701006027</v>
      </c>
      <c r="D59" s="1">
        <f t="shared" si="21"/>
        <v>448.60299621302028</v>
      </c>
      <c r="E59" s="1">
        <f t="shared" si="22"/>
        <v>618.25746322308055</v>
      </c>
      <c r="F59" s="1">
        <f t="shared" si="23"/>
        <v>107495.06462411481</v>
      </c>
      <c r="G59" s="2"/>
      <c r="H59" s="2"/>
      <c r="I59" s="2"/>
    </row>
    <row r="60" spans="1:9" ht="15.75" customHeight="1" x14ac:dyDescent="0.2">
      <c r="A60" s="7" t="s">
        <v>84</v>
      </c>
      <c r="B60" s="1">
        <f t="shared" si="24"/>
        <v>107495.06462411481</v>
      </c>
      <c r="C60" s="1">
        <f t="shared" si="20"/>
        <v>170.36136062260221</v>
      </c>
      <c r="D60" s="1">
        <f t="shared" si="21"/>
        <v>447.89610260047834</v>
      </c>
      <c r="E60" s="1">
        <f t="shared" si="22"/>
        <v>618.25746322308055</v>
      </c>
      <c r="F60" s="1">
        <f t="shared" si="23"/>
        <v>107324.70326349221</v>
      </c>
      <c r="G60" s="2"/>
      <c r="H60" s="2"/>
      <c r="I60" s="2"/>
    </row>
    <row r="61" spans="1:9" ht="15.75" customHeight="1" x14ac:dyDescent="0.2">
      <c r="A61" s="7" t="s">
        <v>86</v>
      </c>
      <c r="B61" s="1">
        <f t="shared" si="24"/>
        <v>107324.70326349221</v>
      </c>
      <c r="C61" s="1">
        <f t="shared" si="20"/>
        <v>171.07119962519636</v>
      </c>
      <c r="D61" s="1">
        <f t="shared" si="21"/>
        <v>447.18626359788419</v>
      </c>
      <c r="E61" s="1">
        <f t="shared" si="22"/>
        <v>618.25746322308055</v>
      </c>
      <c r="F61" s="1">
        <f t="shared" si="23"/>
        <v>107153.63206386701</v>
      </c>
      <c r="G61" s="2"/>
      <c r="H61" s="2"/>
      <c r="I61" s="2"/>
    </row>
    <row r="62" spans="1:9" ht="15.75" customHeight="1" x14ac:dyDescent="0.2">
      <c r="A62" s="7" t="s">
        <v>88</v>
      </c>
      <c r="B62" s="1">
        <f t="shared" si="24"/>
        <v>107153.63206386701</v>
      </c>
      <c r="C62" s="1">
        <f t="shared" si="20"/>
        <v>171.78399629030133</v>
      </c>
      <c r="D62" s="1">
        <f t="shared" si="21"/>
        <v>446.47346693277922</v>
      </c>
      <c r="E62" s="1">
        <f t="shared" si="22"/>
        <v>618.25746322308055</v>
      </c>
      <c r="F62" s="1">
        <f t="shared" si="23"/>
        <v>106981.84806757672</v>
      </c>
      <c r="G62" s="2"/>
      <c r="H62" s="2"/>
      <c r="I62" s="2"/>
    </row>
    <row r="63" spans="1:9" ht="15.75" customHeight="1" x14ac:dyDescent="0.2">
      <c r="A63" s="7" t="s">
        <v>90</v>
      </c>
      <c r="B63" s="1">
        <f t="shared" si="24"/>
        <v>106981.84806757672</v>
      </c>
      <c r="C63" s="1">
        <f t="shared" si="20"/>
        <v>172.49976294151088</v>
      </c>
      <c r="D63" s="1">
        <f t="shared" si="21"/>
        <v>445.75770028156967</v>
      </c>
      <c r="E63" s="1">
        <f t="shared" si="22"/>
        <v>618.25746322308055</v>
      </c>
      <c r="F63" s="1">
        <f t="shared" si="23"/>
        <v>106809.3483046352</v>
      </c>
      <c r="G63" s="2"/>
      <c r="H63" s="2"/>
      <c r="I63" s="2"/>
    </row>
    <row r="64" spans="1:9" ht="15.75" customHeight="1" x14ac:dyDescent="0.2">
      <c r="A64" s="7" t="s">
        <v>92</v>
      </c>
      <c r="B64" s="1">
        <f t="shared" si="24"/>
        <v>106809.3483046352</v>
      </c>
      <c r="C64" s="1">
        <f t="shared" si="20"/>
        <v>173.21851195376718</v>
      </c>
      <c r="D64" s="1">
        <f t="shared" si="21"/>
        <v>445.03895126931337</v>
      </c>
      <c r="E64" s="1">
        <f t="shared" si="22"/>
        <v>618.25746322308055</v>
      </c>
      <c r="F64" s="1">
        <f t="shared" si="23"/>
        <v>106636.12979268144</v>
      </c>
      <c r="G64" s="2"/>
      <c r="H64" s="2"/>
      <c r="I64" s="2"/>
    </row>
    <row r="65" spans="1:9" ht="15.75" customHeight="1" x14ac:dyDescent="0.2">
      <c r="A65" s="7" t="s">
        <v>93</v>
      </c>
      <c r="B65" s="1">
        <f t="shared" si="24"/>
        <v>106636.12979268144</v>
      </c>
      <c r="C65" s="1">
        <f t="shared" si="20"/>
        <v>173.94025575357455</v>
      </c>
      <c r="D65" s="1">
        <f t="shared" si="21"/>
        <v>444.317207469506</v>
      </c>
      <c r="E65" s="1">
        <f t="shared" si="22"/>
        <v>618.25746322308055</v>
      </c>
      <c r="F65" s="1">
        <f t="shared" si="23"/>
        <v>106462.18953692786</v>
      </c>
      <c r="G65" s="2"/>
      <c r="H65" s="2"/>
      <c r="I65" s="2"/>
    </row>
    <row r="66" spans="1:9" ht="15.75" customHeight="1" x14ac:dyDescent="0.2">
      <c r="A66" s="7" t="s">
        <v>94</v>
      </c>
      <c r="B66" s="1">
        <f t="shared" si="24"/>
        <v>106462.18953692786</v>
      </c>
      <c r="C66" s="1">
        <f t="shared" si="20"/>
        <v>174.66500681921445</v>
      </c>
      <c r="D66" s="1">
        <f t="shared" si="21"/>
        <v>443.59245640386609</v>
      </c>
      <c r="E66" s="1">
        <f t="shared" si="22"/>
        <v>618.25746322308055</v>
      </c>
      <c r="F66" s="1">
        <f t="shared" si="23"/>
        <v>106287.52453010865</v>
      </c>
      <c r="G66" s="2"/>
      <c r="H66" s="2"/>
      <c r="I66" s="2"/>
    </row>
    <row r="67" spans="1:9" ht="15.75" customHeight="1" x14ac:dyDescent="0.2">
      <c r="A67" s="7" t="s">
        <v>95</v>
      </c>
      <c r="B67" s="1">
        <f t="shared" si="24"/>
        <v>106287.52453010865</v>
      </c>
      <c r="C67" s="1">
        <f t="shared" si="20"/>
        <v>175.39277768096116</v>
      </c>
      <c r="D67" s="1">
        <f t="shared" si="21"/>
        <v>442.86468554211939</v>
      </c>
      <c r="E67" s="1">
        <f t="shared" si="22"/>
        <v>618.25746322308055</v>
      </c>
      <c r="F67" s="1">
        <f t="shared" si="23"/>
        <v>106112.1317524277</v>
      </c>
      <c r="G67" s="2"/>
      <c r="H67" s="2"/>
      <c r="I67" s="2"/>
    </row>
    <row r="68" spans="1:9" ht="15.75" customHeight="1" x14ac:dyDescent="0.2">
      <c r="A68" s="7" t="s">
        <v>96</v>
      </c>
      <c r="B68" s="1">
        <f t="shared" si="24"/>
        <v>106112.1317524277</v>
      </c>
      <c r="C68" s="1">
        <f t="shared" si="20"/>
        <v>176.12358092129847</v>
      </c>
      <c r="D68" s="1">
        <f t="shared" si="21"/>
        <v>442.13388230178208</v>
      </c>
      <c r="E68" s="1">
        <f t="shared" si="22"/>
        <v>618.25746322308055</v>
      </c>
      <c r="F68" s="1">
        <f t="shared" si="23"/>
        <v>105936.0081715064</v>
      </c>
      <c r="G68" s="2"/>
      <c r="H68" s="2"/>
      <c r="I68" s="2"/>
    </row>
    <row r="69" spans="1:9" ht="15.75" customHeight="1" x14ac:dyDescent="0.2">
      <c r="A69" s="7" t="s">
        <v>97</v>
      </c>
      <c r="B69" s="1">
        <f t="shared" si="24"/>
        <v>105936.0081715064</v>
      </c>
      <c r="C69" s="1">
        <f t="shared" si="20"/>
        <v>176.85742917513721</v>
      </c>
      <c r="D69" s="1">
        <f t="shared" si="21"/>
        <v>441.40003404794334</v>
      </c>
      <c r="E69" s="1">
        <f t="shared" si="22"/>
        <v>618.25746322308055</v>
      </c>
      <c r="F69" s="1">
        <f t="shared" si="23"/>
        <v>105759.15074233126</v>
      </c>
      <c r="G69" s="2">
        <f>G55+1</f>
        <v>5</v>
      </c>
      <c r="H69" s="2"/>
      <c r="I69" s="2"/>
    </row>
    <row r="70" spans="1:9" ht="15.75" customHeight="1" x14ac:dyDescent="0.25">
      <c r="A70" s="10" t="s">
        <v>98</v>
      </c>
      <c r="B70" s="1"/>
      <c r="C70" s="1">
        <f>SUM(C58:C69)</f>
        <v>2074.518855359659</v>
      </c>
      <c r="D70" s="1">
        <f>SUM(D58:D69)</f>
        <v>5344.5707033173067</v>
      </c>
      <c r="E70" s="1"/>
      <c r="F70" s="1"/>
      <c r="G70" s="2"/>
      <c r="H70" s="2"/>
      <c r="I70" s="2"/>
    </row>
    <row r="71" spans="1:9" ht="15.75" customHeight="1" x14ac:dyDescent="0.2">
      <c r="A71" s="7"/>
      <c r="B71" s="1"/>
      <c r="C71" s="1"/>
      <c r="D71" s="1"/>
      <c r="E71" s="1"/>
      <c r="F71" s="1"/>
      <c r="G71" s="2"/>
      <c r="H71" s="2"/>
      <c r="I71" s="2"/>
    </row>
    <row r="72" spans="1:9" ht="15.75" customHeight="1" x14ac:dyDescent="0.2">
      <c r="A72" s="6" t="s">
        <v>80</v>
      </c>
      <c r="B72" s="1">
        <f>+F69</f>
        <v>105759.15074233126</v>
      </c>
      <c r="C72" s="1">
        <f t="shared" ref="C72:C83" si="25">+E72-D72</f>
        <v>177.59433513003364</v>
      </c>
      <c r="D72" s="1">
        <f t="shared" ref="D72:D83" si="26">B72*$I$2</f>
        <v>440.66312809304691</v>
      </c>
      <c r="E72" s="1">
        <f t="shared" ref="E72:E83" si="27">-$I$9</f>
        <v>618.25746322308055</v>
      </c>
      <c r="F72" s="1">
        <f t="shared" ref="F72:F83" si="28">+B72-C72</f>
        <v>105581.55640720122</v>
      </c>
      <c r="G72" s="2"/>
      <c r="H72" s="2"/>
      <c r="I72" s="2"/>
    </row>
    <row r="73" spans="1:9" ht="15.75" customHeight="1" x14ac:dyDescent="0.2">
      <c r="A73" s="7" t="s">
        <v>82</v>
      </c>
      <c r="B73" s="1">
        <f t="shared" ref="B73:B83" si="29">+F72</f>
        <v>105581.55640720122</v>
      </c>
      <c r="C73" s="1">
        <f t="shared" si="25"/>
        <v>178.33431152640878</v>
      </c>
      <c r="D73" s="1">
        <f t="shared" si="26"/>
        <v>439.92315169667177</v>
      </c>
      <c r="E73" s="1">
        <f t="shared" si="27"/>
        <v>618.25746322308055</v>
      </c>
      <c r="F73" s="1">
        <f t="shared" si="28"/>
        <v>105403.22209567481</v>
      </c>
      <c r="G73" s="2"/>
      <c r="H73" s="2"/>
      <c r="I73" s="2"/>
    </row>
    <row r="74" spans="1:9" ht="15.75" customHeight="1" x14ac:dyDescent="0.2">
      <c r="A74" s="7" t="s">
        <v>84</v>
      </c>
      <c r="B74" s="1">
        <f t="shared" si="29"/>
        <v>105403.22209567481</v>
      </c>
      <c r="C74" s="1">
        <f t="shared" si="25"/>
        <v>179.07737115776888</v>
      </c>
      <c r="D74" s="1">
        <f t="shared" si="26"/>
        <v>439.18009206531167</v>
      </c>
      <c r="E74" s="1">
        <f t="shared" si="27"/>
        <v>618.25746322308055</v>
      </c>
      <c r="F74" s="1">
        <f t="shared" si="28"/>
        <v>105224.14472451704</v>
      </c>
      <c r="G74" s="2"/>
      <c r="H74" s="2"/>
      <c r="I74" s="2"/>
    </row>
    <row r="75" spans="1:9" ht="15.75" customHeight="1" x14ac:dyDescent="0.2">
      <c r="A75" s="7" t="s">
        <v>86</v>
      </c>
      <c r="B75" s="1">
        <f t="shared" si="29"/>
        <v>105224.14472451704</v>
      </c>
      <c r="C75" s="1">
        <f t="shared" si="25"/>
        <v>179.82352687092623</v>
      </c>
      <c r="D75" s="1">
        <f t="shared" si="26"/>
        <v>438.43393635215432</v>
      </c>
      <c r="E75" s="1">
        <f t="shared" si="27"/>
        <v>618.25746322308055</v>
      </c>
      <c r="F75" s="1">
        <f t="shared" si="28"/>
        <v>105044.32119764612</v>
      </c>
      <c r="G75" s="2"/>
      <c r="H75" s="2"/>
      <c r="I75" s="2"/>
    </row>
    <row r="76" spans="1:9" ht="15.75" customHeight="1" x14ac:dyDescent="0.2">
      <c r="A76" s="7" t="s">
        <v>88</v>
      </c>
      <c r="B76" s="1">
        <f t="shared" si="29"/>
        <v>105044.32119764612</v>
      </c>
      <c r="C76" s="1">
        <f t="shared" si="25"/>
        <v>180.57279156622172</v>
      </c>
      <c r="D76" s="1">
        <f t="shared" si="26"/>
        <v>437.68467165685882</v>
      </c>
      <c r="E76" s="1">
        <f t="shared" si="27"/>
        <v>618.25746322308055</v>
      </c>
      <c r="F76" s="1">
        <f t="shared" si="28"/>
        <v>104863.74840607989</v>
      </c>
      <c r="G76" s="2"/>
      <c r="H76" s="2"/>
      <c r="I76" s="2"/>
    </row>
    <row r="77" spans="1:9" ht="15.75" customHeight="1" x14ac:dyDescent="0.2">
      <c r="A77" s="7" t="s">
        <v>90</v>
      </c>
      <c r="B77" s="1">
        <f t="shared" si="29"/>
        <v>104863.74840607989</v>
      </c>
      <c r="C77" s="1">
        <f t="shared" si="25"/>
        <v>181.32517819774768</v>
      </c>
      <c r="D77" s="1">
        <f t="shared" si="26"/>
        <v>436.93228502533287</v>
      </c>
      <c r="E77" s="1">
        <f t="shared" si="27"/>
        <v>618.25746322308055</v>
      </c>
      <c r="F77" s="1">
        <f t="shared" si="28"/>
        <v>104682.42322788214</v>
      </c>
      <c r="G77" s="2"/>
      <c r="H77" s="2"/>
      <c r="I77" s="2"/>
    </row>
    <row r="78" spans="1:9" ht="15.75" customHeight="1" x14ac:dyDescent="0.2">
      <c r="A78" s="7" t="s">
        <v>92</v>
      </c>
      <c r="B78" s="1">
        <f t="shared" si="29"/>
        <v>104682.42322788214</v>
      </c>
      <c r="C78" s="1">
        <f t="shared" si="25"/>
        <v>182.08069977357161</v>
      </c>
      <c r="D78" s="1">
        <f t="shared" si="26"/>
        <v>436.17676344950894</v>
      </c>
      <c r="E78" s="1">
        <f t="shared" si="27"/>
        <v>618.25746322308055</v>
      </c>
      <c r="F78" s="1">
        <f t="shared" si="28"/>
        <v>104500.34252810857</v>
      </c>
      <c r="G78" s="2"/>
      <c r="H78" s="2"/>
      <c r="I78" s="2"/>
    </row>
    <row r="79" spans="1:9" ht="15.75" customHeight="1" x14ac:dyDescent="0.2">
      <c r="A79" s="7" t="s">
        <v>93</v>
      </c>
      <c r="B79" s="1">
        <f t="shared" si="29"/>
        <v>104500.34252810857</v>
      </c>
      <c r="C79" s="1">
        <f t="shared" si="25"/>
        <v>182.83936935596154</v>
      </c>
      <c r="D79" s="1">
        <f t="shared" si="26"/>
        <v>435.41809386711901</v>
      </c>
      <c r="E79" s="1">
        <f t="shared" si="27"/>
        <v>618.25746322308055</v>
      </c>
      <c r="F79" s="1">
        <f t="shared" si="28"/>
        <v>104317.5031587526</v>
      </c>
      <c r="G79" s="2"/>
      <c r="H79" s="2"/>
      <c r="I79" s="2"/>
    </row>
    <row r="80" spans="1:9" ht="15.75" customHeight="1" x14ac:dyDescent="0.2">
      <c r="A80" s="7" t="s">
        <v>94</v>
      </c>
      <c r="B80" s="1">
        <f t="shared" si="29"/>
        <v>104317.5031587526</v>
      </c>
      <c r="C80" s="1">
        <f t="shared" si="25"/>
        <v>183.60120006161139</v>
      </c>
      <c r="D80" s="1">
        <f t="shared" si="26"/>
        <v>434.65626316146916</v>
      </c>
      <c r="E80" s="1">
        <f t="shared" si="27"/>
        <v>618.25746322308055</v>
      </c>
      <c r="F80" s="1">
        <f t="shared" si="28"/>
        <v>104133.90195869099</v>
      </c>
      <c r="G80" s="2"/>
      <c r="H80" s="2"/>
      <c r="I80" s="2"/>
    </row>
    <row r="81" spans="1:9" ht="15.75" customHeight="1" x14ac:dyDescent="0.2">
      <c r="A81" s="7" t="s">
        <v>95</v>
      </c>
      <c r="B81" s="1">
        <f t="shared" si="29"/>
        <v>104133.90195869099</v>
      </c>
      <c r="C81" s="1">
        <f t="shared" si="25"/>
        <v>184.36620506186813</v>
      </c>
      <c r="D81" s="1">
        <f t="shared" si="26"/>
        <v>433.89125816121242</v>
      </c>
      <c r="E81" s="1">
        <f t="shared" si="27"/>
        <v>618.25746322308055</v>
      </c>
      <c r="F81" s="1">
        <f t="shared" si="28"/>
        <v>103949.53575362911</v>
      </c>
      <c r="G81" s="2"/>
      <c r="H81" s="2"/>
      <c r="I81" s="2"/>
    </row>
    <row r="82" spans="1:9" ht="15.75" customHeight="1" x14ac:dyDescent="0.2">
      <c r="A82" s="7" t="s">
        <v>96</v>
      </c>
      <c r="B82" s="1">
        <f t="shared" si="29"/>
        <v>103949.53575362911</v>
      </c>
      <c r="C82" s="1">
        <f t="shared" si="25"/>
        <v>185.13439758295925</v>
      </c>
      <c r="D82" s="1">
        <f t="shared" si="26"/>
        <v>433.1230656401213</v>
      </c>
      <c r="E82" s="1">
        <f t="shared" si="27"/>
        <v>618.25746322308055</v>
      </c>
      <c r="F82" s="1">
        <f t="shared" si="28"/>
        <v>103764.40135604615</v>
      </c>
      <c r="G82" s="2"/>
      <c r="H82" s="2"/>
      <c r="I82" s="2"/>
    </row>
    <row r="83" spans="1:9" ht="15.75" customHeight="1" x14ac:dyDescent="0.2">
      <c r="A83" s="7" t="s">
        <v>97</v>
      </c>
      <c r="B83" s="1">
        <f t="shared" si="29"/>
        <v>103764.40135604615</v>
      </c>
      <c r="C83" s="1">
        <f t="shared" si="25"/>
        <v>185.90579090622163</v>
      </c>
      <c r="D83" s="1">
        <f t="shared" si="26"/>
        <v>432.35167231685892</v>
      </c>
      <c r="E83" s="1">
        <f t="shared" si="27"/>
        <v>618.25746322308055</v>
      </c>
      <c r="F83" s="1">
        <f t="shared" si="28"/>
        <v>103578.49556513992</v>
      </c>
      <c r="G83" s="2">
        <f>G69+1</f>
        <v>6</v>
      </c>
      <c r="H83" s="2"/>
      <c r="I83" s="2"/>
    </row>
    <row r="84" spans="1:9" ht="15.75" customHeight="1" x14ac:dyDescent="0.25">
      <c r="A84" s="10" t="s">
        <v>98</v>
      </c>
      <c r="B84" s="1"/>
      <c r="C84" s="1">
        <f>SUM(C72:C83)</f>
        <v>2180.6551771913005</v>
      </c>
      <c r="D84" s="1">
        <f>SUM(D72:D83)</f>
        <v>5238.4343814856657</v>
      </c>
      <c r="E84" s="1"/>
      <c r="F84" s="1"/>
      <c r="G84" s="2"/>
      <c r="H84" s="2"/>
      <c r="I84" s="2"/>
    </row>
    <row r="85" spans="1:9" ht="15.75" customHeight="1" x14ac:dyDescent="0.2">
      <c r="A85" s="7"/>
      <c r="B85" s="1"/>
      <c r="C85" s="1"/>
      <c r="D85" s="1"/>
      <c r="E85" s="1"/>
      <c r="F85" s="1"/>
      <c r="G85" s="2"/>
      <c r="H85" s="2"/>
      <c r="I85" s="2"/>
    </row>
    <row r="86" spans="1:9" ht="15.75" customHeight="1" x14ac:dyDescent="0.2">
      <c r="A86" s="6" t="s">
        <v>80</v>
      </c>
      <c r="B86" s="1">
        <f>+F83</f>
        <v>103578.49556513992</v>
      </c>
      <c r="C86" s="1">
        <f>+E86-D86</f>
        <v>186.68039836833088</v>
      </c>
      <c r="D86" s="1">
        <f>B86*$I$2</f>
        <v>431.57706485474966</v>
      </c>
      <c r="E86" s="1">
        <f t="shared" ref="E86:E97" si="30">-$I$9</f>
        <v>618.25746322308055</v>
      </c>
      <c r="F86" s="1">
        <f>+B86-C86</f>
        <v>103391.81516677159</v>
      </c>
    </row>
    <row r="87" spans="1:9" ht="15.75" customHeight="1" x14ac:dyDescent="0.2">
      <c r="A87" s="7" t="s">
        <v>82</v>
      </c>
      <c r="B87" s="1">
        <f>+F86</f>
        <v>103391.81516677159</v>
      </c>
      <c r="C87" s="1">
        <f>+E87-D87</f>
        <v>187.45823336153228</v>
      </c>
      <c r="D87" s="1">
        <f>B87*$I$2</f>
        <v>430.79922986154827</v>
      </c>
      <c r="E87" s="1">
        <f t="shared" si="30"/>
        <v>618.25746322308055</v>
      </c>
      <c r="F87" s="1">
        <f>+B87-C87</f>
        <v>103204.35693341006</v>
      </c>
    </row>
    <row r="88" spans="1:9" ht="15.75" customHeight="1" x14ac:dyDescent="0.2">
      <c r="A88" s="7" t="s">
        <v>84</v>
      </c>
      <c r="B88" s="1">
        <f>+F87</f>
        <v>103204.35693341006</v>
      </c>
      <c r="C88" s="1">
        <f>+E88-D88</f>
        <v>188.23930933387197</v>
      </c>
      <c r="D88" s="1">
        <f>B88*$I$2</f>
        <v>430.01815388920858</v>
      </c>
      <c r="E88" s="1">
        <f t="shared" si="30"/>
        <v>618.25746322308055</v>
      </c>
      <c r="F88" s="1">
        <f>+B88-C88</f>
        <v>103016.11762407619</v>
      </c>
    </row>
    <row r="89" spans="1:9" ht="15.75" customHeight="1" x14ac:dyDescent="0.2">
      <c r="A89" s="7" t="s">
        <v>86</v>
      </c>
      <c r="B89" s="1">
        <f>+F88</f>
        <v>103016.11762407619</v>
      </c>
      <c r="C89" s="1">
        <f>+E89-D89</f>
        <v>189.02363978942981</v>
      </c>
      <c r="D89" s="1">
        <f>B89*$I$2</f>
        <v>429.23382343365074</v>
      </c>
      <c r="E89" s="1">
        <f t="shared" si="30"/>
        <v>618.25746322308055</v>
      </c>
      <c r="F89" s="1">
        <f>+B89-C89</f>
        <v>102827.09398428675</v>
      </c>
    </row>
    <row r="90" spans="1:9" ht="15.75" customHeight="1" x14ac:dyDescent="0.2">
      <c r="A90" s="7" t="s">
        <v>88</v>
      </c>
      <c r="B90" s="1">
        <f t="shared" ref="B90:B97" si="31">+F89</f>
        <v>102827.09398428675</v>
      </c>
      <c r="C90" s="1">
        <f t="shared" ref="C90:C97" si="32">+E90-D90</f>
        <v>189.81123828855243</v>
      </c>
      <c r="D90" s="1">
        <f t="shared" ref="D90:D97" si="33">B90*$I$2</f>
        <v>428.44622493452812</v>
      </c>
      <c r="E90" s="1">
        <f t="shared" si="30"/>
        <v>618.25746322308055</v>
      </c>
      <c r="F90" s="1">
        <f t="shared" ref="F90:F97" si="34">+B90-C90</f>
        <v>102637.28274599819</v>
      </c>
    </row>
    <row r="91" spans="1:9" ht="15.75" customHeight="1" x14ac:dyDescent="0.2">
      <c r="A91" s="7" t="s">
        <v>90</v>
      </c>
      <c r="B91" s="1">
        <f t="shared" si="31"/>
        <v>102637.28274599819</v>
      </c>
      <c r="C91" s="1">
        <f t="shared" si="32"/>
        <v>190.60211844808811</v>
      </c>
      <c r="D91" s="1">
        <f t="shared" si="33"/>
        <v>427.65534477499244</v>
      </c>
      <c r="E91" s="1">
        <f t="shared" si="30"/>
        <v>618.25746322308055</v>
      </c>
      <c r="F91" s="1">
        <f t="shared" si="34"/>
        <v>102446.6806275501</v>
      </c>
    </row>
    <row r="92" spans="1:9" ht="15.75" customHeight="1" x14ac:dyDescent="0.2">
      <c r="A92" s="7" t="s">
        <v>92</v>
      </c>
      <c r="B92" s="1">
        <f t="shared" si="31"/>
        <v>102446.6806275501</v>
      </c>
      <c r="C92" s="1">
        <f t="shared" si="32"/>
        <v>191.39629394162182</v>
      </c>
      <c r="D92" s="1">
        <f t="shared" si="33"/>
        <v>426.86116928145873</v>
      </c>
      <c r="E92" s="1">
        <f t="shared" si="30"/>
        <v>618.25746322308055</v>
      </c>
      <c r="F92" s="1">
        <f t="shared" si="34"/>
        <v>102255.28433360848</v>
      </c>
    </row>
    <row r="93" spans="1:9" ht="15.75" customHeight="1" x14ac:dyDescent="0.2">
      <c r="A93" s="7" t="s">
        <v>93</v>
      </c>
      <c r="B93" s="1">
        <f t="shared" si="31"/>
        <v>102255.28433360848</v>
      </c>
      <c r="C93" s="1">
        <f t="shared" si="32"/>
        <v>192.19377849971193</v>
      </c>
      <c r="D93" s="1">
        <f t="shared" si="33"/>
        <v>426.06368472336862</v>
      </c>
      <c r="E93" s="1">
        <f t="shared" si="30"/>
        <v>618.25746322308055</v>
      </c>
      <c r="F93" s="1">
        <f t="shared" si="34"/>
        <v>102063.09055510876</v>
      </c>
    </row>
    <row r="94" spans="1:9" ht="15.75" customHeight="1" x14ac:dyDescent="0.2">
      <c r="A94" s="7" t="s">
        <v>94</v>
      </c>
      <c r="B94" s="1">
        <f t="shared" si="31"/>
        <v>102063.09055510876</v>
      </c>
      <c r="C94" s="1">
        <f t="shared" si="32"/>
        <v>192.9945859101274</v>
      </c>
      <c r="D94" s="1">
        <f t="shared" si="33"/>
        <v>425.26287731295315</v>
      </c>
      <c r="E94" s="1">
        <f t="shared" si="30"/>
        <v>618.25746322308055</v>
      </c>
      <c r="F94" s="1">
        <f t="shared" si="34"/>
        <v>101870.09596919864</v>
      </c>
    </row>
    <row r="95" spans="1:9" ht="15.75" customHeight="1" x14ac:dyDescent="0.2">
      <c r="A95" s="7" t="s">
        <v>95</v>
      </c>
      <c r="B95" s="1">
        <f t="shared" si="31"/>
        <v>101870.09596919864</v>
      </c>
      <c r="C95" s="1">
        <f t="shared" si="32"/>
        <v>193.79873001808625</v>
      </c>
      <c r="D95" s="1">
        <f t="shared" si="33"/>
        <v>424.4587332049943</v>
      </c>
      <c r="E95" s="1">
        <f t="shared" si="30"/>
        <v>618.25746322308055</v>
      </c>
      <c r="F95" s="1">
        <f t="shared" si="34"/>
        <v>101676.29723918055</v>
      </c>
    </row>
    <row r="96" spans="1:9" ht="15.75" customHeight="1" x14ac:dyDescent="0.2">
      <c r="A96" s="7" t="s">
        <v>96</v>
      </c>
      <c r="B96" s="1">
        <f t="shared" si="31"/>
        <v>101676.29723918055</v>
      </c>
      <c r="C96" s="1">
        <f t="shared" si="32"/>
        <v>194.60622472649493</v>
      </c>
      <c r="D96" s="1">
        <f t="shared" si="33"/>
        <v>423.65123849658562</v>
      </c>
      <c r="E96" s="1">
        <f t="shared" si="30"/>
        <v>618.25746322308055</v>
      </c>
      <c r="F96" s="1">
        <f t="shared" si="34"/>
        <v>101481.69101445406</v>
      </c>
    </row>
    <row r="97" spans="1:7" ht="15.75" customHeight="1" x14ac:dyDescent="0.2">
      <c r="A97" s="7" t="s">
        <v>97</v>
      </c>
      <c r="B97" s="1">
        <f t="shared" si="31"/>
        <v>101481.69101445406</v>
      </c>
      <c r="C97" s="1">
        <f t="shared" si="32"/>
        <v>195.41708399618864</v>
      </c>
      <c r="D97" s="1">
        <f t="shared" si="33"/>
        <v>422.84037922689191</v>
      </c>
      <c r="E97" s="1">
        <f t="shared" si="30"/>
        <v>618.25746322308055</v>
      </c>
      <c r="F97" s="1">
        <f t="shared" si="34"/>
        <v>101286.27393045787</v>
      </c>
      <c r="G97" s="2">
        <f>G83+1</f>
        <v>7</v>
      </c>
    </row>
    <row r="98" spans="1:7" ht="15.75" customHeight="1" x14ac:dyDescent="0.25">
      <c r="A98" s="10" t="s">
        <v>98</v>
      </c>
      <c r="B98" s="1"/>
      <c r="C98" s="1">
        <f>SUM(C86:C97)</f>
        <v>2292.221634682036</v>
      </c>
      <c r="D98" s="1">
        <f>SUM(D86:D97)</f>
        <v>5126.8679239949297</v>
      </c>
      <c r="E98" s="1"/>
      <c r="F98" s="1"/>
    </row>
    <row r="100" spans="1:7" ht="15.75" customHeight="1" x14ac:dyDescent="0.2">
      <c r="A100" s="6" t="s">
        <v>80</v>
      </c>
      <c r="B100" s="1">
        <f>+F97</f>
        <v>101286.27393045787</v>
      </c>
      <c r="C100" s="1">
        <f t="shared" ref="C100:C111" si="35">+E100-D100</f>
        <v>196.23132184617276</v>
      </c>
      <c r="D100" s="1">
        <f t="shared" ref="D100:D111" si="36">B100*$I$2</f>
        <v>422.02614137690779</v>
      </c>
      <c r="E100" s="1">
        <f t="shared" ref="E100:E111" si="37">-$I$9</f>
        <v>618.25746322308055</v>
      </c>
      <c r="F100" s="1">
        <f t="shared" ref="F100:F111" si="38">+B100-C100</f>
        <v>101090.04260861169</v>
      </c>
    </row>
    <row r="101" spans="1:7" ht="15.75" customHeight="1" x14ac:dyDescent="0.2">
      <c r="A101" s="7" t="s">
        <v>82</v>
      </c>
      <c r="B101" s="1">
        <f t="shared" ref="B101:B111" si="39">+F100</f>
        <v>101090.04260861169</v>
      </c>
      <c r="C101" s="1">
        <f t="shared" si="35"/>
        <v>197.04895235386516</v>
      </c>
      <c r="D101" s="1">
        <f t="shared" si="36"/>
        <v>421.20851086921539</v>
      </c>
      <c r="E101" s="1">
        <f t="shared" si="37"/>
        <v>618.25746322308055</v>
      </c>
      <c r="F101" s="1">
        <f t="shared" si="38"/>
        <v>100892.99365625782</v>
      </c>
    </row>
    <row r="102" spans="1:7" ht="15.75" customHeight="1" x14ac:dyDescent="0.2">
      <c r="A102" s="7" t="s">
        <v>84</v>
      </c>
      <c r="B102" s="1">
        <f t="shared" si="39"/>
        <v>100892.99365625782</v>
      </c>
      <c r="C102" s="1">
        <f t="shared" si="35"/>
        <v>197.86998965533962</v>
      </c>
      <c r="D102" s="1">
        <f t="shared" si="36"/>
        <v>420.38747356774093</v>
      </c>
      <c r="E102" s="1">
        <f t="shared" si="37"/>
        <v>618.25746322308055</v>
      </c>
      <c r="F102" s="1">
        <f t="shared" si="38"/>
        <v>100695.12366660248</v>
      </c>
    </row>
    <row r="103" spans="1:7" ht="15.75" customHeight="1" x14ac:dyDescent="0.2">
      <c r="A103" s="7" t="s">
        <v>86</v>
      </c>
      <c r="B103" s="1">
        <f t="shared" si="39"/>
        <v>100695.12366660248</v>
      </c>
      <c r="C103" s="1">
        <f t="shared" si="35"/>
        <v>198.69444794557023</v>
      </c>
      <c r="D103" s="1">
        <f t="shared" si="36"/>
        <v>419.56301527751032</v>
      </c>
      <c r="E103" s="1">
        <f t="shared" si="37"/>
        <v>618.25746322308055</v>
      </c>
      <c r="F103" s="1">
        <f t="shared" si="38"/>
        <v>100496.42921865691</v>
      </c>
    </row>
    <row r="104" spans="1:7" ht="15.75" customHeight="1" x14ac:dyDescent="0.2">
      <c r="A104" s="7" t="s">
        <v>88</v>
      </c>
      <c r="B104" s="1">
        <f t="shared" si="39"/>
        <v>100496.42921865691</v>
      </c>
      <c r="C104" s="1">
        <f t="shared" si="35"/>
        <v>199.52234147867676</v>
      </c>
      <c r="D104" s="1">
        <f t="shared" si="36"/>
        <v>418.73512174440378</v>
      </c>
      <c r="E104" s="1">
        <f t="shared" si="37"/>
        <v>618.25746322308055</v>
      </c>
      <c r="F104" s="1">
        <f t="shared" si="38"/>
        <v>100296.90687717823</v>
      </c>
    </row>
    <row r="105" spans="1:7" ht="15.75" customHeight="1" x14ac:dyDescent="0.2">
      <c r="A105" s="7" t="s">
        <v>90</v>
      </c>
      <c r="B105" s="1">
        <f t="shared" si="39"/>
        <v>100296.90687717823</v>
      </c>
      <c r="C105" s="1">
        <f t="shared" si="35"/>
        <v>200.35368456817127</v>
      </c>
      <c r="D105" s="1">
        <f t="shared" si="36"/>
        <v>417.90377865490927</v>
      </c>
      <c r="E105" s="1">
        <f t="shared" si="37"/>
        <v>618.25746322308055</v>
      </c>
      <c r="F105" s="1">
        <f t="shared" si="38"/>
        <v>100096.55319261007</v>
      </c>
    </row>
    <row r="106" spans="1:7" ht="15.75" customHeight="1" x14ac:dyDescent="0.2">
      <c r="A106" s="7" t="s">
        <v>92</v>
      </c>
      <c r="B106" s="1">
        <f t="shared" si="39"/>
        <v>100096.55319261007</v>
      </c>
      <c r="C106" s="1">
        <f t="shared" si="35"/>
        <v>201.18849158720531</v>
      </c>
      <c r="D106" s="1">
        <f t="shared" si="36"/>
        <v>417.06897163587524</v>
      </c>
      <c r="E106" s="1">
        <f t="shared" si="37"/>
        <v>618.25746322308055</v>
      </c>
      <c r="F106" s="1">
        <f t="shared" si="38"/>
        <v>99895.36470102286</v>
      </c>
    </row>
    <row r="107" spans="1:7" ht="15.75" customHeight="1" x14ac:dyDescent="0.2">
      <c r="A107" s="7" t="s">
        <v>93</v>
      </c>
      <c r="B107" s="1">
        <f t="shared" si="39"/>
        <v>99895.36470102286</v>
      </c>
      <c r="C107" s="1">
        <f t="shared" si="35"/>
        <v>202.02677696881864</v>
      </c>
      <c r="D107" s="1">
        <f t="shared" si="36"/>
        <v>416.23068625426191</v>
      </c>
      <c r="E107" s="1">
        <f t="shared" si="37"/>
        <v>618.25746322308055</v>
      </c>
      <c r="F107" s="1">
        <f t="shared" si="38"/>
        <v>99693.337924054038</v>
      </c>
    </row>
    <row r="108" spans="1:7" ht="15.75" customHeight="1" x14ac:dyDescent="0.2">
      <c r="A108" s="7" t="s">
        <v>94</v>
      </c>
      <c r="B108" s="1">
        <f t="shared" si="39"/>
        <v>99693.337924054038</v>
      </c>
      <c r="C108" s="1">
        <f t="shared" si="35"/>
        <v>202.86855520618872</v>
      </c>
      <c r="D108" s="1">
        <f t="shared" si="36"/>
        <v>415.38890801689183</v>
      </c>
      <c r="E108" s="1">
        <f t="shared" si="37"/>
        <v>618.25746322308055</v>
      </c>
      <c r="F108" s="1">
        <f t="shared" si="38"/>
        <v>99490.469368847844</v>
      </c>
    </row>
    <row r="109" spans="1:7" ht="15.75" customHeight="1" x14ac:dyDescent="0.2">
      <c r="A109" s="7" t="s">
        <v>95</v>
      </c>
      <c r="B109" s="1">
        <f t="shared" si="39"/>
        <v>99490.469368847844</v>
      </c>
      <c r="C109" s="1">
        <f t="shared" si="35"/>
        <v>203.71384085288122</v>
      </c>
      <c r="D109" s="1">
        <f t="shared" si="36"/>
        <v>414.54362237019933</v>
      </c>
      <c r="E109" s="1">
        <f t="shared" si="37"/>
        <v>618.25746322308055</v>
      </c>
      <c r="F109" s="1">
        <f t="shared" si="38"/>
        <v>99286.755527994959</v>
      </c>
    </row>
    <row r="110" spans="1:7" ht="15.75" customHeight="1" x14ac:dyDescent="0.2">
      <c r="A110" s="7" t="s">
        <v>96</v>
      </c>
      <c r="B110" s="1">
        <f t="shared" si="39"/>
        <v>99286.755527994959</v>
      </c>
      <c r="C110" s="1">
        <f t="shared" si="35"/>
        <v>204.56264852310159</v>
      </c>
      <c r="D110" s="1">
        <f t="shared" si="36"/>
        <v>413.69481469997896</v>
      </c>
      <c r="E110" s="1">
        <f t="shared" si="37"/>
        <v>618.25746322308055</v>
      </c>
      <c r="F110" s="1">
        <f t="shared" si="38"/>
        <v>99082.192879471855</v>
      </c>
    </row>
    <row r="111" spans="1:7" ht="15.75" customHeight="1" x14ac:dyDescent="0.2">
      <c r="A111" s="7" t="s">
        <v>97</v>
      </c>
      <c r="B111" s="1">
        <f t="shared" si="39"/>
        <v>99082.192879471855</v>
      </c>
      <c r="C111" s="1">
        <f t="shared" si="35"/>
        <v>205.4149928919478</v>
      </c>
      <c r="D111" s="1">
        <f t="shared" si="36"/>
        <v>412.84247033113274</v>
      </c>
      <c r="E111" s="1">
        <f t="shared" si="37"/>
        <v>618.25746322308055</v>
      </c>
      <c r="F111" s="1">
        <f t="shared" si="38"/>
        <v>98876.777886579905</v>
      </c>
      <c r="G111" s="2">
        <f>G97+1</f>
        <v>8</v>
      </c>
    </row>
    <row r="112" spans="1:7" ht="15.75" customHeight="1" x14ac:dyDescent="0.25">
      <c r="A112" s="10" t="s">
        <v>98</v>
      </c>
      <c r="B112" s="1"/>
      <c r="C112" s="1">
        <f>SUM(C100:C111)</f>
        <v>2409.496043877939</v>
      </c>
      <c r="D112" s="1">
        <f>SUM(D100:D111)</f>
        <v>5009.5935147990285</v>
      </c>
      <c r="E112" s="1"/>
      <c r="F112" s="1"/>
    </row>
    <row r="113" spans="1:7" ht="15.75" customHeight="1" x14ac:dyDescent="0.2">
      <c r="A113" s="7"/>
      <c r="B113" s="1"/>
      <c r="C113" s="1"/>
      <c r="D113" s="1"/>
      <c r="E113" s="1"/>
      <c r="F113" s="1"/>
    </row>
    <row r="114" spans="1:7" ht="15.75" customHeight="1" x14ac:dyDescent="0.2">
      <c r="A114" s="6" t="s">
        <v>80</v>
      </c>
      <c r="B114" s="1">
        <f>+F111</f>
        <v>98876.777886579905</v>
      </c>
      <c r="C114" s="1">
        <f t="shared" ref="C114:C125" si="40">+E114-D114</f>
        <v>206.27088869566427</v>
      </c>
      <c r="D114" s="1">
        <f t="shared" ref="D114:D125" si="41">B114*$I$2</f>
        <v>411.98657452741628</v>
      </c>
      <c r="E114" s="1">
        <f t="shared" ref="E114:E125" si="42">-$I$9</f>
        <v>618.25746322308055</v>
      </c>
      <c r="F114" s="1">
        <f t="shared" ref="F114:F125" si="43">+B114-C114</f>
        <v>98670.506997884237</v>
      </c>
    </row>
    <row r="115" spans="1:7" ht="15.75" customHeight="1" x14ac:dyDescent="0.2">
      <c r="A115" s="7" t="s">
        <v>82</v>
      </c>
      <c r="B115" s="1">
        <f t="shared" ref="B115:B125" si="44">+F114</f>
        <v>98670.506997884237</v>
      </c>
      <c r="C115" s="1">
        <f t="shared" si="40"/>
        <v>207.13035073189621</v>
      </c>
      <c r="D115" s="1">
        <f t="shared" si="41"/>
        <v>411.12711249118433</v>
      </c>
      <c r="E115" s="1">
        <f t="shared" si="42"/>
        <v>618.25746322308055</v>
      </c>
      <c r="F115" s="1">
        <f t="shared" si="43"/>
        <v>98463.376647152341</v>
      </c>
    </row>
    <row r="116" spans="1:7" ht="15.75" customHeight="1" x14ac:dyDescent="0.2">
      <c r="A116" s="7" t="s">
        <v>84</v>
      </c>
      <c r="B116" s="1">
        <f t="shared" si="44"/>
        <v>98463.376647152341</v>
      </c>
      <c r="C116" s="1">
        <f t="shared" si="40"/>
        <v>207.9933938599458</v>
      </c>
      <c r="D116" s="1">
        <f t="shared" si="41"/>
        <v>410.26406936313475</v>
      </c>
      <c r="E116" s="1">
        <f t="shared" si="42"/>
        <v>618.25746322308055</v>
      </c>
      <c r="F116" s="1">
        <f t="shared" si="43"/>
        <v>98255.383253292399</v>
      </c>
    </row>
    <row r="117" spans="1:7" ht="15.75" customHeight="1" x14ac:dyDescent="0.2">
      <c r="A117" s="7" t="s">
        <v>86</v>
      </c>
      <c r="B117" s="1">
        <f t="shared" si="44"/>
        <v>98255.383253292399</v>
      </c>
      <c r="C117" s="1">
        <f t="shared" si="40"/>
        <v>208.86003300102891</v>
      </c>
      <c r="D117" s="1">
        <f t="shared" si="41"/>
        <v>409.39743022205164</v>
      </c>
      <c r="E117" s="1">
        <f t="shared" si="42"/>
        <v>618.25746322308055</v>
      </c>
      <c r="F117" s="1">
        <f t="shared" si="43"/>
        <v>98046.523220291376</v>
      </c>
    </row>
    <row r="118" spans="1:7" ht="15.75" customHeight="1" x14ac:dyDescent="0.2">
      <c r="A118" s="7" t="s">
        <v>88</v>
      </c>
      <c r="B118" s="1">
        <f t="shared" si="44"/>
        <v>98046.523220291376</v>
      </c>
      <c r="C118" s="1">
        <f t="shared" si="40"/>
        <v>209.73028313853314</v>
      </c>
      <c r="D118" s="1">
        <f t="shared" si="41"/>
        <v>408.52718008454741</v>
      </c>
      <c r="E118" s="1">
        <f t="shared" si="42"/>
        <v>618.25746322308055</v>
      </c>
      <c r="F118" s="1">
        <f t="shared" si="43"/>
        <v>97836.792937152844</v>
      </c>
    </row>
    <row r="119" spans="1:7" ht="15.75" customHeight="1" x14ac:dyDescent="0.2">
      <c r="A119" s="7" t="s">
        <v>90</v>
      </c>
      <c r="B119" s="1">
        <f t="shared" si="44"/>
        <v>97836.792937152844</v>
      </c>
      <c r="C119" s="1">
        <f t="shared" si="40"/>
        <v>210.60415931827703</v>
      </c>
      <c r="D119" s="1">
        <f t="shared" si="41"/>
        <v>407.65330390480352</v>
      </c>
      <c r="E119" s="1">
        <f t="shared" si="42"/>
        <v>618.25746322308055</v>
      </c>
      <c r="F119" s="1">
        <f t="shared" si="43"/>
        <v>97626.18877783457</v>
      </c>
    </row>
    <row r="120" spans="1:7" ht="15.75" customHeight="1" x14ac:dyDescent="0.2">
      <c r="A120" s="7" t="s">
        <v>92</v>
      </c>
      <c r="B120" s="1">
        <f t="shared" si="44"/>
        <v>97626.18877783457</v>
      </c>
      <c r="C120" s="1">
        <f t="shared" si="40"/>
        <v>211.48167664876985</v>
      </c>
      <c r="D120" s="1">
        <f t="shared" si="41"/>
        <v>406.7757865743107</v>
      </c>
      <c r="E120" s="1">
        <f t="shared" si="42"/>
        <v>618.25746322308055</v>
      </c>
      <c r="F120" s="1">
        <f t="shared" si="43"/>
        <v>97414.707101185806</v>
      </c>
    </row>
    <row r="121" spans="1:7" ht="15.75" customHeight="1" x14ac:dyDescent="0.2">
      <c r="A121" s="7" t="s">
        <v>93</v>
      </c>
      <c r="B121" s="1">
        <f t="shared" si="44"/>
        <v>97414.707101185806</v>
      </c>
      <c r="C121" s="1">
        <f t="shared" si="40"/>
        <v>212.36285030147303</v>
      </c>
      <c r="D121" s="1">
        <f t="shared" si="41"/>
        <v>405.89461292160752</v>
      </c>
      <c r="E121" s="1">
        <f t="shared" si="42"/>
        <v>618.25746322308055</v>
      </c>
      <c r="F121" s="1">
        <f t="shared" si="43"/>
        <v>97202.344250884329</v>
      </c>
    </row>
    <row r="122" spans="1:7" ht="15.75" customHeight="1" x14ac:dyDescent="0.2">
      <c r="A122" s="7" t="s">
        <v>94</v>
      </c>
      <c r="B122" s="1">
        <f t="shared" si="44"/>
        <v>97202.344250884329</v>
      </c>
      <c r="C122" s="1">
        <f t="shared" si="40"/>
        <v>213.24769551106249</v>
      </c>
      <c r="D122" s="1">
        <f t="shared" si="41"/>
        <v>405.00976771201806</v>
      </c>
      <c r="E122" s="1">
        <f t="shared" si="42"/>
        <v>618.25746322308055</v>
      </c>
      <c r="F122" s="1">
        <f t="shared" si="43"/>
        <v>96989.096555373268</v>
      </c>
    </row>
    <row r="123" spans="1:7" ht="15.75" customHeight="1" x14ac:dyDescent="0.2">
      <c r="A123" s="7" t="s">
        <v>95</v>
      </c>
      <c r="B123" s="1">
        <f t="shared" si="44"/>
        <v>96989.096555373268</v>
      </c>
      <c r="C123" s="1">
        <f t="shared" si="40"/>
        <v>214.13622757569192</v>
      </c>
      <c r="D123" s="1">
        <f t="shared" si="41"/>
        <v>404.12123564738863</v>
      </c>
      <c r="E123" s="1">
        <f t="shared" si="42"/>
        <v>618.25746322308055</v>
      </c>
      <c r="F123" s="1">
        <f t="shared" si="43"/>
        <v>96774.960327797569</v>
      </c>
    </row>
    <row r="124" spans="1:7" ht="15.75" customHeight="1" x14ac:dyDescent="0.2">
      <c r="A124" s="7" t="s">
        <v>96</v>
      </c>
      <c r="B124" s="1">
        <f t="shared" si="44"/>
        <v>96774.960327797569</v>
      </c>
      <c r="C124" s="1">
        <f t="shared" si="40"/>
        <v>215.02846185725735</v>
      </c>
      <c r="D124" s="1">
        <f t="shared" si="41"/>
        <v>403.22900136582319</v>
      </c>
      <c r="E124" s="1">
        <f t="shared" si="42"/>
        <v>618.25746322308055</v>
      </c>
      <c r="F124" s="1">
        <f t="shared" si="43"/>
        <v>96559.931865940307</v>
      </c>
    </row>
    <row r="125" spans="1:7" ht="15.75" customHeight="1" x14ac:dyDescent="0.2">
      <c r="A125" s="7" t="s">
        <v>97</v>
      </c>
      <c r="B125" s="1">
        <f t="shared" si="44"/>
        <v>96559.931865940307</v>
      </c>
      <c r="C125" s="1">
        <f t="shared" si="40"/>
        <v>215.92441378166262</v>
      </c>
      <c r="D125" s="1">
        <f t="shared" si="41"/>
        <v>402.33304944141793</v>
      </c>
      <c r="E125" s="1">
        <f t="shared" si="42"/>
        <v>618.25746322308055</v>
      </c>
      <c r="F125" s="1">
        <f t="shared" si="43"/>
        <v>96344.00745215865</v>
      </c>
      <c r="G125" s="2">
        <f>G111+1</f>
        <v>9</v>
      </c>
    </row>
    <row r="126" spans="1:7" ht="15.75" customHeight="1" x14ac:dyDescent="0.25">
      <c r="A126" s="10" t="s">
        <v>98</v>
      </c>
      <c r="B126" s="1"/>
      <c r="C126" s="1">
        <f>SUM(C114:C125)</f>
        <v>2532.7704344212625</v>
      </c>
      <c r="D126" s="1">
        <f>SUM(D114:D125)</f>
        <v>4886.3191242557032</v>
      </c>
      <c r="E126" s="1"/>
      <c r="F126" s="1"/>
    </row>
    <row r="127" spans="1:7" ht="15.75" customHeight="1" x14ac:dyDescent="0.2">
      <c r="A127" s="7"/>
      <c r="B127" s="1"/>
      <c r="C127" s="1"/>
      <c r="D127" s="1"/>
      <c r="E127" s="1"/>
      <c r="F127" s="1"/>
    </row>
    <row r="128" spans="1:7" ht="15.75" customHeight="1" x14ac:dyDescent="0.2">
      <c r="A128" s="6" t="s">
        <v>80</v>
      </c>
      <c r="B128" s="1">
        <f>+F125</f>
        <v>96344.00745215865</v>
      </c>
      <c r="C128" s="1">
        <f>+E128-D128</f>
        <v>216.82409883908616</v>
      </c>
      <c r="D128" s="1">
        <f>B128*$I$2</f>
        <v>401.43336438399439</v>
      </c>
      <c r="E128" s="1">
        <f t="shared" ref="E128:E139" si="45">-$I$9</f>
        <v>618.25746322308055</v>
      </c>
      <c r="F128" s="1">
        <f>+B128-C128</f>
        <v>96127.18335331956</v>
      </c>
    </row>
    <row r="129" spans="1:7" ht="15.75" customHeight="1" x14ac:dyDescent="0.2">
      <c r="A129" s="7" t="s">
        <v>82</v>
      </c>
      <c r="B129" s="1">
        <f>+F128</f>
        <v>96127.18335331956</v>
      </c>
      <c r="C129" s="1">
        <f>+E129-D129</f>
        <v>217.72753258424905</v>
      </c>
      <c r="D129" s="1">
        <f>B129*$I$2</f>
        <v>400.5299306388315</v>
      </c>
      <c r="E129" s="1">
        <f t="shared" si="45"/>
        <v>618.25746322308055</v>
      </c>
      <c r="F129" s="1">
        <f>+B129-C129</f>
        <v>95909.455820735311</v>
      </c>
    </row>
    <row r="130" spans="1:7" ht="15.75" customHeight="1" x14ac:dyDescent="0.2">
      <c r="A130" s="7" t="s">
        <v>84</v>
      </c>
      <c r="B130" s="1">
        <f>+F129</f>
        <v>95909.455820735311</v>
      </c>
      <c r="C130" s="1">
        <f>+E130-D130</f>
        <v>218.6347306366834</v>
      </c>
      <c r="D130" s="1">
        <f>B130*$I$2</f>
        <v>399.62273258639715</v>
      </c>
      <c r="E130" s="1">
        <f t="shared" si="45"/>
        <v>618.25746322308055</v>
      </c>
      <c r="F130" s="1">
        <f>+B130-C130</f>
        <v>95690.821090098631</v>
      </c>
    </row>
    <row r="131" spans="1:7" ht="15.75" customHeight="1" x14ac:dyDescent="0.2">
      <c r="A131" s="7" t="s">
        <v>86</v>
      </c>
      <c r="B131" s="1">
        <f>+F130</f>
        <v>95690.821090098631</v>
      </c>
      <c r="C131" s="1">
        <f>+E131-D131</f>
        <v>219.54570868100291</v>
      </c>
      <c r="D131" s="1">
        <f>B131*$I$2</f>
        <v>398.71175454207764</v>
      </c>
      <c r="E131" s="1">
        <f t="shared" si="45"/>
        <v>618.25746322308055</v>
      </c>
      <c r="F131" s="1">
        <f>+B131-C131</f>
        <v>95471.275381417625</v>
      </c>
    </row>
    <row r="132" spans="1:7" ht="15.75" customHeight="1" x14ac:dyDescent="0.2">
      <c r="A132" s="7" t="s">
        <v>88</v>
      </c>
      <c r="B132" s="1">
        <f t="shared" ref="B132:B139" si="46">+F131</f>
        <v>95471.275381417625</v>
      </c>
      <c r="C132" s="1">
        <f t="shared" ref="C132:C139" si="47">+E132-D132</f>
        <v>220.46048246717379</v>
      </c>
      <c r="D132" s="1">
        <f t="shared" ref="D132:D139" si="48">B132*$I$2</f>
        <v>397.79698075590676</v>
      </c>
      <c r="E132" s="1">
        <f t="shared" si="45"/>
        <v>618.25746322308055</v>
      </c>
      <c r="F132" s="1">
        <f t="shared" ref="F132:F139" si="49">+B132-C132</f>
        <v>95250.814898950455</v>
      </c>
    </row>
    <row r="133" spans="1:7" ht="15.75" customHeight="1" x14ac:dyDescent="0.2">
      <c r="A133" s="7" t="s">
        <v>90</v>
      </c>
      <c r="B133" s="1">
        <f t="shared" si="46"/>
        <v>95250.814898950455</v>
      </c>
      <c r="C133" s="1">
        <f t="shared" si="47"/>
        <v>221.37906781078698</v>
      </c>
      <c r="D133" s="1">
        <f t="shared" si="48"/>
        <v>396.87839541229357</v>
      </c>
      <c r="E133" s="1">
        <f t="shared" si="45"/>
        <v>618.25746322308055</v>
      </c>
      <c r="F133" s="1">
        <f t="shared" si="49"/>
        <v>95029.435831139665</v>
      </c>
    </row>
    <row r="134" spans="1:7" ht="15.75" customHeight="1" x14ac:dyDescent="0.2">
      <c r="A134" s="7" t="s">
        <v>92</v>
      </c>
      <c r="B134" s="1">
        <f t="shared" si="46"/>
        <v>95029.435831139665</v>
      </c>
      <c r="C134" s="1">
        <f t="shared" si="47"/>
        <v>222.30148059333197</v>
      </c>
      <c r="D134" s="1">
        <f t="shared" si="48"/>
        <v>395.95598262974858</v>
      </c>
      <c r="E134" s="1">
        <f t="shared" si="45"/>
        <v>618.25746322308055</v>
      </c>
      <c r="F134" s="1">
        <f t="shared" si="49"/>
        <v>94807.13435054633</v>
      </c>
    </row>
    <row r="135" spans="1:7" ht="15.75" customHeight="1" x14ac:dyDescent="0.2">
      <c r="A135" s="7" t="s">
        <v>93</v>
      </c>
      <c r="B135" s="1">
        <f t="shared" si="46"/>
        <v>94807.13435054633</v>
      </c>
      <c r="C135" s="1">
        <f t="shared" si="47"/>
        <v>223.22773676247084</v>
      </c>
      <c r="D135" s="1">
        <f t="shared" si="48"/>
        <v>395.02972646060971</v>
      </c>
      <c r="E135" s="1">
        <f t="shared" si="45"/>
        <v>618.25746322308055</v>
      </c>
      <c r="F135" s="1">
        <f t="shared" si="49"/>
        <v>94583.906613783853</v>
      </c>
    </row>
    <row r="136" spans="1:7" ht="15.75" customHeight="1" x14ac:dyDescent="0.2">
      <c r="A136" s="7" t="s">
        <v>94</v>
      </c>
      <c r="B136" s="1">
        <f t="shared" si="46"/>
        <v>94583.906613783853</v>
      </c>
      <c r="C136" s="1">
        <f t="shared" si="47"/>
        <v>224.15785233231452</v>
      </c>
      <c r="D136" s="1">
        <f t="shared" si="48"/>
        <v>394.09961089076603</v>
      </c>
      <c r="E136" s="1">
        <f t="shared" si="45"/>
        <v>618.25746322308055</v>
      </c>
      <c r="F136" s="1">
        <f t="shared" si="49"/>
        <v>94359.748761451541</v>
      </c>
    </row>
    <row r="137" spans="1:7" ht="15.75" customHeight="1" x14ac:dyDescent="0.2">
      <c r="A137" s="7" t="s">
        <v>95</v>
      </c>
      <c r="B137" s="1">
        <f t="shared" si="46"/>
        <v>94359.748761451541</v>
      </c>
      <c r="C137" s="1">
        <f t="shared" si="47"/>
        <v>225.09184338369914</v>
      </c>
      <c r="D137" s="1">
        <f t="shared" si="48"/>
        <v>393.16561983938141</v>
      </c>
      <c r="E137" s="1">
        <f t="shared" si="45"/>
        <v>618.25746322308055</v>
      </c>
      <c r="F137" s="1">
        <f t="shared" si="49"/>
        <v>94134.656918067849</v>
      </c>
    </row>
    <row r="138" spans="1:7" ht="15.75" customHeight="1" x14ac:dyDescent="0.2">
      <c r="A138" s="7" t="s">
        <v>96</v>
      </c>
      <c r="B138" s="1">
        <f t="shared" si="46"/>
        <v>94134.656918067849</v>
      </c>
      <c r="C138" s="1">
        <f t="shared" si="47"/>
        <v>226.02972606446451</v>
      </c>
      <c r="D138" s="1">
        <f t="shared" si="48"/>
        <v>392.22773715861604</v>
      </c>
      <c r="E138" s="1">
        <f t="shared" si="45"/>
        <v>618.25746322308055</v>
      </c>
      <c r="F138" s="1">
        <f t="shared" si="49"/>
        <v>93908.627192003391</v>
      </c>
    </row>
    <row r="139" spans="1:7" ht="15.75" customHeight="1" x14ac:dyDescent="0.2">
      <c r="A139" s="7" t="s">
        <v>97</v>
      </c>
      <c r="B139" s="1">
        <f t="shared" si="46"/>
        <v>93908.627192003391</v>
      </c>
      <c r="C139" s="1">
        <f t="shared" si="47"/>
        <v>226.97151658973308</v>
      </c>
      <c r="D139" s="1">
        <f t="shared" si="48"/>
        <v>391.28594663334746</v>
      </c>
      <c r="E139" s="1">
        <f t="shared" si="45"/>
        <v>618.25746322308055</v>
      </c>
      <c r="F139" s="1">
        <f t="shared" si="49"/>
        <v>93681.655675413655</v>
      </c>
      <c r="G139" s="2">
        <f>G125+1</f>
        <v>10</v>
      </c>
    </row>
    <row r="140" spans="1:7" ht="15.75" customHeight="1" x14ac:dyDescent="0.25">
      <c r="A140" s="10" t="s">
        <v>98</v>
      </c>
      <c r="B140" s="1"/>
      <c r="C140" s="1">
        <f>SUM(C128:C139)</f>
        <v>2662.3517767449966</v>
      </c>
      <c r="D140" s="1">
        <f>SUM(D128:D139)</f>
        <v>4756.7377819319709</v>
      </c>
      <c r="E140" s="1"/>
      <c r="F140"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Financials</vt:lpstr>
      <vt:lpstr>Real Options</vt:lpstr>
      <vt:lpstr>Real Options 2</vt:lpstr>
      <vt:lpstr>Sheet3</vt:lpstr>
      <vt:lpstr>Mortgage Schedule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2018-06-15T18:17:29Z</dcterms:created>
  <dcterms:modified xsi:type="dcterms:W3CDTF">2023-09-25T17:31:06Z</dcterms:modified>
</cp:coreProperties>
</file>