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 documentId="13_ncr:1_{4319D7C0-E81F-45A4-9D80-0D33E4A9C04C}" xr6:coauthVersionLast="47" xr6:coauthVersionMax="47" xr10:uidLastSave="{17B8AA2D-4A6F-4313-A8B3-0FFA1E35D9AA}"/>
  <bookViews>
    <workbookView xWindow="-120" yWindow="-120" windowWidth="23280" windowHeight="15000" activeTab="4" xr2:uid="{CCFF66B7-4B8A-4AC7-B4E2-5DA62444DE9C}"/>
  </bookViews>
  <sheets>
    <sheet name="Facts" sheetId="1" r:id="rId1"/>
    <sheet name="Prices" sheetId="2" r:id="rId2"/>
    <sheet name="FS" sheetId="4" r:id="rId3"/>
    <sheet name="Real Options" sheetId="6" r:id="rId4"/>
    <sheet name="Real Options (2)" sheetId="7" r:id="rId5"/>
    <sheet name="Amortization Table"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 l="1"/>
  <c r="H13" i="6"/>
  <c r="G14" i="7" l="1"/>
  <c r="J36" i="7" l="1"/>
  <c r="M36" i="7" s="1"/>
  <c r="F40" i="7"/>
  <c r="M40" i="7" s="1"/>
  <c r="M43" i="7" l="1"/>
  <c r="G39" i="7"/>
  <c r="J35" i="7"/>
  <c r="J27" i="7"/>
  <c r="G31" i="7"/>
  <c r="G15" i="7" l="1"/>
  <c r="F15" i="7"/>
  <c r="E15" i="7"/>
  <c r="D15" i="7"/>
  <c r="B13" i="7"/>
  <c r="A2" i="7"/>
  <c r="N1" i="7"/>
  <c r="M1" i="7"/>
  <c r="L1" i="7"/>
  <c r="K1" i="7"/>
  <c r="J1" i="7"/>
  <c r="I1" i="7"/>
  <c r="H1" i="7"/>
  <c r="G1" i="7"/>
  <c r="F1" i="7"/>
  <c r="E1" i="7"/>
  <c r="D1" i="7"/>
  <c r="I13" i="6"/>
  <c r="A2" i="6"/>
  <c r="E1" i="6"/>
  <c r="F1" i="6"/>
  <c r="G1" i="6"/>
  <c r="H1" i="6"/>
  <c r="I1" i="6"/>
  <c r="J1" i="6"/>
  <c r="K1" i="6"/>
  <c r="L1" i="6"/>
  <c r="M1" i="6"/>
  <c r="N1" i="6"/>
  <c r="D1" i="6"/>
  <c r="D13" i="4" l="1"/>
  <c r="F10" i="4"/>
  <c r="E77" i="4" l="1"/>
  <c r="D122" i="4" s="1"/>
  <c r="V91" i="4"/>
  <c r="P117" i="4"/>
  <c r="E58" i="4"/>
  <c r="V94" i="4"/>
  <c r="V93" i="4"/>
  <c r="B49" i="1"/>
  <c r="E14" i="4" s="1"/>
  <c r="F19" i="4"/>
  <c r="G19" i="4" s="1"/>
  <c r="H19" i="4" s="1"/>
  <c r="I19" i="4" s="1"/>
  <c r="J19" i="4" s="1"/>
  <c r="K19" i="4" s="1"/>
  <c r="L19" i="4" s="1"/>
  <c r="M19" i="4" s="1"/>
  <c r="N19" i="4" s="1"/>
  <c r="E70" i="4" l="1"/>
  <c r="D113" i="4" s="1"/>
  <c r="E48" i="4"/>
  <c r="F14" i="4"/>
  <c r="F16" i="4"/>
  <c r="G16" i="4" s="1"/>
  <c r="H16" i="4" s="1"/>
  <c r="I16" i="4" s="1"/>
  <c r="J16" i="4" s="1"/>
  <c r="K16" i="4" s="1"/>
  <c r="L16" i="4" s="1"/>
  <c r="M16" i="4" s="1"/>
  <c r="N16" i="4" s="1"/>
  <c r="F17" i="4"/>
  <c r="G17" i="4" s="1"/>
  <c r="H17" i="4" s="1"/>
  <c r="I17" i="4" s="1"/>
  <c r="J17" i="4" s="1"/>
  <c r="K17" i="4" s="1"/>
  <c r="L17" i="4" s="1"/>
  <c r="M17" i="4" s="1"/>
  <c r="N17" i="4" s="1"/>
  <c r="E12" i="4"/>
  <c r="F15" i="4"/>
  <c r="D5" i="4"/>
  <c r="F26" i="4"/>
  <c r="P88" i="4"/>
  <c r="D102" i="4"/>
  <c r="D103" i="4"/>
  <c r="F70" i="4" l="1"/>
  <c r="G14" i="4"/>
  <c r="F48" i="4"/>
  <c r="D104" i="4"/>
  <c r="G70" i="4" l="1"/>
  <c r="E113" i="4"/>
  <c r="H14" i="4"/>
  <c r="G48" i="4"/>
  <c r="F7" i="4"/>
  <c r="F12" i="4" s="1"/>
  <c r="F28" i="4"/>
  <c r="G28" i="4" s="1"/>
  <c r="H28" i="4" s="1"/>
  <c r="I28" i="4" s="1"/>
  <c r="J28" i="4" s="1"/>
  <c r="K28" i="4" s="1"/>
  <c r="L28" i="4" s="1"/>
  <c r="M28" i="4" s="1"/>
  <c r="N28" i="4" s="1"/>
  <c r="F27" i="4"/>
  <c r="F113" i="4" l="1"/>
  <c r="H70" i="4"/>
  <c r="I14" i="4"/>
  <c r="H48" i="4"/>
  <c r="G7" i="4"/>
  <c r="B19" i="1"/>
  <c r="F6" i="4"/>
  <c r="F8" i="4"/>
  <c r="G8" i="4" s="1"/>
  <c r="H8" i="4" s="1"/>
  <c r="I8" i="4" s="1"/>
  <c r="J8" i="4" s="1"/>
  <c r="K8" i="4" s="1"/>
  <c r="L8" i="4" s="1"/>
  <c r="M8" i="4" s="1"/>
  <c r="N8" i="4" s="1"/>
  <c r="F9" i="4"/>
  <c r="G9" i="4" s="1"/>
  <c r="H9" i="4" s="1"/>
  <c r="I9" i="4" s="1"/>
  <c r="J9" i="4" s="1"/>
  <c r="K9" i="4" s="1"/>
  <c r="L9" i="4" s="1"/>
  <c r="M9" i="4" s="1"/>
  <c r="N9" i="4" s="1"/>
  <c r="F67" i="4"/>
  <c r="F23" i="4"/>
  <c r="G23" i="4" s="1"/>
  <c r="H23" i="4" s="1"/>
  <c r="I23" i="4" s="1"/>
  <c r="J23" i="4" s="1"/>
  <c r="K23" i="4" s="1"/>
  <c r="L23" i="4" s="1"/>
  <c r="M23" i="4" s="1"/>
  <c r="N23" i="4" s="1"/>
  <c r="F21" i="4"/>
  <c r="G21" i="4" s="1"/>
  <c r="H21" i="4" s="1"/>
  <c r="I21" i="4" s="1"/>
  <c r="J21" i="4" s="1"/>
  <c r="K21" i="4" s="1"/>
  <c r="L21" i="4" s="1"/>
  <c r="M21" i="4" s="1"/>
  <c r="N21" i="4" s="1"/>
  <c r="F22" i="4"/>
  <c r="F58" i="4" s="1"/>
  <c r="G26" i="4"/>
  <c r="H26" i="4" s="1"/>
  <c r="I26" i="4" s="1"/>
  <c r="J26" i="4" s="1"/>
  <c r="K26" i="4" s="1"/>
  <c r="L26" i="4" s="1"/>
  <c r="M26" i="4" s="1"/>
  <c r="N26" i="4" s="1"/>
  <c r="G27" i="4"/>
  <c r="H27" i="4" s="1"/>
  <c r="F29" i="4"/>
  <c r="G29" i="4" s="1"/>
  <c r="H29" i="4" s="1"/>
  <c r="I29" i="4" s="1"/>
  <c r="J29" i="4" s="1"/>
  <c r="K29" i="4" s="1"/>
  <c r="L29" i="4" s="1"/>
  <c r="M29" i="4" s="1"/>
  <c r="N29" i="4" s="1"/>
  <c r="F30" i="4"/>
  <c r="G30" i="4" s="1"/>
  <c r="H30" i="4" s="1"/>
  <c r="I30" i="4" s="1"/>
  <c r="J30" i="4" s="1"/>
  <c r="K30" i="4" s="1"/>
  <c r="L30" i="4" s="1"/>
  <c r="M30" i="4" s="1"/>
  <c r="N30" i="4" s="1"/>
  <c r="F31" i="4"/>
  <c r="G31" i="4" s="1"/>
  <c r="G15" i="4"/>
  <c r="H15" i="4" s="1"/>
  <c r="I15" i="4" s="1"/>
  <c r="J15" i="4" s="1"/>
  <c r="K15" i="4" s="1"/>
  <c r="L15" i="4" s="1"/>
  <c r="M15" i="4" s="1"/>
  <c r="N15" i="4" s="1"/>
  <c r="F18" i="4"/>
  <c r="G18" i="4" s="1"/>
  <c r="H18" i="4" s="1"/>
  <c r="I18" i="4" s="1"/>
  <c r="J18" i="4" s="1"/>
  <c r="K18" i="4" s="1"/>
  <c r="L18" i="4" s="1"/>
  <c r="M18" i="4" s="1"/>
  <c r="N18" i="4" s="1"/>
  <c r="D29" i="2"/>
  <c r="D33" i="2" s="1"/>
  <c r="D35" i="2" s="1"/>
  <c r="E49" i="4" s="1"/>
  <c r="B33" i="2"/>
  <c r="D27" i="2"/>
  <c r="C15" i="2"/>
  <c r="D28" i="2" s="1"/>
  <c r="B3" i="1"/>
  <c r="E76" i="4" s="1"/>
  <c r="D118" i="4" s="1"/>
  <c r="I1" i="5"/>
  <c r="AA76" i="4" s="1"/>
  <c r="I4" i="5"/>
  <c r="I5" i="5" s="1"/>
  <c r="D24" i="2"/>
  <c r="B24" i="2"/>
  <c r="B35" i="1"/>
  <c r="E67" i="4"/>
  <c r="G27" i="5"/>
  <c r="G41" i="5"/>
  <c r="G55" i="5"/>
  <c r="G69" i="5"/>
  <c r="G83" i="5"/>
  <c r="G97" i="5" s="1"/>
  <c r="G111" i="5" s="1"/>
  <c r="G125" i="5" s="1"/>
  <c r="G139" i="5" s="1"/>
  <c r="B1" i="2"/>
  <c r="F24" i="4"/>
  <c r="D15" i="2"/>
  <c r="E15" i="2"/>
  <c r="F15" i="2"/>
  <c r="G15" i="2"/>
  <c r="D30" i="2" l="1"/>
  <c r="D4" i="4" s="1"/>
  <c r="E41" i="4" s="1"/>
  <c r="D109" i="4"/>
  <c r="I70" i="4"/>
  <c r="G113" i="4"/>
  <c r="E109" i="4"/>
  <c r="J14" i="4"/>
  <c r="I48" i="4"/>
  <c r="G10" i="4"/>
  <c r="G67" i="4" s="1"/>
  <c r="E69" i="4"/>
  <c r="F49" i="4"/>
  <c r="E11" i="4"/>
  <c r="F11" i="4" s="1"/>
  <c r="G11" i="4" s="1"/>
  <c r="H11" i="4" s="1"/>
  <c r="I11" i="4" s="1"/>
  <c r="J11" i="4" s="1"/>
  <c r="K11" i="4" s="1"/>
  <c r="L11" i="4" s="1"/>
  <c r="M11" i="4" s="1"/>
  <c r="N11" i="4" s="1"/>
  <c r="F41" i="4"/>
  <c r="E43" i="4"/>
  <c r="F76" i="4"/>
  <c r="G76" i="4" s="1"/>
  <c r="G22" i="4"/>
  <c r="I2" i="5"/>
  <c r="W87" i="4"/>
  <c r="G24" i="4"/>
  <c r="H24" i="4" s="1"/>
  <c r="G12" i="4"/>
  <c r="G72" i="4"/>
  <c r="G6" i="4"/>
  <c r="E84" i="4"/>
  <c r="D115" i="4" s="1"/>
  <c r="E44" i="4"/>
  <c r="E73" i="4" s="1"/>
  <c r="D112" i="4" s="1"/>
  <c r="D20" i="4"/>
  <c r="I7" i="5" s="1"/>
  <c r="B2" i="5" s="1"/>
  <c r="H7" i="4"/>
  <c r="E46" i="4"/>
  <c r="E47" i="4"/>
  <c r="H31" i="4"/>
  <c r="I27" i="4"/>
  <c r="F77" i="4"/>
  <c r="E55" i="4"/>
  <c r="E103" i="4" s="1"/>
  <c r="G45" i="4" l="1"/>
  <c r="H113" i="4"/>
  <c r="J70" i="4"/>
  <c r="F109" i="4"/>
  <c r="E118" i="4"/>
  <c r="F84" i="4"/>
  <c r="E115" i="4" s="1"/>
  <c r="H10" i="4"/>
  <c r="H67" i="4" s="1"/>
  <c r="H22" i="4"/>
  <c r="G58" i="4"/>
  <c r="K14" i="4"/>
  <c r="J48" i="4"/>
  <c r="E72" i="4"/>
  <c r="D111" i="4" s="1"/>
  <c r="E45" i="4"/>
  <c r="E50" i="4" s="1"/>
  <c r="D2" i="5"/>
  <c r="I10" i="4"/>
  <c r="I67" i="4" s="1"/>
  <c r="F72" i="4"/>
  <c r="E111" i="4" s="1"/>
  <c r="F45" i="4"/>
  <c r="H76" i="4"/>
  <c r="F118" i="4"/>
  <c r="D110" i="4"/>
  <c r="E78" i="4"/>
  <c r="E122" i="4"/>
  <c r="H45" i="4"/>
  <c r="H72" i="4"/>
  <c r="G111" i="4" s="1"/>
  <c r="H12" i="4"/>
  <c r="I9" i="5"/>
  <c r="E89" i="5" s="1"/>
  <c r="G49" i="4"/>
  <c r="H6" i="4"/>
  <c r="I7" i="4"/>
  <c r="I31" i="4"/>
  <c r="G77" i="4"/>
  <c r="F55" i="4"/>
  <c r="J27" i="4"/>
  <c r="F46" i="4"/>
  <c r="F47" i="4"/>
  <c r="F69" i="4"/>
  <c r="G41" i="4"/>
  <c r="F43" i="4"/>
  <c r="F44" i="4"/>
  <c r="F73" i="4" s="1"/>
  <c r="E112" i="4" s="1"/>
  <c r="I24" i="4"/>
  <c r="H109" i="4" l="1"/>
  <c r="G109" i="4"/>
  <c r="F74" i="4"/>
  <c r="K70" i="4"/>
  <c r="I113" i="4"/>
  <c r="E74" i="4"/>
  <c r="E80" i="4" s="1"/>
  <c r="E91" i="4" s="1"/>
  <c r="F111" i="4"/>
  <c r="F102" i="4"/>
  <c r="E52" i="4"/>
  <c r="E102" i="4"/>
  <c r="F50" i="4"/>
  <c r="F52" i="4" s="1"/>
  <c r="J10" i="4"/>
  <c r="J67" i="4" s="1"/>
  <c r="E82" i="4"/>
  <c r="D114" i="4" s="1"/>
  <c r="I22" i="4"/>
  <c r="H58" i="4"/>
  <c r="L14" i="4"/>
  <c r="K48" i="4"/>
  <c r="E104" i="4"/>
  <c r="F122" i="4"/>
  <c r="I76" i="4"/>
  <c r="G118" i="4"/>
  <c r="F78" i="4"/>
  <c r="F103" i="4"/>
  <c r="E110" i="4"/>
  <c r="I45" i="4"/>
  <c r="I72" i="4"/>
  <c r="H111" i="4" s="1"/>
  <c r="I12" i="4"/>
  <c r="E81" i="5"/>
  <c r="E66" i="5"/>
  <c r="E119" i="5"/>
  <c r="E64" i="5"/>
  <c r="E25" i="5"/>
  <c r="E133" i="5"/>
  <c r="E16" i="5"/>
  <c r="E109" i="5"/>
  <c r="E137" i="5"/>
  <c r="E63" i="5"/>
  <c r="E114" i="5"/>
  <c r="E101" i="5"/>
  <c r="E82" i="5"/>
  <c r="E13" i="5"/>
  <c r="E50" i="5"/>
  <c r="E5" i="5"/>
  <c r="E87" i="5"/>
  <c r="E74" i="5"/>
  <c r="E46" i="5"/>
  <c r="E21" i="5"/>
  <c r="E93" i="5"/>
  <c r="E48" i="5"/>
  <c r="E2" i="5"/>
  <c r="C2" i="5" s="1"/>
  <c r="F2" i="5" s="1"/>
  <c r="B3" i="5" s="1"/>
  <c r="D3" i="5" s="1"/>
  <c r="E35" i="5"/>
  <c r="E61" i="5"/>
  <c r="E90" i="5"/>
  <c r="E9" i="5"/>
  <c r="E33" i="5"/>
  <c r="E73" i="5"/>
  <c r="E37" i="5"/>
  <c r="E45" i="5"/>
  <c r="E125" i="5"/>
  <c r="E123" i="5"/>
  <c r="E36" i="5"/>
  <c r="E53" i="5"/>
  <c r="E104" i="5"/>
  <c r="E44" i="5"/>
  <c r="E134" i="5"/>
  <c r="E24" i="5"/>
  <c r="E131" i="5"/>
  <c r="E102" i="5"/>
  <c r="E79" i="5"/>
  <c r="E11" i="5"/>
  <c r="E121" i="5"/>
  <c r="E3" i="5"/>
  <c r="E51" i="5"/>
  <c r="E22" i="5"/>
  <c r="E80" i="5"/>
  <c r="E10" i="5"/>
  <c r="E38" i="5"/>
  <c r="E52" i="5"/>
  <c r="E139" i="5"/>
  <c r="E8" i="5"/>
  <c r="E77" i="5"/>
  <c r="E138" i="5"/>
  <c r="E122" i="5"/>
  <c r="E68" i="5"/>
  <c r="E19" i="5"/>
  <c r="E76" i="5"/>
  <c r="E111" i="5"/>
  <c r="E39" i="5"/>
  <c r="E60" i="5"/>
  <c r="E91" i="5"/>
  <c r="E7" i="5"/>
  <c r="E96" i="5"/>
  <c r="E54" i="5"/>
  <c r="E100" i="5"/>
  <c r="E49" i="5"/>
  <c r="E92" i="5"/>
  <c r="E62" i="5"/>
  <c r="E47" i="5"/>
  <c r="E83" i="5"/>
  <c r="E136" i="5"/>
  <c r="E55" i="5"/>
  <c r="E6" i="5"/>
  <c r="E110" i="5"/>
  <c r="E88" i="5"/>
  <c r="E18" i="5"/>
  <c r="E69" i="5"/>
  <c r="E118" i="5"/>
  <c r="E132" i="5"/>
  <c r="E116" i="5"/>
  <c r="E106" i="5"/>
  <c r="E26" i="5"/>
  <c r="E129" i="5"/>
  <c r="E135" i="5"/>
  <c r="E124" i="5"/>
  <c r="E72" i="5"/>
  <c r="E34" i="5"/>
  <c r="E78" i="5"/>
  <c r="E108" i="5"/>
  <c r="E17" i="5"/>
  <c r="E30" i="5"/>
  <c r="E67" i="5"/>
  <c r="E115" i="5"/>
  <c r="E120" i="5"/>
  <c r="E105" i="5"/>
  <c r="E41" i="5"/>
  <c r="E130" i="5"/>
  <c r="E117" i="5"/>
  <c r="E94" i="5"/>
  <c r="E95" i="5"/>
  <c r="E4" i="5"/>
  <c r="E31" i="5"/>
  <c r="E103" i="5"/>
  <c r="E65" i="5"/>
  <c r="E58" i="5"/>
  <c r="E32" i="5"/>
  <c r="E27" i="5"/>
  <c r="E97" i="5"/>
  <c r="E40" i="5"/>
  <c r="E59" i="5"/>
  <c r="E20" i="5"/>
  <c r="E12" i="5"/>
  <c r="E86" i="5"/>
  <c r="E75" i="5"/>
  <c r="E107" i="5"/>
  <c r="E23" i="5"/>
  <c r="E128" i="5"/>
  <c r="H49" i="4"/>
  <c r="I6" i="4"/>
  <c r="J7" i="4"/>
  <c r="K27" i="4"/>
  <c r="G43" i="4"/>
  <c r="H41" i="4"/>
  <c r="G47" i="4"/>
  <c r="G69" i="4"/>
  <c r="G46" i="4"/>
  <c r="G44" i="4"/>
  <c r="G73" i="4" s="1"/>
  <c r="F112" i="4" s="1"/>
  <c r="G84" i="4"/>
  <c r="F115" i="4" s="1"/>
  <c r="J31" i="4"/>
  <c r="G55" i="4"/>
  <c r="H77" i="4"/>
  <c r="J24" i="4"/>
  <c r="G74" i="4" l="1"/>
  <c r="I109" i="4"/>
  <c r="J113" i="4"/>
  <c r="L70" i="4"/>
  <c r="G102" i="4"/>
  <c r="G50" i="4"/>
  <c r="G52" i="4" s="1"/>
  <c r="K10" i="4"/>
  <c r="K67" i="4" s="1"/>
  <c r="J22" i="4"/>
  <c r="I58" i="4"/>
  <c r="M14" i="4"/>
  <c r="L48" i="4"/>
  <c r="J76" i="4"/>
  <c r="H118" i="4"/>
  <c r="F80" i="4"/>
  <c r="G122" i="4"/>
  <c r="F104" i="4"/>
  <c r="G78" i="4"/>
  <c r="G103" i="4"/>
  <c r="F110" i="4"/>
  <c r="J45" i="4"/>
  <c r="J12" i="4"/>
  <c r="J72" i="4"/>
  <c r="I111" i="4" s="1"/>
  <c r="C3" i="5"/>
  <c r="F3" i="5" s="1"/>
  <c r="B4" i="5" s="1"/>
  <c r="D4" i="5" s="1"/>
  <c r="C4" i="5" s="1"/>
  <c r="F4" i="5" s="1"/>
  <c r="B5" i="5" s="1"/>
  <c r="D5" i="5" s="1"/>
  <c r="C5" i="5" s="1"/>
  <c r="F5" i="5" s="1"/>
  <c r="B6" i="5" s="1"/>
  <c r="J6" i="4"/>
  <c r="I49" i="4"/>
  <c r="K7" i="4"/>
  <c r="H46" i="4"/>
  <c r="H69" i="4"/>
  <c r="H43" i="4"/>
  <c r="H47" i="4"/>
  <c r="I41" i="4"/>
  <c r="H44" i="4"/>
  <c r="H73" i="4" s="1"/>
  <c r="G112" i="4" s="1"/>
  <c r="H84" i="4"/>
  <c r="G115" i="4" s="1"/>
  <c r="L27" i="4"/>
  <c r="F91" i="4"/>
  <c r="K31" i="4"/>
  <c r="F82" i="4"/>
  <c r="E114" i="4" s="1"/>
  <c r="I77" i="4"/>
  <c r="H55" i="4"/>
  <c r="K24" i="4"/>
  <c r="H74" i="4" l="1"/>
  <c r="J109" i="4"/>
  <c r="M70" i="4"/>
  <c r="K113" i="4"/>
  <c r="H102" i="4"/>
  <c r="L10" i="4"/>
  <c r="M10" i="4" s="1"/>
  <c r="H50" i="4"/>
  <c r="H52" i="4" s="1"/>
  <c r="K22" i="4"/>
  <c r="J58" i="4"/>
  <c r="N14" i="4"/>
  <c r="M48" i="4"/>
  <c r="G80" i="4"/>
  <c r="H122" i="4"/>
  <c r="G104" i="4"/>
  <c r="K76" i="4"/>
  <c r="I118" i="4"/>
  <c r="H78" i="4"/>
  <c r="H103" i="4"/>
  <c r="G110" i="4"/>
  <c r="K45" i="4"/>
  <c r="K12" i="4"/>
  <c r="K72" i="4"/>
  <c r="J111" i="4" s="1"/>
  <c r="J49" i="4"/>
  <c r="K6" i="4"/>
  <c r="L7" i="4"/>
  <c r="L31" i="4"/>
  <c r="D6" i="5"/>
  <c r="C6" i="5" s="1"/>
  <c r="F6" i="5" s="1"/>
  <c r="B7" i="5" s="1"/>
  <c r="G82" i="4"/>
  <c r="F114" i="4" s="1"/>
  <c r="G91" i="4"/>
  <c r="I43" i="4"/>
  <c r="I46" i="4"/>
  <c r="I47" i="4"/>
  <c r="I69" i="4"/>
  <c r="J41" i="4"/>
  <c r="I44" i="4"/>
  <c r="I73" i="4" s="1"/>
  <c r="H112" i="4" s="1"/>
  <c r="I84" i="4"/>
  <c r="H115" i="4" s="1"/>
  <c r="I55" i="4"/>
  <c r="J77" i="4"/>
  <c r="I122" i="4" s="1"/>
  <c r="M27" i="4"/>
  <c r="L24" i="4"/>
  <c r="I74" i="4" l="1"/>
  <c r="L113" i="4"/>
  <c r="N70" i="4"/>
  <c r="L67" i="4"/>
  <c r="I102" i="4"/>
  <c r="I50" i="4"/>
  <c r="L22" i="4"/>
  <c r="K58" i="4"/>
  <c r="N48" i="4"/>
  <c r="H104" i="4"/>
  <c r="H80" i="4"/>
  <c r="L76" i="4"/>
  <c r="J118" i="4"/>
  <c r="I78" i="4"/>
  <c r="I103" i="4"/>
  <c r="H110" i="4"/>
  <c r="L45" i="4"/>
  <c r="L72" i="4"/>
  <c r="K111" i="4" s="1"/>
  <c r="L12" i="4"/>
  <c r="K49" i="4"/>
  <c r="L6" i="4"/>
  <c r="M67" i="4"/>
  <c r="N10" i="4"/>
  <c r="N67" i="4" s="1"/>
  <c r="M7" i="4"/>
  <c r="H91" i="4"/>
  <c r="K77" i="4"/>
  <c r="J55" i="4"/>
  <c r="D7" i="5"/>
  <c r="C7" i="5" s="1"/>
  <c r="F7" i="5" s="1"/>
  <c r="B8" i="5" s="1"/>
  <c r="K41" i="4"/>
  <c r="J43" i="4"/>
  <c r="J46" i="4"/>
  <c r="J47" i="4"/>
  <c r="J69" i="4"/>
  <c r="J44" i="4"/>
  <c r="J73" i="4" s="1"/>
  <c r="I112" i="4" s="1"/>
  <c r="J84" i="4"/>
  <c r="I115" i="4" s="1"/>
  <c r="M31" i="4"/>
  <c r="H82" i="4"/>
  <c r="G114" i="4" s="1"/>
  <c r="N27" i="4"/>
  <c r="M24" i="4"/>
  <c r="I80" i="4" l="1"/>
  <c r="I110" i="4"/>
  <c r="J74" i="4"/>
  <c r="K109" i="4"/>
  <c r="L109" i="4"/>
  <c r="N113" i="4"/>
  <c r="M113" i="4"/>
  <c r="J102" i="4"/>
  <c r="M109" i="4"/>
  <c r="N109" i="4"/>
  <c r="J50" i="4"/>
  <c r="J52" i="4" s="1"/>
  <c r="I82" i="4"/>
  <c r="H114" i="4" s="1"/>
  <c r="I52" i="4"/>
  <c r="M22" i="4"/>
  <c r="L58" i="4"/>
  <c r="I104" i="4"/>
  <c r="J122" i="4"/>
  <c r="M76" i="4"/>
  <c r="K118" i="4"/>
  <c r="J78" i="4"/>
  <c r="J103" i="4"/>
  <c r="M45" i="4"/>
  <c r="M72" i="4"/>
  <c r="L111" i="4" s="1"/>
  <c r="M12" i="4"/>
  <c r="L49" i="4"/>
  <c r="M6" i="4"/>
  <c r="N7" i="4"/>
  <c r="D8" i="5"/>
  <c r="C8" i="5" s="1"/>
  <c r="F8" i="5" s="1"/>
  <c r="B9" i="5" s="1"/>
  <c r="K55" i="4"/>
  <c r="L77" i="4"/>
  <c r="N31" i="4"/>
  <c r="I91" i="4"/>
  <c r="K46" i="4"/>
  <c r="K43" i="4"/>
  <c r="K47" i="4"/>
  <c r="L41" i="4"/>
  <c r="K69" i="4"/>
  <c r="K44" i="4"/>
  <c r="K73" i="4" s="1"/>
  <c r="J112" i="4" s="1"/>
  <c r="K84" i="4"/>
  <c r="J115" i="4" s="1"/>
  <c r="N24" i="4"/>
  <c r="O113" i="4" l="1"/>
  <c r="K74" i="4"/>
  <c r="O109" i="4"/>
  <c r="K102" i="4"/>
  <c r="K50" i="4"/>
  <c r="K52" i="4" s="1"/>
  <c r="J80" i="4"/>
  <c r="N22" i="4"/>
  <c r="N58" i="4" s="1"/>
  <c r="M58" i="4"/>
  <c r="P22" i="4"/>
  <c r="J104" i="4"/>
  <c r="K122" i="4"/>
  <c r="N76" i="4"/>
  <c r="L118" i="4"/>
  <c r="K78" i="4"/>
  <c r="K103" i="4"/>
  <c r="J110" i="4"/>
  <c r="P24" i="4"/>
  <c r="D99" i="4" s="1"/>
  <c r="E105" i="4" s="1"/>
  <c r="N45" i="4"/>
  <c r="N72" i="4"/>
  <c r="N12" i="4"/>
  <c r="N6" i="4"/>
  <c r="N49" i="4" s="1"/>
  <c r="M49" i="4"/>
  <c r="D9" i="5"/>
  <c r="C9" i="5" s="1"/>
  <c r="F9" i="5" s="1"/>
  <c r="B10" i="5" s="1"/>
  <c r="M41" i="4"/>
  <c r="L43" i="4"/>
  <c r="L46" i="4"/>
  <c r="L69" i="4"/>
  <c r="L47" i="4"/>
  <c r="L44" i="4"/>
  <c r="L73" i="4" s="1"/>
  <c r="K112" i="4" s="1"/>
  <c r="L84" i="4"/>
  <c r="K115" i="4" s="1"/>
  <c r="M77" i="4"/>
  <c r="L122" i="4" s="1"/>
  <c r="L55" i="4"/>
  <c r="J91" i="4"/>
  <c r="J82" i="4"/>
  <c r="I114" i="4" s="1"/>
  <c r="L74" i="4" l="1"/>
  <c r="M111" i="4"/>
  <c r="N111" i="4"/>
  <c r="L102" i="4"/>
  <c r="E106" i="4"/>
  <c r="L50" i="4"/>
  <c r="L52" i="4" s="1"/>
  <c r="D105" i="4"/>
  <c r="D106" i="4" s="1"/>
  <c r="F105" i="4"/>
  <c r="G105" i="4"/>
  <c r="H105" i="4"/>
  <c r="W88" i="4"/>
  <c r="X88" i="4" s="1"/>
  <c r="AA77" i="4"/>
  <c r="I105" i="4"/>
  <c r="J105" i="4"/>
  <c r="P58" i="4"/>
  <c r="K80" i="4"/>
  <c r="M118" i="4"/>
  <c r="N118" i="4"/>
  <c r="N119" i="4" s="1"/>
  <c r="K104" i="4"/>
  <c r="L78" i="4"/>
  <c r="L103" i="4"/>
  <c r="K110" i="4"/>
  <c r="X87" i="4"/>
  <c r="D10" i="5"/>
  <c r="C10" i="5" s="1"/>
  <c r="F10" i="5" s="1"/>
  <c r="B11" i="5" s="1"/>
  <c r="M43" i="4"/>
  <c r="M47" i="4"/>
  <c r="M69" i="4"/>
  <c r="N41" i="4"/>
  <c r="M46" i="4"/>
  <c r="M44" i="4"/>
  <c r="M73" i="4" s="1"/>
  <c r="L112" i="4" s="1"/>
  <c r="M84" i="4"/>
  <c r="L115" i="4" s="1"/>
  <c r="K91" i="4"/>
  <c r="M55" i="4"/>
  <c r="N77" i="4"/>
  <c r="K82" i="4"/>
  <c r="J114" i="4" s="1"/>
  <c r="E136" i="4" l="1"/>
  <c r="L80" i="4"/>
  <c r="L110" i="4"/>
  <c r="M74" i="4"/>
  <c r="D116" i="4"/>
  <c r="M102" i="4"/>
  <c r="I106" i="4"/>
  <c r="H116" i="4"/>
  <c r="G106" i="4"/>
  <c r="F116" i="4"/>
  <c r="J106" i="4"/>
  <c r="I116" i="4"/>
  <c r="H106" i="4"/>
  <c r="G116" i="4"/>
  <c r="F106" i="4"/>
  <c r="E116" i="4"/>
  <c r="P119" i="4"/>
  <c r="M50" i="4"/>
  <c r="M52" i="4" s="1"/>
  <c r="K105" i="4"/>
  <c r="N55" i="4"/>
  <c r="M122" i="4"/>
  <c r="N122" i="4"/>
  <c r="L104" i="4"/>
  <c r="M78" i="4"/>
  <c r="M103" i="4"/>
  <c r="D11" i="5"/>
  <c r="C11" i="5" s="1"/>
  <c r="F11" i="5" s="1"/>
  <c r="B12" i="5" s="1"/>
  <c r="N69" i="4"/>
  <c r="N43" i="4"/>
  <c r="N47" i="4"/>
  <c r="N46" i="4"/>
  <c r="N44" i="4"/>
  <c r="N73" i="4" s="1"/>
  <c r="N84" i="4"/>
  <c r="L91" i="4"/>
  <c r="L82" i="4"/>
  <c r="K114" i="4" s="1"/>
  <c r="N74" i="4" l="1"/>
  <c r="M112" i="4"/>
  <c r="N112" i="4"/>
  <c r="N102" i="4"/>
  <c r="O111" i="4"/>
  <c r="N115" i="4"/>
  <c r="M115" i="4"/>
  <c r="K106" i="4"/>
  <c r="J116" i="4"/>
  <c r="N123" i="4"/>
  <c r="P120" i="4"/>
  <c r="N120" i="4" s="1"/>
  <c r="N50" i="4"/>
  <c r="N52" i="4" s="1"/>
  <c r="L105" i="4"/>
  <c r="N103" i="4"/>
  <c r="P55" i="4"/>
  <c r="M80" i="4"/>
  <c r="M104" i="4"/>
  <c r="N78" i="4"/>
  <c r="P123" i="4" s="1"/>
  <c r="P124" i="4" s="1"/>
  <c r="N124" i="4" s="1"/>
  <c r="M110" i="4"/>
  <c r="N110" i="4"/>
  <c r="D12" i="5"/>
  <c r="C12" i="5" s="1"/>
  <c r="F12" i="5" s="1"/>
  <c r="B13" i="5" s="1"/>
  <c r="M91" i="4"/>
  <c r="M82" i="4"/>
  <c r="L114" i="4" s="1"/>
  <c r="O110" i="4" l="1"/>
  <c r="O115" i="4"/>
  <c r="O112" i="4"/>
  <c r="L106" i="4"/>
  <c r="K116" i="4"/>
  <c r="P52" i="4"/>
  <c r="P56" i="4" s="1"/>
  <c r="M105" i="4"/>
  <c r="N104" i="4"/>
  <c r="D13" i="5"/>
  <c r="N82" i="4"/>
  <c r="N91" i="4"/>
  <c r="N80" i="4"/>
  <c r="M106" i="4" l="1"/>
  <c r="L116" i="4"/>
  <c r="N105" i="4"/>
  <c r="M114" i="4"/>
  <c r="N114" i="4"/>
  <c r="C13" i="5"/>
  <c r="D14" i="5"/>
  <c r="O114" i="4" l="1"/>
  <c r="N106" i="4"/>
  <c r="M116" i="4"/>
  <c r="N116" i="4"/>
  <c r="E57" i="4"/>
  <c r="E60" i="4" s="1"/>
  <c r="C14" i="5"/>
  <c r="F13" i="5"/>
  <c r="O116" i="4" l="1"/>
  <c r="N128" i="4"/>
  <c r="E61" i="4"/>
  <c r="E87" i="4"/>
  <c r="B16" i="5"/>
  <c r="N3" i="6" l="1"/>
  <c r="P8" i="6" s="1"/>
  <c r="N3" i="7"/>
  <c r="E83" i="4"/>
  <c r="E62" i="4"/>
  <c r="E92" i="4" s="1"/>
  <c r="E93" i="4" s="1"/>
  <c r="E85" i="4"/>
  <c r="D16" i="5"/>
  <c r="N7" i="7" l="1"/>
  <c r="N10" i="7" s="1"/>
  <c r="N13" i="7"/>
  <c r="N16" i="7" s="1"/>
  <c r="E36" i="4"/>
  <c r="E89" i="4"/>
  <c r="E95" i="4" s="1"/>
  <c r="E97" i="4" s="1"/>
  <c r="E37" i="4"/>
  <c r="E35" i="4"/>
  <c r="E34" i="4"/>
  <c r="C16" i="5"/>
  <c r="F16" i="5" l="1"/>
  <c r="B17" i="5" s="1"/>
  <c r="D17" i="5" l="1"/>
  <c r="C17" i="5" l="1"/>
  <c r="F17" i="5" l="1"/>
  <c r="B18" i="5" s="1"/>
  <c r="D18" i="5" l="1"/>
  <c r="C18" i="5" l="1"/>
  <c r="F18" i="5" l="1"/>
  <c r="B19" i="5" s="1"/>
  <c r="D19" i="5" l="1"/>
  <c r="C19" i="5" l="1"/>
  <c r="F19" i="5" l="1"/>
  <c r="B20" i="5" s="1"/>
  <c r="D20" i="5" l="1"/>
  <c r="C20" i="5" l="1"/>
  <c r="F20" i="5" l="1"/>
  <c r="B21" i="5" s="1"/>
  <c r="D21" i="5" l="1"/>
  <c r="C21" i="5" s="1"/>
  <c r="F21" i="5" s="1"/>
  <c r="B22" i="5" s="1"/>
  <c r="D22" i="5" l="1"/>
  <c r="C22" i="5" s="1"/>
  <c r="F22" i="5" s="1"/>
  <c r="B23" i="5" s="1"/>
  <c r="D23" i="5" l="1"/>
  <c r="C23" i="5" s="1"/>
  <c r="F23" i="5" s="1"/>
  <c r="B24" i="5" s="1"/>
  <c r="D24" i="5" l="1"/>
  <c r="C24" i="5" s="1"/>
  <c r="F24" i="5" s="1"/>
  <c r="B25" i="5" s="1"/>
  <c r="D25" i="5" l="1"/>
  <c r="C25" i="5" s="1"/>
  <c r="F25" i="5" s="1"/>
  <c r="B26" i="5" s="1"/>
  <c r="D26" i="5" l="1"/>
  <c r="C26" i="5" s="1"/>
  <c r="F26" i="5" s="1"/>
  <c r="B27" i="5" s="1"/>
  <c r="D27" i="5" l="1"/>
  <c r="C27" i="5" l="1"/>
  <c r="D28" i="5"/>
  <c r="F57" i="4" l="1"/>
  <c r="F60" i="4" s="1"/>
  <c r="C28" i="5"/>
  <c r="F27" i="5"/>
  <c r="B30" i="5" l="1"/>
  <c r="F87" i="4"/>
  <c r="F61" i="4" l="1"/>
  <c r="F83" i="4" s="1"/>
  <c r="D30" i="5"/>
  <c r="F62" i="4" l="1"/>
  <c r="F92" i="4" s="1"/>
  <c r="F93" i="4" s="1"/>
  <c r="F35" i="4" s="1"/>
  <c r="F85" i="4"/>
  <c r="E128" i="4"/>
  <c r="C30" i="5"/>
  <c r="E3" i="7" l="1"/>
  <c r="E3" i="6"/>
  <c r="F37" i="4"/>
  <c r="F34" i="4"/>
  <c r="F36" i="4"/>
  <c r="F89" i="4"/>
  <c r="F95" i="4" s="1"/>
  <c r="F97" i="4" s="1"/>
  <c r="F30" i="5"/>
  <c r="B31" i="5" s="1"/>
  <c r="E13" i="7" l="1"/>
  <c r="E16" i="7" s="1"/>
  <c r="E7" i="7"/>
  <c r="E10" i="7" s="1"/>
  <c r="E19" i="7"/>
  <c r="G8" i="6" s="1"/>
  <c r="D31" i="5"/>
  <c r="C31" i="5" l="1"/>
  <c r="F31" i="5" l="1"/>
  <c r="B32" i="5" s="1"/>
  <c r="D32" i="5" l="1"/>
  <c r="C32" i="5" l="1"/>
  <c r="F32" i="5" l="1"/>
  <c r="B33" i="5" s="1"/>
  <c r="D33" i="5" l="1"/>
  <c r="C33" i="5" l="1"/>
  <c r="F33" i="5" l="1"/>
  <c r="B34" i="5" s="1"/>
  <c r="D34" i="5" l="1"/>
  <c r="C34" i="5" l="1"/>
  <c r="F34" i="5" l="1"/>
  <c r="B35" i="5" s="1"/>
  <c r="D35" i="5" l="1"/>
  <c r="C35" i="5" s="1"/>
  <c r="F35" i="5" s="1"/>
  <c r="B36" i="5" s="1"/>
  <c r="D36" i="5" l="1"/>
  <c r="C36" i="5" s="1"/>
  <c r="F36" i="5" s="1"/>
  <c r="B37" i="5" s="1"/>
  <c r="D37" i="5" l="1"/>
  <c r="C37" i="5" s="1"/>
  <c r="F37" i="5" s="1"/>
  <c r="B38" i="5" s="1"/>
  <c r="D38" i="5" l="1"/>
  <c r="C38" i="5" s="1"/>
  <c r="F38" i="5" s="1"/>
  <c r="B39" i="5" s="1"/>
  <c r="D39" i="5" l="1"/>
  <c r="C39" i="5" s="1"/>
  <c r="F39" i="5" s="1"/>
  <c r="B40" i="5" s="1"/>
  <c r="D40" i="5" l="1"/>
  <c r="C40" i="5" s="1"/>
  <c r="F40" i="5" s="1"/>
  <c r="B41" i="5" s="1"/>
  <c r="D41" i="5" l="1"/>
  <c r="C41" i="5" l="1"/>
  <c r="D42" i="5"/>
  <c r="G57" i="4" l="1"/>
  <c r="G60" i="4" s="1"/>
  <c r="C42" i="5"/>
  <c r="F41" i="5"/>
  <c r="G87" i="4" l="1"/>
  <c r="B44" i="5"/>
  <c r="G61" i="4" l="1"/>
  <c r="G83" i="4" s="1"/>
  <c r="D44" i="5"/>
  <c r="G62" i="4" l="1"/>
  <c r="G92" i="4" s="1"/>
  <c r="G93" i="4" s="1"/>
  <c r="G35" i="4" s="1"/>
  <c r="G85" i="4"/>
  <c r="F128" i="4"/>
  <c r="C44" i="5"/>
  <c r="F3" i="6" l="1"/>
  <c r="H8" i="6" s="1"/>
  <c r="F3" i="7"/>
  <c r="G34" i="4"/>
  <c r="G37" i="4"/>
  <c r="G36" i="4"/>
  <c r="G89" i="4"/>
  <c r="G95" i="4" s="1"/>
  <c r="G97" i="4" s="1"/>
  <c r="F44" i="5"/>
  <c r="B45" i="5" s="1"/>
  <c r="F7" i="7" l="1"/>
  <c r="F10" i="7" s="1"/>
  <c r="F13" i="7"/>
  <c r="F16" i="7" s="1"/>
  <c r="D45" i="5"/>
  <c r="C45" i="5" l="1"/>
  <c r="F45" i="5" l="1"/>
  <c r="B46" i="5" s="1"/>
  <c r="D46" i="5" l="1"/>
  <c r="C46" i="5" l="1"/>
  <c r="F46" i="5" l="1"/>
  <c r="B47" i="5" s="1"/>
  <c r="D47" i="5" l="1"/>
  <c r="C47" i="5" l="1"/>
  <c r="F47" i="5" l="1"/>
  <c r="B48" i="5" s="1"/>
  <c r="D48" i="5" l="1"/>
  <c r="C48" i="5" l="1"/>
  <c r="F48" i="5" l="1"/>
  <c r="B49" i="5" s="1"/>
  <c r="D49" i="5" l="1"/>
  <c r="C49" i="5" s="1"/>
  <c r="F49" i="5" s="1"/>
  <c r="B50" i="5" s="1"/>
  <c r="D50" i="5" l="1"/>
  <c r="C50" i="5" s="1"/>
  <c r="F50" i="5" s="1"/>
  <c r="B51" i="5" s="1"/>
  <c r="D51" i="5" l="1"/>
  <c r="C51" i="5" s="1"/>
  <c r="F51" i="5" s="1"/>
  <c r="B52" i="5" s="1"/>
  <c r="D52" i="5" l="1"/>
  <c r="C52" i="5" s="1"/>
  <c r="F52" i="5" s="1"/>
  <c r="B53" i="5" s="1"/>
  <c r="D53" i="5" l="1"/>
  <c r="C53" i="5" s="1"/>
  <c r="F53" i="5" s="1"/>
  <c r="B54" i="5" s="1"/>
  <c r="D54" i="5" l="1"/>
  <c r="C54" i="5" s="1"/>
  <c r="F54" i="5" s="1"/>
  <c r="B55" i="5" s="1"/>
  <c r="D55" i="5" l="1"/>
  <c r="C55" i="5" l="1"/>
  <c r="D56" i="5"/>
  <c r="H57" i="4" l="1"/>
  <c r="H60" i="4" s="1"/>
  <c r="C56" i="5"/>
  <c r="F55" i="5"/>
  <c r="H61" i="4" l="1"/>
  <c r="H83" i="4" s="1"/>
  <c r="G128" i="4" s="1"/>
  <c r="H87" i="4"/>
  <c r="B58" i="5"/>
  <c r="G3" i="6" l="1"/>
  <c r="I8" i="6" s="1"/>
  <c r="G3" i="7"/>
  <c r="H85" i="4"/>
  <c r="H36" i="4" s="1"/>
  <c r="H62" i="4"/>
  <c r="H92" i="4" s="1"/>
  <c r="H93" i="4" s="1"/>
  <c r="H35" i="4" s="1"/>
  <c r="D58" i="5"/>
  <c r="G7" i="7" l="1"/>
  <c r="G10" i="7" s="1"/>
  <c r="G13" i="7"/>
  <c r="G16" i="7" s="1"/>
  <c r="H89" i="4"/>
  <c r="H95" i="4" s="1"/>
  <c r="H97" i="4" s="1"/>
  <c r="H37" i="4"/>
  <c r="H34" i="4"/>
  <c r="C58" i="5"/>
  <c r="F58" i="5" l="1"/>
  <c r="B59" i="5" s="1"/>
  <c r="D59" i="5" l="1"/>
  <c r="C59" i="5" l="1"/>
  <c r="F59" i="5" l="1"/>
  <c r="B60" i="5" s="1"/>
  <c r="D60" i="5" l="1"/>
  <c r="C60" i="5" l="1"/>
  <c r="F60" i="5" l="1"/>
  <c r="B61" i="5" s="1"/>
  <c r="D61" i="5" l="1"/>
  <c r="C61" i="5" l="1"/>
  <c r="F61" i="5" l="1"/>
  <c r="B62" i="5" s="1"/>
  <c r="D62" i="5" l="1"/>
  <c r="C62" i="5" l="1"/>
  <c r="F62" i="5" l="1"/>
  <c r="B63" i="5" s="1"/>
  <c r="D63" i="5" l="1"/>
  <c r="C63" i="5" s="1"/>
  <c r="F63" i="5" s="1"/>
  <c r="B64" i="5" s="1"/>
  <c r="D64" i="5" l="1"/>
  <c r="C64" i="5" s="1"/>
  <c r="F64" i="5" s="1"/>
  <c r="B65" i="5" s="1"/>
  <c r="D65" i="5" l="1"/>
  <c r="C65" i="5" s="1"/>
  <c r="F65" i="5" s="1"/>
  <c r="B66" i="5" s="1"/>
  <c r="D66" i="5" l="1"/>
  <c r="C66" i="5" s="1"/>
  <c r="F66" i="5" s="1"/>
  <c r="B67" i="5" s="1"/>
  <c r="D67" i="5" l="1"/>
  <c r="C67" i="5" s="1"/>
  <c r="F67" i="5" s="1"/>
  <c r="B68" i="5" s="1"/>
  <c r="D68" i="5" l="1"/>
  <c r="C68" i="5" s="1"/>
  <c r="F68" i="5" s="1"/>
  <c r="B69" i="5" s="1"/>
  <c r="D69" i="5" l="1"/>
  <c r="C69" i="5" l="1"/>
  <c r="D70" i="5"/>
  <c r="I57" i="4" l="1"/>
  <c r="I60" i="4" s="1"/>
  <c r="C70" i="5"/>
  <c r="F69" i="5"/>
  <c r="I61" i="4" l="1"/>
  <c r="I83" i="4" s="1"/>
  <c r="H128" i="4" s="1"/>
  <c r="B72" i="5"/>
  <c r="I87" i="4"/>
  <c r="H3" i="6" l="1"/>
  <c r="J8" i="6" s="1"/>
  <c r="H3" i="7"/>
  <c r="I85" i="4"/>
  <c r="I36" i="4" s="1"/>
  <c r="I62" i="4"/>
  <c r="I92" i="4" s="1"/>
  <c r="I93" i="4" s="1"/>
  <c r="I35" i="4" s="1"/>
  <c r="I89" i="4"/>
  <c r="D72" i="5"/>
  <c r="H7" i="7" l="1"/>
  <c r="H10" i="7" s="1"/>
  <c r="H13" i="7"/>
  <c r="H16" i="7" s="1"/>
  <c r="I37" i="4"/>
  <c r="I34" i="4"/>
  <c r="I95" i="4"/>
  <c r="I97" i="4" s="1"/>
  <c r="C72" i="5"/>
  <c r="F72" i="5" l="1"/>
  <c r="B73" i="5" s="1"/>
  <c r="D73" i="5" l="1"/>
  <c r="C73" i="5" l="1"/>
  <c r="F73" i="5" l="1"/>
  <c r="B74" i="5" s="1"/>
  <c r="D74" i="5" l="1"/>
  <c r="C74" i="5" l="1"/>
  <c r="F74" i="5" l="1"/>
  <c r="B75" i="5" s="1"/>
  <c r="D75" i="5" l="1"/>
  <c r="C75" i="5" l="1"/>
  <c r="F75" i="5" l="1"/>
  <c r="B76" i="5" s="1"/>
  <c r="D76" i="5" l="1"/>
  <c r="C76" i="5" l="1"/>
  <c r="F76" i="5" l="1"/>
  <c r="B77" i="5" s="1"/>
  <c r="D77" i="5" l="1"/>
  <c r="C77" i="5" s="1"/>
  <c r="F77" i="5" s="1"/>
  <c r="B78" i="5" s="1"/>
  <c r="D78" i="5" l="1"/>
  <c r="C78" i="5" s="1"/>
  <c r="F78" i="5" s="1"/>
  <c r="B79" i="5" s="1"/>
  <c r="D79" i="5" l="1"/>
  <c r="C79" i="5" s="1"/>
  <c r="F79" i="5" s="1"/>
  <c r="B80" i="5" s="1"/>
  <c r="D80" i="5" l="1"/>
  <c r="C80" i="5" s="1"/>
  <c r="F80" i="5" s="1"/>
  <c r="B81" i="5" s="1"/>
  <c r="D81" i="5" l="1"/>
  <c r="C81" i="5" s="1"/>
  <c r="F81" i="5" s="1"/>
  <c r="B82" i="5" s="1"/>
  <c r="D82" i="5" l="1"/>
  <c r="C82" i="5" s="1"/>
  <c r="F82" i="5" s="1"/>
  <c r="B83" i="5" s="1"/>
  <c r="D83" i="5" l="1"/>
  <c r="C83" i="5" l="1"/>
  <c r="D84" i="5"/>
  <c r="J57" i="4" l="1"/>
  <c r="J60" i="4" s="1"/>
  <c r="C84" i="5"/>
  <c r="F83" i="5"/>
  <c r="J61" i="4" l="1"/>
  <c r="J83" i="4" s="1"/>
  <c r="I128" i="4" s="1"/>
  <c r="J87" i="4"/>
  <c r="B86" i="5"/>
  <c r="I3" i="6" l="1"/>
  <c r="K8" i="6" s="1"/>
  <c r="I3" i="7"/>
  <c r="J85" i="4"/>
  <c r="J36" i="4" s="1"/>
  <c r="J62" i="4"/>
  <c r="J92" i="4" s="1"/>
  <c r="J93" i="4" s="1"/>
  <c r="J37" i="4" s="1"/>
  <c r="D86" i="5"/>
  <c r="I7" i="7" l="1"/>
  <c r="I10" i="7" s="1"/>
  <c r="I13" i="7"/>
  <c r="I16" i="7" s="1"/>
  <c r="J35" i="4"/>
  <c r="J89" i="4"/>
  <c r="J95" i="4" s="1"/>
  <c r="J97" i="4" s="1"/>
  <c r="J34" i="4"/>
  <c r="C86" i="5"/>
  <c r="F86" i="5" l="1"/>
  <c r="B87" i="5" s="1"/>
  <c r="D87" i="5" l="1"/>
  <c r="C87" i="5" l="1"/>
  <c r="F87" i="5" l="1"/>
  <c r="B88" i="5" s="1"/>
  <c r="D88" i="5" l="1"/>
  <c r="C88" i="5" l="1"/>
  <c r="F88" i="5" l="1"/>
  <c r="B89" i="5" s="1"/>
  <c r="D89" i="5" l="1"/>
  <c r="C89" i="5" l="1"/>
  <c r="F89" i="5" l="1"/>
  <c r="B90" i="5" s="1"/>
  <c r="D90" i="5" l="1"/>
  <c r="C90" i="5" l="1"/>
  <c r="F90" i="5" l="1"/>
  <c r="B91" i="5" s="1"/>
  <c r="D91" i="5" l="1"/>
  <c r="C91" i="5" s="1"/>
  <c r="F91" i="5" s="1"/>
  <c r="B92" i="5" s="1"/>
  <c r="D92" i="5" l="1"/>
  <c r="C92" i="5" s="1"/>
  <c r="F92" i="5" s="1"/>
  <c r="B93" i="5" s="1"/>
  <c r="D93" i="5" l="1"/>
  <c r="C93" i="5" s="1"/>
  <c r="F93" i="5" s="1"/>
  <c r="B94" i="5" s="1"/>
  <c r="D94" i="5" l="1"/>
  <c r="C94" i="5" s="1"/>
  <c r="F94" i="5" s="1"/>
  <c r="B95" i="5" s="1"/>
  <c r="D95" i="5" l="1"/>
  <c r="C95" i="5" s="1"/>
  <c r="F95" i="5" s="1"/>
  <c r="B96" i="5" s="1"/>
  <c r="D96" i="5" l="1"/>
  <c r="C96" i="5" s="1"/>
  <c r="F96" i="5" s="1"/>
  <c r="B97" i="5" s="1"/>
  <c r="D97" i="5" l="1"/>
  <c r="C97" i="5" l="1"/>
  <c r="D98" i="5"/>
  <c r="K57" i="4" l="1"/>
  <c r="K60" i="4" s="1"/>
  <c r="C98" i="5"/>
  <c r="F97" i="5"/>
  <c r="K61" i="4" l="1"/>
  <c r="K83" i="4" s="1"/>
  <c r="J128" i="4" s="1"/>
  <c r="B100" i="5"/>
  <c r="K87" i="4"/>
  <c r="J3" i="6" l="1"/>
  <c r="L8" i="6" s="1"/>
  <c r="J3" i="7"/>
  <c r="K85" i="4"/>
  <c r="K36" i="4" s="1"/>
  <c r="K62" i="4"/>
  <c r="K92" i="4" s="1"/>
  <c r="K93" i="4" s="1"/>
  <c r="K35" i="4" s="1"/>
  <c r="K89" i="4"/>
  <c r="D100" i="5"/>
  <c r="J7" i="7" l="1"/>
  <c r="J10" i="7" s="1"/>
  <c r="J13" i="7"/>
  <c r="J16" i="7" s="1"/>
  <c r="K95" i="4"/>
  <c r="K97" i="4" s="1"/>
  <c r="K34" i="4"/>
  <c r="K37" i="4"/>
  <c r="C100" i="5"/>
  <c r="F100" i="5" l="1"/>
  <c r="B101" i="5" s="1"/>
  <c r="D101" i="5" l="1"/>
  <c r="C101" i="5" l="1"/>
  <c r="F101" i="5" l="1"/>
  <c r="B102" i="5" s="1"/>
  <c r="D102" i="5" l="1"/>
  <c r="C102" i="5" l="1"/>
  <c r="F102" i="5" l="1"/>
  <c r="B103" i="5" s="1"/>
  <c r="D103" i="5" l="1"/>
  <c r="C103" i="5" l="1"/>
  <c r="F103" i="5" l="1"/>
  <c r="B104" i="5" s="1"/>
  <c r="D104" i="5" l="1"/>
  <c r="C104" i="5" l="1"/>
  <c r="F104" i="5" l="1"/>
  <c r="B105" i="5" s="1"/>
  <c r="D105" i="5" l="1"/>
  <c r="C105" i="5" s="1"/>
  <c r="F105" i="5" s="1"/>
  <c r="B106" i="5" s="1"/>
  <c r="D106" i="5" l="1"/>
  <c r="C106" i="5" s="1"/>
  <c r="F106" i="5" s="1"/>
  <c r="B107" i="5" s="1"/>
  <c r="D107" i="5" l="1"/>
  <c r="C107" i="5" s="1"/>
  <c r="F107" i="5" s="1"/>
  <c r="B108" i="5" s="1"/>
  <c r="D108" i="5" l="1"/>
  <c r="C108" i="5" s="1"/>
  <c r="F108" i="5" s="1"/>
  <c r="B109" i="5" s="1"/>
  <c r="D109" i="5" l="1"/>
  <c r="C109" i="5" s="1"/>
  <c r="F109" i="5" s="1"/>
  <c r="B110" i="5" s="1"/>
  <c r="D110" i="5" l="1"/>
  <c r="C110" i="5" s="1"/>
  <c r="F110" i="5" s="1"/>
  <c r="B111" i="5" s="1"/>
  <c r="D111" i="5" l="1"/>
  <c r="C111" i="5" l="1"/>
  <c r="D112" i="5"/>
  <c r="L57" i="4" l="1"/>
  <c r="L60" i="4" s="1"/>
  <c r="C112" i="5"/>
  <c r="F111" i="5"/>
  <c r="L61" i="4" l="1"/>
  <c r="L83" i="4" s="1"/>
  <c r="L85" i="4" s="1"/>
  <c r="L36" i="4" s="1"/>
  <c r="B114" i="5"/>
  <c r="L87" i="4"/>
  <c r="K128" i="4" l="1"/>
  <c r="L62" i="4"/>
  <c r="L92" i="4" s="1"/>
  <c r="L93" i="4" s="1"/>
  <c r="L35" i="4" s="1"/>
  <c r="L89" i="4"/>
  <c r="D114" i="5"/>
  <c r="K3" i="7" l="1"/>
  <c r="K3" i="6"/>
  <c r="M8" i="6" s="1"/>
  <c r="L37" i="4"/>
  <c r="L95" i="4"/>
  <c r="L97" i="4" s="1"/>
  <c r="L34" i="4"/>
  <c r="C114" i="5"/>
  <c r="K7" i="7" l="1"/>
  <c r="K10" i="7" s="1"/>
  <c r="K13" i="7"/>
  <c r="K16" i="7" s="1"/>
  <c r="F114" i="5"/>
  <c r="B115" i="5" s="1"/>
  <c r="D115" i="5" l="1"/>
  <c r="C115" i="5" l="1"/>
  <c r="F115" i="5" l="1"/>
  <c r="B116" i="5" s="1"/>
  <c r="D116" i="5" l="1"/>
  <c r="C116" i="5" l="1"/>
  <c r="F116" i="5" l="1"/>
  <c r="B117" i="5" s="1"/>
  <c r="D117" i="5" l="1"/>
  <c r="C117" i="5" l="1"/>
  <c r="F117" i="5" l="1"/>
  <c r="B118" i="5" s="1"/>
  <c r="D118" i="5" l="1"/>
  <c r="C118" i="5" l="1"/>
  <c r="F118" i="5" l="1"/>
  <c r="B119" i="5" s="1"/>
  <c r="D119" i="5" l="1"/>
  <c r="C119" i="5" s="1"/>
  <c r="F119" i="5" s="1"/>
  <c r="B120" i="5" s="1"/>
  <c r="D120" i="5" l="1"/>
  <c r="C120" i="5" s="1"/>
  <c r="F120" i="5" s="1"/>
  <c r="B121" i="5" s="1"/>
  <c r="D121" i="5" l="1"/>
  <c r="C121" i="5" s="1"/>
  <c r="F121" i="5" s="1"/>
  <c r="B122" i="5" s="1"/>
  <c r="D122" i="5" l="1"/>
  <c r="C122" i="5" s="1"/>
  <c r="F122" i="5" s="1"/>
  <c r="B123" i="5" s="1"/>
  <c r="D123" i="5" l="1"/>
  <c r="C123" i="5" s="1"/>
  <c r="F123" i="5" s="1"/>
  <c r="B124" i="5" s="1"/>
  <c r="D124" i="5" l="1"/>
  <c r="C124" i="5" s="1"/>
  <c r="F124" i="5" s="1"/>
  <c r="B125" i="5" s="1"/>
  <c r="D125" i="5" l="1"/>
  <c r="C125" i="5" l="1"/>
  <c r="D126" i="5"/>
  <c r="M57" i="4" l="1"/>
  <c r="M60" i="4" s="1"/>
  <c r="C126" i="5"/>
  <c r="F125" i="5"/>
  <c r="M61" i="4" l="1"/>
  <c r="M83" i="4" s="1"/>
  <c r="L128" i="4" s="1"/>
  <c r="B128" i="5"/>
  <c r="M87" i="4"/>
  <c r="L3" i="7" l="1"/>
  <c r="L3" i="6"/>
  <c r="N8" i="6" s="1"/>
  <c r="M85" i="4"/>
  <c r="M36" i="4" s="1"/>
  <c r="M62" i="4"/>
  <c r="M92" i="4" s="1"/>
  <c r="M93" i="4" s="1"/>
  <c r="M37" i="4" s="1"/>
  <c r="D128" i="5"/>
  <c r="L7" i="7" l="1"/>
  <c r="L10" i="7" s="1"/>
  <c r="L13" i="7"/>
  <c r="L16" i="7" s="1"/>
  <c r="M89" i="4"/>
  <c r="M35" i="4"/>
  <c r="M95" i="4"/>
  <c r="M97" i="4" s="1"/>
  <c r="M34" i="4"/>
  <c r="C128" i="5"/>
  <c r="F128" i="5" l="1"/>
  <c r="B129" i="5" s="1"/>
  <c r="D129" i="5" l="1"/>
  <c r="C129" i="5" l="1"/>
  <c r="F129" i="5" l="1"/>
  <c r="B130" i="5" s="1"/>
  <c r="D130" i="5" l="1"/>
  <c r="C130" i="5" l="1"/>
  <c r="F130" i="5" l="1"/>
  <c r="B131" i="5" s="1"/>
  <c r="D131" i="5" l="1"/>
  <c r="C131" i="5" l="1"/>
  <c r="F131" i="5" l="1"/>
  <c r="B132" i="5" s="1"/>
  <c r="D132" i="5" l="1"/>
  <c r="C132" i="5" l="1"/>
  <c r="F132" i="5" l="1"/>
  <c r="B133" i="5" s="1"/>
  <c r="D133" i="5" l="1"/>
  <c r="C133" i="5" s="1"/>
  <c r="F133" i="5" s="1"/>
  <c r="B134" i="5" s="1"/>
  <c r="D134" i="5" l="1"/>
  <c r="C134" i="5" s="1"/>
  <c r="F134" i="5" s="1"/>
  <c r="B135" i="5" s="1"/>
  <c r="D135" i="5" l="1"/>
  <c r="C135" i="5" s="1"/>
  <c r="F135" i="5" s="1"/>
  <c r="B136" i="5" s="1"/>
  <c r="D136" i="5" l="1"/>
  <c r="C136" i="5" s="1"/>
  <c r="F136" i="5" s="1"/>
  <c r="B137" i="5" s="1"/>
  <c r="D137" i="5" l="1"/>
  <c r="C137" i="5" s="1"/>
  <c r="F137" i="5" s="1"/>
  <c r="B138" i="5" s="1"/>
  <c r="D138" i="5" l="1"/>
  <c r="C138" i="5" s="1"/>
  <c r="F138" i="5" s="1"/>
  <c r="B139" i="5" s="1"/>
  <c r="D139" i="5" l="1"/>
  <c r="C139" i="5" l="1"/>
  <c r="D140" i="5"/>
  <c r="N57" i="4" l="1"/>
  <c r="N60" i="4" s="1"/>
  <c r="C140" i="5"/>
  <c r="F139" i="5"/>
  <c r="N87" i="4" s="1"/>
  <c r="P87" i="4" s="1"/>
  <c r="P57" i="4" l="1"/>
  <c r="Y76" i="4" s="1"/>
  <c r="N61" i="4"/>
  <c r="N83" i="4" s="1"/>
  <c r="N62" i="4" l="1"/>
  <c r="N92" i="4" s="1"/>
  <c r="N93" i="4" s="1"/>
  <c r="N34" i="4" s="1"/>
  <c r="M128" i="4"/>
  <c r="N85" i="4"/>
  <c r="M3" i="7" l="1"/>
  <c r="M3" i="6"/>
  <c r="O8" i="6" s="1"/>
  <c r="N36" i="4"/>
  <c r="N89" i="4"/>
  <c r="N95" i="4" s="1"/>
  <c r="N97" i="4" s="1"/>
  <c r="P93" i="4"/>
  <c r="N37" i="4"/>
  <c r="N35" i="4"/>
  <c r="M13" i="7" l="1"/>
  <c r="M16" i="7" s="1"/>
  <c r="M7" i="7"/>
  <c r="M10" i="7" s="1"/>
  <c r="Q93" i="4"/>
  <c r="V88" i="4" s="1"/>
  <c r="V89" i="4" l="1"/>
  <c r="Y77" i="4"/>
  <c r="V87" i="4"/>
  <c r="Y88" i="4"/>
  <c r="T88" i="4" l="1"/>
  <c r="V92" i="4"/>
  <c r="V95" i="4" s="1"/>
  <c r="W89" i="4" s="1"/>
  <c r="X89" i="4" s="1"/>
  <c r="Y89" i="4" s="1"/>
  <c r="Y87" i="4"/>
  <c r="Y90" i="4" l="1"/>
  <c r="D130" i="4" s="1"/>
  <c r="D2" i="6" l="1"/>
  <c r="D2" i="7"/>
  <c r="D135" i="4"/>
  <c r="E135" i="4" s="1"/>
  <c r="E137" i="4" s="1"/>
  <c r="F137" i="4" l="1"/>
  <c r="D126" i="4"/>
  <c r="D9" i="6"/>
  <c r="E13" i="6" s="1"/>
  <c r="D128" i="4"/>
  <c r="G137" i="4"/>
  <c r="D3" i="6" l="1"/>
  <c r="D4" i="6" s="1"/>
  <c r="D3" i="7"/>
  <c r="D132" i="4"/>
  <c r="D131" i="4"/>
  <c r="D136" i="4"/>
  <c r="D137" i="4" s="1"/>
  <c r="F7" i="6" l="1"/>
  <c r="F13" i="6" s="1"/>
  <c r="J13" i="6" s="1"/>
  <c r="N13" i="6" s="1"/>
  <c r="N12" i="6"/>
  <c r="D7" i="7"/>
  <c r="D10" i="7" s="1"/>
  <c r="D11" i="7" s="1"/>
  <c r="L28" i="7" s="1"/>
  <c r="N28" i="7" s="1"/>
  <c r="D19" i="7"/>
  <c r="D13" i="7"/>
  <c r="D16" i="7" s="1"/>
  <c r="D17" i="7" s="1"/>
  <c r="L36" i="7" s="1"/>
  <c r="N36" i="7" s="1"/>
  <c r="N14" i="6" l="1"/>
  <c r="D20" i="7"/>
  <c r="L40" i="7" s="1"/>
  <c r="N40" i="7" s="1"/>
  <c r="N43" i="7" s="1"/>
  <c r="D23" i="7" s="1"/>
</calcChain>
</file>

<file path=xl/sharedStrings.xml><?xml version="1.0" encoding="utf-8"?>
<sst xmlns="http://schemas.openxmlformats.org/spreadsheetml/2006/main" count="473" uniqueCount="310">
  <si>
    <t>Year 1</t>
  </si>
  <si>
    <t>Acres per county</t>
  </si>
  <si>
    <t>Estate Taxes</t>
  </si>
  <si>
    <t>Year 2</t>
  </si>
  <si>
    <t>Year 3</t>
  </si>
  <si>
    <t>Year 4</t>
  </si>
  <si>
    <t>Year 5</t>
  </si>
  <si>
    <t>Year 6</t>
  </si>
  <si>
    <t>Year 7</t>
  </si>
  <si>
    <t>Year 8</t>
  </si>
  <si>
    <t>Year 9</t>
  </si>
  <si>
    <t>Year 10</t>
  </si>
  <si>
    <t>Guest Rooms</t>
  </si>
  <si>
    <t>Maganer Wages</t>
  </si>
  <si>
    <t>Min price 1 night (Inn)</t>
  </si>
  <si>
    <t>Max price 1 night (Inn)</t>
  </si>
  <si>
    <t>Cabins</t>
  </si>
  <si>
    <t>Inn Square Foot</t>
  </si>
  <si>
    <t>Cabin Square Foot</t>
  </si>
  <si>
    <t>Asking Price</t>
  </si>
  <si>
    <t>Sales (Increasing)</t>
  </si>
  <si>
    <t>Min. Wage</t>
  </si>
  <si>
    <t>Property Tax</t>
  </si>
  <si>
    <t>Sales Tax</t>
  </si>
  <si>
    <t>Average Occupancy</t>
  </si>
  <si>
    <t>https://www.entrepreneur.com/article/83704</t>
  </si>
  <si>
    <t>https://www.littlehotelier.com/r/property-management/american-bed-breakfast-inn-statistics/</t>
  </si>
  <si>
    <t>Average revenue per available room</t>
  </si>
  <si>
    <t>Average Daily Rate</t>
  </si>
  <si>
    <t>http://www.paii.com/About-the-Industry</t>
  </si>
  <si>
    <t>Room Turnover Rate (1 Stay = ? Nights)</t>
  </si>
  <si>
    <t>Lonesome Dove</t>
  </si>
  <si>
    <t>Garden</t>
  </si>
  <si>
    <t>Room Name</t>
  </si>
  <si>
    <t>Price</t>
  </si>
  <si>
    <t>Extras</t>
  </si>
  <si>
    <t>Safari</t>
  </si>
  <si>
    <t>Wildflower</t>
  </si>
  <si>
    <t>Marshdale</t>
  </si>
  <si>
    <t>Suite</t>
  </si>
  <si>
    <t>Happy Trails</t>
  </si>
  <si>
    <t>Riversong</t>
  </si>
  <si>
    <t>Poet's Cornor</t>
  </si>
  <si>
    <t>Ponderosa</t>
  </si>
  <si>
    <t>Nantucket</t>
  </si>
  <si>
    <t>Location</t>
  </si>
  <si>
    <t>Inn</t>
  </si>
  <si>
    <t>The Cabin</t>
  </si>
  <si>
    <t>Cabin</t>
  </si>
  <si>
    <t>Notes</t>
  </si>
  <si>
    <t>Small Dog</t>
  </si>
  <si>
    <t>Med./Lg Dog</t>
  </si>
  <si>
    <t>Breakfast</t>
  </si>
  <si>
    <t>2 Night Min. Extra up to 4 individuals. Breakfast per person</t>
  </si>
  <si>
    <t>B&amp;B Rooms</t>
  </si>
  <si>
    <t>Events</t>
  </si>
  <si>
    <t>Option 1</t>
  </si>
  <si>
    <t>Cost of Entire Inn</t>
  </si>
  <si>
    <t>Dates Available</t>
  </si>
  <si>
    <t>June to Sept</t>
  </si>
  <si>
    <t>Price per Night</t>
  </si>
  <si>
    <t>Number of competing stores near Evergeen, CO (≈15 miles)</t>
  </si>
  <si>
    <t>Price 1 Night (Cabin) (2 night min.)</t>
  </si>
  <si>
    <t>Cost per acre of non-irrigated Land</t>
  </si>
  <si>
    <t>https://www.usda.gov/nass/PUBS/TODAYRPT/land0817.pdf</t>
  </si>
  <si>
    <t>Cost per square foot of Inn &amp; Cabin</t>
  </si>
  <si>
    <t>Average per room per night</t>
  </si>
  <si>
    <t>Option 2</t>
  </si>
  <si>
    <t>Guest list provided. Minimum of 2 nights</t>
  </si>
  <si>
    <t># of guest provided &amp; Guest check in by themselves. Minimum of 2 nights</t>
  </si>
  <si>
    <t>Deposit</t>
  </si>
  <si>
    <t>Cost of Cermony</t>
  </si>
  <si>
    <t>Cost is per hour</t>
  </si>
  <si>
    <t>Change</t>
  </si>
  <si>
    <t>Assumptions</t>
  </si>
  <si>
    <t>Days of Recievables</t>
  </si>
  <si>
    <t>Days of Payables</t>
  </si>
  <si>
    <t>Interest Rate of Mortgage Loan</t>
  </si>
  <si>
    <t>Interest Rate of Extra Bank Loan</t>
  </si>
  <si>
    <t>Average Depreciation Years</t>
  </si>
  <si>
    <t>Income Tax Rate</t>
  </si>
  <si>
    <t>Assumed Sales Year 1</t>
  </si>
  <si>
    <t>Growth in Sales</t>
  </si>
  <si>
    <t>N/A</t>
  </si>
  <si>
    <t>Health of Company</t>
  </si>
  <si>
    <t>ROE</t>
  </si>
  <si>
    <t>ROS</t>
  </si>
  <si>
    <t>Current Ratio</t>
  </si>
  <si>
    <t>Debt/Equity</t>
  </si>
  <si>
    <t>Income Statement</t>
  </si>
  <si>
    <t>Revenue</t>
  </si>
  <si>
    <t>Deprication Expense</t>
  </si>
  <si>
    <t>Taxable Income</t>
  </si>
  <si>
    <t>Income Tax Expense</t>
  </si>
  <si>
    <t>Net Income</t>
  </si>
  <si>
    <t>Balance Sheet</t>
  </si>
  <si>
    <t>Minimum Cash</t>
  </si>
  <si>
    <t>Extra Cash</t>
  </si>
  <si>
    <t>Accounts Receivable</t>
  </si>
  <si>
    <t>Total Current Assets</t>
  </si>
  <si>
    <t>Land</t>
  </si>
  <si>
    <t>Buildings</t>
  </si>
  <si>
    <t>Less: Accumulated Depr. - Buildings</t>
  </si>
  <si>
    <t>Total Assets</t>
  </si>
  <si>
    <t>Accounts Payable</t>
  </si>
  <si>
    <t>Total Current Liabilities</t>
  </si>
  <si>
    <t>Extra Bank Loan</t>
  </si>
  <si>
    <t>Total Liabilities</t>
  </si>
  <si>
    <t>Common Stock</t>
  </si>
  <si>
    <t>Retained Earnings</t>
  </si>
  <si>
    <t>Total Stockholders' Equity</t>
  </si>
  <si>
    <t>Total Liabilities and Stockholders' Equity</t>
  </si>
  <si>
    <t>DFN</t>
  </si>
  <si>
    <t>Year 1 Assumtions</t>
  </si>
  <si>
    <t>Rooms</t>
  </si>
  <si>
    <t>Avg. Price</t>
  </si>
  <si>
    <t>Land (Acre)</t>
  </si>
  <si>
    <t>Beg Balance</t>
  </si>
  <si>
    <t>Principal</t>
  </si>
  <si>
    <t xml:space="preserve">Interest </t>
  </si>
  <si>
    <t>Payment</t>
  </si>
  <si>
    <t>End Balance</t>
  </si>
  <si>
    <t>Rate</t>
  </si>
  <si>
    <t>Jan</t>
  </si>
  <si>
    <t>Per Rate</t>
  </si>
  <si>
    <t>Feb</t>
  </si>
  <si>
    <t>FV</t>
  </si>
  <si>
    <t>Mar</t>
  </si>
  <si>
    <t>Years</t>
  </si>
  <si>
    <t>Apr</t>
  </si>
  <si>
    <t>Per</t>
  </si>
  <si>
    <t>May</t>
  </si>
  <si>
    <t>Type</t>
  </si>
  <si>
    <t>Jun</t>
  </si>
  <si>
    <t>PV</t>
  </si>
  <si>
    <t>Jul</t>
  </si>
  <si>
    <t>Aug</t>
  </si>
  <si>
    <t>Sep</t>
  </si>
  <si>
    <t>Oct</t>
  </si>
  <si>
    <t>Nov</t>
  </si>
  <si>
    <t>Dec</t>
  </si>
  <si>
    <t>TOTALS</t>
  </si>
  <si>
    <t>Mortgage Loan ( is Current each year)</t>
  </si>
  <si>
    <t>Assumed Common Stock, Year 1</t>
  </si>
  <si>
    <t>Assumed Minimum Cash</t>
  </si>
  <si>
    <t>Supplies</t>
  </si>
  <si>
    <t>Utilities Expense</t>
  </si>
  <si>
    <t>Supplies Expense</t>
  </si>
  <si>
    <t>Utilites Expense/Revenue</t>
  </si>
  <si>
    <t>Cleaning Expense</t>
  </si>
  <si>
    <t>Event Expense</t>
  </si>
  <si>
    <t>Cleaning/Revenue</t>
  </si>
  <si>
    <t>Event/Revenue</t>
  </si>
  <si>
    <t>Total Operating Expenses</t>
  </si>
  <si>
    <t>Look at the 'Prices' Tab</t>
  </si>
  <si>
    <t>Base Utilites Cost</t>
  </si>
  <si>
    <t>Look at the 'Facts' Tab</t>
  </si>
  <si>
    <t>Look at the 'Amort.' Tab</t>
  </si>
  <si>
    <t>Unearned Revenue</t>
  </si>
  <si>
    <t>Unearned Revnue/Revnue</t>
  </si>
  <si>
    <t>Looking at the number of rooms and their prices, we averaged the prices (per day) between them and then multiplied that by the number of rooms and by the estimated occupied days that would occur in the year.</t>
  </si>
  <si>
    <t>Estimated Occupancy</t>
  </si>
  <si>
    <t>Occupany Days in a Year</t>
  </si>
  <si>
    <t>Looking at the average electrical bill in a month in Colorado, I created a yearly average and used this as a base cost for utilites in the business. They will be paying this amount regardless of occupancy.</t>
  </si>
  <si>
    <t>We researched the average price for the land and building in the area (Evergreen, Colorado) then did the math to come to a estmated cost for the land and buildings. (Check the 'Facts' tab for this information.)</t>
  </si>
  <si>
    <t>Looking at the the mortgage rates in Colorado, and since we decided we were 'refinancing' we went with the 30-year fixed refinance rate for our amortization table.</t>
  </si>
  <si>
    <t>Supplies are the bedding, food, bathrobes, etc. These are required in the business and need to be replaced at many instances, therefore a supplies expense. These items are not sold, but can have a cost if taken.</t>
  </si>
  <si>
    <t>Different Sheet</t>
  </si>
  <si>
    <t>Ratio</t>
  </si>
  <si>
    <t>Formula</t>
  </si>
  <si>
    <t>Constant</t>
  </si>
  <si>
    <t>Plug</t>
  </si>
  <si>
    <t>Color Key</t>
  </si>
  <si>
    <t>Beautiful Bears Inn Bed &amp; Breakfast</t>
  </si>
  <si>
    <t>Evergreen, Colorado</t>
  </si>
  <si>
    <t>info@bearsinn.com</t>
  </si>
  <si>
    <t>http://bearsinn.com/</t>
  </si>
  <si>
    <t>https://www.bizbuysell.com/Business-Opportunity/Beautiful-Bears-Inn-Bed-and-Breakfast-in-Colorado/1362024/?d=/wEFVCUyZmNvbG9yYWRvJTJmdHJhdmVsLWJ1c2luZXNzZXMtZm9yLXNhbGUlMmYlM2ZxJTNkJTJmd0VGRDJseVBURW1jM0JwWkQweEpuYzljUSUzZCUzZA==</t>
  </si>
  <si>
    <t>Name:</t>
  </si>
  <si>
    <t>Location:</t>
  </si>
  <si>
    <t>Email:</t>
  </si>
  <si>
    <t>Home Page:</t>
  </si>
  <si>
    <t>Sale Page:</t>
  </si>
  <si>
    <t>Wages Expense</t>
  </si>
  <si>
    <t>Average Hours Worked in a Year</t>
  </si>
  <si>
    <t>Numer of Employees</t>
  </si>
  <si>
    <t>Est. Hours Worked During Occp.</t>
  </si>
  <si>
    <t>Est. Hours per Occp. Day</t>
  </si>
  <si>
    <t>other</t>
  </si>
  <si>
    <t>Wages per Hour</t>
  </si>
  <si>
    <t>Days of Inventory (Food)</t>
  </si>
  <si>
    <t>Days of Inventory (Supplies)</t>
  </si>
  <si>
    <t>Inventory</t>
  </si>
  <si>
    <t>Food</t>
  </si>
  <si>
    <t>https://hotelpropeller.com/understanding-main-operating-costs-new-bed-breakfast/</t>
  </si>
  <si>
    <t>Food price per guest</t>
  </si>
  <si>
    <t>Supplies price per guest</t>
  </si>
  <si>
    <t>Number of Customers (2 per Rooms)</t>
  </si>
  <si>
    <t>http://pages.stern.nyu.edu/~adamodar/New_Home_Page/datafile/Betas.html</t>
  </si>
  <si>
    <t>Adjusted Beta</t>
  </si>
  <si>
    <t>Adjusted up due to following facts; (1) small mountain town, (2) only one B&amp;B in possession, (3) No known casino in B&amp;B</t>
  </si>
  <si>
    <t>Free Cash Flows</t>
  </si>
  <si>
    <t>WACC</t>
  </si>
  <si>
    <t>IRR</t>
  </si>
  <si>
    <t>NPV</t>
  </si>
  <si>
    <t>Food Expense</t>
  </si>
  <si>
    <t>Supplies Expense/Revenue</t>
  </si>
  <si>
    <t>Food Expense/Revenue</t>
  </si>
  <si>
    <t>Assumed Minimum Food Expense</t>
  </si>
  <si>
    <t>Operations Profit</t>
  </si>
  <si>
    <t>Less: Depreciation</t>
  </si>
  <si>
    <t>Taxable Operations</t>
  </si>
  <si>
    <t>Taxes on Operations</t>
  </si>
  <si>
    <t>Total Cash From Operations</t>
  </si>
  <si>
    <t>Changes in Balance Sheet</t>
  </si>
  <si>
    <t>Cash</t>
  </si>
  <si>
    <t>Accounts Recievable</t>
  </si>
  <si>
    <t>Income Taxes Payable</t>
  </si>
  <si>
    <t>Building</t>
  </si>
  <si>
    <t>Total Free Cash Flows</t>
  </si>
  <si>
    <t>Year 0</t>
  </si>
  <si>
    <t>Equity</t>
  </si>
  <si>
    <t>Proportion</t>
  </si>
  <si>
    <t>Rates</t>
  </si>
  <si>
    <t>Adjusted Rates</t>
  </si>
  <si>
    <t xml:space="preserve">Weighted </t>
  </si>
  <si>
    <t>Debt (Extra)</t>
  </si>
  <si>
    <t>Debt (M)</t>
  </si>
  <si>
    <t>Unlevered Beta</t>
  </si>
  <si>
    <t>Relevered Beta</t>
  </si>
  <si>
    <t>T-Bills</t>
  </si>
  <si>
    <t>S&amp;P500</t>
  </si>
  <si>
    <t>CAPM</t>
  </si>
  <si>
    <t>Mortgage Loan (Year 0)</t>
  </si>
  <si>
    <t>Insurance Expense</t>
  </si>
  <si>
    <t>Prepaid Insurance</t>
  </si>
  <si>
    <t>Days of Supplies</t>
  </si>
  <si>
    <t>Assumed Food Storage (Customers)</t>
  </si>
  <si>
    <t>B</t>
  </si>
  <si>
    <t>BB</t>
  </si>
  <si>
    <t>Insurance Expense (yearly)</t>
  </si>
  <si>
    <t>Term of Insurance Policy (Years)</t>
  </si>
  <si>
    <t>Coverage</t>
  </si>
  <si>
    <t>Interest Expense (Extra Bank Loan)</t>
  </si>
  <si>
    <t>Interest Expense (Mortgage)</t>
  </si>
  <si>
    <t>Operating Profit</t>
  </si>
  <si>
    <t>Average</t>
  </si>
  <si>
    <t>Leverage</t>
  </si>
  <si>
    <t>S&amp;P 500</t>
  </si>
  <si>
    <t>Goodwill</t>
  </si>
  <si>
    <t>DCF</t>
  </si>
  <si>
    <t>BV</t>
  </si>
  <si>
    <t>After GW</t>
  </si>
  <si>
    <t>Before GW</t>
  </si>
  <si>
    <t>PrePaid Insurance</t>
  </si>
  <si>
    <t>Credit Ratings</t>
  </si>
  <si>
    <t>New to Area</t>
  </si>
  <si>
    <t>Average Income Tax Rate</t>
  </si>
  <si>
    <t>Adjustment on Sale</t>
  </si>
  <si>
    <t>Taxes on Sale</t>
  </si>
  <si>
    <t>Sale</t>
  </si>
  <si>
    <t>Gain</t>
  </si>
  <si>
    <t>Tax</t>
  </si>
  <si>
    <t>Real Estate Sales Tax</t>
  </si>
  <si>
    <t>Historical Ownership Length</t>
  </si>
  <si>
    <t>Type of Business</t>
  </si>
  <si>
    <t>We decided to do a pretend sale because this type of business does not last forever, as the perpertuity value method implies. Also looking at the historical ownership of this business, it looks like the business is sold to a new owner every ten to twenty years.</t>
  </si>
  <si>
    <t xml:space="preserve"># of year in business </t>
  </si>
  <si>
    <t>review of customers</t>
  </si>
  <si>
    <t>This property has been in use as a stopping place since the 1920s, though going through many owners the customers have been continous geust operations throughout the years with great reviews.</t>
  </si>
  <si>
    <t>Debt takes up the majority of the proportion due to the large amount of the mortgage loan. We got the mortgage loan amount by adding land and buildings together and then multiplying it by 75%. Another thing that affect the WACC is the amount of the Extra Bank loan. Taking on a extra bank loan will decrease the proportion of the debt, equity, and will increase the WACC.</t>
  </si>
  <si>
    <t xml:space="preserve">Because we are new to the area and industry, we were given a "B" rating in our Mortgage Interest Rate. Coverage of the loan was given a "BB" rating due to the fact that the company will only be able to cover the loan at twice the amount.                      </t>
  </si>
  <si>
    <t>Ability to Repay</t>
  </si>
  <si>
    <t>Large amount of Debt over Equity</t>
  </si>
  <si>
    <t>Taking Extra Bank Loans</t>
  </si>
  <si>
    <t>Terminal Value - Pretend Sale</t>
  </si>
  <si>
    <t>Fixed</t>
  </si>
  <si>
    <t>Assumed Insurance (Year 0)</t>
  </si>
  <si>
    <t>Unlevered Industry Beta (Hotel/Gaming)</t>
  </si>
  <si>
    <t>Expansion (Good)</t>
  </si>
  <si>
    <t>Expansion (Bad)</t>
  </si>
  <si>
    <t>Original Business (Good)</t>
  </si>
  <si>
    <t>Total</t>
  </si>
  <si>
    <t>Orginal Business (Bad)</t>
  </si>
  <si>
    <t>S</t>
  </si>
  <si>
    <t>X</t>
  </si>
  <si>
    <t>t</t>
  </si>
  <si>
    <t>STDEV(%)</t>
  </si>
  <si>
    <t>r</t>
  </si>
  <si>
    <t>Option Price</t>
  </si>
  <si>
    <t>Black-Sholes Computation:</t>
  </si>
  <si>
    <t>Potential Expansion</t>
  </si>
  <si>
    <t>Buy the Business</t>
  </si>
  <si>
    <t>Original Free Cash Flows</t>
  </si>
  <si>
    <t>Purchase New Assets</t>
  </si>
  <si>
    <t>FCF after purchase</t>
  </si>
  <si>
    <t>Purchase In Year 2</t>
  </si>
  <si>
    <t xml:space="preserve">Year 0 </t>
  </si>
  <si>
    <t>Description of Expansion</t>
  </si>
  <si>
    <t>Decision Tree</t>
  </si>
  <si>
    <t>Total Expected Value of Expansion</t>
  </si>
  <si>
    <t>Updating the bathrooms in main building</t>
  </si>
  <si>
    <t>Updating the Cabin (kitchen and bathroom)</t>
  </si>
  <si>
    <t>Year 11</t>
  </si>
  <si>
    <t>Year 12</t>
  </si>
  <si>
    <t>Volitlity of Industry (STDEV)</t>
  </si>
  <si>
    <t>Probablity</t>
  </si>
  <si>
    <t>Weighted</t>
  </si>
  <si>
    <t>Certainty</t>
  </si>
  <si>
    <t>Opporunity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</si>
</sst>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0.00;[Red]\-[$$-409]#,##0.00"/>
    <numFmt numFmtId="168" formatCode="_([$$-409]* #,##0.00_);_([$$-409]* \(#,##0.00\);_([$$-409]* &quot;-&quot;??_);_(@_)"/>
    <numFmt numFmtId="169" formatCode="_(* #,##0.0_);_(* \(#,##0.0\);_(* &quot;-&quot;??_);_(@_)"/>
    <numFmt numFmtId="170" formatCode="_(\$* #,##0_);_(\$* \(#,##0\);_(\$* \-??_);_(@_)"/>
  </numFmts>
  <fonts count="19" x14ac:knownFonts="1">
    <font>
      <sz val="11"/>
      <color theme="1"/>
      <name val="Calibri"/>
      <family val="2"/>
      <scheme val="minor"/>
    </font>
    <font>
      <sz val="11"/>
      <color theme="1"/>
      <name val="Calibri"/>
      <family val="2"/>
      <scheme val="minor"/>
    </font>
    <font>
      <b/>
      <u/>
      <sz val="11"/>
      <color theme="1"/>
      <name val="Calibri"/>
      <family val="2"/>
      <scheme val="minor"/>
    </font>
    <font>
      <sz val="11"/>
      <color rgb="FF000000"/>
      <name val="Calibri"/>
      <family val="2"/>
    </font>
    <font>
      <b/>
      <sz val="11"/>
      <color theme="0"/>
      <name val="Calibri"/>
      <family val="2"/>
      <scheme val="minor"/>
    </font>
    <font>
      <b/>
      <sz val="11"/>
      <color theme="1"/>
      <name val="Calibri"/>
      <family val="2"/>
      <scheme val="minor"/>
    </font>
    <font>
      <sz val="11"/>
      <name val="Arial"/>
      <family val="2"/>
    </font>
    <font>
      <b/>
      <u/>
      <sz val="11"/>
      <name val="Arial"/>
      <family val="2"/>
    </font>
    <font>
      <b/>
      <sz val="11"/>
      <name val="Arial"/>
      <family val="2"/>
    </font>
    <font>
      <sz val="11"/>
      <color indexed="8"/>
      <name val="Arial"/>
      <family val="2"/>
    </font>
    <font>
      <sz val="10"/>
      <color theme="1"/>
      <name val="Arial"/>
      <family val="2"/>
    </font>
    <font>
      <u/>
      <sz val="11"/>
      <color theme="10"/>
      <name val="Calibri"/>
      <family val="2"/>
      <scheme val="minor"/>
    </font>
    <font>
      <sz val="11"/>
      <color rgb="FF000000"/>
      <name val="Calibri"/>
      <family val="2"/>
      <scheme val="minor"/>
    </font>
    <font>
      <sz val="10"/>
      <color theme="1"/>
      <name val="Calibri"/>
      <family val="2"/>
      <scheme val="minor"/>
    </font>
    <font>
      <sz val="9"/>
      <color theme="1"/>
      <name val="Calibri"/>
      <family val="2"/>
      <scheme val="minor"/>
    </font>
    <font>
      <sz val="10.5"/>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1"/>
        <bgColor indexed="64"/>
      </patternFill>
    </fill>
    <fill>
      <patternFill patternType="solid">
        <fgColor rgb="FF00B05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s>
  <borders count="39">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applyNumberFormat="0" applyFill="0" applyBorder="0" applyAlignment="0" applyProtection="0"/>
  </cellStyleXfs>
  <cellXfs count="253">
    <xf numFmtId="0" fontId="0" fillId="0" borderId="0" xfId="0"/>
    <xf numFmtId="164" fontId="0" fillId="0" borderId="0" xfId="2" applyNumberFormat="1" applyFont="1"/>
    <xf numFmtId="0" fontId="0" fillId="0" borderId="0" xfId="0" applyAlignment="1">
      <alignment horizontal="center"/>
    </xf>
    <xf numFmtId="164" fontId="0" fillId="0" borderId="0" xfId="2" applyNumberFormat="1" applyFont="1" applyAlignment="1">
      <alignment horizontal="center"/>
    </xf>
    <xf numFmtId="165" fontId="0" fillId="0" borderId="0" xfId="1" applyNumberFormat="1" applyFont="1"/>
    <xf numFmtId="10" fontId="0" fillId="0" borderId="0" xfId="0" applyNumberFormat="1"/>
    <xf numFmtId="166" fontId="0" fillId="0" borderId="0" xfId="0" applyNumberFormat="1"/>
    <xf numFmtId="0" fontId="2" fillId="0" borderId="0" xfId="0" applyFont="1" applyAlignment="1">
      <alignment horizontal="center"/>
    </xf>
    <xf numFmtId="164" fontId="2" fillId="0" borderId="0" xfId="2" applyNumberFormat="1" applyFont="1" applyAlignment="1">
      <alignment horizontal="center"/>
    </xf>
    <xf numFmtId="0" fontId="3" fillId="0" borderId="0" xfId="0" applyFont="1"/>
    <xf numFmtId="1" fontId="0" fillId="0" borderId="0" xfId="2" applyNumberFormat="1" applyFont="1"/>
    <xf numFmtId="44" fontId="0" fillId="0" borderId="0" xfId="2" applyFont="1"/>
    <xf numFmtId="9" fontId="0" fillId="0" borderId="0" xfId="0" applyNumberFormat="1"/>
    <xf numFmtId="0" fontId="0" fillId="0" borderId="0" xfId="0" applyAlignment="1">
      <alignment horizontal="left"/>
    </xf>
    <xf numFmtId="164" fontId="2" fillId="0" borderId="0" xfId="2" applyNumberFormat="1" applyFont="1" applyAlignment="1">
      <alignment horizontal="center" wrapText="1"/>
    </xf>
    <xf numFmtId="165" fontId="0" fillId="0" borderId="0" xfId="1" applyNumberFormat="1" applyFont="1" applyAlignment="1"/>
    <xf numFmtId="165" fontId="5" fillId="0" borderId="0" xfId="1" applyNumberFormat="1" applyFont="1" applyAlignment="1"/>
    <xf numFmtId="43" fontId="0" fillId="0" borderId="0" xfId="1" applyFont="1"/>
    <xf numFmtId="10" fontId="0" fillId="0" borderId="0" xfId="3" applyNumberFormat="1" applyFont="1" applyAlignment="1"/>
    <xf numFmtId="10" fontId="0" fillId="0" borderId="0" xfId="3" applyNumberFormat="1" applyFont="1"/>
    <xf numFmtId="165" fontId="0" fillId="0" borderId="0" xfId="1" applyNumberFormat="1" applyFont="1" applyFill="1"/>
    <xf numFmtId="9" fontId="0" fillId="0" borderId="0" xfId="3" applyFont="1" applyAlignment="1"/>
    <xf numFmtId="9" fontId="0" fillId="0" borderId="0" xfId="3" applyFont="1"/>
    <xf numFmtId="165" fontId="0" fillId="2" borderId="0" xfId="1" applyNumberFormat="1" applyFont="1" applyFill="1"/>
    <xf numFmtId="165" fontId="0" fillId="3" borderId="0" xfId="1" applyNumberFormat="1" applyFont="1" applyFill="1"/>
    <xf numFmtId="165" fontId="0" fillId="2" borderId="1" xfId="1" applyNumberFormat="1" applyFont="1" applyFill="1" applyBorder="1"/>
    <xf numFmtId="165" fontId="0" fillId="3" borderId="3" xfId="1" applyNumberFormat="1" applyFont="1" applyFill="1" applyBorder="1"/>
    <xf numFmtId="165" fontId="0" fillId="4" borderId="0" xfId="1" applyNumberFormat="1" applyFont="1" applyFill="1"/>
    <xf numFmtId="165" fontId="0" fillId="5" borderId="0" xfId="1" applyNumberFormat="1" applyFont="1" applyFill="1"/>
    <xf numFmtId="165" fontId="0" fillId="6" borderId="0" xfId="1" applyNumberFormat="1" applyFont="1" applyFill="1"/>
    <xf numFmtId="165" fontId="0" fillId="4" borderId="0" xfId="1" applyNumberFormat="1" applyFont="1" applyFill="1" applyBorder="1"/>
    <xf numFmtId="165" fontId="0" fillId="3" borderId="0" xfId="1" applyNumberFormat="1" applyFont="1" applyFill="1" applyBorder="1"/>
    <xf numFmtId="165" fontId="0" fillId="6" borderId="1" xfId="1" applyNumberFormat="1" applyFont="1" applyFill="1" applyBorder="1"/>
    <xf numFmtId="0" fontId="6" fillId="0" borderId="0" xfId="4" applyFont="1"/>
    <xf numFmtId="0" fontId="7" fillId="0" borderId="0" xfId="4" applyFont="1" applyAlignment="1">
      <alignment horizontal="center"/>
    </xf>
    <xf numFmtId="0" fontId="8" fillId="0" borderId="0" xfId="4" applyFont="1"/>
    <xf numFmtId="10" fontId="6" fillId="0" borderId="0" xfId="4" applyNumberFormat="1" applyFont="1"/>
    <xf numFmtId="0" fontId="3" fillId="0" borderId="0" xfId="4"/>
    <xf numFmtId="17" fontId="6" fillId="0" borderId="0" xfId="4" quotePrefix="1" applyNumberFormat="1" applyFont="1" applyAlignment="1">
      <alignment wrapText="1"/>
    </xf>
    <xf numFmtId="44" fontId="9" fillId="0" borderId="0" xfId="5" applyFont="1"/>
    <xf numFmtId="0" fontId="6" fillId="0" borderId="0" xfId="4" applyFont="1" applyAlignment="1">
      <alignment wrapText="1"/>
    </xf>
    <xf numFmtId="167" fontId="6" fillId="0" borderId="0" xfId="4" applyNumberFormat="1" applyFont="1"/>
    <xf numFmtId="43" fontId="6" fillId="0" borderId="0" xfId="4" applyNumberFormat="1" applyFont="1"/>
    <xf numFmtId="0" fontId="8" fillId="0" borderId="0" xfId="4" applyFont="1" applyAlignment="1">
      <alignment wrapText="1"/>
    </xf>
    <xf numFmtId="0" fontId="0" fillId="0" borderId="2" xfId="0" applyBorder="1"/>
    <xf numFmtId="165" fontId="0" fillId="0" borderId="5" xfId="1" applyNumberFormat="1" applyFont="1" applyBorder="1"/>
    <xf numFmtId="164" fontId="0" fillId="0" borderId="5" xfId="2" applyNumberFormat="1" applyFont="1" applyBorder="1"/>
    <xf numFmtId="0" fontId="0" fillId="0" borderId="6" xfId="0" applyBorder="1"/>
    <xf numFmtId="164" fontId="0" fillId="0" borderId="7" xfId="2" applyNumberFormat="1" applyFont="1" applyBorder="1"/>
    <xf numFmtId="166" fontId="0" fillId="0" borderId="0" xfId="3" applyNumberFormat="1" applyFont="1"/>
    <xf numFmtId="164" fontId="0" fillId="0" borderId="1" xfId="2" applyNumberFormat="1" applyFont="1" applyBorder="1"/>
    <xf numFmtId="165" fontId="0" fillId="0" borderId="7" xfId="1" applyNumberFormat="1" applyFont="1" applyBorder="1"/>
    <xf numFmtId="165" fontId="0" fillId="8" borderId="11" xfId="1" applyNumberFormat="1" applyFont="1" applyFill="1" applyBorder="1"/>
    <xf numFmtId="165" fontId="0" fillId="8" borderId="12" xfId="1" applyNumberFormat="1" applyFont="1" applyFill="1" applyBorder="1"/>
    <xf numFmtId="165" fontId="0" fillId="2" borderId="0" xfId="1" applyNumberFormat="1" applyFont="1" applyFill="1" applyBorder="1"/>
    <xf numFmtId="165" fontId="0" fillId="2" borderId="21" xfId="1" applyNumberFormat="1" applyFont="1" applyFill="1" applyBorder="1" applyAlignment="1">
      <alignment horizontal="center"/>
    </xf>
    <xf numFmtId="165" fontId="0" fillId="4" borderId="21" xfId="1" applyNumberFormat="1" applyFont="1" applyFill="1" applyBorder="1" applyAlignment="1">
      <alignment horizontal="center"/>
    </xf>
    <xf numFmtId="165" fontId="0" fillId="3" borderId="21" xfId="1" applyNumberFormat="1" applyFont="1" applyFill="1" applyBorder="1" applyAlignment="1">
      <alignment horizontal="center"/>
    </xf>
    <xf numFmtId="165" fontId="0" fillId="5" borderId="21" xfId="1" applyNumberFormat="1" applyFont="1" applyFill="1" applyBorder="1" applyAlignment="1">
      <alignment horizontal="center"/>
    </xf>
    <xf numFmtId="165" fontId="0" fillId="6" borderId="22" xfId="1" applyNumberFormat="1" applyFont="1" applyFill="1" applyBorder="1" applyAlignment="1">
      <alignment horizontal="center"/>
    </xf>
    <xf numFmtId="165" fontId="4" fillId="7" borderId="4" xfId="1" applyNumberFormat="1" applyFont="1" applyFill="1" applyBorder="1" applyAlignment="1">
      <alignment horizontal="center"/>
    </xf>
    <xf numFmtId="0" fontId="0" fillId="9" borderId="14" xfId="0" applyFill="1" applyBorder="1"/>
    <xf numFmtId="0" fontId="0" fillId="9" borderId="15" xfId="0" applyFill="1" applyBorder="1"/>
    <xf numFmtId="0" fontId="0" fillId="9" borderId="0" xfId="0" applyFill="1"/>
    <xf numFmtId="0" fontId="0" fillId="9" borderId="17" xfId="0" applyFill="1" applyBorder="1"/>
    <xf numFmtId="0" fontId="10" fillId="9" borderId="0" xfId="0" applyFont="1" applyFill="1"/>
    <xf numFmtId="0" fontId="11" fillId="9" borderId="0" xfId="6" applyFill="1" applyBorder="1"/>
    <xf numFmtId="0" fontId="0" fillId="9" borderId="24" xfId="0" applyFill="1" applyBorder="1"/>
    <xf numFmtId="0" fontId="0" fillId="9" borderId="25" xfId="0" applyFill="1" applyBorder="1"/>
    <xf numFmtId="0" fontId="5" fillId="9" borderId="23" xfId="0" applyFont="1" applyFill="1" applyBorder="1" applyAlignment="1">
      <alignment horizontal="right"/>
    </xf>
    <xf numFmtId="0" fontId="5" fillId="9" borderId="24" xfId="0" applyFont="1" applyFill="1" applyBorder="1" applyAlignment="1">
      <alignment horizontal="right"/>
    </xf>
    <xf numFmtId="165" fontId="0" fillId="0" borderId="0" xfId="1" applyNumberFormat="1" applyFont="1" applyFill="1" applyBorder="1" applyAlignment="1">
      <alignment horizontal="center"/>
    </xf>
    <xf numFmtId="164" fontId="0" fillId="0" borderId="0" xfId="2" applyNumberFormat="1" applyFont="1" applyBorder="1"/>
    <xf numFmtId="165" fontId="0" fillId="0" borderId="5" xfId="0" applyNumberFormat="1" applyBorder="1"/>
    <xf numFmtId="0" fontId="0" fillId="0" borderId="7" xfId="0" applyBorder="1"/>
    <xf numFmtId="10" fontId="0" fillId="0" borderId="2" xfId="3" applyNumberFormat="1" applyFont="1" applyBorder="1" applyAlignment="1">
      <alignment horizontal="center"/>
    </xf>
    <xf numFmtId="10" fontId="0" fillId="0" borderId="0" xfId="3" applyNumberFormat="1" applyFont="1" applyBorder="1" applyAlignment="1">
      <alignment horizontal="center"/>
    </xf>
    <xf numFmtId="10" fontId="0" fillId="0" borderId="0" xfId="3" applyNumberFormat="1" applyFont="1" applyAlignment="1">
      <alignment horizontal="center"/>
    </xf>
    <xf numFmtId="43" fontId="0" fillId="0" borderId="0" xfId="1" applyFont="1" applyFill="1"/>
    <xf numFmtId="10" fontId="0" fillId="0" borderId="0" xfId="3" applyNumberFormat="1" applyFont="1" applyFill="1"/>
    <xf numFmtId="10" fontId="0" fillId="8" borderId="2" xfId="3" applyNumberFormat="1" applyFont="1" applyFill="1" applyBorder="1" applyAlignment="1">
      <alignment horizontal="center"/>
    </xf>
    <xf numFmtId="44" fontId="0" fillId="0" borderId="0" xfId="2" applyFont="1" applyFill="1"/>
    <xf numFmtId="165" fontId="0" fillId="0" borderId="0" xfId="1" applyNumberFormat="1" applyFont="1" applyAlignment="1">
      <alignment horizontal="left" indent="1"/>
    </xf>
    <xf numFmtId="0" fontId="12" fillId="0" borderId="0" xfId="0" applyFont="1"/>
    <xf numFmtId="9" fontId="0" fillId="0" borderId="0" xfId="3" applyFont="1" applyAlignment="1">
      <alignment horizontal="right"/>
    </xf>
    <xf numFmtId="168" fontId="0" fillId="0" borderId="0" xfId="1" applyNumberFormat="1" applyFont="1"/>
    <xf numFmtId="1" fontId="0" fillId="0" borderId="0" xfId="1" applyNumberFormat="1" applyFont="1"/>
    <xf numFmtId="165" fontId="5" fillId="0" borderId="0" xfId="1" applyNumberFormat="1" applyFont="1"/>
    <xf numFmtId="165" fontId="0" fillId="0" borderId="0" xfId="3" applyNumberFormat="1" applyFont="1" applyAlignment="1">
      <alignment horizontal="center"/>
    </xf>
    <xf numFmtId="10" fontId="0" fillId="0" borderId="4" xfId="3" applyNumberFormat="1" applyFont="1" applyBorder="1"/>
    <xf numFmtId="10" fontId="0" fillId="0" borderId="26" xfId="3" applyNumberFormat="1" applyFont="1" applyBorder="1"/>
    <xf numFmtId="165" fontId="0" fillId="0" borderId="8" xfId="1" applyNumberFormat="1" applyFont="1" applyBorder="1" applyAlignment="1">
      <alignment horizontal="right"/>
    </xf>
    <xf numFmtId="165" fontId="0" fillId="0" borderId="4" xfId="1" applyNumberFormat="1" applyFont="1" applyBorder="1" applyAlignment="1">
      <alignment horizontal="center"/>
    </xf>
    <xf numFmtId="165" fontId="0" fillId="0" borderId="0" xfId="1" applyNumberFormat="1" applyFont="1" applyAlignment="1">
      <alignment horizontal="center"/>
    </xf>
    <xf numFmtId="164" fontId="0" fillId="0" borderId="0" xfId="0" applyNumberFormat="1"/>
    <xf numFmtId="165" fontId="0" fillId="0" borderId="0" xfId="1" applyNumberFormat="1" applyFont="1" applyBorder="1" applyAlignment="1"/>
    <xf numFmtId="169" fontId="0" fillId="0" borderId="0" xfId="1" applyNumberFormat="1" applyFont="1"/>
    <xf numFmtId="10" fontId="0" fillId="0" borderId="0" xfId="3" applyNumberFormat="1" applyFont="1" applyFill="1" applyBorder="1" applyAlignment="1">
      <alignment horizontal="center"/>
    </xf>
    <xf numFmtId="166" fontId="0" fillId="0" borderId="1" xfId="3" applyNumberFormat="1" applyFont="1" applyBorder="1"/>
    <xf numFmtId="165" fontId="0" fillId="0" borderId="19" xfId="1" applyNumberFormat="1" applyFont="1" applyBorder="1" applyAlignment="1"/>
    <xf numFmtId="165" fontId="0" fillId="0" borderId="19" xfId="1" applyNumberFormat="1" applyFont="1" applyBorder="1"/>
    <xf numFmtId="165" fontId="0" fillId="8" borderId="0" xfId="1" applyNumberFormat="1" applyFont="1" applyFill="1"/>
    <xf numFmtId="10" fontId="0" fillId="8" borderId="0" xfId="3" applyNumberFormat="1" applyFont="1" applyFill="1"/>
    <xf numFmtId="43" fontId="0" fillId="8" borderId="0" xfId="1" applyFont="1" applyFill="1"/>
    <xf numFmtId="165" fontId="0" fillId="0" borderId="0" xfId="1" applyNumberFormat="1" applyFont="1" applyFill="1" applyBorder="1"/>
    <xf numFmtId="10" fontId="0" fillId="4" borderId="0" xfId="3" applyNumberFormat="1" applyFont="1" applyFill="1" applyAlignment="1">
      <alignment horizontal="center"/>
    </xf>
    <xf numFmtId="2" fontId="12" fillId="0" borderId="0" xfId="0" applyNumberFormat="1" applyFont="1"/>
    <xf numFmtId="9" fontId="0" fillId="0" borderId="5" xfId="3" applyFont="1" applyBorder="1"/>
    <xf numFmtId="43" fontId="0" fillId="0" borderId="5" xfId="1" applyFont="1" applyBorder="1"/>
    <xf numFmtId="165" fontId="0" fillId="0" borderId="32" xfId="1" applyNumberFormat="1" applyFont="1" applyBorder="1"/>
    <xf numFmtId="165" fontId="0" fillId="0" borderId="33" xfId="1" applyNumberFormat="1" applyFont="1" applyBorder="1"/>
    <xf numFmtId="165" fontId="0" fillId="2" borderId="5" xfId="1" applyNumberFormat="1" applyFont="1" applyFill="1" applyBorder="1"/>
    <xf numFmtId="165" fontId="0" fillId="0" borderId="5" xfId="1" applyNumberFormat="1" applyFont="1" applyFill="1" applyBorder="1"/>
    <xf numFmtId="165" fontId="0" fillId="4" borderId="5" xfId="1" applyNumberFormat="1" applyFont="1" applyFill="1" applyBorder="1"/>
    <xf numFmtId="165" fontId="0" fillId="3" borderId="27" xfId="1" applyNumberFormat="1" applyFont="1" applyFill="1" applyBorder="1"/>
    <xf numFmtId="165" fontId="0" fillId="3" borderId="5" xfId="1" applyNumberFormat="1" applyFont="1" applyFill="1" applyBorder="1"/>
    <xf numFmtId="165" fontId="0" fillId="2" borderId="7" xfId="1" applyNumberFormat="1" applyFont="1" applyFill="1" applyBorder="1"/>
    <xf numFmtId="165" fontId="0" fillId="6" borderId="5" xfId="1" applyNumberFormat="1" applyFont="1" applyFill="1" applyBorder="1"/>
    <xf numFmtId="165" fontId="0" fillId="5" borderId="5" xfId="1" applyNumberFormat="1" applyFont="1" applyFill="1" applyBorder="1"/>
    <xf numFmtId="165" fontId="0" fillId="6" borderId="7" xfId="1" applyNumberFormat="1" applyFont="1" applyFill="1" applyBorder="1"/>
    <xf numFmtId="165" fontId="5" fillId="0" borderId="0" xfId="1" applyNumberFormat="1" applyFont="1" applyAlignment="1">
      <alignment horizontal="center"/>
    </xf>
    <xf numFmtId="165" fontId="5" fillId="0" borderId="1" xfId="1" applyNumberFormat="1" applyFont="1" applyBorder="1" applyAlignment="1">
      <alignment horizontal="center"/>
    </xf>
    <xf numFmtId="165" fontId="0" fillId="0" borderId="0" xfId="1" applyNumberFormat="1" applyFont="1" applyBorder="1" applyAlignment="1">
      <alignment horizontal="center"/>
    </xf>
    <xf numFmtId="165" fontId="0" fillId="0" borderId="1" xfId="1" applyNumberFormat="1" applyFont="1" applyBorder="1"/>
    <xf numFmtId="165" fontId="0" fillId="0" borderId="0" xfId="1" applyNumberFormat="1" applyFont="1" applyBorder="1"/>
    <xf numFmtId="165" fontId="16" fillId="0" borderId="0" xfId="1" applyNumberFormat="1" applyFont="1"/>
    <xf numFmtId="0" fontId="0" fillId="0" borderId="0" xfId="0" applyAlignment="1">
      <alignment horizontal="right"/>
    </xf>
    <xf numFmtId="0" fontId="17" fillId="0" borderId="4" xfId="0" applyFont="1" applyBorder="1"/>
    <xf numFmtId="170" fontId="17" fillId="0" borderId="4" xfId="2" applyNumberFormat="1" applyFont="1" applyBorder="1"/>
    <xf numFmtId="10" fontId="17" fillId="0" borderId="4" xfId="3" applyNumberFormat="1" applyFont="1" applyBorder="1"/>
    <xf numFmtId="165" fontId="0" fillId="0" borderId="5" xfId="1" applyNumberFormat="1" applyFont="1" applyBorder="1" applyAlignment="1"/>
    <xf numFmtId="165" fontId="0" fillId="0" borderId="1" xfId="1" applyNumberFormat="1" applyFont="1" applyBorder="1" applyAlignment="1"/>
    <xf numFmtId="165" fontId="16" fillId="0" borderId="0" xfId="1" applyNumberFormat="1" applyFont="1" applyAlignment="1"/>
    <xf numFmtId="165" fontId="5" fillId="0" borderId="0" xfId="1" applyNumberFormat="1" applyFont="1" applyAlignment="1">
      <alignment horizontal="left"/>
    </xf>
    <xf numFmtId="0" fontId="0" fillId="0" borderId="5" xfId="0" applyBorder="1"/>
    <xf numFmtId="165" fontId="5" fillId="0" borderId="5" xfId="1" applyNumberFormat="1" applyFont="1" applyBorder="1"/>
    <xf numFmtId="165" fontId="0" fillId="0" borderId="0" xfId="0" applyNumberFormat="1"/>
    <xf numFmtId="165" fontId="17" fillId="0" borderId="4" xfId="1" applyNumberFormat="1" applyFont="1" applyBorder="1"/>
    <xf numFmtId="165" fontId="0" fillId="0" borderId="0" xfId="0" applyNumberFormat="1" applyAlignment="1">
      <alignment horizontal="right"/>
    </xf>
    <xf numFmtId="0" fontId="0" fillId="0" borderId="1" xfId="0" applyBorder="1"/>
    <xf numFmtId="0" fontId="5" fillId="0" borderId="0" xfId="0" applyFont="1"/>
    <xf numFmtId="0" fontId="0" fillId="12" borderId="3" xfId="0" applyFill="1" applyBorder="1" applyAlignment="1">
      <alignment vertical="top"/>
    </xf>
    <xf numFmtId="0" fontId="0" fillId="12" borderId="27" xfId="0" applyFill="1" applyBorder="1" applyAlignment="1">
      <alignment vertical="top"/>
    </xf>
    <xf numFmtId="0" fontId="0" fillId="12" borderId="0" xfId="0" applyFill="1" applyAlignment="1">
      <alignment vertical="top"/>
    </xf>
    <xf numFmtId="0" fontId="0" fillId="12" borderId="5" xfId="0" applyFill="1" applyBorder="1" applyAlignment="1">
      <alignment vertical="top"/>
    </xf>
    <xf numFmtId="0" fontId="0" fillId="12" borderId="6" xfId="0" applyFill="1" applyBorder="1" applyAlignment="1">
      <alignment vertical="top"/>
    </xf>
    <xf numFmtId="0" fontId="0" fillId="12" borderId="1" xfId="0" applyFill="1" applyBorder="1" applyAlignment="1">
      <alignment vertical="top"/>
    </xf>
    <xf numFmtId="0" fontId="0" fillId="12" borderId="7" xfId="0" applyFill="1" applyBorder="1" applyAlignment="1">
      <alignment vertical="top"/>
    </xf>
    <xf numFmtId="0" fontId="13" fillId="12" borderId="38" xfId="0" applyFont="1" applyFill="1" applyBorder="1" applyAlignment="1">
      <alignment vertical="top"/>
    </xf>
    <xf numFmtId="0" fontId="13" fillId="12" borderId="2" xfId="0" applyFont="1" applyFill="1" applyBorder="1" applyAlignment="1">
      <alignment vertical="top"/>
    </xf>
    <xf numFmtId="165" fontId="5" fillId="0" borderId="1" xfId="1" applyNumberFormat="1" applyFont="1" applyBorder="1" applyAlignment="1"/>
    <xf numFmtId="165" fontId="0" fillId="0" borderId="7" xfId="1" applyNumberFormat="1" applyFont="1" applyBorder="1" applyAlignment="1"/>
    <xf numFmtId="10" fontId="0" fillId="0" borderId="0" xfId="3" applyNumberFormat="1" applyFont="1" applyBorder="1"/>
    <xf numFmtId="0" fontId="18" fillId="0" borderId="0" xfId="0" applyFont="1"/>
    <xf numFmtId="0" fontId="17" fillId="0" borderId="0" xfId="0" applyFont="1"/>
    <xf numFmtId="0" fontId="0" fillId="0" borderId="38" xfId="0" applyBorder="1"/>
    <xf numFmtId="165" fontId="0" fillId="0" borderId="3" xfId="1" applyNumberFormat="1" applyFont="1" applyBorder="1"/>
    <xf numFmtId="165" fontId="5" fillId="0" borderId="3" xfId="1" applyNumberFormat="1" applyFont="1" applyBorder="1"/>
    <xf numFmtId="165" fontId="5" fillId="0" borderId="2" xfId="1" applyNumberFormat="1" applyFont="1" applyBorder="1" applyAlignment="1">
      <alignment horizontal="left"/>
    </xf>
    <xf numFmtId="165" fontId="5" fillId="0" borderId="2" xfId="1" applyNumberFormat="1" applyFont="1" applyBorder="1" applyAlignment="1"/>
    <xf numFmtId="0" fontId="5" fillId="0" borderId="1" xfId="0" applyFont="1" applyBorder="1" applyAlignment="1">
      <alignment horizontal="center"/>
    </xf>
    <xf numFmtId="0" fontId="5" fillId="0" borderId="7" xfId="0" applyFont="1" applyBorder="1" applyAlignment="1">
      <alignment horizontal="center"/>
    </xf>
    <xf numFmtId="165" fontId="5" fillId="0" borderId="0" xfId="1" applyNumberFormat="1" applyFont="1" applyBorder="1" applyAlignment="1">
      <alignment horizontal="right"/>
    </xf>
    <xf numFmtId="0" fontId="11" fillId="9" borderId="0" xfId="6" applyFill="1" applyBorder="1" applyAlignment="1">
      <alignment horizontal="left" wrapText="1"/>
    </xf>
    <xf numFmtId="0" fontId="11" fillId="9" borderId="17" xfId="6" applyFill="1" applyBorder="1" applyAlignment="1">
      <alignment horizontal="left" wrapText="1"/>
    </xf>
    <xf numFmtId="0" fontId="11" fillId="9" borderId="19" xfId="6" applyFill="1" applyBorder="1" applyAlignment="1">
      <alignment horizontal="left" wrapText="1"/>
    </xf>
    <xf numFmtId="0" fontId="11" fillId="9" borderId="20" xfId="6" applyFill="1" applyBorder="1" applyAlignment="1">
      <alignment horizontal="left" wrapText="1"/>
    </xf>
    <xf numFmtId="0" fontId="0" fillId="8" borderId="13" xfId="0" applyFill="1" applyBorder="1" applyAlignment="1">
      <alignment horizontal="center" vertical="top" wrapText="1"/>
    </xf>
    <xf numFmtId="0" fontId="0" fillId="8" borderId="14" xfId="0" applyFill="1" applyBorder="1" applyAlignment="1">
      <alignment horizontal="center" vertical="top" wrapText="1"/>
    </xf>
    <xf numFmtId="0" fontId="0" fillId="8" borderId="15" xfId="0" applyFill="1" applyBorder="1" applyAlignment="1">
      <alignment horizontal="center" vertical="top" wrapText="1"/>
    </xf>
    <xf numFmtId="0" fontId="0" fillId="8" borderId="16" xfId="0" applyFill="1" applyBorder="1" applyAlignment="1">
      <alignment horizontal="center" vertical="top" wrapText="1"/>
    </xf>
    <xf numFmtId="0" fontId="0" fillId="8" borderId="0" xfId="0" applyFill="1" applyAlignment="1">
      <alignment horizontal="center" vertical="top" wrapText="1"/>
    </xf>
    <xf numFmtId="0" fontId="0" fillId="8" borderId="17" xfId="0" applyFill="1" applyBorder="1" applyAlignment="1">
      <alignment horizontal="center" vertical="top" wrapText="1"/>
    </xf>
    <xf numFmtId="0" fontId="0" fillId="8" borderId="18" xfId="0" applyFill="1" applyBorder="1" applyAlignment="1">
      <alignment horizontal="center" vertical="top" wrapText="1"/>
    </xf>
    <xf numFmtId="0" fontId="0" fillId="8" borderId="19" xfId="0" applyFill="1" applyBorder="1" applyAlignment="1">
      <alignment horizontal="center" vertical="top" wrapText="1"/>
    </xf>
    <xf numFmtId="0" fontId="0" fillId="8" borderId="20" xfId="0" applyFill="1" applyBorder="1" applyAlignment="1">
      <alignment horizontal="center" vertical="top" wrapText="1"/>
    </xf>
    <xf numFmtId="0" fontId="5" fillId="10" borderId="8" xfId="0" applyFont="1" applyFill="1" applyBorder="1" applyAlignment="1">
      <alignment horizontal="center"/>
    </xf>
    <xf numFmtId="0" fontId="5" fillId="10" borderId="10" xfId="0" applyFont="1" applyFill="1" applyBorder="1" applyAlignment="1">
      <alignment horizontal="center"/>
    </xf>
    <xf numFmtId="0" fontId="5" fillId="10" borderId="9" xfId="0" applyFont="1" applyFill="1" applyBorder="1" applyAlignment="1">
      <alignment horizontal="center"/>
    </xf>
    <xf numFmtId="0" fontId="5" fillId="4" borderId="8" xfId="0" applyFont="1" applyFill="1" applyBorder="1" applyAlignment="1">
      <alignment horizontal="center"/>
    </xf>
    <xf numFmtId="0" fontId="5" fillId="4" borderId="10" xfId="0" applyFont="1" applyFill="1" applyBorder="1" applyAlignment="1">
      <alignment horizontal="center"/>
    </xf>
    <xf numFmtId="0" fontId="5" fillId="4" borderId="9" xfId="0" applyFont="1" applyFill="1" applyBorder="1" applyAlignment="1">
      <alignment horizontal="center"/>
    </xf>
    <xf numFmtId="0" fontId="0" fillId="8" borderId="13" xfId="0" applyFill="1" applyBorder="1" applyAlignment="1">
      <alignment horizontal="left" vertical="top" wrapText="1"/>
    </xf>
    <xf numFmtId="0" fontId="0" fillId="8" borderId="14" xfId="0" applyFill="1" applyBorder="1" applyAlignment="1">
      <alignment horizontal="left" vertical="top" wrapText="1"/>
    </xf>
    <xf numFmtId="0" fontId="0" fillId="8" borderId="15" xfId="0" applyFill="1" applyBorder="1" applyAlignment="1">
      <alignment horizontal="left" vertical="top" wrapText="1"/>
    </xf>
    <xf numFmtId="0" fontId="0" fillId="8" borderId="16" xfId="0" applyFill="1" applyBorder="1" applyAlignment="1">
      <alignment horizontal="left" vertical="top" wrapText="1"/>
    </xf>
    <xf numFmtId="0" fontId="0" fillId="8" borderId="0" xfId="0" applyFill="1" applyAlignment="1">
      <alignment horizontal="left" vertical="top" wrapText="1"/>
    </xf>
    <xf numFmtId="0" fontId="0" fillId="8" borderId="17" xfId="0" applyFill="1" applyBorder="1" applyAlignment="1">
      <alignment horizontal="left" vertical="top" wrapText="1"/>
    </xf>
    <xf numFmtId="0" fontId="0" fillId="8" borderId="18" xfId="0" applyFill="1" applyBorder="1" applyAlignment="1">
      <alignment horizontal="left" vertical="top" wrapText="1"/>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0" borderId="0" xfId="0" applyAlignment="1">
      <alignment horizontal="right"/>
    </xf>
    <xf numFmtId="0" fontId="2"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165" fontId="0" fillId="0" borderId="1" xfId="1" applyNumberFormat="1" applyFont="1" applyBorder="1" applyAlignment="1">
      <alignment horizontal="center"/>
    </xf>
    <xf numFmtId="165" fontId="0" fillId="11" borderId="11" xfId="1" applyNumberFormat="1" applyFont="1" applyFill="1" applyBorder="1" applyAlignment="1">
      <alignment horizontal="center"/>
    </xf>
    <xf numFmtId="165" fontId="0" fillId="11" borderId="34" xfId="1" applyNumberFormat="1" applyFont="1" applyFill="1" applyBorder="1" applyAlignment="1">
      <alignment horizontal="center"/>
    </xf>
    <xf numFmtId="165" fontId="0" fillId="11" borderId="12" xfId="1" applyNumberFormat="1" applyFont="1" applyFill="1" applyBorder="1" applyAlignment="1">
      <alignment horizontal="center"/>
    </xf>
    <xf numFmtId="165" fontId="13" fillId="8" borderId="18" xfId="1" applyNumberFormat="1" applyFont="1" applyFill="1" applyBorder="1" applyAlignment="1">
      <alignment horizontal="center"/>
    </xf>
    <xf numFmtId="165" fontId="13" fillId="8" borderId="32" xfId="1" applyNumberFormat="1" applyFont="1" applyFill="1" applyBorder="1" applyAlignment="1">
      <alignment horizontal="center"/>
    </xf>
    <xf numFmtId="165" fontId="13" fillId="8" borderId="35" xfId="1" applyNumberFormat="1" applyFont="1" applyFill="1" applyBorder="1" applyAlignment="1">
      <alignment horizontal="center"/>
    </xf>
    <xf numFmtId="165" fontId="13" fillId="8" borderId="20" xfId="1" applyNumberFormat="1" applyFont="1" applyFill="1" applyBorder="1" applyAlignment="1">
      <alignment horizontal="center"/>
    </xf>
    <xf numFmtId="49" fontId="0" fillId="8" borderId="13" xfId="1" applyNumberFormat="1" applyFont="1" applyFill="1" applyBorder="1" applyAlignment="1">
      <alignment horizontal="left" vertical="top" wrapText="1"/>
    </xf>
    <xf numFmtId="49" fontId="0" fillId="8" borderId="14" xfId="1" applyNumberFormat="1" applyFont="1" applyFill="1" applyBorder="1" applyAlignment="1">
      <alignment horizontal="left" vertical="top" wrapText="1"/>
    </xf>
    <xf numFmtId="49" fontId="0" fillId="8" borderId="15" xfId="1" applyNumberFormat="1" applyFont="1" applyFill="1" applyBorder="1" applyAlignment="1">
      <alignment horizontal="left" vertical="top" wrapText="1"/>
    </xf>
    <xf numFmtId="49" fontId="0" fillId="8" borderId="16" xfId="1" applyNumberFormat="1" applyFont="1" applyFill="1" applyBorder="1" applyAlignment="1">
      <alignment horizontal="left" vertical="top" wrapText="1"/>
    </xf>
    <xf numFmtId="49" fontId="0" fillId="8" borderId="0" xfId="1" applyNumberFormat="1" applyFont="1" applyFill="1" applyBorder="1" applyAlignment="1">
      <alignment horizontal="left" vertical="top" wrapText="1"/>
    </xf>
    <xf numFmtId="49" fontId="0" fillId="8" borderId="17" xfId="1" applyNumberFormat="1" applyFont="1" applyFill="1" applyBorder="1" applyAlignment="1">
      <alignment horizontal="left" vertical="top" wrapText="1"/>
    </xf>
    <xf numFmtId="49" fontId="0" fillId="8" borderId="28" xfId="1" applyNumberFormat="1" applyFont="1" applyFill="1" applyBorder="1" applyAlignment="1">
      <alignment horizontal="left" vertical="top" wrapText="1"/>
    </xf>
    <xf numFmtId="49" fontId="0" fillId="8" borderId="1" xfId="1" applyNumberFormat="1" applyFont="1" applyFill="1" applyBorder="1" applyAlignment="1">
      <alignment horizontal="left" vertical="top" wrapText="1"/>
    </xf>
    <xf numFmtId="49" fontId="0" fillId="8" borderId="29" xfId="1" applyNumberFormat="1" applyFont="1" applyFill="1" applyBorder="1" applyAlignment="1">
      <alignment horizontal="left" vertical="top" wrapText="1"/>
    </xf>
    <xf numFmtId="165" fontId="14" fillId="8" borderId="18" xfId="1" applyNumberFormat="1" applyFont="1" applyFill="1" applyBorder="1" applyAlignment="1">
      <alignment horizontal="center" vertical="top" wrapText="1"/>
    </xf>
    <xf numFmtId="165" fontId="14" fillId="8" borderId="19" xfId="1" applyNumberFormat="1" applyFont="1" applyFill="1" applyBorder="1" applyAlignment="1">
      <alignment horizontal="center" vertical="top" wrapText="1"/>
    </xf>
    <xf numFmtId="165" fontId="14" fillId="8" borderId="37" xfId="1" applyNumberFormat="1" applyFont="1" applyFill="1" applyBorder="1" applyAlignment="1">
      <alignment horizontal="center" vertical="top" wrapText="1"/>
    </xf>
    <xf numFmtId="165" fontId="14" fillId="8" borderId="36" xfId="1" applyNumberFormat="1" applyFont="1" applyFill="1" applyBorder="1" applyAlignment="1">
      <alignment horizontal="center" vertical="top" wrapText="1"/>
    </xf>
    <xf numFmtId="165" fontId="0" fillId="8" borderId="30" xfId="1" applyNumberFormat="1" applyFont="1" applyFill="1" applyBorder="1" applyAlignment="1">
      <alignment horizontal="center" vertical="top" wrapText="1"/>
    </xf>
    <xf numFmtId="165" fontId="0" fillId="8" borderId="31" xfId="1" applyNumberFormat="1" applyFont="1" applyFill="1" applyBorder="1" applyAlignment="1">
      <alignment horizontal="center" vertical="top" wrapText="1"/>
    </xf>
    <xf numFmtId="165" fontId="0" fillId="8" borderId="19" xfId="1" applyNumberFormat="1" applyFont="1" applyFill="1" applyBorder="1" applyAlignment="1">
      <alignment horizontal="center" vertical="top" wrapText="1"/>
    </xf>
    <xf numFmtId="165" fontId="0" fillId="8" borderId="20" xfId="1" applyNumberFormat="1" applyFont="1" applyFill="1" applyBorder="1" applyAlignment="1">
      <alignment horizontal="center" vertical="top" wrapText="1"/>
    </xf>
    <xf numFmtId="165" fontId="0" fillId="8" borderId="18" xfId="1" applyNumberFormat="1" applyFont="1" applyFill="1" applyBorder="1" applyAlignment="1">
      <alignment horizontal="center" vertical="top" wrapText="1"/>
    </xf>
    <xf numFmtId="165" fontId="0" fillId="8" borderId="32" xfId="1" applyNumberFormat="1" applyFont="1" applyFill="1" applyBorder="1" applyAlignment="1">
      <alignment horizontal="center" vertical="top" wrapText="1"/>
    </xf>
    <xf numFmtId="165" fontId="0" fillId="8" borderId="35" xfId="1" applyNumberFormat="1" applyFont="1" applyFill="1" applyBorder="1" applyAlignment="1">
      <alignment horizontal="center" vertical="top" wrapText="1"/>
    </xf>
    <xf numFmtId="49" fontId="15" fillId="8" borderId="13" xfId="1" applyNumberFormat="1" applyFont="1" applyFill="1" applyBorder="1" applyAlignment="1">
      <alignment horizontal="center" vertical="top" wrapText="1"/>
    </xf>
    <xf numFmtId="49" fontId="15" fillId="8" borderId="14" xfId="1" applyNumberFormat="1" applyFont="1" applyFill="1" applyBorder="1" applyAlignment="1">
      <alignment horizontal="center" vertical="top" wrapText="1"/>
    </xf>
    <xf numFmtId="49" fontId="15" fillId="8" borderId="15" xfId="1" applyNumberFormat="1" applyFont="1" applyFill="1" applyBorder="1" applyAlignment="1">
      <alignment horizontal="center" vertical="top" wrapText="1"/>
    </xf>
    <xf numFmtId="49" fontId="15" fillId="8" borderId="16" xfId="1" applyNumberFormat="1" applyFont="1" applyFill="1" applyBorder="1" applyAlignment="1">
      <alignment horizontal="center" vertical="top" wrapText="1"/>
    </xf>
    <xf numFmtId="49" fontId="15" fillId="8" borderId="0" xfId="1" applyNumberFormat="1" applyFont="1" applyFill="1" applyBorder="1" applyAlignment="1">
      <alignment horizontal="center" vertical="top" wrapText="1"/>
    </xf>
    <xf numFmtId="49" fontId="15" fillId="8" borderId="17" xfId="1" applyNumberFormat="1" applyFont="1" applyFill="1" applyBorder="1" applyAlignment="1">
      <alignment horizontal="center" vertical="top" wrapText="1"/>
    </xf>
    <xf numFmtId="49" fontId="15" fillId="8" borderId="28" xfId="1" applyNumberFormat="1" applyFont="1" applyFill="1" applyBorder="1" applyAlignment="1">
      <alignment horizontal="center" vertical="top" wrapText="1"/>
    </xf>
    <xf numFmtId="49" fontId="15" fillId="8" borderId="1" xfId="1" applyNumberFormat="1" applyFont="1" applyFill="1" applyBorder="1" applyAlignment="1">
      <alignment horizontal="center" vertical="top" wrapText="1"/>
    </xf>
    <xf numFmtId="49" fontId="15" fillId="8" borderId="29" xfId="1" applyNumberFormat="1" applyFont="1" applyFill="1" applyBorder="1" applyAlignment="1">
      <alignment horizontal="center" vertical="top" wrapText="1"/>
    </xf>
    <xf numFmtId="165" fontId="0" fillId="8" borderId="13" xfId="1" applyNumberFormat="1" applyFont="1" applyFill="1" applyBorder="1" applyAlignment="1">
      <alignment horizontal="left" vertical="top" wrapText="1"/>
    </xf>
    <xf numFmtId="165" fontId="0" fillId="8" borderId="14" xfId="1" applyNumberFormat="1" applyFont="1" applyFill="1" applyBorder="1" applyAlignment="1">
      <alignment horizontal="left" vertical="top" wrapText="1"/>
    </xf>
    <xf numFmtId="165" fontId="0" fillId="8" borderId="15" xfId="1" applyNumberFormat="1" applyFont="1" applyFill="1" applyBorder="1" applyAlignment="1">
      <alignment horizontal="left" vertical="top" wrapText="1"/>
    </xf>
    <xf numFmtId="165" fontId="0" fillId="8" borderId="16" xfId="1" applyNumberFormat="1" applyFont="1" applyFill="1" applyBorder="1" applyAlignment="1">
      <alignment horizontal="left" vertical="top" wrapText="1"/>
    </xf>
    <xf numFmtId="165" fontId="0" fillId="8" borderId="0" xfId="1" applyNumberFormat="1" applyFont="1" applyFill="1" applyBorder="1" applyAlignment="1">
      <alignment horizontal="left" vertical="top" wrapText="1"/>
    </xf>
    <xf numFmtId="165" fontId="0" fillId="8" borderId="17" xfId="1" applyNumberFormat="1" applyFont="1" applyFill="1" applyBorder="1" applyAlignment="1">
      <alignment horizontal="left" vertical="top" wrapText="1"/>
    </xf>
    <xf numFmtId="165" fontId="0" fillId="8" borderId="18" xfId="1" applyNumberFormat="1" applyFont="1" applyFill="1" applyBorder="1" applyAlignment="1">
      <alignment horizontal="left" vertical="top" wrapText="1"/>
    </xf>
    <xf numFmtId="165" fontId="0" fillId="8" borderId="19" xfId="1" applyNumberFormat="1" applyFont="1" applyFill="1" applyBorder="1" applyAlignment="1">
      <alignment horizontal="left" vertical="top" wrapText="1"/>
    </xf>
    <xf numFmtId="165" fontId="0" fillId="8" borderId="20" xfId="1" applyNumberFormat="1" applyFont="1" applyFill="1" applyBorder="1" applyAlignment="1">
      <alignment horizontal="left" vertical="top" wrapText="1"/>
    </xf>
    <xf numFmtId="0" fontId="5" fillId="8" borderId="8" xfId="0" applyFont="1" applyFill="1" applyBorder="1" applyAlignment="1">
      <alignment horizontal="center"/>
    </xf>
    <xf numFmtId="0" fontId="5" fillId="8" borderId="10" xfId="0" applyFont="1" applyFill="1" applyBorder="1" applyAlignment="1">
      <alignment horizontal="center"/>
    </xf>
    <xf numFmtId="0" fontId="5" fillId="8" borderId="9" xfId="0" applyFont="1" applyFill="1" applyBorder="1" applyAlignment="1">
      <alignment horizontal="center"/>
    </xf>
    <xf numFmtId="0" fontId="6" fillId="8" borderId="13" xfId="4" applyFont="1" applyFill="1" applyBorder="1" applyAlignment="1">
      <alignment horizontal="left" vertical="top" wrapText="1"/>
    </xf>
    <xf numFmtId="0" fontId="6" fillId="8" borderId="14" xfId="4" applyFont="1" applyFill="1" applyBorder="1" applyAlignment="1">
      <alignment horizontal="left" vertical="top" wrapText="1"/>
    </xf>
    <xf numFmtId="0" fontId="6" fillId="8" borderId="15" xfId="4" applyFont="1" applyFill="1" applyBorder="1" applyAlignment="1">
      <alignment horizontal="left" vertical="top" wrapText="1"/>
    </xf>
    <xf numFmtId="0" fontId="6" fillId="8" borderId="16" xfId="4" applyFont="1" applyFill="1" applyBorder="1" applyAlignment="1">
      <alignment horizontal="left" vertical="top" wrapText="1"/>
    </xf>
    <xf numFmtId="0" fontId="6" fillId="8" borderId="0" xfId="4" applyFont="1" applyFill="1" applyAlignment="1">
      <alignment horizontal="left" vertical="top" wrapText="1"/>
    </xf>
    <xf numFmtId="0" fontId="6" fillId="8" borderId="17" xfId="4" applyFont="1" applyFill="1" applyBorder="1" applyAlignment="1">
      <alignment horizontal="left" vertical="top" wrapText="1"/>
    </xf>
    <xf numFmtId="0" fontId="6" fillId="8" borderId="18" xfId="4" applyFont="1" applyFill="1" applyBorder="1" applyAlignment="1">
      <alignment horizontal="left" vertical="top" wrapText="1"/>
    </xf>
    <xf numFmtId="0" fontId="6" fillId="8" borderId="19" xfId="4" applyFont="1" applyFill="1" applyBorder="1" applyAlignment="1">
      <alignment horizontal="left" vertical="top" wrapText="1"/>
    </xf>
    <xf numFmtId="0" fontId="6" fillId="8" borderId="20" xfId="4" applyFont="1" applyFill="1" applyBorder="1" applyAlignment="1">
      <alignment horizontal="left" vertical="top" wrapText="1"/>
    </xf>
  </cellXfs>
  <cellStyles count="7">
    <cellStyle name="Comma" xfId="1" builtinId="3"/>
    <cellStyle name="Currency" xfId="2" builtinId="4"/>
    <cellStyle name="Currency 2" xfId="5" xr:uid="{0EE1D29A-F5D3-4304-9B39-C9187BB048C3}"/>
    <cellStyle name="Hyperlink" xfId="6" builtinId="8"/>
    <cellStyle name="Normal" xfId="0" builtinId="0"/>
    <cellStyle name="Normal 2" xfId="4" xr:uid="{B8160B9C-B72C-4F82-9718-FDBD81CBA04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33</xdr:row>
      <xdr:rowOff>133350</xdr:rowOff>
    </xdr:from>
    <xdr:to>
      <xdr:col>0</xdr:col>
      <xdr:colOff>3115874</xdr:colOff>
      <xdr:row>45</xdr:row>
      <xdr:rowOff>104775</xdr:rowOff>
    </xdr:to>
    <xdr:pic>
      <xdr:nvPicPr>
        <xdr:cNvPr id="2" name="Picture 1">
          <a:extLst>
            <a:ext uri="{FF2B5EF4-FFF2-40B4-BE49-F238E27FC236}">
              <a16:creationId xmlns:a16="http://schemas.microsoft.com/office/drawing/2014/main" id="{C5479750-0C00-4EA7-9FAF-B86F2C8ECD55}"/>
            </a:ext>
          </a:extLst>
        </xdr:cNvPr>
        <xdr:cNvPicPr>
          <a:picLocks noChangeAspect="1"/>
        </xdr:cNvPicPr>
      </xdr:nvPicPr>
      <xdr:blipFill>
        <a:blip xmlns:r="http://schemas.openxmlformats.org/officeDocument/2006/relationships" r:embed="rId1"/>
        <a:stretch>
          <a:fillRect/>
        </a:stretch>
      </xdr:blipFill>
      <xdr:spPr>
        <a:xfrm>
          <a:off x="114300" y="5467350"/>
          <a:ext cx="3001574" cy="2276475"/>
        </a:xfrm>
        <a:prstGeom prst="rect">
          <a:avLst/>
        </a:prstGeom>
        <a:ln>
          <a:solidFill>
            <a:sysClr val="windowText" lastClr="000000"/>
          </a:solidFill>
        </a:ln>
      </xdr:spPr>
    </xdr:pic>
    <xdr:clientData/>
  </xdr:twoCellAnchor>
  <xdr:twoCellAnchor editAs="oneCell">
    <xdr:from>
      <xdr:col>2</xdr:col>
      <xdr:colOff>504825</xdr:colOff>
      <xdr:row>63</xdr:row>
      <xdr:rowOff>133350</xdr:rowOff>
    </xdr:from>
    <xdr:to>
      <xdr:col>9</xdr:col>
      <xdr:colOff>56637</xdr:colOff>
      <xdr:row>72</xdr:row>
      <xdr:rowOff>171231</xdr:rowOff>
    </xdr:to>
    <xdr:pic>
      <xdr:nvPicPr>
        <xdr:cNvPr id="3" name="Picture 2">
          <a:extLst>
            <a:ext uri="{FF2B5EF4-FFF2-40B4-BE49-F238E27FC236}">
              <a16:creationId xmlns:a16="http://schemas.microsoft.com/office/drawing/2014/main" id="{97400AFE-74F9-498F-9A19-2710C0A2C6C1}"/>
            </a:ext>
          </a:extLst>
        </xdr:cNvPr>
        <xdr:cNvPicPr>
          <a:picLocks noChangeAspect="1"/>
        </xdr:cNvPicPr>
      </xdr:nvPicPr>
      <xdr:blipFill>
        <a:blip xmlns:r="http://schemas.openxmlformats.org/officeDocument/2006/relationships" r:embed="rId2"/>
        <a:stretch>
          <a:fillRect/>
        </a:stretch>
      </xdr:blipFill>
      <xdr:spPr>
        <a:xfrm>
          <a:off x="4657725" y="12163425"/>
          <a:ext cx="4104762" cy="1752381"/>
        </a:xfrm>
        <a:prstGeom prst="rect">
          <a:avLst/>
        </a:prstGeom>
      </xdr:spPr>
    </xdr:pic>
    <xdr:clientData/>
  </xdr:twoCellAnchor>
  <xdr:twoCellAnchor editAs="oneCell">
    <xdr:from>
      <xdr:col>2</xdr:col>
      <xdr:colOff>228600</xdr:colOff>
      <xdr:row>55</xdr:row>
      <xdr:rowOff>114300</xdr:rowOff>
    </xdr:from>
    <xdr:to>
      <xdr:col>11</xdr:col>
      <xdr:colOff>494545</xdr:colOff>
      <xdr:row>63</xdr:row>
      <xdr:rowOff>28395</xdr:rowOff>
    </xdr:to>
    <xdr:pic>
      <xdr:nvPicPr>
        <xdr:cNvPr id="4" name="Picture 3">
          <a:extLst>
            <a:ext uri="{FF2B5EF4-FFF2-40B4-BE49-F238E27FC236}">
              <a16:creationId xmlns:a16="http://schemas.microsoft.com/office/drawing/2014/main" id="{22FB3937-EA6C-4CE0-879D-802C6AE07AD0}"/>
            </a:ext>
          </a:extLst>
        </xdr:cNvPr>
        <xdr:cNvPicPr>
          <a:picLocks noChangeAspect="1"/>
        </xdr:cNvPicPr>
      </xdr:nvPicPr>
      <xdr:blipFill>
        <a:blip xmlns:r="http://schemas.openxmlformats.org/officeDocument/2006/relationships" r:embed="rId3"/>
        <a:stretch>
          <a:fillRect/>
        </a:stretch>
      </xdr:blipFill>
      <xdr:spPr>
        <a:xfrm>
          <a:off x="4381500" y="10620375"/>
          <a:ext cx="6038095" cy="1438095"/>
        </a:xfrm>
        <a:prstGeom prst="rect">
          <a:avLst/>
        </a:prstGeom>
      </xdr:spPr>
    </xdr:pic>
    <xdr:clientData/>
  </xdr:twoCellAnchor>
  <xdr:twoCellAnchor editAs="oneCell">
    <xdr:from>
      <xdr:col>2</xdr:col>
      <xdr:colOff>114300</xdr:colOff>
      <xdr:row>52</xdr:row>
      <xdr:rowOff>142875</xdr:rowOff>
    </xdr:from>
    <xdr:to>
      <xdr:col>13</xdr:col>
      <xdr:colOff>446759</xdr:colOff>
      <xdr:row>54</xdr:row>
      <xdr:rowOff>47589</xdr:rowOff>
    </xdr:to>
    <xdr:pic>
      <xdr:nvPicPr>
        <xdr:cNvPr id="5" name="Picture 4">
          <a:extLst>
            <a:ext uri="{FF2B5EF4-FFF2-40B4-BE49-F238E27FC236}">
              <a16:creationId xmlns:a16="http://schemas.microsoft.com/office/drawing/2014/main" id="{651B43EB-0DFA-4856-A50D-BBD0C1A76038}"/>
            </a:ext>
          </a:extLst>
        </xdr:cNvPr>
        <xdr:cNvPicPr>
          <a:picLocks noChangeAspect="1"/>
        </xdr:cNvPicPr>
      </xdr:nvPicPr>
      <xdr:blipFill>
        <a:blip xmlns:r="http://schemas.openxmlformats.org/officeDocument/2006/relationships" r:embed="rId4"/>
        <a:stretch>
          <a:fillRect/>
        </a:stretch>
      </xdr:blipFill>
      <xdr:spPr>
        <a:xfrm>
          <a:off x="4267200" y="10077450"/>
          <a:ext cx="7323809" cy="285714"/>
        </a:xfrm>
        <a:prstGeom prst="rect">
          <a:avLst/>
        </a:prstGeom>
      </xdr:spPr>
    </xdr:pic>
    <xdr:clientData/>
  </xdr:twoCellAnchor>
  <xdr:twoCellAnchor editAs="oneCell">
    <xdr:from>
      <xdr:col>7</xdr:col>
      <xdr:colOff>276226</xdr:colOff>
      <xdr:row>34</xdr:row>
      <xdr:rowOff>95250</xdr:rowOff>
    </xdr:from>
    <xdr:to>
      <xdr:col>16</xdr:col>
      <xdr:colOff>287267</xdr:colOff>
      <xdr:row>51</xdr:row>
      <xdr:rowOff>123825</xdr:rowOff>
    </xdr:to>
    <xdr:pic>
      <xdr:nvPicPr>
        <xdr:cNvPr id="6" name="Picture 5">
          <a:extLst>
            <a:ext uri="{FF2B5EF4-FFF2-40B4-BE49-F238E27FC236}">
              <a16:creationId xmlns:a16="http://schemas.microsoft.com/office/drawing/2014/main" id="{4F32D8F8-3311-4931-B25D-A08C1D3B1BEF}"/>
            </a:ext>
          </a:extLst>
        </xdr:cNvPr>
        <xdr:cNvPicPr>
          <a:picLocks noChangeAspect="1"/>
        </xdr:cNvPicPr>
      </xdr:nvPicPr>
      <xdr:blipFill>
        <a:blip xmlns:r="http://schemas.openxmlformats.org/officeDocument/2006/relationships" r:embed="rId5"/>
        <a:stretch>
          <a:fillRect/>
        </a:stretch>
      </xdr:blipFill>
      <xdr:spPr>
        <a:xfrm>
          <a:off x="7639051" y="6581775"/>
          <a:ext cx="5621266" cy="3286125"/>
        </a:xfrm>
        <a:prstGeom prst="rect">
          <a:avLst/>
        </a:prstGeom>
      </xdr:spPr>
    </xdr:pic>
    <xdr:clientData/>
  </xdr:twoCellAnchor>
  <xdr:twoCellAnchor>
    <xdr:from>
      <xdr:col>7</xdr:col>
      <xdr:colOff>276226</xdr:colOff>
      <xdr:row>43</xdr:row>
      <xdr:rowOff>4763</xdr:rowOff>
    </xdr:from>
    <xdr:to>
      <xdr:col>7</xdr:col>
      <xdr:colOff>566280</xdr:colOff>
      <xdr:row>52</xdr:row>
      <xdr:rowOff>142875</xdr:rowOff>
    </xdr:to>
    <xdr:cxnSp macro="">
      <xdr:nvCxnSpPr>
        <xdr:cNvPr id="8" name="Connector: Elbow 7">
          <a:extLst>
            <a:ext uri="{FF2B5EF4-FFF2-40B4-BE49-F238E27FC236}">
              <a16:creationId xmlns:a16="http://schemas.microsoft.com/office/drawing/2014/main" id="{A79E8130-C5DC-4CBA-9698-F56A3DA2B555}"/>
            </a:ext>
          </a:extLst>
        </xdr:cNvPr>
        <xdr:cNvCxnSpPr>
          <a:stCxn id="6" idx="1"/>
          <a:endCxn id="5" idx="0"/>
        </xdr:cNvCxnSpPr>
      </xdr:nvCxnSpPr>
      <xdr:spPr>
        <a:xfrm rot="10800000" flipH="1" flipV="1">
          <a:off x="7639051" y="8224838"/>
          <a:ext cx="290054" cy="1852612"/>
        </a:xfrm>
        <a:prstGeom prst="bentConnector4">
          <a:avLst>
            <a:gd name="adj1" fmla="val -78813"/>
            <a:gd name="adj2" fmla="val 94344"/>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26</xdr:row>
      <xdr:rowOff>85726</xdr:rowOff>
    </xdr:from>
    <xdr:to>
      <xdr:col>9</xdr:col>
      <xdr:colOff>0</xdr:colOff>
      <xdr:row>30</xdr:row>
      <xdr:rowOff>114300</xdr:rowOff>
    </xdr:to>
    <xdr:cxnSp macro="">
      <xdr:nvCxnSpPr>
        <xdr:cNvPr id="3" name="Straight Connector 2">
          <a:extLst>
            <a:ext uri="{FF2B5EF4-FFF2-40B4-BE49-F238E27FC236}">
              <a16:creationId xmlns:a16="http://schemas.microsoft.com/office/drawing/2014/main" id="{0E821070-BD40-46DD-BA13-DA11F6B13F89}"/>
            </a:ext>
          </a:extLst>
        </xdr:cNvPr>
        <xdr:cNvCxnSpPr/>
      </xdr:nvCxnSpPr>
      <xdr:spPr>
        <a:xfrm flipV="1">
          <a:off x="2495550" y="6819901"/>
          <a:ext cx="1304925" cy="79057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0</xdr:colOff>
      <xdr:row>30</xdr:row>
      <xdr:rowOff>114301</xdr:rowOff>
    </xdr:from>
    <xdr:to>
      <xdr:col>9</xdr:col>
      <xdr:colOff>0</xdr:colOff>
      <xdr:row>34</xdr:row>
      <xdr:rowOff>133350</xdr:rowOff>
    </xdr:to>
    <xdr:cxnSp macro="">
      <xdr:nvCxnSpPr>
        <xdr:cNvPr id="4" name="Straight Connector 3">
          <a:extLst>
            <a:ext uri="{FF2B5EF4-FFF2-40B4-BE49-F238E27FC236}">
              <a16:creationId xmlns:a16="http://schemas.microsoft.com/office/drawing/2014/main" id="{EBDE98DF-8451-46E9-A2EB-0CA0A15B1F24}"/>
            </a:ext>
          </a:extLst>
        </xdr:cNvPr>
        <xdr:cNvCxnSpPr/>
      </xdr:nvCxnSpPr>
      <xdr:spPr>
        <a:xfrm>
          <a:off x="2486025" y="7610476"/>
          <a:ext cx="1314450" cy="781049"/>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30</xdr:row>
      <xdr:rowOff>123825</xdr:rowOff>
    </xdr:from>
    <xdr:to>
      <xdr:col>4</xdr:col>
      <xdr:colOff>390525</xdr:colOff>
      <xdr:row>34</xdr:row>
      <xdr:rowOff>114299</xdr:rowOff>
    </xdr:to>
    <xdr:cxnSp macro="">
      <xdr:nvCxnSpPr>
        <xdr:cNvPr id="8" name="Straight Connector 7">
          <a:extLst>
            <a:ext uri="{FF2B5EF4-FFF2-40B4-BE49-F238E27FC236}">
              <a16:creationId xmlns:a16="http://schemas.microsoft.com/office/drawing/2014/main" id="{6CDD92B4-BDCC-45AA-ADB7-F715E9CD0C02}"/>
            </a:ext>
          </a:extLst>
        </xdr:cNvPr>
        <xdr:cNvCxnSpPr/>
      </xdr:nvCxnSpPr>
      <xdr:spPr>
        <a:xfrm flipV="1">
          <a:off x="2486025" y="7620000"/>
          <a:ext cx="1704975" cy="75247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2038350</xdr:colOff>
      <xdr:row>34</xdr:row>
      <xdr:rowOff>123824</xdr:rowOff>
    </xdr:from>
    <xdr:to>
      <xdr:col>4</xdr:col>
      <xdr:colOff>504825</xdr:colOff>
      <xdr:row>38</xdr:row>
      <xdr:rowOff>95250</xdr:rowOff>
    </xdr:to>
    <xdr:cxnSp macro="">
      <xdr:nvCxnSpPr>
        <xdr:cNvPr id="10" name="Straight Connector 9">
          <a:extLst>
            <a:ext uri="{FF2B5EF4-FFF2-40B4-BE49-F238E27FC236}">
              <a16:creationId xmlns:a16="http://schemas.microsoft.com/office/drawing/2014/main" id="{A1A06051-78A8-4EE4-BAB6-06502CC54537}"/>
            </a:ext>
          </a:extLst>
        </xdr:cNvPr>
        <xdr:cNvCxnSpPr/>
      </xdr:nvCxnSpPr>
      <xdr:spPr>
        <a:xfrm>
          <a:off x="2476500" y="8381999"/>
          <a:ext cx="1828800" cy="73342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323850</xdr:colOff>
      <xdr:row>10</xdr:row>
      <xdr:rowOff>180975</xdr:rowOff>
    </xdr:from>
    <xdr:to>
      <xdr:col>12</xdr:col>
      <xdr:colOff>590550</xdr:colOff>
      <xdr:row>19</xdr:row>
      <xdr:rowOff>142875</xdr:rowOff>
    </xdr:to>
    <xdr:pic>
      <xdr:nvPicPr>
        <xdr:cNvPr id="2" name="Picture 1">
          <a:extLst>
            <a:ext uri="{FF2B5EF4-FFF2-40B4-BE49-F238E27FC236}">
              <a16:creationId xmlns:a16="http://schemas.microsoft.com/office/drawing/2014/main" id="{184CAC60-A21F-4586-A5F9-825326F543C4}"/>
            </a:ext>
          </a:extLst>
        </xdr:cNvPr>
        <xdr:cNvPicPr/>
      </xdr:nvPicPr>
      <xdr:blipFill>
        <a:blip xmlns:r="http://schemas.openxmlformats.org/officeDocument/2006/relationships" r:embed="rId1"/>
        <a:stretch>
          <a:fillRect/>
        </a:stretch>
      </xdr:blipFill>
      <xdr:spPr>
        <a:xfrm>
          <a:off x="7829550" y="2085975"/>
          <a:ext cx="4514850" cy="167640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zbuysell.com/Business-Opportunity/Beautiful-Bears-Inn-Bed-and-Breakfast-in-Colorado/1362024/?d=/wEFVCUyZmNvbG9yYWRvJTJmdHJhdmVsLWJ1c2luZXNzZXMtZm9yLXNhbGUlMmYlM2ZxJTNkJTJmd0VGRDJseVBURW1jM0JwWkQweEpuYzljUSUzZCUzZA==" TargetMode="External"/><Relationship Id="rId1" Type="http://schemas.openxmlformats.org/officeDocument/2006/relationships/hyperlink" Target="http://bearsin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E46DE-BD02-46F7-9E34-20E22936D0B3}">
  <dimension ref="A1:N76"/>
  <sheetViews>
    <sheetView topLeftCell="A64" workbookViewId="0">
      <selection activeCell="B77" sqref="B77"/>
    </sheetView>
  </sheetViews>
  <sheetFormatPr defaultRowHeight="15" x14ac:dyDescent="0.25"/>
  <cols>
    <col min="1" max="1" width="49.7109375" bestFit="1" customWidth="1"/>
    <col min="2" max="2" width="12.5703125" bestFit="1" customWidth="1"/>
    <col min="3" max="3" width="11.5703125" bestFit="1" customWidth="1"/>
    <col min="9" max="9" width="11" bestFit="1" customWidth="1"/>
  </cols>
  <sheetData>
    <row r="1" spans="1:14" x14ac:dyDescent="0.25">
      <c r="B1" s="2"/>
      <c r="C1" s="2"/>
      <c r="D1" s="2"/>
      <c r="E1" s="2"/>
      <c r="F1" s="2"/>
      <c r="G1" s="2"/>
      <c r="H1" s="2"/>
      <c r="I1" s="69" t="s">
        <v>178</v>
      </c>
      <c r="J1" s="61" t="s">
        <v>173</v>
      </c>
      <c r="K1" s="61"/>
      <c r="L1" s="61"/>
      <c r="M1" s="61"/>
      <c r="N1" s="62"/>
    </row>
    <row r="2" spans="1:14" x14ac:dyDescent="0.25">
      <c r="A2" t="s">
        <v>19</v>
      </c>
      <c r="B2" s="3">
        <v>849000</v>
      </c>
      <c r="C2" s="2"/>
      <c r="D2" s="2"/>
      <c r="E2" s="2"/>
      <c r="F2" s="2"/>
      <c r="G2" s="2"/>
      <c r="H2" s="2"/>
      <c r="I2" s="70" t="s">
        <v>179</v>
      </c>
      <c r="J2" s="63" t="s">
        <v>174</v>
      </c>
      <c r="K2" s="63"/>
      <c r="L2" s="63"/>
      <c r="M2" s="63"/>
      <c r="N2" s="64"/>
    </row>
    <row r="3" spans="1:14" x14ac:dyDescent="0.25">
      <c r="A3" t="s">
        <v>116</v>
      </c>
      <c r="B3" s="17">
        <f>63433/43560</f>
        <v>1.4562213039485767</v>
      </c>
      <c r="I3" s="70" t="s">
        <v>180</v>
      </c>
      <c r="J3" s="65" t="s">
        <v>175</v>
      </c>
      <c r="K3" s="63"/>
      <c r="L3" s="63"/>
      <c r="M3" s="63"/>
      <c r="N3" s="64"/>
    </row>
    <row r="4" spans="1:14" x14ac:dyDescent="0.25">
      <c r="A4" t="s">
        <v>17</v>
      </c>
      <c r="B4" s="4">
        <v>4303</v>
      </c>
      <c r="I4" s="70" t="s">
        <v>181</v>
      </c>
      <c r="J4" s="66" t="s">
        <v>176</v>
      </c>
      <c r="K4" s="63"/>
      <c r="L4" s="63"/>
      <c r="M4" s="63"/>
      <c r="N4" s="64"/>
    </row>
    <row r="5" spans="1:14" x14ac:dyDescent="0.25">
      <c r="A5" t="s">
        <v>18</v>
      </c>
      <c r="B5" s="4">
        <v>760</v>
      </c>
      <c r="I5" s="70" t="s">
        <v>182</v>
      </c>
      <c r="J5" s="163" t="s">
        <v>177</v>
      </c>
      <c r="K5" s="163"/>
      <c r="L5" s="163"/>
      <c r="M5" s="163"/>
      <c r="N5" s="164"/>
    </row>
    <row r="6" spans="1:14" x14ac:dyDescent="0.25">
      <c r="A6" t="s">
        <v>1</v>
      </c>
      <c r="B6">
        <v>1.46</v>
      </c>
      <c r="I6" s="67"/>
      <c r="J6" s="163"/>
      <c r="K6" s="163"/>
      <c r="L6" s="163"/>
      <c r="M6" s="163"/>
      <c r="N6" s="164"/>
    </row>
    <row r="7" spans="1:14" ht="15.75" thickBot="1" x14ac:dyDescent="0.3">
      <c r="A7" t="s">
        <v>63</v>
      </c>
      <c r="B7" s="1">
        <v>1260</v>
      </c>
      <c r="C7" t="s">
        <v>64</v>
      </c>
      <c r="I7" s="68"/>
      <c r="J7" s="165"/>
      <c r="K7" s="165"/>
      <c r="L7" s="165"/>
      <c r="M7" s="165"/>
      <c r="N7" s="166"/>
    </row>
    <row r="8" spans="1:14" x14ac:dyDescent="0.25">
      <c r="B8" s="1">
        <v>3000</v>
      </c>
    </row>
    <row r="9" spans="1:14" x14ac:dyDescent="0.25">
      <c r="A9" t="s">
        <v>65</v>
      </c>
      <c r="B9" s="1">
        <v>30</v>
      </c>
    </row>
    <row r="10" spans="1:14" x14ac:dyDescent="0.25">
      <c r="B10" s="1">
        <v>90</v>
      </c>
    </row>
    <row r="11" spans="1:14" x14ac:dyDescent="0.25">
      <c r="A11" t="s">
        <v>12</v>
      </c>
      <c r="B11">
        <v>11</v>
      </c>
    </row>
    <row r="12" spans="1:14" x14ac:dyDescent="0.25">
      <c r="A12" t="s">
        <v>16</v>
      </c>
      <c r="B12">
        <v>2</v>
      </c>
    </row>
    <row r="13" spans="1:14" x14ac:dyDescent="0.25">
      <c r="A13" t="s">
        <v>14</v>
      </c>
      <c r="B13" s="1">
        <v>160</v>
      </c>
    </row>
    <row r="14" spans="1:14" x14ac:dyDescent="0.25">
      <c r="A14" t="s">
        <v>15</v>
      </c>
      <c r="B14" s="1">
        <v>250</v>
      </c>
    </row>
    <row r="15" spans="1:14" x14ac:dyDescent="0.25">
      <c r="A15" t="s">
        <v>62</v>
      </c>
      <c r="B15" s="1">
        <v>250</v>
      </c>
    </row>
    <row r="16" spans="1:14" x14ac:dyDescent="0.25">
      <c r="A16" t="s">
        <v>30</v>
      </c>
    </row>
    <row r="17" spans="1:3" x14ac:dyDescent="0.25">
      <c r="A17" s="9" t="s">
        <v>61</v>
      </c>
      <c r="B17" s="10">
        <v>7</v>
      </c>
    </row>
    <row r="19" spans="1:3" x14ac:dyDescent="0.25">
      <c r="A19" t="s">
        <v>195</v>
      </c>
      <c r="B19" s="11">
        <f>Prices!E14</f>
        <v>15</v>
      </c>
      <c r="C19" t="s">
        <v>194</v>
      </c>
    </row>
    <row r="20" spans="1:3" x14ac:dyDescent="0.25">
      <c r="A20" t="s">
        <v>196</v>
      </c>
      <c r="B20" s="11">
        <v>5</v>
      </c>
      <c r="C20" t="s">
        <v>194</v>
      </c>
    </row>
    <row r="22" spans="1:3" x14ac:dyDescent="0.25">
      <c r="A22" t="s">
        <v>2</v>
      </c>
      <c r="B22" s="1">
        <v>12735</v>
      </c>
      <c r="C22" t="s">
        <v>20</v>
      </c>
    </row>
    <row r="23" spans="1:3" x14ac:dyDescent="0.25">
      <c r="A23" t="s">
        <v>13</v>
      </c>
      <c r="B23" s="4">
        <v>47405</v>
      </c>
    </row>
    <row r="24" spans="1:3" x14ac:dyDescent="0.25">
      <c r="A24" t="s">
        <v>21</v>
      </c>
      <c r="B24" s="11">
        <v>10.199999999999999</v>
      </c>
    </row>
    <row r="25" spans="1:3" x14ac:dyDescent="0.25">
      <c r="A25" t="s">
        <v>22</v>
      </c>
      <c r="B25" s="5">
        <v>4.6300000000000001E-2</v>
      </c>
    </row>
    <row r="26" spans="1:3" x14ac:dyDescent="0.25">
      <c r="A26" t="s">
        <v>23</v>
      </c>
      <c r="B26" s="5">
        <v>4.4999999999999998E-2</v>
      </c>
    </row>
    <row r="27" spans="1:3" x14ac:dyDescent="0.25">
      <c r="A27" t="s">
        <v>24</v>
      </c>
      <c r="B27" s="6">
        <v>0.437</v>
      </c>
    </row>
    <row r="29" spans="1:3" x14ac:dyDescent="0.25">
      <c r="A29" t="s">
        <v>278</v>
      </c>
      <c r="B29" s="83">
        <v>0.72</v>
      </c>
      <c r="C29" t="s">
        <v>198</v>
      </c>
    </row>
    <row r="30" spans="1:3" x14ac:dyDescent="0.25">
      <c r="A30" t="s">
        <v>199</v>
      </c>
      <c r="B30" s="106">
        <v>0.9</v>
      </c>
      <c r="C30" t="s">
        <v>200</v>
      </c>
    </row>
    <row r="32" spans="1:3" x14ac:dyDescent="0.25">
      <c r="A32" t="s">
        <v>27</v>
      </c>
      <c r="B32" s="1">
        <v>58</v>
      </c>
      <c r="C32" t="s">
        <v>25</v>
      </c>
    </row>
    <row r="33" spans="1:7" x14ac:dyDescent="0.25">
      <c r="A33" t="s">
        <v>28</v>
      </c>
      <c r="B33" s="1">
        <v>150</v>
      </c>
      <c r="C33" t="s">
        <v>26</v>
      </c>
    </row>
    <row r="34" spans="1:7" x14ac:dyDescent="0.25">
      <c r="C34" t="s">
        <v>29</v>
      </c>
    </row>
    <row r="35" spans="1:7" x14ac:dyDescent="0.25">
      <c r="B35" s="1">
        <f>(81*12)*12</f>
        <v>11664</v>
      </c>
    </row>
    <row r="36" spans="1:7" x14ac:dyDescent="0.25">
      <c r="C36" s="1">
        <v>12000</v>
      </c>
    </row>
    <row r="37" spans="1:7" ht="15.75" thickBot="1" x14ac:dyDescent="0.3"/>
    <row r="38" spans="1:7" x14ac:dyDescent="0.25">
      <c r="C38" s="167" t="s">
        <v>163</v>
      </c>
      <c r="D38" s="168"/>
      <c r="E38" s="168"/>
      <c r="F38" s="168"/>
      <c r="G38" s="169"/>
    </row>
    <row r="39" spans="1:7" ht="15" customHeight="1" x14ac:dyDescent="0.25">
      <c r="C39" s="170"/>
      <c r="D39" s="171"/>
      <c r="E39" s="171"/>
      <c r="F39" s="171"/>
      <c r="G39" s="172"/>
    </row>
    <row r="40" spans="1:7" x14ac:dyDescent="0.25">
      <c r="C40" s="170"/>
      <c r="D40" s="171"/>
      <c r="E40" s="171"/>
      <c r="F40" s="171"/>
      <c r="G40" s="172"/>
    </row>
    <row r="41" spans="1:7" x14ac:dyDescent="0.25">
      <c r="C41" s="170"/>
      <c r="D41" s="171"/>
      <c r="E41" s="171"/>
      <c r="F41" s="171"/>
      <c r="G41" s="172"/>
    </row>
    <row r="42" spans="1:7" ht="15.75" thickBot="1" x14ac:dyDescent="0.3">
      <c r="C42" s="173"/>
      <c r="D42" s="174"/>
      <c r="E42" s="174"/>
      <c r="F42" s="174"/>
      <c r="G42" s="175"/>
    </row>
    <row r="47" spans="1:7" x14ac:dyDescent="0.25">
      <c r="A47" t="s">
        <v>235</v>
      </c>
      <c r="B47" s="94">
        <v>5000</v>
      </c>
    </row>
    <row r="48" spans="1:7" x14ac:dyDescent="0.25">
      <c r="A48" t="s">
        <v>241</v>
      </c>
      <c r="B48">
        <v>10</v>
      </c>
    </row>
    <row r="49" spans="1:2" x14ac:dyDescent="0.25">
      <c r="A49" t="s">
        <v>240</v>
      </c>
      <c r="B49" s="94">
        <f>B47/B48</f>
        <v>500</v>
      </c>
    </row>
    <row r="52" spans="1:2" x14ac:dyDescent="0.25">
      <c r="A52" t="s">
        <v>230</v>
      </c>
      <c r="B52" s="19">
        <v>2.98E-2</v>
      </c>
    </row>
    <row r="56" spans="1:2" x14ac:dyDescent="0.25">
      <c r="A56" t="s">
        <v>248</v>
      </c>
      <c r="B56" s="49">
        <v>9.5000000000000001E-2</v>
      </c>
    </row>
    <row r="64" spans="1:2" x14ac:dyDescent="0.25">
      <c r="A64" t="s">
        <v>263</v>
      </c>
      <c r="B64" s="22">
        <v>0.15</v>
      </c>
    </row>
    <row r="76" spans="1:2" x14ac:dyDescent="0.25">
      <c r="A76" t="s">
        <v>305</v>
      </c>
      <c r="B76" s="79">
        <v>0.51</v>
      </c>
    </row>
  </sheetData>
  <mergeCells count="2">
    <mergeCell ref="J5:N7"/>
    <mergeCell ref="C38:G42"/>
  </mergeCells>
  <hyperlinks>
    <hyperlink ref="J4" r:id="rId1" xr:uid="{51306CCF-59E6-4F1A-B3A6-752AF1382D41}"/>
    <hyperlink ref="J5" r:id="rId2" xr:uid="{0F4DE5DE-58E7-4CA9-8F0F-FE50A1652C76}"/>
  </hyperlinks>
  <pageMargins left="0.7" right="0.7" top="0.75" bottom="0.75" header="0.3" footer="0.3"/>
  <pageSetup orientation="portrait" horizontalDpi="360" verticalDpi="36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D1CE-31CF-4AF5-B3DA-F014BEBFB2C6}">
  <dimension ref="A1:J35"/>
  <sheetViews>
    <sheetView showGridLines="0" topLeftCell="A13" workbookViewId="0">
      <selection activeCell="E37" sqref="E37"/>
    </sheetView>
  </sheetViews>
  <sheetFormatPr defaultRowHeight="15" x14ac:dyDescent="0.25"/>
  <cols>
    <col min="1" max="1" width="15.28515625" bestFit="1" customWidth="1"/>
    <col min="2" max="2" width="13.5703125" bestFit="1" customWidth="1"/>
    <col min="3" max="3" width="9.28515625" style="1" bestFit="1" customWidth="1"/>
    <col min="4" max="4" width="10.5703125" bestFit="1" customWidth="1"/>
    <col min="5" max="5" width="10.28515625" bestFit="1" customWidth="1"/>
    <col min="6" max="6" width="10.140625" bestFit="1" customWidth="1"/>
    <col min="7" max="7" width="12.5703125" bestFit="1" customWidth="1"/>
    <col min="8" max="8" width="49.42578125" bestFit="1" customWidth="1"/>
  </cols>
  <sheetData>
    <row r="1" spans="1:8" x14ac:dyDescent="0.25">
      <c r="A1" t="s">
        <v>54</v>
      </c>
      <c r="B1" t="str">
        <f>COUNTA(A3:A14) &amp; " Rooms"</f>
        <v>12 Rooms</v>
      </c>
    </row>
    <row r="2" spans="1:8" x14ac:dyDescent="0.25">
      <c r="A2" s="7" t="s">
        <v>33</v>
      </c>
      <c r="B2" s="7" t="s">
        <v>45</v>
      </c>
      <c r="C2" s="8" t="s">
        <v>34</v>
      </c>
      <c r="D2" s="8" t="s">
        <v>35</v>
      </c>
      <c r="E2" s="8" t="s">
        <v>52</v>
      </c>
      <c r="F2" s="8" t="s">
        <v>50</v>
      </c>
      <c r="G2" s="8" t="s">
        <v>51</v>
      </c>
      <c r="H2" s="7" t="s">
        <v>49</v>
      </c>
    </row>
    <row r="3" spans="1:8" x14ac:dyDescent="0.25">
      <c r="A3" t="s">
        <v>31</v>
      </c>
      <c r="B3" t="s">
        <v>46</v>
      </c>
      <c r="C3" s="1">
        <v>160</v>
      </c>
      <c r="D3" s="1">
        <v>0</v>
      </c>
      <c r="E3" s="1">
        <v>0</v>
      </c>
      <c r="F3" s="1">
        <v>0</v>
      </c>
      <c r="G3" s="1">
        <v>0</v>
      </c>
    </row>
    <row r="4" spans="1:8" x14ac:dyDescent="0.25">
      <c r="A4" t="s">
        <v>32</v>
      </c>
      <c r="B4" t="s">
        <v>46</v>
      </c>
      <c r="C4" s="1">
        <v>255</v>
      </c>
      <c r="D4" s="1">
        <v>20</v>
      </c>
      <c r="E4" s="1">
        <v>0</v>
      </c>
      <c r="F4" s="1">
        <v>0</v>
      </c>
      <c r="G4" s="1">
        <v>0</v>
      </c>
    </row>
    <row r="5" spans="1:8" x14ac:dyDescent="0.25">
      <c r="A5" t="s">
        <v>36</v>
      </c>
      <c r="B5" t="s">
        <v>46</v>
      </c>
      <c r="C5" s="1">
        <v>215</v>
      </c>
      <c r="D5" s="1">
        <v>0</v>
      </c>
      <c r="E5" s="1">
        <v>0</v>
      </c>
      <c r="F5" s="1">
        <v>0</v>
      </c>
      <c r="G5" s="1">
        <v>0</v>
      </c>
    </row>
    <row r="6" spans="1:8" x14ac:dyDescent="0.25">
      <c r="A6" t="s">
        <v>37</v>
      </c>
      <c r="B6" t="s">
        <v>46</v>
      </c>
      <c r="C6" s="1">
        <v>195</v>
      </c>
      <c r="D6" s="1">
        <v>0</v>
      </c>
      <c r="E6" s="1">
        <v>0</v>
      </c>
      <c r="F6" s="1">
        <v>0</v>
      </c>
      <c r="G6" s="1">
        <v>0</v>
      </c>
    </row>
    <row r="7" spans="1:8" x14ac:dyDescent="0.25">
      <c r="A7" t="s">
        <v>38</v>
      </c>
      <c r="B7" t="s">
        <v>46</v>
      </c>
      <c r="C7" s="1">
        <v>160</v>
      </c>
      <c r="D7" s="1">
        <v>0</v>
      </c>
      <c r="E7" s="1">
        <v>0</v>
      </c>
      <c r="F7" s="1">
        <v>0</v>
      </c>
      <c r="G7" s="1">
        <v>0</v>
      </c>
    </row>
    <row r="8" spans="1:8" x14ac:dyDescent="0.25">
      <c r="A8" t="s">
        <v>39</v>
      </c>
      <c r="B8" t="s">
        <v>46</v>
      </c>
      <c r="C8" s="1">
        <v>250</v>
      </c>
      <c r="D8" s="1">
        <v>0</v>
      </c>
      <c r="E8" s="1">
        <v>0</v>
      </c>
      <c r="F8" s="1">
        <v>0</v>
      </c>
      <c r="G8" s="1">
        <v>0</v>
      </c>
    </row>
    <row r="9" spans="1:8" x14ac:dyDescent="0.25">
      <c r="A9" t="s">
        <v>40</v>
      </c>
      <c r="B9" t="s">
        <v>46</v>
      </c>
      <c r="C9" s="1">
        <v>195</v>
      </c>
      <c r="D9" s="1">
        <v>0</v>
      </c>
      <c r="E9" s="1">
        <v>0</v>
      </c>
      <c r="F9" s="1">
        <v>0</v>
      </c>
      <c r="G9" s="1">
        <v>0</v>
      </c>
    </row>
    <row r="10" spans="1:8" x14ac:dyDescent="0.25">
      <c r="A10" t="s">
        <v>41</v>
      </c>
      <c r="B10" t="s">
        <v>46</v>
      </c>
      <c r="C10" s="1">
        <v>195</v>
      </c>
      <c r="D10" s="1">
        <v>0</v>
      </c>
      <c r="E10" s="1">
        <v>0</v>
      </c>
      <c r="F10" s="1">
        <v>0</v>
      </c>
      <c r="G10" s="1">
        <v>0</v>
      </c>
    </row>
    <row r="11" spans="1:8" x14ac:dyDescent="0.25">
      <c r="A11" t="s">
        <v>42</v>
      </c>
      <c r="B11" t="s">
        <v>46</v>
      </c>
      <c r="C11" s="1">
        <v>185</v>
      </c>
      <c r="D11" s="1">
        <v>0</v>
      </c>
      <c r="E11" s="1">
        <v>0</v>
      </c>
      <c r="F11" s="1">
        <v>0</v>
      </c>
      <c r="G11" s="1">
        <v>0</v>
      </c>
    </row>
    <row r="12" spans="1:8" x14ac:dyDescent="0.25">
      <c r="A12" t="s">
        <v>43</v>
      </c>
      <c r="B12" t="s">
        <v>46</v>
      </c>
      <c r="C12" s="1">
        <v>185</v>
      </c>
      <c r="D12" s="1">
        <v>0</v>
      </c>
      <c r="E12" s="1">
        <v>0</v>
      </c>
      <c r="F12" s="1">
        <v>0</v>
      </c>
      <c r="G12" s="1">
        <v>0</v>
      </c>
    </row>
    <row r="13" spans="1:8" x14ac:dyDescent="0.25">
      <c r="A13" t="s">
        <v>44</v>
      </c>
      <c r="B13" t="s">
        <v>46</v>
      </c>
      <c r="C13" s="1">
        <v>160</v>
      </c>
      <c r="D13" s="1">
        <v>0</v>
      </c>
      <c r="E13" s="1">
        <v>0</v>
      </c>
      <c r="F13" s="1">
        <v>0</v>
      </c>
      <c r="G13" s="1">
        <v>0</v>
      </c>
    </row>
    <row r="14" spans="1:8" x14ac:dyDescent="0.25">
      <c r="A14" t="s">
        <v>47</v>
      </c>
      <c r="B14" t="s">
        <v>48</v>
      </c>
      <c r="C14" s="1">
        <v>250</v>
      </c>
      <c r="D14" s="1">
        <v>20</v>
      </c>
      <c r="E14" s="1">
        <v>15</v>
      </c>
      <c r="F14" s="1">
        <v>15</v>
      </c>
      <c r="G14" s="1">
        <v>20</v>
      </c>
      <c r="H14" t="s">
        <v>53</v>
      </c>
    </row>
    <row r="15" spans="1:8" x14ac:dyDescent="0.25">
      <c r="A15" s="191" t="s">
        <v>66</v>
      </c>
      <c r="B15" s="191"/>
      <c r="C15" s="1">
        <f>AVERAGE(C3:C14)</f>
        <v>200.41666666666666</v>
      </c>
      <c r="D15" s="1">
        <f t="shared" ref="D15:G15" si="0">AVERAGE(D3:D14)</f>
        <v>3.3333333333333335</v>
      </c>
      <c r="E15" s="1">
        <f t="shared" si="0"/>
        <v>1.25</v>
      </c>
      <c r="F15" s="1">
        <f t="shared" si="0"/>
        <v>1.25</v>
      </c>
      <c r="G15" s="1">
        <f t="shared" si="0"/>
        <v>1.6666666666666667</v>
      </c>
    </row>
    <row r="17" spans="1:10" x14ac:dyDescent="0.25">
      <c r="A17" t="s">
        <v>55</v>
      </c>
    </row>
    <row r="18" spans="1:10" ht="30" x14ac:dyDescent="0.25">
      <c r="A18" s="7" t="s">
        <v>57</v>
      </c>
      <c r="B18" s="7" t="s">
        <v>58</v>
      </c>
      <c r="C18" s="14" t="s">
        <v>60</v>
      </c>
      <c r="D18" s="7" t="s">
        <v>35</v>
      </c>
      <c r="E18" s="7" t="s">
        <v>70</v>
      </c>
      <c r="F18" s="7"/>
      <c r="G18" s="192" t="s">
        <v>49</v>
      </c>
      <c r="H18" s="192"/>
      <c r="I18" s="192"/>
      <c r="J18" s="192"/>
    </row>
    <row r="19" spans="1:10" x14ac:dyDescent="0.25">
      <c r="A19" t="s">
        <v>56</v>
      </c>
      <c r="B19" t="s">
        <v>59</v>
      </c>
      <c r="C19" s="1">
        <v>2000</v>
      </c>
      <c r="D19" s="1">
        <v>0</v>
      </c>
      <c r="E19" s="12">
        <v>0.5</v>
      </c>
      <c r="G19" s="193" t="s">
        <v>68</v>
      </c>
      <c r="H19" s="193"/>
      <c r="I19" s="193"/>
      <c r="J19" s="193"/>
    </row>
    <row r="20" spans="1:10" ht="28.9" customHeight="1" x14ac:dyDescent="0.25">
      <c r="A20" t="s">
        <v>67</v>
      </c>
      <c r="B20" t="s">
        <v>59</v>
      </c>
      <c r="C20" s="1">
        <v>2125</v>
      </c>
      <c r="D20" s="1">
        <v>20</v>
      </c>
      <c r="E20" s="12">
        <v>0.5</v>
      </c>
      <c r="G20" s="193" t="s">
        <v>69</v>
      </c>
      <c r="H20" s="193"/>
      <c r="I20" s="193"/>
      <c r="J20" s="193"/>
    </row>
    <row r="21" spans="1:10" x14ac:dyDescent="0.25">
      <c r="A21" t="s">
        <v>71</v>
      </c>
      <c r="C21" s="1">
        <v>150</v>
      </c>
      <c r="G21" s="194" t="s">
        <v>72</v>
      </c>
      <c r="H21" s="194"/>
      <c r="I21" s="194"/>
      <c r="J21" s="13"/>
    </row>
    <row r="24" spans="1:10" x14ac:dyDescent="0.25">
      <c r="B24" t="str">
        <f>Facts!A27</f>
        <v>Average Occupancy</v>
      </c>
      <c r="D24" s="49">
        <f>Facts!B27</f>
        <v>0.437</v>
      </c>
    </row>
    <row r="25" spans="1:10" ht="15.75" thickBot="1" x14ac:dyDescent="0.3">
      <c r="B25" t="s">
        <v>161</v>
      </c>
      <c r="D25" s="49">
        <v>0.5</v>
      </c>
    </row>
    <row r="26" spans="1:10" x14ac:dyDescent="0.25">
      <c r="B26" s="179" t="s">
        <v>113</v>
      </c>
      <c r="C26" s="180"/>
      <c r="D26" s="181"/>
      <c r="F26" s="182" t="s">
        <v>160</v>
      </c>
      <c r="G26" s="183"/>
      <c r="H26" s="184"/>
    </row>
    <row r="27" spans="1:10" x14ac:dyDescent="0.25">
      <c r="B27" s="44" t="s">
        <v>114</v>
      </c>
      <c r="D27" s="45">
        <f>COUNTA(A3:A14)</f>
        <v>12</v>
      </c>
      <c r="F27" s="185"/>
      <c r="G27" s="186"/>
      <c r="H27" s="187"/>
    </row>
    <row r="28" spans="1:10" x14ac:dyDescent="0.25">
      <c r="B28" s="44" t="s">
        <v>115</v>
      </c>
      <c r="D28" s="46">
        <f>C15</f>
        <v>200.41666666666666</v>
      </c>
      <c r="F28" s="185"/>
      <c r="G28" s="186"/>
      <c r="H28" s="187"/>
    </row>
    <row r="29" spans="1:10" x14ac:dyDescent="0.25">
      <c r="B29" s="44" t="s">
        <v>162</v>
      </c>
      <c r="D29" s="51">
        <f>365*D25</f>
        <v>182.5</v>
      </c>
      <c r="F29" s="185"/>
      <c r="G29" s="186"/>
      <c r="H29" s="187"/>
    </row>
    <row r="30" spans="1:10" ht="15.75" thickBot="1" x14ac:dyDescent="0.3">
      <c r="B30" s="47"/>
      <c r="C30" s="50"/>
      <c r="D30" s="48">
        <f>D27*D28*D29</f>
        <v>438912.5</v>
      </c>
      <c r="F30" s="188"/>
      <c r="G30" s="189"/>
      <c r="H30" s="190"/>
    </row>
    <row r="32" spans="1:10" x14ac:dyDescent="0.25">
      <c r="B32" s="176" t="s">
        <v>186</v>
      </c>
      <c r="C32" s="177"/>
      <c r="D32" s="178"/>
    </row>
    <row r="33" spans="2:4" x14ac:dyDescent="0.25">
      <c r="B33" s="44" t="str">
        <f>B29</f>
        <v>Occupany Days in a Year</v>
      </c>
      <c r="C33" s="72"/>
      <c r="D33" s="73">
        <f>D29</f>
        <v>182.5</v>
      </c>
    </row>
    <row r="34" spans="2:4" x14ac:dyDescent="0.25">
      <c r="B34" s="44" t="s">
        <v>187</v>
      </c>
      <c r="C34" s="72"/>
      <c r="D34" s="74">
        <v>12</v>
      </c>
    </row>
    <row r="35" spans="2:4" x14ac:dyDescent="0.25">
      <c r="B35" s="47"/>
      <c r="C35" s="50"/>
      <c r="D35" s="51">
        <f>D33*D34</f>
        <v>2190</v>
      </c>
    </row>
  </sheetData>
  <mergeCells count="8">
    <mergeCell ref="B32:D32"/>
    <mergeCell ref="B26:D26"/>
    <mergeCell ref="F26:H30"/>
    <mergeCell ref="A15:B15"/>
    <mergeCell ref="G18:J18"/>
    <mergeCell ref="G19:J19"/>
    <mergeCell ref="G20:J20"/>
    <mergeCell ref="G21:I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D637-2F33-430F-8C3E-C268898BB7AC}">
  <dimension ref="A1:AD145"/>
  <sheetViews>
    <sheetView showGridLines="0" zoomScaleNormal="100" workbookViewId="0">
      <pane xSplit="3" ySplit="1" topLeftCell="D129" activePane="bottomRight" state="frozen"/>
      <selection pane="topRight" activeCell="D1" sqref="D1"/>
      <selection pane="bottomLeft" activeCell="A2" sqref="A2"/>
      <selection pane="bottomRight" activeCell="D127" sqref="D127"/>
    </sheetView>
  </sheetViews>
  <sheetFormatPr defaultRowHeight="15" x14ac:dyDescent="0.25"/>
  <cols>
    <col min="1" max="1" width="3.28515625" style="15" customWidth="1"/>
    <col min="2" max="2" width="3.28515625" style="4" customWidth="1"/>
    <col min="3" max="3" width="30.7109375" style="4" customWidth="1"/>
    <col min="4" max="4" width="11.28515625" style="4" bestFit="1" customWidth="1"/>
    <col min="5" max="5" width="12.5703125" style="4" bestFit="1" customWidth="1"/>
    <col min="6" max="6" width="11.28515625" style="4" bestFit="1" customWidth="1"/>
    <col min="7" max="7" width="11.140625" style="4" bestFit="1" customWidth="1"/>
    <col min="8" max="8" width="10.85546875" style="4" bestFit="1" customWidth="1"/>
    <col min="9" max="9" width="11.28515625" style="4" bestFit="1" customWidth="1"/>
    <col min="10" max="10" width="12.5703125" style="4" bestFit="1" customWidth="1"/>
    <col min="11" max="13" width="12" style="4" bestFit="1" customWidth="1"/>
    <col min="14" max="14" width="11.85546875" style="4" bestFit="1" customWidth="1"/>
    <col min="15" max="15" width="9.140625" style="77"/>
    <col min="16" max="16" width="9.7109375" style="77" bestFit="1" customWidth="1"/>
    <col min="17" max="17" width="9.140625" style="4"/>
    <col min="18" max="18" width="17.42578125" style="4" customWidth="1"/>
    <col min="19" max="20" width="9.140625" style="4"/>
    <col min="21" max="21" width="16.28515625" style="4" bestFit="1" customWidth="1"/>
    <col min="22" max="22" width="12" style="4" bestFit="1" customWidth="1"/>
    <col min="23" max="23" width="9.140625" style="4"/>
    <col min="24" max="24" width="15.85546875" style="4" bestFit="1" customWidth="1"/>
    <col min="25" max="25" width="11.5703125" style="4" bestFit="1" customWidth="1"/>
    <col min="26" max="16384" width="9.140625" style="4"/>
  </cols>
  <sheetData>
    <row r="1" spans="1:18" x14ac:dyDescent="0.25">
      <c r="D1" s="120" t="s">
        <v>220</v>
      </c>
      <c r="E1" s="121" t="s">
        <v>0</v>
      </c>
      <c r="F1" s="121" t="s">
        <v>3</v>
      </c>
      <c r="G1" s="121" t="s">
        <v>4</v>
      </c>
      <c r="H1" s="121" t="s">
        <v>5</v>
      </c>
      <c r="I1" s="121" t="s">
        <v>6</v>
      </c>
      <c r="J1" s="121" t="s">
        <v>7</v>
      </c>
      <c r="K1" s="121" t="s">
        <v>8</v>
      </c>
      <c r="L1" s="121" t="s">
        <v>9</v>
      </c>
      <c r="M1" s="121" t="s">
        <v>10</v>
      </c>
      <c r="N1" s="121" t="s">
        <v>11</v>
      </c>
      <c r="O1" s="75" t="s">
        <v>73</v>
      </c>
      <c r="P1" s="4" t="s">
        <v>246</v>
      </c>
    </row>
    <row r="2" spans="1:18" x14ac:dyDescent="0.25">
      <c r="A2" s="16" t="s">
        <v>74</v>
      </c>
      <c r="O2" s="75"/>
      <c r="P2" s="76"/>
      <c r="R2" s="60" t="s">
        <v>172</v>
      </c>
    </row>
    <row r="3" spans="1:18" x14ac:dyDescent="0.25">
      <c r="A3" s="4" t="s">
        <v>143</v>
      </c>
      <c r="D3" s="22">
        <v>0.05</v>
      </c>
      <c r="O3" s="75" t="s">
        <v>83</v>
      </c>
      <c r="P3" s="76"/>
      <c r="R3" s="56" t="s">
        <v>167</v>
      </c>
    </row>
    <row r="4" spans="1:18" x14ac:dyDescent="0.25">
      <c r="A4" s="15" t="s">
        <v>81</v>
      </c>
      <c r="D4" s="27">
        <f>Prices!D30</f>
        <v>438912.5</v>
      </c>
      <c r="O4" s="75" t="s">
        <v>83</v>
      </c>
      <c r="P4" s="76"/>
      <c r="R4" s="55" t="s">
        <v>168</v>
      </c>
    </row>
    <row r="5" spans="1:18" x14ac:dyDescent="0.25">
      <c r="A5" s="4" t="s">
        <v>155</v>
      </c>
      <c r="D5" s="27">
        <f>Facts!C36</f>
        <v>12000</v>
      </c>
      <c r="O5" s="75" t="s">
        <v>83</v>
      </c>
      <c r="P5" s="76"/>
      <c r="R5" s="57" t="s">
        <v>169</v>
      </c>
    </row>
    <row r="6" spans="1:18" x14ac:dyDescent="0.25">
      <c r="A6" s="4" t="s">
        <v>185</v>
      </c>
      <c r="E6" s="20">
        <v>5</v>
      </c>
      <c r="F6" s="4">
        <f t="shared" ref="F6:F11" si="0">E6*(1+$O6)</f>
        <v>5</v>
      </c>
      <c r="G6" s="4">
        <f t="shared" ref="G6:N6" si="1">F6*(1+$O6)</f>
        <v>5</v>
      </c>
      <c r="H6" s="4">
        <f t="shared" si="1"/>
        <v>5</v>
      </c>
      <c r="I6" s="4">
        <f t="shared" si="1"/>
        <v>5</v>
      </c>
      <c r="J6" s="4">
        <f t="shared" si="1"/>
        <v>5</v>
      </c>
      <c r="K6" s="4">
        <f t="shared" si="1"/>
        <v>5</v>
      </c>
      <c r="L6" s="4">
        <f t="shared" si="1"/>
        <v>5</v>
      </c>
      <c r="M6" s="4">
        <f t="shared" si="1"/>
        <v>5</v>
      </c>
      <c r="N6" s="4">
        <f t="shared" si="1"/>
        <v>5</v>
      </c>
      <c r="O6" s="75">
        <v>0</v>
      </c>
      <c r="P6" s="76"/>
      <c r="R6" s="58" t="s">
        <v>170</v>
      </c>
    </row>
    <row r="7" spans="1:18" x14ac:dyDescent="0.25">
      <c r="A7" s="4" t="s">
        <v>197</v>
      </c>
      <c r="E7" s="20">
        <v>20</v>
      </c>
      <c r="F7" s="4">
        <f t="shared" si="0"/>
        <v>20.049999999999997</v>
      </c>
      <c r="G7" s="4">
        <f t="shared" ref="G7" si="2">F7*(1+$O7)</f>
        <v>20.100124999999995</v>
      </c>
      <c r="H7" s="4">
        <f t="shared" ref="H7" si="3">G7*(1+$O7)</f>
        <v>20.150375312499992</v>
      </c>
      <c r="I7" s="4">
        <f t="shared" ref="I7" si="4">H7*(1+$O7)</f>
        <v>20.200751250781241</v>
      </c>
      <c r="J7" s="4">
        <f t="shared" ref="J7" si="5">I7*(1+$O7)</f>
        <v>20.251253128908193</v>
      </c>
      <c r="K7" s="4">
        <f t="shared" ref="K7" si="6">J7*(1+$O7)</f>
        <v>20.301881261730461</v>
      </c>
      <c r="L7" s="4">
        <f t="shared" ref="L7" si="7">K7*(1+$O7)</f>
        <v>20.352635964884787</v>
      </c>
      <c r="M7" s="4">
        <f t="shared" ref="M7" si="8">L7*(1+$O7)</f>
        <v>20.403517554796998</v>
      </c>
      <c r="N7" s="4">
        <f t="shared" ref="N7" si="9">M7*(1+$O7)</f>
        <v>20.454526348683991</v>
      </c>
      <c r="O7" s="75">
        <v>2.5000000000000001E-3</v>
      </c>
      <c r="P7" s="76"/>
      <c r="R7" s="59" t="s">
        <v>171</v>
      </c>
    </row>
    <row r="8" spans="1:18" x14ac:dyDescent="0.25">
      <c r="A8" s="4" t="s">
        <v>189</v>
      </c>
      <c r="E8" s="81">
        <v>10</v>
      </c>
      <c r="F8" s="11">
        <f t="shared" si="0"/>
        <v>10</v>
      </c>
      <c r="G8" s="11">
        <f t="shared" ref="G8:N8" si="10">F8*(1+$O8)</f>
        <v>10</v>
      </c>
      <c r="H8" s="11">
        <f t="shared" si="10"/>
        <v>10</v>
      </c>
      <c r="I8" s="11">
        <f t="shared" si="10"/>
        <v>10</v>
      </c>
      <c r="J8" s="11">
        <f t="shared" si="10"/>
        <v>10</v>
      </c>
      <c r="K8" s="11">
        <f t="shared" si="10"/>
        <v>10</v>
      </c>
      <c r="L8" s="11">
        <f t="shared" si="10"/>
        <v>10</v>
      </c>
      <c r="M8" s="11">
        <f t="shared" si="10"/>
        <v>10</v>
      </c>
      <c r="N8" s="11">
        <f t="shared" si="10"/>
        <v>10</v>
      </c>
      <c r="O8" s="75">
        <v>0</v>
      </c>
      <c r="P8" s="76"/>
    </row>
    <row r="9" spans="1:18" x14ac:dyDescent="0.25">
      <c r="A9" s="4" t="s">
        <v>184</v>
      </c>
      <c r="E9" s="78">
        <v>100</v>
      </c>
      <c r="F9" s="78">
        <f t="shared" si="0"/>
        <v>100</v>
      </c>
      <c r="G9" s="78">
        <f t="shared" ref="G9:N9" si="11">F9*(1+$O9)</f>
        <v>100</v>
      </c>
      <c r="H9" s="78">
        <f t="shared" si="11"/>
        <v>100</v>
      </c>
      <c r="I9" s="78">
        <f t="shared" si="11"/>
        <v>100</v>
      </c>
      <c r="J9" s="78">
        <f t="shared" si="11"/>
        <v>100</v>
      </c>
      <c r="K9" s="78">
        <f t="shared" si="11"/>
        <v>100</v>
      </c>
      <c r="L9" s="78">
        <f t="shared" si="11"/>
        <v>100</v>
      </c>
      <c r="M9" s="78">
        <f t="shared" si="11"/>
        <v>100</v>
      </c>
      <c r="N9" s="78">
        <f t="shared" si="11"/>
        <v>100</v>
      </c>
      <c r="O9" s="75">
        <v>0</v>
      </c>
      <c r="P9" s="76"/>
      <c r="R9" s="71"/>
    </row>
    <row r="10" spans="1:18" x14ac:dyDescent="0.25">
      <c r="A10" s="15" t="s">
        <v>144</v>
      </c>
      <c r="E10" s="4">
        <v>10000</v>
      </c>
      <c r="F10" s="20">
        <f t="shared" si="0"/>
        <v>10000</v>
      </c>
      <c r="G10" s="20">
        <f t="shared" ref="G10:N11" si="12">F10*(1+$O10)</f>
        <v>10000</v>
      </c>
      <c r="H10" s="20">
        <f t="shared" si="12"/>
        <v>10000</v>
      </c>
      <c r="I10" s="20">
        <f t="shared" si="12"/>
        <v>10000</v>
      </c>
      <c r="J10" s="20">
        <f t="shared" si="12"/>
        <v>10000</v>
      </c>
      <c r="K10" s="20">
        <f t="shared" si="12"/>
        <v>10000</v>
      </c>
      <c r="L10" s="20">
        <f t="shared" si="12"/>
        <v>10000</v>
      </c>
      <c r="M10" s="20">
        <f t="shared" si="12"/>
        <v>10000</v>
      </c>
      <c r="N10" s="20">
        <f t="shared" si="12"/>
        <v>10000</v>
      </c>
      <c r="O10" s="75">
        <v>0</v>
      </c>
      <c r="P10" s="76"/>
      <c r="R10" s="71"/>
    </row>
    <row r="11" spans="1:18" x14ac:dyDescent="0.25">
      <c r="A11" s="15" t="s">
        <v>208</v>
      </c>
      <c r="E11" s="85">
        <f>Facts!$B$19</f>
        <v>15</v>
      </c>
      <c r="F11" s="81">
        <f t="shared" si="0"/>
        <v>15</v>
      </c>
      <c r="G11" s="81">
        <f t="shared" si="12"/>
        <v>15</v>
      </c>
      <c r="H11" s="81">
        <f t="shared" si="12"/>
        <v>15</v>
      </c>
      <c r="I11" s="81">
        <f t="shared" si="12"/>
        <v>15</v>
      </c>
      <c r="J11" s="81">
        <f t="shared" si="12"/>
        <v>15</v>
      </c>
      <c r="K11" s="81">
        <f t="shared" si="12"/>
        <v>15</v>
      </c>
      <c r="L11" s="81">
        <f t="shared" si="12"/>
        <v>15</v>
      </c>
      <c r="M11" s="81">
        <f t="shared" si="12"/>
        <v>15</v>
      </c>
      <c r="N11" s="81">
        <f t="shared" si="12"/>
        <v>15</v>
      </c>
      <c r="O11" s="75">
        <v>0</v>
      </c>
      <c r="P11" s="76"/>
      <c r="R11" s="71"/>
    </row>
    <row r="12" spans="1:18" x14ac:dyDescent="0.25">
      <c r="A12" s="15" t="s">
        <v>237</v>
      </c>
      <c r="E12" s="86">
        <f>E7+(E7*$O12)</f>
        <v>27</v>
      </c>
      <c r="F12" s="86">
        <f t="shared" ref="F12:N12" si="13">F7+(F7*$O12)</f>
        <v>27.067499999999995</v>
      </c>
      <c r="G12" s="86">
        <f t="shared" si="13"/>
        <v>27.135168749999991</v>
      </c>
      <c r="H12" s="86">
        <f t="shared" si="13"/>
        <v>27.203006671874988</v>
      </c>
      <c r="I12" s="86">
        <f t="shared" si="13"/>
        <v>27.271014188554673</v>
      </c>
      <c r="J12" s="86">
        <f t="shared" si="13"/>
        <v>27.339191724026058</v>
      </c>
      <c r="K12" s="86">
        <f t="shared" si="13"/>
        <v>27.40753970333612</v>
      </c>
      <c r="L12" s="86">
        <f t="shared" si="13"/>
        <v>27.476058552594459</v>
      </c>
      <c r="M12" s="86">
        <f t="shared" si="13"/>
        <v>27.544748698975948</v>
      </c>
      <c r="N12" s="86">
        <f t="shared" si="13"/>
        <v>27.613610570723388</v>
      </c>
      <c r="O12" s="75">
        <v>0.35</v>
      </c>
      <c r="P12" s="76"/>
      <c r="R12" s="71"/>
    </row>
    <row r="13" spans="1:18" x14ac:dyDescent="0.25">
      <c r="A13" s="15" t="s">
        <v>277</v>
      </c>
      <c r="D13" s="27">
        <f>Facts!B47</f>
        <v>5000</v>
      </c>
      <c r="E13" s="86"/>
      <c r="F13" s="86"/>
      <c r="G13" s="86"/>
      <c r="H13" s="86"/>
      <c r="I13" s="86"/>
      <c r="J13" s="86"/>
      <c r="K13" s="86"/>
      <c r="L13" s="86"/>
      <c r="M13" s="86"/>
      <c r="N13" s="86"/>
      <c r="O13" s="75"/>
      <c r="P13" s="76"/>
      <c r="R13" s="71"/>
    </row>
    <row r="14" spans="1:18" x14ac:dyDescent="0.25">
      <c r="A14" s="15" t="s">
        <v>234</v>
      </c>
      <c r="E14" s="27">
        <f>Facts!B49</f>
        <v>500</v>
      </c>
      <c r="F14" s="20">
        <f t="shared" ref="F14:N14" si="14">E14*(1+$O14)</f>
        <v>500</v>
      </c>
      <c r="G14" s="20">
        <f t="shared" si="14"/>
        <v>500</v>
      </c>
      <c r="H14" s="20">
        <f t="shared" si="14"/>
        <v>500</v>
      </c>
      <c r="I14" s="20">
        <f t="shared" si="14"/>
        <v>500</v>
      </c>
      <c r="J14" s="20">
        <f t="shared" si="14"/>
        <v>500</v>
      </c>
      <c r="K14" s="20">
        <f t="shared" si="14"/>
        <v>500</v>
      </c>
      <c r="L14" s="20">
        <f t="shared" si="14"/>
        <v>500</v>
      </c>
      <c r="M14" s="20">
        <f t="shared" si="14"/>
        <v>500</v>
      </c>
      <c r="N14" s="20">
        <f t="shared" si="14"/>
        <v>500</v>
      </c>
      <c r="O14" s="75">
        <v>0</v>
      </c>
      <c r="P14" s="76"/>
      <c r="R14" s="71"/>
    </row>
    <row r="15" spans="1:18" x14ac:dyDescent="0.25">
      <c r="A15" s="15" t="s">
        <v>75</v>
      </c>
      <c r="E15" s="17">
        <v>25</v>
      </c>
      <c r="F15" s="78">
        <f>E15*(1+$O15)</f>
        <v>25</v>
      </c>
      <c r="G15" s="78">
        <f t="shared" ref="F15:N31" si="15">F15*(1+$O15)</f>
        <v>25</v>
      </c>
      <c r="H15" s="78">
        <f t="shared" si="15"/>
        <v>25</v>
      </c>
      <c r="I15" s="78">
        <f t="shared" si="15"/>
        <v>25</v>
      </c>
      <c r="J15" s="78">
        <f t="shared" si="15"/>
        <v>25</v>
      </c>
      <c r="K15" s="78">
        <f t="shared" si="15"/>
        <v>25</v>
      </c>
      <c r="L15" s="78">
        <f t="shared" si="15"/>
        <v>25</v>
      </c>
      <c r="M15" s="78">
        <f t="shared" si="15"/>
        <v>25</v>
      </c>
      <c r="N15" s="78">
        <f t="shared" si="15"/>
        <v>25</v>
      </c>
      <c r="O15" s="75">
        <v>0</v>
      </c>
      <c r="P15" s="76"/>
    </row>
    <row r="16" spans="1:18" x14ac:dyDescent="0.25">
      <c r="A16" s="15" t="s">
        <v>190</v>
      </c>
      <c r="E16" s="17">
        <v>3</v>
      </c>
      <c r="F16" s="78">
        <f t="shared" ref="F16:F17" si="16">E16*(1+$O16)</f>
        <v>3</v>
      </c>
      <c r="G16" s="78">
        <f t="shared" ref="G16:G17" si="17">F16*(1+$O16)</f>
        <v>3</v>
      </c>
      <c r="H16" s="78">
        <f t="shared" ref="H16:H17" si="18">G16*(1+$O16)</f>
        <v>3</v>
      </c>
      <c r="I16" s="78">
        <f t="shared" ref="I16:I17" si="19">H16*(1+$O16)</f>
        <v>3</v>
      </c>
      <c r="J16" s="78">
        <f t="shared" ref="J16:J17" si="20">I16*(1+$O16)</f>
        <v>3</v>
      </c>
      <c r="K16" s="78">
        <f t="shared" ref="K16:K17" si="21">J16*(1+$O16)</f>
        <v>3</v>
      </c>
      <c r="L16" s="78">
        <f t="shared" ref="L16:L17" si="22">K16*(1+$O16)</f>
        <v>3</v>
      </c>
      <c r="M16" s="78">
        <f t="shared" ref="M16:M17" si="23">L16*(1+$O16)</f>
        <v>3</v>
      </c>
      <c r="N16" s="78">
        <f t="shared" ref="N16:N17" si="24">M16*(1+$O16)</f>
        <v>3</v>
      </c>
      <c r="O16" s="75">
        <v>0</v>
      </c>
      <c r="P16" s="76"/>
    </row>
    <row r="17" spans="1:18" x14ac:dyDescent="0.25">
      <c r="A17" s="15" t="s">
        <v>191</v>
      </c>
      <c r="E17" s="17">
        <v>20</v>
      </c>
      <c r="F17" s="78">
        <f t="shared" si="16"/>
        <v>20</v>
      </c>
      <c r="G17" s="78">
        <f t="shared" si="17"/>
        <v>20</v>
      </c>
      <c r="H17" s="78">
        <f t="shared" si="18"/>
        <v>20</v>
      </c>
      <c r="I17" s="78">
        <f t="shared" si="19"/>
        <v>20</v>
      </c>
      <c r="J17" s="78">
        <f t="shared" si="20"/>
        <v>20</v>
      </c>
      <c r="K17" s="78">
        <f t="shared" si="21"/>
        <v>20</v>
      </c>
      <c r="L17" s="78">
        <f t="shared" si="22"/>
        <v>20</v>
      </c>
      <c r="M17" s="78">
        <f t="shared" si="23"/>
        <v>20</v>
      </c>
      <c r="N17" s="78">
        <f t="shared" si="24"/>
        <v>20</v>
      </c>
      <c r="O17" s="75">
        <v>0</v>
      </c>
      <c r="P17" s="97"/>
    </row>
    <row r="18" spans="1:18" x14ac:dyDescent="0.25">
      <c r="A18" s="15" t="s">
        <v>76</v>
      </c>
      <c r="E18" s="17">
        <v>20</v>
      </c>
      <c r="F18" s="78">
        <f t="shared" si="15"/>
        <v>20</v>
      </c>
      <c r="G18" s="78">
        <f t="shared" si="15"/>
        <v>20</v>
      </c>
      <c r="H18" s="78">
        <f t="shared" si="15"/>
        <v>20</v>
      </c>
      <c r="I18" s="78">
        <f t="shared" si="15"/>
        <v>20</v>
      </c>
      <c r="J18" s="78">
        <f t="shared" si="15"/>
        <v>20</v>
      </c>
      <c r="K18" s="78">
        <f t="shared" si="15"/>
        <v>20</v>
      </c>
      <c r="L18" s="78">
        <f t="shared" si="15"/>
        <v>20</v>
      </c>
      <c r="M18" s="78">
        <f t="shared" si="15"/>
        <v>20</v>
      </c>
      <c r="N18" s="78">
        <f t="shared" si="15"/>
        <v>20</v>
      </c>
      <c r="O18" s="75">
        <v>0</v>
      </c>
      <c r="P18" s="97"/>
    </row>
    <row r="19" spans="1:18" x14ac:dyDescent="0.25">
      <c r="A19" s="15" t="s">
        <v>236</v>
      </c>
      <c r="E19" s="17">
        <v>90</v>
      </c>
      <c r="F19" s="78">
        <f t="shared" si="15"/>
        <v>90</v>
      </c>
      <c r="G19" s="78">
        <f t="shared" ref="G19" si="25">F19*(1+$O19)</f>
        <v>90</v>
      </c>
      <c r="H19" s="78">
        <f t="shared" ref="H19" si="26">G19*(1+$O19)</f>
        <v>90</v>
      </c>
      <c r="I19" s="78">
        <f t="shared" ref="I19" si="27">H19*(1+$O19)</f>
        <v>90</v>
      </c>
      <c r="J19" s="78">
        <f t="shared" ref="J19" si="28">I19*(1+$O19)</f>
        <v>90</v>
      </c>
      <c r="K19" s="78">
        <f t="shared" ref="K19" si="29">J19*(1+$O19)</f>
        <v>90</v>
      </c>
      <c r="L19" s="78">
        <f t="shared" ref="L19" si="30">K19*(1+$O19)</f>
        <v>90</v>
      </c>
      <c r="M19" s="78">
        <f t="shared" ref="M19" si="31">L19*(1+$O19)</f>
        <v>90</v>
      </c>
      <c r="N19" s="78">
        <f t="shared" ref="N19" si="32">M19*(1+$O19)</f>
        <v>90</v>
      </c>
      <c r="O19" s="80">
        <v>0</v>
      </c>
      <c r="P19" s="97"/>
    </row>
    <row r="20" spans="1:18" x14ac:dyDescent="0.25">
      <c r="A20" s="15" t="s">
        <v>233</v>
      </c>
      <c r="D20" s="4">
        <f>(E76+E77)*0.75</f>
        <v>345028.99793388427</v>
      </c>
      <c r="F20" s="17"/>
      <c r="G20" s="17"/>
      <c r="H20" s="17"/>
      <c r="I20" s="17"/>
      <c r="J20" s="17"/>
      <c r="K20" s="17"/>
      <c r="L20" s="17"/>
      <c r="M20" s="17"/>
      <c r="N20" s="17"/>
      <c r="O20" s="75" t="s">
        <v>83</v>
      </c>
      <c r="P20" s="97"/>
    </row>
    <row r="21" spans="1:18" x14ac:dyDescent="0.25">
      <c r="A21" s="18" t="s">
        <v>77</v>
      </c>
      <c r="B21" s="19"/>
      <c r="C21" s="19"/>
      <c r="D21" s="19"/>
      <c r="E21" s="19">
        <v>4.4600000000000001E-2</v>
      </c>
      <c r="F21" s="79">
        <f t="shared" si="15"/>
        <v>4.4600000000000001E-2</v>
      </c>
      <c r="G21" s="79">
        <f t="shared" ref="G21:N21" si="33">F21*(1+$O21)</f>
        <v>4.4600000000000001E-2</v>
      </c>
      <c r="H21" s="79">
        <f t="shared" si="33"/>
        <v>4.4600000000000001E-2</v>
      </c>
      <c r="I21" s="79">
        <f t="shared" si="33"/>
        <v>4.4600000000000001E-2</v>
      </c>
      <c r="J21" s="79">
        <f t="shared" si="33"/>
        <v>4.4600000000000001E-2</v>
      </c>
      <c r="K21" s="79">
        <f t="shared" si="33"/>
        <v>4.4600000000000001E-2</v>
      </c>
      <c r="L21" s="79">
        <f t="shared" si="33"/>
        <v>4.4600000000000001E-2</v>
      </c>
      <c r="M21" s="79">
        <f t="shared" si="33"/>
        <v>4.4600000000000001E-2</v>
      </c>
      <c r="N21" s="79">
        <f t="shared" si="33"/>
        <v>4.4600000000000001E-2</v>
      </c>
      <c r="O21" s="80">
        <v>0</v>
      </c>
      <c r="P21" s="97"/>
      <c r="R21" s="19"/>
    </row>
    <row r="22" spans="1:18" s="19" customFormat="1" x14ac:dyDescent="0.25">
      <c r="A22" s="18" t="s">
        <v>78</v>
      </c>
      <c r="E22" s="19">
        <v>7.0000000000000007E-2</v>
      </c>
      <c r="F22" s="79">
        <f t="shared" si="15"/>
        <v>7.0000000000000007E-2</v>
      </c>
      <c r="G22" s="79">
        <f t="shared" ref="G22:M22" si="34">F22*(1+$O22)</f>
        <v>7.0000000000000007E-2</v>
      </c>
      <c r="H22" s="79">
        <f t="shared" si="34"/>
        <v>7.0000000000000007E-2</v>
      </c>
      <c r="I22" s="79">
        <f t="shared" si="34"/>
        <v>7.0000000000000007E-2</v>
      </c>
      <c r="J22" s="79">
        <f t="shared" si="34"/>
        <v>7.0000000000000007E-2</v>
      </c>
      <c r="K22" s="79">
        <f t="shared" si="34"/>
        <v>7.0000000000000007E-2</v>
      </c>
      <c r="L22" s="79">
        <f t="shared" si="34"/>
        <v>7.0000000000000007E-2</v>
      </c>
      <c r="M22" s="79">
        <f t="shared" si="34"/>
        <v>7.0000000000000007E-2</v>
      </c>
      <c r="N22" s="79">
        <f>M22*(1+$O22)</f>
        <v>7.0000000000000007E-2</v>
      </c>
      <c r="O22" s="75">
        <v>0</v>
      </c>
      <c r="P22" s="79">
        <f>AVERAGE(E22:N22)</f>
        <v>7.0000000000000021E-2</v>
      </c>
    </row>
    <row r="23" spans="1:18" s="19" customFormat="1" x14ac:dyDescent="0.25">
      <c r="A23" s="15" t="s">
        <v>79</v>
      </c>
      <c r="B23" s="4"/>
      <c r="C23" s="4"/>
      <c r="D23" s="4"/>
      <c r="E23" s="4">
        <v>30</v>
      </c>
      <c r="F23" s="78">
        <f t="shared" si="15"/>
        <v>30</v>
      </c>
      <c r="G23" s="78">
        <f t="shared" si="15"/>
        <v>30</v>
      </c>
      <c r="H23" s="78">
        <f t="shared" si="15"/>
        <v>30</v>
      </c>
      <c r="I23" s="78">
        <f t="shared" si="15"/>
        <v>30</v>
      </c>
      <c r="J23" s="78">
        <f t="shared" si="15"/>
        <v>30</v>
      </c>
      <c r="K23" s="78">
        <f t="shared" si="15"/>
        <v>30</v>
      </c>
      <c r="L23" s="78">
        <f t="shared" si="15"/>
        <v>30</v>
      </c>
      <c r="M23" s="78">
        <f t="shared" si="15"/>
        <v>30</v>
      </c>
      <c r="N23" s="78">
        <f t="shared" si="15"/>
        <v>30</v>
      </c>
      <c r="O23" s="75">
        <v>0</v>
      </c>
      <c r="P23" s="79"/>
      <c r="R23" s="4"/>
    </row>
    <row r="24" spans="1:18" x14ac:dyDescent="0.25">
      <c r="A24" s="21" t="s">
        <v>80</v>
      </c>
      <c r="B24" s="22"/>
      <c r="C24" s="22"/>
      <c r="D24" s="22"/>
      <c r="E24" s="19">
        <v>0.2</v>
      </c>
      <c r="F24" s="19">
        <f>E24</f>
        <v>0.2</v>
      </c>
      <c r="G24" s="19">
        <f t="shared" ref="G24:N24" si="35">F24</f>
        <v>0.2</v>
      </c>
      <c r="H24" s="19">
        <f t="shared" si="35"/>
        <v>0.2</v>
      </c>
      <c r="I24" s="19">
        <f t="shared" si="35"/>
        <v>0.2</v>
      </c>
      <c r="J24" s="19">
        <f t="shared" si="35"/>
        <v>0.2</v>
      </c>
      <c r="K24" s="19">
        <f t="shared" si="35"/>
        <v>0.2</v>
      </c>
      <c r="L24" s="19">
        <f t="shared" si="35"/>
        <v>0.2</v>
      </c>
      <c r="M24" s="19">
        <f t="shared" si="35"/>
        <v>0.2</v>
      </c>
      <c r="N24" s="19">
        <f t="shared" si="35"/>
        <v>0.2</v>
      </c>
      <c r="O24" s="75">
        <v>0</v>
      </c>
      <c r="P24" s="79">
        <f>AVERAGE(E24:N24)</f>
        <v>0.19999999999999998</v>
      </c>
      <c r="R24" s="22"/>
    </row>
    <row r="25" spans="1:18" s="22" customFormat="1" x14ac:dyDescent="0.25">
      <c r="A25" s="15" t="s">
        <v>82</v>
      </c>
      <c r="B25" s="4"/>
      <c r="C25" s="4"/>
      <c r="D25" s="4"/>
      <c r="E25" s="84">
        <v>0</v>
      </c>
      <c r="F25" s="22">
        <v>0.02</v>
      </c>
      <c r="G25" s="22">
        <v>0.03</v>
      </c>
      <c r="H25" s="22">
        <v>-0.01</v>
      </c>
      <c r="I25" s="22">
        <v>0.02</v>
      </c>
      <c r="J25" s="22">
        <v>0.03</v>
      </c>
      <c r="K25" s="22">
        <v>-0.02</v>
      </c>
      <c r="L25" s="22">
        <v>0.04</v>
      </c>
      <c r="M25" s="22">
        <v>0.02</v>
      </c>
      <c r="N25" s="22">
        <v>-0.01</v>
      </c>
      <c r="O25" s="75" t="s">
        <v>188</v>
      </c>
      <c r="P25" s="97"/>
      <c r="R25" s="4"/>
    </row>
    <row r="26" spans="1:18" x14ac:dyDescent="0.25">
      <c r="A26" s="15" t="s">
        <v>148</v>
      </c>
      <c r="E26" s="22">
        <v>0.3</v>
      </c>
      <c r="F26" s="79">
        <f>E26*(1+$O26)</f>
        <v>0.30299999999999999</v>
      </c>
      <c r="G26" s="79">
        <f t="shared" ref="G26:N26" si="36">F26*(1+$O26)</f>
        <v>0.30602999999999997</v>
      </c>
      <c r="H26" s="79">
        <f t="shared" si="36"/>
        <v>0.30909029999999998</v>
      </c>
      <c r="I26" s="79">
        <f t="shared" si="36"/>
        <v>0.31218120299999996</v>
      </c>
      <c r="J26" s="79">
        <f t="shared" si="36"/>
        <v>0.31530301502999997</v>
      </c>
      <c r="K26" s="79">
        <f t="shared" si="36"/>
        <v>0.31845604518029996</v>
      </c>
      <c r="L26" s="79">
        <f t="shared" si="36"/>
        <v>0.32164060563210295</v>
      </c>
      <c r="M26" s="79">
        <f t="shared" si="36"/>
        <v>0.32485701168842396</v>
      </c>
      <c r="N26" s="79">
        <f t="shared" si="36"/>
        <v>0.32810558180530819</v>
      </c>
      <c r="O26" s="75">
        <v>0.01</v>
      </c>
      <c r="P26" s="97"/>
    </row>
    <row r="27" spans="1:18" x14ac:dyDescent="0.25">
      <c r="A27" s="4" t="s">
        <v>206</v>
      </c>
      <c r="E27" s="19">
        <v>0.15</v>
      </c>
      <c r="F27" s="79">
        <f>E27*(1+$O27)</f>
        <v>0.15</v>
      </c>
      <c r="G27" s="79">
        <f t="shared" ref="G27:N27" si="37">F27*(1+$O27)</f>
        <v>0.15</v>
      </c>
      <c r="H27" s="79">
        <f t="shared" si="37"/>
        <v>0.15</v>
      </c>
      <c r="I27" s="79">
        <f t="shared" si="37"/>
        <v>0.15</v>
      </c>
      <c r="J27" s="79">
        <f t="shared" si="37"/>
        <v>0.15</v>
      </c>
      <c r="K27" s="79">
        <f t="shared" si="37"/>
        <v>0.15</v>
      </c>
      <c r="L27" s="79">
        <f t="shared" si="37"/>
        <v>0.15</v>
      </c>
      <c r="M27" s="79">
        <f t="shared" si="37"/>
        <v>0.15</v>
      </c>
      <c r="N27" s="79">
        <f t="shared" si="37"/>
        <v>0.15</v>
      </c>
      <c r="O27" s="80">
        <v>0</v>
      </c>
      <c r="P27" s="97"/>
    </row>
    <row r="28" spans="1:18" x14ac:dyDescent="0.25">
      <c r="A28" s="4" t="s">
        <v>207</v>
      </c>
      <c r="E28" s="19">
        <v>0.1</v>
      </c>
      <c r="F28" s="79">
        <f>E28*(1+$O28)</f>
        <v>0.10075000000000001</v>
      </c>
      <c r="G28" s="79">
        <f t="shared" ref="G28" si="38">F28*(1+$O28)</f>
        <v>0.10150562500000002</v>
      </c>
      <c r="H28" s="79">
        <f t="shared" ref="H28" si="39">G28*(1+$O28)</f>
        <v>0.10226691718750003</v>
      </c>
      <c r="I28" s="79">
        <f t="shared" ref="I28" si="40">H28*(1+$O28)</f>
        <v>0.10303391906640628</v>
      </c>
      <c r="J28" s="79">
        <f t="shared" ref="J28" si="41">I28*(1+$O28)</f>
        <v>0.10380667345940434</v>
      </c>
      <c r="K28" s="79">
        <f t="shared" ref="K28" si="42">J28*(1+$O28)</f>
        <v>0.10458522351034988</v>
      </c>
      <c r="L28" s="79">
        <f t="shared" ref="L28" si="43">K28*(1+$O28)</f>
        <v>0.10536961268667751</v>
      </c>
      <c r="M28" s="79">
        <f t="shared" ref="M28" si="44">L28*(1+$O28)</f>
        <v>0.1061598847818276</v>
      </c>
      <c r="N28" s="79">
        <f t="shared" ref="N28" si="45">M28*(1+$O28)</f>
        <v>0.10695608391769132</v>
      </c>
      <c r="O28" s="80">
        <v>7.4999999999999997E-3</v>
      </c>
      <c r="P28" s="97"/>
    </row>
    <row r="29" spans="1:18" x14ac:dyDescent="0.25">
      <c r="A29" s="4" t="s">
        <v>151</v>
      </c>
      <c r="E29" s="19">
        <v>0.05</v>
      </c>
      <c r="F29" s="79">
        <f t="shared" si="15"/>
        <v>0.05</v>
      </c>
      <c r="G29" s="79">
        <f t="shared" ref="G29:N29" si="46">F29*(1+$O29)</f>
        <v>0.05</v>
      </c>
      <c r="H29" s="79">
        <f t="shared" si="46"/>
        <v>0.05</v>
      </c>
      <c r="I29" s="79">
        <f t="shared" si="46"/>
        <v>0.05</v>
      </c>
      <c r="J29" s="79">
        <f t="shared" si="46"/>
        <v>0.05</v>
      </c>
      <c r="K29" s="79">
        <f t="shared" si="46"/>
        <v>0.05</v>
      </c>
      <c r="L29" s="79">
        <f t="shared" si="46"/>
        <v>0.05</v>
      </c>
      <c r="M29" s="79">
        <f t="shared" si="46"/>
        <v>0.05</v>
      </c>
      <c r="N29" s="79">
        <f t="shared" si="46"/>
        <v>0.05</v>
      </c>
      <c r="O29" s="75">
        <v>0</v>
      </c>
      <c r="P29" s="76"/>
    </row>
    <row r="30" spans="1:18" x14ac:dyDescent="0.25">
      <c r="A30" s="4" t="s">
        <v>152</v>
      </c>
      <c r="E30" s="19">
        <v>0.1</v>
      </c>
      <c r="F30" s="79">
        <f t="shared" si="15"/>
        <v>0.1</v>
      </c>
      <c r="G30" s="79">
        <f t="shared" ref="G30:N30" si="47">F30*(1+$O30)</f>
        <v>0.1</v>
      </c>
      <c r="H30" s="79">
        <f t="shared" si="47"/>
        <v>0.1</v>
      </c>
      <c r="I30" s="79">
        <f t="shared" si="47"/>
        <v>0.1</v>
      </c>
      <c r="J30" s="79">
        <f t="shared" si="47"/>
        <v>0.1</v>
      </c>
      <c r="K30" s="79">
        <f t="shared" si="47"/>
        <v>0.1</v>
      </c>
      <c r="L30" s="79">
        <f t="shared" si="47"/>
        <v>0.1</v>
      </c>
      <c r="M30" s="79">
        <f t="shared" si="47"/>
        <v>0.1</v>
      </c>
      <c r="N30" s="79">
        <f t="shared" si="47"/>
        <v>0.1</v>
      </c>
      <c r="O30" s="75">
        <v>0</v>
      </c>
      <c r="P30" s="76"/>
    </row>
    <row r="31" spans="1:18" x14ac:dyDescent="0.25">
      <c r="A31" s="4" t="s">
        <v>159</v>
      </c>
      <c r="E31" s="19">
        <v>5.0000000000000001E-3</v>
      </c>
      <c r="F31" s="79">
        <f t="shared" si="15"/>
        <v>5.0000000000000001E-3</v>
      </c>
      <c r="G31" s="79">
        <f t="shared" ref="G31:N31" si="48">F31*(1+$O31)</f>
        <v>5.0000000000000001E-3</v>
      </c>
      <c r="H31" s="79">
        <f t="shared" si="48"/>
        <v>5.0000000000000001E-3</v>
      </c>
      <c r="I31" s="79">
        <f t="shared" si="48"/>
        <v>5.0000000000000001E-3</v>
      </c>
      <c r="J31" s="79">
        <f t="shared" si="48"/>
        <v>5.0000000000000001E-3</v>
      </c>
      <c r="K31" s="79">
        <f t="shared" si="48"/>
        <v>5.0000000000000001E-3</v>
      </c>
      <c r="L31" s="79">
        <f t="shared" si="48"/>
        <v>5.0000000000000001E-3</v>
      </c>
      <c r="M31" s="79">
        <f t="shared" si="48"/>
        <v>5.0000000000000001E-3</v>
      </c>
      <c r="N31" s="79">
        <f t="shared" si="48"/>
        <v>5.0000000000000001E-3</v>
      </c>
      <c r="O31" s="75">
        <v>0</v>
      </c>
      <c r="P31" s="76"/>
    </row>
    <row r="32" spans="1:18" x14ac:dyDescent="0.25">
      <c r="O32" s="75"/>
      <c r="P32" s="76"/>
    </row>
    <row r="33" spans="1:18" x14ac:dyDescent="0.25">
      <c r="A33" s="16" t="s">
        <v>84</v>
      </c>
      <c r="O33" s="75"/>
      <c r="P33" s="76"/>
    </row>
    <row r="34" spans="1:18" x14ac:dyDescent="0.25">
      <c r="A34" s="21" t="s">
        <v>85</v>
      </c>
      <c r="B34" s="22"/>
      <c r="C34" s="22"/>
      <c r="D34" s="22"/>
      <c r="E34" s="22">
        <f t="shared" ref="E34:N34" si="49">E62/E93</f>
        <v>0.24344566742341645</v>
      </c>
      <c r="F34" s="22">
        <f t="shared" si="49"/>
        <v>0.25366595555987714</v>
      </c>
      <c r="G34" s="22">
        <f t="shared" si="49"/>
        <v>0.26542585933863505</v>
      </c>
      <c r="H34" s="22">
        <f t="shared" si="49"/>
        <v>0.19971260201013535</v>
      </c>
      <c r="I34" s="22">
        <f t="shared" si="49"/>
        <v>0.19726620983950804</v>
      </c>
      <c r="J34" s="22">
        <f t="shared" si="49"/>
        <v>0.19164012823605853</v>
      </c>
      <c r="K34" s="22">
        <f t="shared" si="49"/>
        <v>0.1368719286614741</v>
      </c>
      <c r="L34" s="22">
        <f t="shared" si="49"/>
        <v>0.14664749303610897</v>
      </c>
      <c r="M34" s="22">
        <f t="shared" si="49"/>
        <v>0.13711600625254378</v>
      </c>
      <c r="N34" s="107">
        <f t="shared" si="49"/>
        <v>0.11004372175770044</v>
      </c>
      <c r="O34" s="76"/>
      <c r="P34" s="76"/>
      <c r="R34" s="22"/>
    </row>
    <row r="35" spans="1:18" s="22" customFormat="1" x14ac:dyDescent="0.25">
      <c r="A35" s="21" t="s">
        <v>86</v>
      </c>
      <c r="E35" s="22">
        <f t="shared" ref="E35:N35" si="50">E41/E93</f>
        <v>13.126349847540302</v>
      </c>
      <c r="F35" s="22">
        <f t="shared" si="50"/>
        <v>9.9925746058597582</v>
      </c>
      <c r="G35" s="22">
        <f t="shared" si="50"/>
        <v>7.5604955112168302</v>
      </c>
      <c r="H35" s="22">
        <f t="shared" si="50"/>
        <v>5.9900635873839105</v>
      </c>
      <c r="I35" s="22">
        <f t="shared" si="50"/>
        <v>4.9045949757391005</v>
      </c>
      <c r="J35" s="22">
        <f t="shared" si="50"/>
        <v>4.0836180986118071</v>
      </c>
      <c r="K35" s="22">
        <f t="shared" si="50"/>
        <v>3.4541917052671485</v>
      </c>
      <c r="L35" s="22">
        <f t="shared" si="50"/>
        <v>3.0655488772725437</v>
      </c>
      <c r="M35" s="22">
        <f t="shared" si="50"/>
        <v>2.6981173194139418</v>
      </c>
      <c r="N35" s="107">
        <f t="shared" si="50"/>
        <v>2.3771943833682538</v>
      </c>
      <c r="O35" s="76"/>
      <c r="P35" s="76"/>
    </row>
    <row r="36" spans="1:18" s="22" customFormat="1" x14ac:dyDescent="0.25">
      <c r="A36" s="15" t="s">
        <v>87</v>
      </c>
      <c r="B36" s="4"/>
      <c r="C36" s="4"/>
      <c r="D36" s="4"/>
      <c r="E36" s="17">
        <f t="shared" ref="E36:N36" si="51">E74/E85</f>
        <v>2.382782818411</v>
      </c>
      <c r="F36" s="17">
        <f t="shared" si="51"/>
        <v>2.2915923787549404</v>
      </c>
      <c r="G36" s="17">
        <f t="shared" si="51"/>
        <v>2.1801269712975619</v>
      </c>
      <c r="H36" s="17">
        <f t="shared" si="51"/>
        <v>2.1716174963571229</v>
      </c>
      <c r="I36" s="17">
        <f t="shared" si="51"/>
        <v>2.0914649691826499</v>
      </c>
      <c r="J36" s="17">
        <f t="shared" si="51"/>
        <v>2.7923804502272955</v>
      </c>
      <c r="K36" s="17">
        <f t="shared" si="51"/>
        <v>3.753656721898706</v>
      </c>
      <c r="L36" s="17">
        <f t="shared" si="51"/>
        <v>4.5492706719167666</v>
      </c>
      <c r="M36" s="17">
        <f t="shared" si="51"/>
        <v>5.435118979292592</v>
      </c>
      <c r="N36" s="108">
        <f t="shared" si="51"/>
        <v>6.4588534395217785</v>
      </c>
      <c r="O36" s="76"/>
      <c r="P36" s="76"/>
      <c r="R36" s="4"/>
    </row>
    <row r="37" spans="1:18" x14ac:dyDescent="0.25">
      <c r="A37" s="15" t="s">
        <v>88</v>
      </c>
      <c r="E37" s="17">
        <f t="shared" ref="E37:N37" si="52">((E84+E87+E88)-(E67+E68))/E93</f>
        <v>13.130828353173992</v>
      </c>
      <c r="F37" s="17">
        <f t="shared" si="52"/>
        <v>9.1908690386443386</v>
      </c>
      <c r="G37" s="17">
        <f t="shared" si="52"/>
        <v>6.2236493973347464</v>
      </c>
      <c r="H37" s="17">
        <f t="shared" si="52"/>
        <v>4.5729416889980055</v>
      </c>
      <c r="I37" s="17">
        <f t="shared" si="52"/>
        <v>3.3052097500798343</v>
      </c>
      <c r="J37" s="17">
        <f t="shared" si="52"/>
        <v>2.3463944718853478</v>
      </c>
      <c r="K37" s="17">
        <f t="shared" si="52"/>
        <v>1.7745515208596614</v>
      </c>
      <c r="L37" s="17">
        <f t="shared" si="52"/>
        <v>1.2697280739064627</v>
      </c>
      <c r="M37" s="17">
        <f t="shared" si="52"/>
        <v>0.87427444033629353</v>
      </c>
      <c r="N37" s="108">
        <f t="shared" si="52"/>
        <v>0.59333044327662687</v>
      </c>
      <c r="O37" s="76"/>
      <c r="P37" s="76"/>
    </row>
    <row r="38" spans="1:18" ht="15.75" thickBot="1" x14ac:dyDescent="0.3">
      <c r="A38" s="99"/>
      <c r="B38" s="100"/>
      <c r="C38" s="100"/>
      <c r="D38" s="100"/>
      <c r="E38" s="100"/>
      <c r="F38" s="100"/>
      <c r="G38" s="100"/>
      <c r="H38" s="100"/>
      <c r="I38" s="100"/>
      <c r="J38" s="100"/>
      <c r="K38" s="100"/>
      <c r="L38" s="100"/>
      <c r="M38" s="100"/>
      <c r="N38" s="109"/>
      <c r="O38" s="76"/>
      <c r="P38" s="76"/>
    </row>
    <row r="39" spans="1:18" x14ac:dyDescent="0.25">
      <c r="A39" s="16" t="s">
        <v>89</v>
      </c>
      <c r="N39" s="110"/>
      <c r="O39" s="76"/>
      <c r="P39" s="76"/>
    </row>
    <row r="40" spans="1:18" x14ac:dyDescent="0.25">
      <c r="N40" s="45"/>
    </row>
    <row r="41" spans="1:18" ht="15.75" thickBot="1" x14ac:dyDescent="0.3">
      <c r="A41" s="15" t="s">
        <v>90</v>
      </c>
      <c r="E41" s="23">
        <f>D4</f>
        <v>438912.5</v>
      </c>
      <c r="F41" s="23">
        <f t="shared" ref="F41:N41" si="53">E41*(1+F25)</f>
        <v>447690.75</v>
      </c>
      <c r="G41" s="23">
        <f t="shared" si="53"/>
        <v>461121.47250000003</v>
      </c>
      <c r="H41" s="23">
        <f t="shared" si="53"/>
        <v>456510.25777500001</v>
      </c>
      <c r="I41" s="23">
        <f t="shared" si="53"/>
        <v>465640.46293050004</v>
      </c>
      <c r="J41" s="23">
        <f t="shared" si="53"/>
        <v>479609.67681841506</v>
      </c>
      <c r="K41" s="23">
        <f t="shared" si="53"/>
        <v>470017.48328204674</v>
      </c>
      <c r="L41" s="23">
        <f t="shared" si="53"/>
        <v>488818.18261332862</v>
      </c>
      <c r="M41" s="23">
        <f t="shared" si="53"/>
        <v>498594.54626559519</v>
      </c>
      <c r="N41" s="111">
        <f t="shared" si="53"/>
        <v>493608.60080293921</v>
      </c>
    </row>
    <row r="42" spans="1:18" ht="15.75" thickBot="1" x14ac:dyDescent="0.3">
      <c r="E42" s="20"/>
      <c r="F42" s="20"/>
      <c r="G42" s="20"/>
      <c r="H42" s="20"/>
      <c r="I42" s="20"/>
      <c r="J42" s="20"/>
      <c r="K42" s="20"/>
      <c r="L42" s="20"/>
      <c r="M42" s="20"/>
      <c r="N42" s="112"/>
      <c r="Q42" s="52" t="s">
        <v>154</v>
      </c>
      <c r="R42" s="53"/>
    </row>
    <row r="43" spans="1:18" ht="15.75" thickBot="1" x14ac:dyDescent="0.3">
      <c r="A43" s="15" t="s">
        <v>146</v>
      </c>
      <c r="E43" s="23">
        <f t="shared" ref="E43:N43" si="54">$D$5+(E41*E26)</f>
        <v>143673.75</v>
      </c>
      <c r="F43" s="23">
        <f t="shared" si="54"/>
        <v>147650.29725</v>
      </c>
      <c r="G43" s="23">
        <f t="shared" si="54"/>
        <v>153117.00422917499</v>
      </c>
      <c r="H43" s="23">
        <f t="shared" si="54"/>
        <v>153102.89252875207</v>
      </c>
      <c r="I43" s="23">
        <f t="shared" si="54"/>
        <v>157364.1998831204</v>
      </c>
      <c r="J43" s="23">
        <f t="shared" si="54"/>
        <v>163222.37713841014</v>
      </c>
      <c r="K43" s="23">
        <f t="shared" si="54"/>
        <v>161679.90889159837</v>
      </c>
      <c r="L43" s="23">
        <f t="shared" si="54"/>
        <v>169223.77629973492</v>
      </c>
      <c r="M43" s="23">
        <f t="shared" si="54"/>
        <v>173971.93434398688</v>
      </c>
      <c r="N43" s="111">
        <f t="shared" si="54"/>
        <v>173955.73715055248</v>
      </c>
    </row>
    <row r="44" spans="1:18" ht="15.75" thickBot="1" x14ac:dyDescent="0.3">
      <c r="A44" s="15" t="s">
        <v>147</v>
      </c>
      <c r="E44" s="23">
        <f t="shared" ref="E44:N44" si="55">E27*E41</f>
        <v>65836.875</v>
      </c>
      <c r="F44" s="23">
        <f t="shared" si="55"/>
        <v>67153.612500000003</v>
      </c>
      <c r="G44" s="23">
        <f t="shared" si="55"/>
        <v>69168.220874999999</v>
      </c>
      <c r="H44" s="23">
        <f t="shared" si="55"/>
        <v>68476.538666249995</v>
      </c>
      <c r="I44" s="23">
        <f t="shared" si="55"/>
        <v>69846.069439575003</v>
      </c>
      <c r="J44" s="23">
        <f t="shared" si="55"/>
        <v>71941.451522762261</v>
      </c>
      <c r="K44" s="23">
        <f t="shared" si="55"/>
        <v>70502.622492307011</v>
      </c>
      <c r="L44" s="23">
        <f t="shared" si="55"/>
        <v>73322.727391999288</v>
      </c>
      <c r="M44" s="23">
        <f t="shared" si="55"/>
        <v>74789.181939839269</v>
      </c>
      <c r="N44" s="111">
        <f t="shared" si="55"/>
        <v>74041.290120440884</v>
      </c>
      <c r="Q44" s="52" t="s">
        <v>156</v>
      </c>
      <c r="R44" s="53"/>
    </row>
    <row r="45" spans="1:18" x14ac:dyDescent="0.25">
      <c r="A45" s="15" t="s">
        <v>205</v>
      </c>
      <c r="E45" s="23">
        <f>(E12)*E11</f>
        <v>405</v>
      </c>
      <c r="F45" s="23">
        <f t="shared" ref="F45:N45" si="56">(F7)*F11</f>
        <v>300.74999999999994</v>
      </c>
      <c r="G45" s="23">
        <f t="shared" si="56"/>
        <v>301.50187499999993</v>
      </c>
      <c r="H45" s="23">
        <f t="shared" si="56"/>
        <v>302.25562968749989</v>
      </c>
      <c r="I45" s="23">
        <f t="shared" si="56"/>
        <v>303.01126876171861</v>
      </c>
      <c r="J45" s="23">
        <f t="shared" si="56"/>
        <v>303.76879693362287</v>
      </c>
      <c r="K45" s="23">
        <f t="shared" si="56"/>
        <v>304.52821892595693</v>
      </c>
      <c r="L45" s="23">
        <f t="shared" si="56"/>
        <v>305.28953947327182</v>
      </c>
      <c r="M45" s="23">
        <f t="shared" si="56"/>
        <v>306.05276332195496</v>
      </c>
      <c r="N45" s="111">
        <f t="shared" si="56"/>
        <v>306.81789523025986</v>
      </c>
      <c r="Q45" s="104"/>
      <c r="R45" s="104"/>
    </row>
    <row r="46" spans="1:18" x14ac:dyDescent="0.25">
      <c r="A46" s="15" t="s">
        <v>149</v>
      </c>
      <c r="E46" s="23">
        <f t="shared" ref="E46:N46" si="57">E41*E29</f>
        <v>21945.625</v>
      </c>
      <c r="F46" s="23">
        <f t="shared" si="57"/>
        <v>22384.537500000002</v>
      </c>
      <c r="G46" s="23">
        <f t="shared" si="57"/>
        <v>23056.073625000005</v>
      </c>
      <c r="H46" s="23">
        <f t="shared" si="57"/>
        <v>22825.512888750003</v>
      </c>
      <c r="I46" s="23">
        <f t="shared" si="57"/>
        <v>23282.023146525004</v>
      </c>
      <c r="J46" s="23">
        <f t="shared" si="57"/>
        <v>23980.483840920755</v>
      </c>
      <c r="K46" s="23">
        <f t="shared" si="57"/>
        <v>23500.874164102337</v>
      </c>
      <c r="L46" s="23">
        <f t="shared" si="57"/>
        <v>24440.909130666434</v>
      </c>
      <c r="M46" s="23">
        <f t="shared" si="57"/>
        <v>24929.72731327976</v>
      </c>
      <c r="N46" s="111">
        <f t="shared" si="57"/>
        <v>24680.430040146963</v>
      </c>
    </row>
    <row r="47" spans="1:18" x14ac:dyDescent="0.25">
      <c r="A47" s="15" t="s">
        <v>150</v>
      </c>
      <c r="E47" s="23">
        <f t="shared" ref="E47:N47" si="58">E41*E30</f>
        <v>43891.25</v>
      </c>
      <c r="F47" s="23">
        <f t="shared" si="58"/>
        <v>44769.075000000004</v>
      </c>
      <c r="G47" s="23">
        <f t="shared" si="58"/>
        <v>46112.147250000009</v>
      </c>
      <c r="H47" s="23">
        <f t="shared" si="58"/>
        <v>45651.025777500006</v>
      </c>
      <c r="I47" s="23">
        <f t="shared" si="58"/>
        <v>46564.046293050007</v>
      </c>
      <c r="J47" s="23">
        <f t="shared" si="58"/>
        <v>47960.96768184151</v>
      </c>
      <c r="K47" s="23">
        <f t="shared" si="58"/>
        <v>47001.748328204674</v>
      </c>
      <c r="L47" s="23">
        <f t="shared" si="58"/>
        <v>48881.818261332868</v>
      </c>
      <c r="M47" s="23">
        <f t="shared" si="58"/>
        <v>49859.45462655952</v>
      </c>
      <c r="N47" s="111">
        <f t="shared" si="58"/>
        <v>49360.860080293925</v>
      </c>
    </row>
    <row r="48" spans="1:18" x14ac:dyDescent="0.25">
      <c r="A48" s="15" t="s">
        <v>234</v>
      </c>
      <c r="E48" s="23">
        <f t="shared" ref="E48:N48" si="59">E14</f>
        <v>500</v>
      </c>
      <c r="F48" s="23">
        <f t="shared" si="59"/>
        <v>500</v>
      </c>
      <c r="G48" s="23">
        <f t="shared" si="59"/>
        <v>500</v>
      </c>
      <c r="H48" s="23">
        <f t="shared" si="59"/>
        <v>500</v>
      </c>
      <c r="I48" s="23">
        <f t="shared" si="59"/>
        <v>500</v>
      </c>
      <c r="J48" s="23">
        <f t="shared" si="59"/>
        <v>500</v>
      </c>
      <c r="K48" s="23">
        <f t="shared" si="59"/>
        <v>500</v>
      </c>
      <c r="L48" s="23">
        <f t="shared" si="59"/>
        <v>500</v>
      </c>
      <c r="M48" s="23">
        <f t="shared" si="59"/>
        <v>500</v>
      </c>
      <c r="N48" s="111">
        <f t="shared" si="59"/>
        <v>500</v>
      </c>
    </row>
    <row r="49" spans="1:16" x14ac:dyDescent="0.25">
      <c r="A49" s="15" t="s">
        <v>183</v>
      </c>
      <c r="E49" s="27">
        <f>E6*E8*(Prices!$D$35+E9)</f>
        <v>114500</v>
      </c>
      <c r="F49" s="27">
        <f>F6*F8*(Prices!$D$35+F9)</f>
        <v>114500</v>
      </c>
      <c r="G49" s="27">
        <f>G6*G8*(Prices!$D$35+G9)</f>
        <v>114500</v>
      </c>
      <c r="H49" s="27">
        <f>H6*H8*(Prices!$D$35+H9)</f>
        <v>114500</v>
      </c>
      <c r="I49" s="27">
        <f>I6*I8*(Prices!$D$35+I9)</f>
        <v>114500</v>
      </c>
      <c r="J49" s="27">
        <f>J6*J8*(Prices!$D$35+J9)</f>
        <v>114500</v>
      </c>
      <c r="K49" s="27">
        <f>K6*K8*(Prices!$D$35+K9)</f>
        <v>114500</v>
      </c>
      <c r="L49" s="27">
        <f>L6*L8*(Prices!$D$35+L9)</f>
        <v>114500</v>
      </c>
      <c r="M49" s="27">
        <f>M6*M8*(Prices!$D$35+M9)</f>
        <v>114500</v>
      </c>
      <c r="N49" s="113">
        <f>N6*N8*(Prices!$D$35+N9)</f>
        <v>114500</v>
      </c>
    </row>
    <row r="50" spans="1:16" x14ac:dyDescent="0.25">
      <c r="A50" s="15" t="s">
        <v>153</v>
      </c>
      <c r="E50" s="26">
        <f>SUM(E43:E49)</f>
        <v>390752.5</v>
      </c>
      <c r="F50" s="26">
        <f t="shared" ref="F50:N50" si="60">SUM(F43:F49)</f>
        <v>397258.27224999998</v>
      </c>
      <c r="G50" s="26">
        <f t="shared" si="60"/>
        <v>406754.947854175</v>
      </c>
      <c r="H50" s="26">
        <f t="shared" si="60"/>
        <v>405358.22549093957</v>
      </c>
      <c r="I50" s="26">
        <f t="shared" si="60"/>
        <v>412359.35003103211</v>
      </c>
      <c r="J50" s="26">
        <f t="shared" si="60"/>
        <v>422409.04898086831</v>
      </c>
      <c r="K50" s="26">
        <f t="shared" si="60"/>
        <v>417989.68209513836</v>
      </c>
      <c r="L50" s="26">
        <f t="shared" si="60"/>
        <v>431174.5206232068</v>
      </c>
      <c r="M50" s="26">
        <f t="shared" si="60"/>
        <v>438856.35098698741</v>
      </c>
      <c r="N50" s="114">
        <f t="shared" si="60"/>
        <v>437345.13528666447</v>
      </c>
    </row>
    <row r="51" spans="1:16" x14ac:dyDescent="0.25">
      <c r="N51" s="45"/>
    </row>
    <row r="52" spans="1:16" x14ac:dyDescent="0.25">
      <c r="A52" s="15" t="s">
        <v>245</v>
      </c>
      <c r="E52" s="31">
        <f t="shared" ref="E52:N52" si="61">E41-E50</f>
        <v>48160</v>
      </c>
      <c r="F52" s="31">
        <f t="shared" si="61"/>
        <v>50432.47775000002</v>
      </c>
      <c r="G52" s="31">
        <f t="shared" si="61"/>
        <v>54366.524645825033</v>
      </c>
      <c r="H52" s="31">
        <f t="shared" si="61"/>
        <v>51152.032284060435</v>
      </c>
      <c r="I52" s="31">
        <f t="shared" si="61"/>
        <v>53281.112899467931</v>
      </c>
      <c r="J52" s="31">
        <f t="shared" si="61"/>
        <v>57200.627837546752</v>
      </c>
      <c r="K52" s="31">
        <f t="shared" si="61"/>
        <v>52027.801186908386</v>
      </c>
      <c r="L52" s="31">
        <f t="shared" si="61"/>
        <v>57643.661990121822</v>
      </c>
      <c r="M52" s="31">
        <f t="shared" si="61"/>
        <v>59738.195278607775</v>
      </c>
      <c r="N52" s="115">
        <f t="shared" si="61"/>
        <v>56263.465516274737</v>
      </c>
      <c r="P52" s="4">
        <f>AVERAGE(E52:N52)</f>
        <v>54026.589938881298</v>
      </c>
    </row>
    <row r="53" spans="1:16" x14ac:dyDescent="0.25">
      <c r="E53" s="104"/>
      <c r="F53" s="104"/>
      <c r="G53" s="104"/>
      <c r="H53" s="104"/>
      <c r="I53" s="104"/>
      <c r="J53" s="104"/>
      <c r="K53" s="104"/>
      <c r="L53" s="104"/>
      <c r="M53" s="104"/>
      <c r="N53" s="112"/>
      <c r="P53" s="4"/>
    </row>
    <row r="54" spans="1:16" x14ac:dyDescent="0.25">
      <c r="A54" s="4"/>
      <c r="N54" s="45"/>
      <c r="P54" s="4"/>
    </row>
    <row r="55" spans="1:16" x14ac:dyDescent="0.25">
      <c r="A55" s="15" t="s">
        <v>91</v>
      </c>
      <c r="E55" s="23">
        <f t="shared" ref="E55:N55" si="62">E77/E23</f>
        <v>15189</v>
      </c>
      <c r="F55" s="23">
        <f t="shared" si="62"/>
        <v>15189</v>
      </c>
      <c r="G55" s="23">
        <f t="shared" si="62"/>
        <v>15189</v>
      </c>
      <c r="H55" s="23">
        <f t="shared" si="62"/>
        <v>15189</v>
      </c>
      <c r="I55" s="23">
        <f t="shared" si="62"/>
        <v>15189</v>
      </c>
      <c r="J55" s="23">
        <f t="shared" si="62"/>
        <v>15189</v>
      </c>
      <c r="K55" s="23">
        <f t="shared" si="62"/>
        <v>15189</v>
      </c>
      <c r="L55" s="23">
        <f t="shared" si="62"/>
        <v>15189</v>
      </c>
      <c r="M55" s="23">
        <f t="shared" si="62"/>
        <v>15189</v>
      </c>
      <c r="N55" s="111">
        <f t="shared" si="62"/>
        <v>15189</v>
      </c>
      <c r="P55" s="4">
        <f>AVERAGE(E55:N55)</f>
        <v>15189</v>
      </c>
    </row>
    <row r="56" spans="1:16" x14ac:dyDescent="0.25">
      <c r="N56" s="45"/>
      <c r="P56" s="4">
        <f>P52-P55</f>
        <v>38837.589938881298</v>
      </c>
    </row>
    <row r="57" spans="1:16" x14ac:dyDescent="0.25">
      <c r="A57" s="15" t="s">
        <v>244</v>
      </c>
      <c r="E57" s="23">
        <f>'Amortization Table'!D14</f>
        <v>15274.626110337193</v>
      </c>
      <c r="F57" s="23">
        <f>'Amortization Table'!D28</f>
        <v>15019.440989070503</v>
      </c>
      <c r="G57" s="23">
        <f>'Amortization Table'!D42</f>
        <v>14752.639053000483</v>
      </c>
      <c r="H57" s="23">
        <f>'Amortization Table'!D56</f>
        <v>14473.691468841289</v>
      </c>
      <c r="I57" s="23">
        <f>'Amortization Table'!D70</f>
        <v>14182.045329182745</v>
      </c>
      <c r="J57" s="23">
        <f>'Amortization Table'!D84</f>
        <v>13877.122556561812</v>
      </c>
      <c r="K57" s="23">
        <f>'Amortization Table'!D98</f>
        <v>13558.318757644072</v>
      </c>
      <c r="L57" s="23">
        <f>'Amortization Table'!D112</f>
        <v>13225.002025243992</v>
      </c>
      <c r="M57" s="23">
        <f>'Amortization Table'!D126</f>
        <v>12876.511685809441</v>
      </c>
      <c r="N57" s="111">
        <f>'Amortization Table'!D140</f>
        <v>12512.156989887853</v>
      </c>
      <c r="P57" s="4">
        <f>AVERAGE(E57:N57)</f>
        <v>13975.155496557938</v>
      </c>
    </row>
    <row r="58" spans="1:16" x14ac:dyDescent="0.25">
      <c r="A58" s="15" t="s">
        <v>243</v>
      </c>
      <c r="E58" s="23">
        <f t="shared" ref="E58:N58" si="63">(E22*E88)</f>
        <v>7521.1016563272424</v>
      </c>
      <c r="F58" s="23">
        <f t="shared" si="63"/>
        <v>6018.0004823170802</v>
      </c>
      <c r="G58" s="23">
        <f t="shared" si="63"/>
        <v>4189.1809825538185</v>
      </c>
      <c r="H58" s="23">
        <f t="shared" si="63"/>
        <v>2463.9060066922107</v>
      </c>
      <c r="I58" s="23">
        <f t="shared" si="63"/>
        <v>499.58981305418854</v>
      </c>
      <c r="J58" s="23">
        <f t="shared" si="63"/>
        <v>0</v>
      </c>
      <c r="K58" s="23">
        <f t="shared" si="63"/>
        <v>0</v>
      </c>
      <c r="L58" s="23">
        <f t="shared" si="63"/>
        <v>0</v>
      </c>
      <c r="M58" s="23">
        <f t="shared" si="63"/>
        <v>0</v>
      </c>
      <c r="N58" s="111">
        <f t="shared" si="63"/>
        <v>0</v>
      </c>
      <c r="P58" s="4">
        <f>AVERAGE(E58:N58)</f>
        <v>2069.1778940944541</v>
      </c>
    </row>
    <row r="59" spans="1:16" x14ac:dyDescent="0.25">
      <c r="N59" s="45"/>
    </row>
    <row r="60" spans="1:16" x14ac:dyDescent="0.25">
      <c r="A60" s="15" t="s">
        <v>92</v>
      </c>
      <c r="E60" s="24">
        <f>E52-E55-E57-E58</f>
        <v>10175.272233335563</v>
      </c>
      <c r="F60" s="24">
        <f t="shared" ref="F60:N60" si="64">F52-F55-F57-F58</f>
        <v>14206.036278612437</v>
      </c>
      <c r="G60" s="24">
        <f t="shared" si="64"/>
        <v>20235.704610270732</v>
      </c>
      <c r="H60" s="24">
        <f t="shared" si="64"/>
        <v>19025.434808526938</v>
      </c>
      <c r="I60" s="24">
        <f t="shared" si="64"/>
        <v>23410.477757230998</v>
      </c>
      <c r="J60" s="24">
        <f t="shared" si="64"/>
        <v>28134.50528098494</v>
      </c>
      <c r="K60" s="24">
        <f t="shared" si="64"/>
        <v>23280.482429264313</v>
      </c>
      <c r="L60" s="24">
        <f t="shared" si="64"/>
        <v>29229.659964877828</v>
      </c>
      <c r="M60" s="24">
        <f t="shared" si="64"/>
        <v>31672.683592798334</v>
      </c>
      <c r="N60" s="115">
        <f t="shared" si="64"/>
        <v>28562.308526386885</v>
      </c>
    </row>
    <row r="61" spans="1:16" x14ac:dyDescent="0.25">
      <c r="A61" s="15" t="s">
        <v>93</v>
      </c>
      <c r="E61" s="25">
        <f t="shared" ref="E61:N61" si="65">E60*E24</f>
        <v>2035.0544466671126</v>
      </c>
      <c r="F61" s="25">
        <f t="shared" si="65"/>
        <v>2841.2072557224874</v>
      </c>
      <c r="G61" s="25">
        <f t="shared" si="65"/>
        <v>4047.1409220541464</v>
      </c>
      <c r="H61" s="25">
        <f t="shared" si="65"/>
        <v>3805.0869617053877</v>
      </c>
      <c r="I61" s="25">
        <f t="shared" si="65"/>
        <v>4682.0955514461994</v>
      </c>
      <c r="J61" s="25">
        <f t="shared" si="65"/>
        <v>5626.9010561969881</v>
      </c>
      <c r="K61" s="25">
        <f t="shared" si="65"/>
        <v>4656.0964858528632</v>
      </c>
      <c r="L61" s="25">
        <f t="shared" si="65"/>
        <v>5845.9319929755657</v>
      </c>
      <c r="M61" s="25">
        <f t="shared" si="65"/>
        <v>6334.536718559667</v>
      </c>
      <c r="N61" s="116">
        <f t="shared" si="65"/>
        <v>5712.4617052773774</v>
      </c>
    </row>
    <row r="62" spans="1:16" x14ac:dyDescent="0.25">
      <c r="A62" s="15" t="s">
        <v>94</v>
      </c>
      <c r="E62" s="26">
        <f>E60-E61</f>
        <v>8140.2177866684506</v>
      </c>
      <c r="F62" s="26">
        <f t="shared" ref="F62:N62" si="66">F60-F61</f>
        <v>11364.82902288995</v>
      </c>
      <c r="G62" s="26">
        <f t="shared" si="66"/>
        <v>16188.563688216585</v>
      </c>
      <c r="H62" s="26">
        <f t="shared" si="66"/>
        <v>15220.347846821551</v>
      </c>
      <c r="I62" s="26">
        <f t="shared" si="66"/>
        <v>18728.382205784797</v>
      </c>
      <c r="J62" s="26">
        <f t="shared" si="66"/>
        <v>22507.604224787952</v>
      </c>
      <c r="K62" s="26">
        <f t="shared" si="66"/>
        <v>18624.385943411449</v>
      </c>
      <c r="L62" s="26">
        <f t="shared" si="66"/>
        <v>23383.727971902263</v>
      </c>
      <c r="M62" s="26">
        <f t="shared" si="66"/>
        <v>25338.146874238668</v>
      </c>
      <c r="N62" s="114">
        <f t="shared" si="66"/>
        <v>22849.84682110951</v>
      </c>
    </row>
    <row r="63" spans="1:16" x14ac:dyDescent="0.25">
      <c r="N63" s="45"/>
    </row>
    <row r="64" spans="1:16" x14ac:dyDescent="0.25">
      <c r="N64" s="45"/>
    </row>
    <row r="65" spans="1:30" x14ac:dyDescent="0.25">
      <c r="A65" s="16" t="s">
        <v>95</v>
      </c>
      <c r="N65" s="45"/>
    </row>
    <row r="66" spans="1:30" x14ac:dyDescent="0.25">
      <c r="N66" s="45"/>
    </row>
    <row r="67" spans="1:30" ht="15.75" thickBot="1" x14ac:dyDescent="0.3">
      <c r="A67" s="15" t="s">
        <v>96</v>
      </c>
      <c r="E67" s="23">
        <f t="shared" ref="E67:N67" si="67">E10</f>
        <v>10000</v>
      </c>
      <c r="F67" s="23">
        <f t="shared" si="67"/>
        <v>10000</v>
      </c>
      <c r="G67" s="23">
        <f t="shared" si="67"/>
        <v>10000</v>
      </c>
      <c r="H67" s="23">
        <f t="shared" si="67"/>
        <v>10000</v>
      </c>
      <c r="I67" s="23">
        <f t="shared" si="67"/>
        <v>10000</v>
      </c>
      <c r="J67" s="23">
        <f t="shared" si="67"/>
        <v>10000</v>
      </c>
      <c r="K67" s="23">
        <f t="shared" si="67"/>
        <v>10000</v>
      </c>
      <c r="L67" s="23">
        <f t="shared" si="67"/>
        <v>10000</v>
      </c>
      <c r="M67" s="23">
        <f t="shared" si="67"/>
        <v>10000</v>
      </c>
      <c r="N67" s="111">
        <f t="shared" si="67"/>
        <v>10000</v>
      </c>
    </row>
    <row r="68" spans="1:30" ht="15" customHeight="1" x14ac:dyDescent="0.25">
      <c r="A68" s="15" t="s">
        <v>97</v>
      </c>
      <c r="E68" s="29">
        <v>0</v>
      </c>
      <c r="F68" s="29">
        <v>0</v>
      </c>
      <c r="G68" s="29">
        <v>0</v>
      </c>
      <c r="H68" s="29">
        <v>0</v>
      </c>
      <c r="I68" s="29">
        <v>0</v>
      </c>
      <c r="J68" s="29">
        <v>24147.581079278709</v>
      </c>
      <c r="K68" s="29">
        <v>50889.137221088691</v>
      </c>
      <c r="L68" s="29">
        <v>82329.068515585939</v>
      </c>
      <c r="M68" s="29">
        <v>115278.92129839754</v>
      </c>
      <c r="N68" s="117">
        <v>145245.01786470535</v>
      </c>
      <c r="Q68" s="232" t="s">
        <v>166</v>
      </c>
      <c r="R68" s="233"/>
      <c r="S68" s="233"/>
      <c r="T68" s="233"/>
      <c r="U68" s="234"/>
    </row>
    <row r="69" spans="1:30" x14ac:dyDescent="0.25">
      <c r="A69" s="15" t="s">
        <v>98</v>
      </c>
      <c r="E69" s="23">
        <f t="shared" ref="E69:N69" si="68">(E41/365)*E15</f>
        <v>30062.5</v>
      </c>
      <c r="F69" s="23">
        <f t="shared" si="68"/>
        <v>30663.75</v>
      </c>
      <c r="G69" s="23">
        <f t="shared" si="68"/>
        <v>31583.662500000002</v>
      </c>
      <c r="H69" s="23">
        <f t="shared" si="68"/>
        <v>31267.825874999999</v>
      </c>
      <c r="I69" s="23">
        <f t="shared" si="68"/>
        <v>31893.182392499999</v>
      </c>
      <c r="J69" s="23">
        <f t="shared" si="68"/>
        <v>32849.977864275003</v>
      </c>
      <c r="K69" s="23">
        <f t="shared" si="68"/>
        <v>32192.978306989506</v>
      </c>
      <c r="L69" s="23">
        <f t="shared" si="68"/>
        <v>33480.697439269083</v>
      </c>
      <c r="M69" s="23">
        <f t="shared" si="68"/>
        <v>34150.31138805447</v>
      </c>
      <c r="N69" s="111">
        <f t="shared" si="68"/>
        <v>33808.80827417392</v>
      </c>
      <c r="Q69" s="235"/>
      <c r="R69" s="236"/>
      <c r="S69" s="236"/>
      <c r="T69" s="236"/>
      <c r="U69" s="237"/>
    </row>
    <row r="70" spans="1:30" x14ac:dyDescent="0.25">
      <c r="A70" s="15" t="s">
        <v>235</v>
      </c>
      <c r="D70" s="20"/>
      <c r="E70" s="23">
        <f>D13-E14</f>
        <v>4500</v>
      </c>
      <c r="F70" s="23">
        <f t="shared" ref="F70:N70" si="69">E70-F14</f>
        <v>4000</v>
      </c>
      <c r="G70" s="23">
        <f t="shared" si="69"/>
        <v>3500</v>
      </c>
      <c r="H70" s="23">
        <f t="shared" si="69"/>
        <v>3000</v>
      </c>
      <c r="I70" s="23">
        <f t="shared" si="69"/>
        <v>2500</v>
      </c>
      <c r="J70" s="23">
        <f t="shared" si="69"/>
        <v>2000</v>
      </c>
      <c r="K70" s="23">
        <f t="shared" si="69"/>
        <v>1500</v>
      </c>
      <c r="L70" s="23">
        <f t="shared" si="69"/>
        <v>1000</v>
      </c>
      <c r="M70" s="23">
        <f t="shared" si="69"/>
        <v>500</v>
      </c>
      <c r="N70" s="111">
        <f t="shared" si="69"/>
        <v>0</v>
      </c>
      <c r="Q70" s="235"/>
      <c r="R70" s="236"/>
      <c r="S70" s="236"/>
      <c r="T70" s="236"/>
      <c r="U70" s="237"/>
    </row>
    <row r="71" spans="1:30" x14ac:dyDescent="0.25">
      <c r="A71" s="15" t="s">
        <v>192</v>
      </c>
      <c r="E71" s="20"/>
      <c r="F71" s="20"/>
      <c r="G71" s="20"/>
      <c r="H71" s="20"/>
      <c r="I71" s="20"/>
      <c r="J71" s="20"/>
      <c r="K71" s="20"/>
      <c r="L71" s="20"/>
      <c r="M71" s="20"/>
      <c r="N71" s="112"/>
      <c r="Q71" s="235"/>
      <c r="R71" s="236"/>
      <c r="S71" s="236"/>
      <c r="T71" s="236"/>
      <c r="U71" s="237"/>
    </row>
    <row r="72" spans="1:30" x14ac:dyDescent="0.25">
      <c r="A72" s="82" t="s">
        <v>193</v>
      </c>
      <c r="E72" s="23">
        <f t="shared" ref="E72:N72" si="70">E7*E11</f>
        <v>300</v>
      </c>
      <c r="F72" s="23">
        <f t="shared" si="70"/>
        <v>300.74999999999994</v>
      </c>
      <c r="G72" s="23">
        <f t="shared" si="70"/>
        <v>301.50187499999993</v>
      </c>
      <c r="H72" s="23">
        <f t="shared" si="70"/>
        <v>302.25562968749989</v>
      </c>
      <c r="I72" s="23">
        <f t="shared" si="70"/>
        <v>303.01126876171861</v>
      </c>
      <c r="J72" s="23">
        <f t="shared" si="70"/>
        <v>303.76879693362287</v>
      </c>
      <c r="K72" s="23">
        <f t="shared" si="70"/>
        <v>304.52821892595693</v>
      </c>
      <c r="L72" s="23">
        <f t="shared" si="70"/>
        <v>305.28953947327182</v>
      </c>
      <c r="M72" s="23">
        <f t="shared" si="70"/>
        <v>306.05276332195496</v>
      </c>
      <c r="N72" s="111">
        <f t="shared" si="70"/>
        <v>306.81789523025986</v>
      </c>
      <c r="Q72" s="235"/>
      <c r="R72" s="236"/>
      <c r="S72" s="236"/>
      <c r="T72" s="236"/>
      <c r="U72" s="237"/>
    </row>
    <row r="73" spans="1:30" x14ac:dyDescent="0.25">
      <c r="A73" s="82" t="s">
        <v>145</v>
      </c>
      <c r="E73" s="25">
        <f t="shared" ref="E73:N73" si="71">(E44/365)*E19</f>
        <v>16233.75</v>
      </c>
      <c r="F73" s="25">
        <f t="shared" si="71"/>
        <v>16558.425000000003</v>
      </c>
      <c r="G73" s="25">
        <f t="shared" si="71"/>
        <v>17055.177749999999</v>
      </c>
      <c r="H73" s="25">
        <f t="shared" si="71"/>
        <v>16884.625972499998</v>
      </c>
      <c r="I73" s="25">
        <f t="shared" si="71"/>
        <v>17222.318491949998</v>
      </c>
      <c r="J73" s="25">
        <f t="shared" si="71"/>
        <v>17738.988046708502</v>
      </c>
      <c r="K73" s="25">
        <f t="shared" si="71"/>
        <v>17384.20828577433</v>
      </c>
      <c r="L73" s="25">
        <f t="shared" si="71"/>
        <v>18079.576617205305</v>
      </c>
      <c r="M73" s="25">
        <f t="shared" si="71"/>
        <v>18441.168149549409</v>
      </c>
      <c r="N73" s="116">
        <f t="shared" si="71"/>
        <v>18256.756468053914</v>
      </c>
      <c r="Q73" s="235"/>
      <c r="R73" s="236"/>
      <c r="S73" s="236"/>
      <c r="T73" s="236"/>
      <c r="U73" s="237"/>
    </row>
    <row r="74" spans="1:30" ht="15.75" thickBot="1" x14ac:dyDescent="0.3">
      <c r="A74" s="15" t="s">
        <v>99</v>
      </c>
      <c r="E74" s="26">
        <f t="shared" ref="E74:N74" si="72">SUM(E67:E73)</f>
        <v>61096.25</v>
      </c>
      <c r="F74" s="26">
        <f t="shared" si="72"/>
        <v>61522.925000000003</v>
      </c>
      <c r="G74" s="26">
        <f t="shared" si="72"/>
        <v>62440.34212500001</v>
      </c>
      <c r="H74" s="26">
        <f t="shared" si="72"/>
        <v>61454.70747718749</v>
      </c>
      <c r="I74" s="26">
        <f t="shared" si="72"/>
        <v>61918.512153211719</v>
      </c>
      <c r="J74" s="26">
        <f t="shared" si="72"/>
        <v>87040.315787195839</v>
      </c>
      <c r="K74" s="26">
        <f t="shared" si="72"/>
        <v>112270.85203277849</v>
      </c>
      <c r="L74" s="26">
        <f t="shared" si="72"/>
        <v>145194.6321115336</v>
      </c>
      <c r="M74" s="26">
        <f t="shared" si="72"/>
        <v>178676.45359932337</v>
      </c>
      <c r="N74" s="114">
        <f t="shared" si="72"/>
        <v>207617.40050216345</v>
      </c>
      <c r="Q74" s="238"/>
      <c r="R74" s="239"/>
      <c r="S74" s="239"/>
      <c r="T74" s="239"/>
      <c r="U74" s="240"/>
    </row>
    <row r="75" spans="1:30" ht="15.75" thickBot="1" x14ac:dyDescent="0.3">
      <c r="N75" s="45"/>
      <c r="Y75" s="195" t="s">
        <v>255</v>
      </c>
      <c r="Z75" s="195"/>
    </row>
    <row r="76" spans="1:30" ht="15" customHeight="1" x14ac:dyDescent="0.25">
      <c r="A76" s="15" t="s">
        <v>100</v>
      </c>
      <c r="E76" s="27">
        <f>Facts!B8*Facts!B3</f>
        <v>4368.6639118457306</v>
      </c>
      <c r="F76" s="28">
        <f>E76</f>
        <v>4368.6639118457306</v>
      </c>
      <c r="G76" s="28">
        <f t="shared" ref="G76:N77" si="73">F76</f>
        <v>4368.6639118457306</v>
      </c>
      <c r="H76" s="28">
        <f t="shared" si="73"/>
        <v>4368.6639118457306</v>
      </c>
      <c r="I76" s="28">
        <f t="shared" si="73"/>
        <v>4368.6639118457306</v>
      </c>
      <c r="J76" s="28">
        <f t="shared" si="73"/>
        <v>4368.6639118457306</v>
      </c>
      <c r="K76" s="28">
        <f t="shared" si="73"/>
        <v>4368.6639118457306</v>
      </c>
      <c r="L76" s="28">
        <f t="shared" si="73"/>
        <v>4368.6639118457306</v>
      </c>
      <c r="M76" s="28">
        <f t="shared" si="73"/>
        <v>4368.6639118457306</v>
      </c>
      <c r="N76" s="118">
        <f t="shared" si="73"/>
        <v>4368.6639118457306</v>
      </c>
      <c r="Q76" s="232" t="s">
        <v>164</v>
      </c>
      <c r="R76" s="233"/>
      <c r="S76" s="233"/>
      <c r="T76" s="233"/>
      <c r="U76" s="234"/>
      <c r="X76" s="4" t="s">
        <v>242</v>
      </c>
      <c r="Y76" s="96">
        <f>P56/(P57+P58)</f>
        <v>2.4206421665052482</v>
      </c>
      <c r="Z76" s="93" t="s">
        <v>239</v>
      </c>
      <c r="AA76" s="102">
        <f>'Amortization Table'!I1</f>
        <v>4.4600000000000001E-2</v>
      </c>
    </row>
    <row r="77" spans="1:30" ht="15" customHeight="1" x14ac:dyDescent="0.25">
      <c r="A77" s="15" t="s">
        <v>101</v>
      </c>
      <c r="E77" s="30">
        <f>Facts!B10*(SUM(Facts!B4:B5))</f>
        <v>455670</v>
      </c>
      <c r="F77" s="28">
        <f>E77</f>
        <v>455670</v>
      </c>
      <c r="G77" s="28">
        <f t="shared" si="73"/>
        <v>455670</v>
      </c>
      <c r="H77" s="28">
        <f t="shared" si="73"/>
        <v>455670</v>
      </c>
      <c r="I77" s="28">
        <f t="shared" si="73"/>
        <v>455670</v>
      </c>
      <c r="J77" s="28">
        <f t="shared" si="73"/>
        <v>455670</v>
      </c>
      <c r="K77" s="28">
        <f t="shared" si="73"/>
        <v>455670</v>
      </c>
      <c r="L77" s="28">
        <f t="shared" si="73"/>
        <v>455670</v>
      </c>
      <c r="M77" s="28">
        <f t="shared" si="73"/>
        <v>455670</v>
      </c>
      <c r="N77" s="118">
        <f t="shared" si="73"/>
        <v>455670</v>
      </c>
      <c r="Q77" s="235"/>
      <c r="R77" s="236"/>
      <c r="S77" s="236"/>
      <c r="T77" s="236"/>
      <c r="U77" s="237"/>
      <c r="X77" s="4" t="s">
        <v>247</v>
      </c>
      <c r="Y77" s="49">
        <f>(P87+P88)/Q93</f>
        <v>0.75244081132429985</v>
      </c>
      <c r="Z77" s="93" t="s">
        <v>238</v>
      </c>
      <c r="AA77" s="102">
        <f>P22</f>
        <v>7.0000000000000021E-2</v>
      </c>
    </row>
    <row r="78" spans="1:30" ht="15.75" thickBot="1" x14ac:dyDescent="0.3">
      <c r="A78" s="15" t="s">
        <v>102</v>
      </c>
      <c r="E78" s="31">
        <f>E55</f>
        <v>15189</v>
      </c>
      <c r="F78" s="24">
        <f t="shared" ref="F78:N78" si="74">E78+F55</f>
        <v>30378</v>
      </c>
      <c r="G78" s="24">
        <f t="shared" si="74"/>
        <v>45567</v>
      </c>
      <c r="H78" s="24">
        <f t="shared" si="74"/>
        <v>60756</v>
      </c>
      <c r="I78" s="24">
        <f t="shared" si="74"/>
        <v>75945</v>
      </c>
      <c r="J78" s="24">
        <f t="shared" si="74"/>
        <v>91134</v>
      </c>
      <c r="K78" s="24">
        <f t="shared" si="74"/>
        <v>106323</v>
      </c>
      <c r="L78" s="24">
        <f t="shared" si="74"/>
        <v>121512</v>
      </c>
      <c r="M78" s="24">
        <f t="shared" si="74"/>
        <v>136701</v>
      </c>
      <c r="N78" s="115">
        <f t="shared" si="74"/>
        <v>151890</v>
      </c>
      <c r="Q78" s="235"/>
      <c r="R78" s="236"/>
      <c r="S78" s="236"/>
      <c r="T78" s="236"/>
      <c r="U78" s="237"/>
    </row>
    <row r="79" spans="1:30" ht="15.75" thickBot="1" x14ac:dyDescent="0.3">
      <c r="N79" s="45"/>
      <c r="Q79" s="238"/>
      <c r="R79" s="239"/>
      <c r="S79" s="239"/>
      <c r="T79" s="239"/>
      <c r="U79" s="240"/>
      <c r="AA79" s="203" t="s">
        <v>271</v>
      </c>
      <c r="AB79" s="204"/>
      <c r="AC79" s="204"/>
      <c r="AD79" s="205"/>
    </row>
    <row r="80" spans="1:30" x14ac:dyDescent="0.25">
      <c r="A80" s="16" t="s">
        <v>103</v>
      </c>
      <c r="E80" s="24">
        <f>E74+(E76+(E77-E78))</f>
        <v>505945.91391184571</v>
      </c>
      <c r="F80" s="24">
        <f t="shared" ref="F80:N80" si="75">F74+(F76+(F77-F78))</f>
        <v>491183.5889118457</v>
      </c>
      <c r="G80" s="24">
        <f t="shared" si="75"/>
        <v>476912.00603684573</v>
      </c>
      <c r="H80" s="24">
        <f t="shared" si="75"/>
        <v>460737.37138903321</v>
      </c>
      <c r="I80" s="24">
        <f t="shared" si="75"/>
        <v>446012.1760650574</v>
      </c>
      <c r="J80" s="24">
        <f t="shared" si="75"/>
        <v>455944.97969904158</v>
      </c>
      <c r="K80" s="24">
        <f t="shared" si="75"/>
        <v>465986.5159446242</v>
      </c>
      <c r="L80" s="24">
        <f t="shared" si="75"/>
        <v>483721.29602337931</v>
      </c>
      <c r="M80" s="24">
        <f t="shared" si="75"/>
        <v>502014.11751116905</v>
      </c>
      <c r="N80" s="115">
        <f t="shared" si="75"/>
        <v>515766.06441400916</v>
      </c>
      <c r="AA80" s="206"/>
      <c r="AB80" s="207"/>
      <c r="AC80" s="207"/>
      <c r="AD80" s="208"/>
    </row>
    <row r="81" spans="1:30" x14ac:dyDescent="0.25">
      <c r="N81" s="45"/>
      <c r="AA81" s="206"/>
      <c r="AB81" s="207"/>
      <c r="AC81" s="207"/>
      <c r="AD81" s="208"/>
    </row>
    <row r="82" spans="1:30" x14ac:dyDescent="0.25">
      <c r="A82" s="15" t="s">
        <v>104</v>
      </c>
      <c r="E82" s="23">
        <f t="shared" ref="E82:N82" si="76">(E50/365)*E18</f>
        <v>21411.095890410961</v>
      </c>
      <c r="F82" s="23">
        <f t="shared" si="76"/>
        <v>21767.576561643837</v>
      </c>
      <c r="G82" s="23">
        <f t="shared" si="76"/>
        <v>22287.942348173972</v>
      </c>
      <c r="H82" s="23">
        <f t="shared" si="76"/>
        <v>22211.409615941891</v>
      </c>
      <c r="I82" s="23">
        <f t="shared" si="76"/>
        <v>22595.032878412716</v>
      </c>
      <c r="J82" s="23">
        <f t="shared" si="76"/>
        <v>23145.701314020182</v>
      </c>
      <c r="K82" s="23">
        <f t="shared" si="76"/>
        <v>22903.544224391146</v>
      </c>
      <c r="L82" s="23">
        <f t="shared" si="76"/>
        <v>23626.00113003873</v>
      </c>
      <c r="M82" s="23">
        <f t="shared" si="76"/>
        <v>24046.923341752736</v>
      </c>
      <c r="N82" s="111">
        <f t="shared" si="76"/>
        <v>23964.11700200901</v>
      </c>
      <c r="AA82" s="206"/>
      <c r="AB82" s="207"/>
      <c r="AC82" s="207"/>
      <c r="AD82" s="208"/>
    </row>
    <row r="83" spans="1:30" x14ac:dyDescent="0.25">
      <c r="A83" s="15" t="s">
        <v>217</v>
      </c>
      <c r="E83" s="23">
        <f t="shared" ref="E83:N83" si="77">E61</f>
        <v>2035.0544466671126</v>
      </c>
      <c r="F83" s="23">
        <f t="shared" si="77"/>
        <v>2841.2072557224874</v>
      </c>
      <c r="G83" s="23">
        <f t="shared" si="77"/>
        <v>4047.1409220541464</v>
      </c>
      <c r="H83" s="23">
        <f t="shared" si="77"/>
        <v>3805.0869617053877</v>
      </c>
      <c r="I83" s="23">
        <f t="shared" si="77"/>
        <v>4682.0955514461994</v>
      </c>
      <c r="J83" s="23">
        <f t="shared" si="77"/>
        <v>5626.9010561969881</v>
      </c>
      <c r="K83" s="23">
        <f t="shared" si="77"/>
        <v>4656.0964858528632</v>
      </c>
      <c r="L83" s="23">
        <f t="shared" si="77"/>
        <v>5845.9319929755657</v>
      </c>
      <c r="M83" s="23">
        <f t="shared" si="77"/>
        <v>6334.536718559667</v>
      </c>
      <c r="N83" s="111">
        <f t="shared" si="77"/>
        <v>5712.4617052773774</v>
      </c>
      <c r="AA83" s="206"/>
      <c r="AB83" s="207"/>
      <c r="AC83" s="207"/>
      <c r="AD83" s="208"/>
    </row>
    <row r="84" spans="1:30" x14ac:dyDescent="0.25">
      <c r="A84" s="15" t="s">
        <v>158</v>
      </c>
      <c r="E84" s="54">
        <f t="shared" ref="E84:N84" si="78">E31*E41</f>
        <v>2194.5625</v>
      </c>
      <c r="F84" s="54">
        <f t="shared" si="78"/>
        <v>2238.4537500000001</v>
      </c>
      <c r="G84" s="54">
        <f t="shared" si="78"/>
        <v>2305.6073625000004</v>
      </c>
      <c r="H84" s="54">
        <f t="shared" si="78"/>
        <v>2282.551288875</v>
      </c>
      <c r="I84" s="54">
        <f t="shared" si="78"/>
        <v>2328.2023146525003</v>
      </c>
      <c r="J84" s="54">
        <f t="shared" si="78"/>
        <v>2398.0483840920751</v>
      </c>
      <c r="K84" s="54">
        <f t="shared" si="78"/>
        <v>2350.0874164102338</v>
      </c>
      <c r="L84" s="54">
        <f t="shared" si="78"/>
        <v>2444.0909130666432</v>
      </c>
      <c r="M84" s="54">
        <f t="shared" si="78"/>
        <v>2492.9727313279759</v>
      </c>
      <c r="N84" s="111">
        <f t="shared" si="78"/>
        <v>2468.0430040146962</v>
      </c>
      <c r="AA84" s="206"/>
      <c r="AB84" s="207"/>
      <c r="AC84" s="207"/>
      <c r="AD84" s="208"/>
    </row>
    <row r="85" spans="1:30" x14ac:dyDescent="0.25">
      <c r="A85" s="15" t="s">
        <v>105</v>
      </c>
      <c r="E85" s="26">
        <f>SUM(E82:E84)</f>
        <v>25640.712837078074</v>
      </c>
      <c r="F85" s="26">
        <f t="shared" ref="F85:N85" si="79">SUM(F82:F84)</f>
        <v>26847.237567366326</v>
      </c>
      <c r="G85" s="26">
        <f t="shared" si="79"/>
        <v>28640.690632728118</v>
      </c>
      <c r="H85" s="26">
        <f t="shared" si="79"/>
        <v>28299.047866522276</v>
      </c>
      <c r="I85" s="26">
        <f t="shared" si="79"/>
        <v>29605.330744511415</v>
      </c>
      <c r="J85" s="26">
        <f t="shared" si="79"/>
        <v>31170.650754309245</v>
      </c>
      <c r="K85" s="26">
        <f t="shared" si="79"/>
        <v>29909.728126654245</v>
      </c>
      <c r="L85" s="26">
        <f t="shared" si="79"/>
        <v>31916.02403608094</v>
      </c>
      <c r="M85" s="26">
        <f t="shared" si="79"/>
        <v>32874.432791640378</v>
      </c>
      <c r="N85" s="114">
        <f t="shared" si="79"/>
        <v>32144.621711301086</v>
      </c>
      <c r="AA85" s="206"/>
      <c r="AB85" s="207"/>
      <c r="AC85" s="207"/>
      <c r="AD85" s="208"/>
    </row>
    <row r="86" spans="1:30" x14ac:dyDescent="0.25">
      <c r="N86" s="45"/>
      <c r="S86" s="95"/>
      <c r="T86" s="95"/>
      <c r="V86" s="92" t="s">
        <v>222</v>
      </c>
      <c r="W86" s="92" t="s">
        <v>223</v>
      </c>
      <c r="X86" s="92" t="s">
        <v>224</v>
      </c>
      <c r="Y86" s="92" t="s">
        <v>225</v>
      </c>
      <c r="AA86" s="209"/>
      <c r="AB86" s="210"/>
      <c r="AC86" s="210"/>
      <c r="AD86" s="211"/>
    </row>
    <row r="87" spans="1:30" ht="15.75" thickBot="1" x14ac:dyDescent="0.3">
      <c r="A87" s="15" t="s">
        <v>142</v>
      </c>
      <c r="E87" s="27">
        <f>'Amortization Table'!F13</f>
        <v>339423.37821640348</v>
      </c>
      <c r="F87" s="27">
        <f>'Amortization Table'!F27</f>
        <v>333562.57337765611</v>
      </c>
      <c r="G87" s="27">
        <f>'Amortization Table'!F41</f>
        <v>327434.96660283866</v>
      </c>
      <c r="H87" s="27">
        <f>'Amortization Table'!F55</f>
        <v>321028.412243862</v>
      </c>
      <c r="I87" s="27">
        <f>'Amortization Table'!F69</f>
        <v>314330.21174522681</v>
      </c>
      <c r="J87" s="27">
        <f>'Amortization Table'!F83</f>
        <v>307327.08847397071</v>
      </c>
      <c r="K87" s="27">
        <f>'Amortization Table'!F97</f>
        <v>300005.16140379693</v>
      </c>
      <c r="L87" s="27">
        <f>'Amortization Table'!F111</f>
        <v>292349.9176012231</v>
      </c>
      <c r="M87" s="27">
        <f>'Amortization Table'!F125</f>
        <v>284346.18345921469</v>
      </c>
      <c r="N87" s="113">
        <f>'Amortization Table'!F139</f>
        <v>275978.09462128457</v>
      </c>
      <c r="O87" s="4"/>
      <c r="P87" s="88">
        <f>AVERAGE(E87:N87)</f>
        <v>309578.59877454769</v>
      </c>
      <c r="U87" s="91" t="s">
        <v>227</v>
      </c>
      <c r="V87" s="89">
        <f>P87/$Q$93</f>
        <v>0.68685720168936482</v>
      </c>
      <c r="W87" s="89">
        <f>'Amortization Table'!I1</f>
        <v>4.4600000000000001E-2</v>
      </c>
      <c r="X87" s="89">
        <f>W87*(1-$P$24)</f>
        <v>3.5680000000000003E-2</v>
      </c>
      <c r="Y87" s="89">
        <f>V87*X87</f>
        <v>2.4507064956276539E-2</v>
      </c>
      <c r="AA87" s="216" t="s">
        <v>256</v>
      </c>
      <c r="AB87" s="217"/>
      <c r="AC87" s="218" t="s">
        <v>272</v>
      </c>
      <c r="AD87" s="219"/>
    </row>
    <row r="88" spans="1:30" ht="15.75" thickBot="1" x14ac:dyDescent="0.3">
      <c r="A88" s="15" t="s">
        <v>106</v>
      </c>
      <c r="E88" s="32">
        <v>107444.30937610345</v>
      </c>
      <c r="F88" s="32">
        <v>85971.435461672561</v>
      </c>
      <c r="G88" s="32">
        <v>59845.442607911682</v>
      </c>
      <c r="H88" s="32">
        <v>35198.657238460146</v>
      </c>
      <c r="I88" s="32">
        <v>7136.9973293455496</v>
      </c>
      <c r="J88" s="32">
        <v>0</v>
      </c>
      <c r="K88" s="32">
        <v>0</v>
      </c>
      <c r="L88" s="32">
        <v>0</v>
      </c>
      <c r="M88" s="32">
        <v>0</v>
      </c>
      <c r="N88" s="119">
        <v>0</v>
      </c>
      <c r="O88" s="4"/>
      <c r="P88" s="88">
        <f>AVERAGE(E88:N88)</f>
        <v>29559.684201349341</v>
      </c>
      <c r="Q88" s="52" t="s">
        <v>157</v>
      </c>
      <c r="R88" s="53"/>
      <c r="T88" s="49">
        <f>V87+V88</f>
        <v>0.75244081132429996</v>
      </c>
      <c r="U88" s="91" t="s">
        <v>226</v>
      </c>
      <c r="V88" s="89">
        <f>P88/Q93</f>
        <v>6.5583609634935106E-2</v>
      </c>
      <c r="W88" s="89">
        <f>P22</f>
        <v>7.0000000000000021E-2</v>
      </c>
      <c r="X88" s="89">
        <f>W88*(1-$P$24)</f>
        <v>5.6000000000000022E-2</v>
      </c>
      <c r="Y88" s="89">
        <f>V88*X88</f>
        <v>3.6726821395563674E-3</v>
      </c>
    </row>
    <row r="89" spans="1:30" x14ac:dyDescent="0.25">
      <c r="A89" s="15" t="s">
        <v>107</v>
      </c>
      <c r="E89" s="24">
        <f>E85+E87+E88</f>
        <v>472508.40042958502</v>
      </c>
      <c r="F89" s="24">
        <f t="shared" ref="F89:N89" si="80">F85+F87+F88</f>
        <v>446381.24640669499</v>
      </c>
      <c r="G89" s="24">
        <f t="shared" si="80"/>
        <v>415921.09984347841</v>
      </c>
      <c r="H89" s="24">
        <f t="shared" si="80"/>
        <v>384526.11734884442</v>
      </c>
      <c r="I89" s="24">
        <f t="shared" si="80"/>
        <v>351072.53981908376</v>
      </c>
      <c r="J89" s="24">
        <f t="shared" si="80"/>
        <v>338497.73922827997</v>
      </c>
      <c r="K89" s="24">
        <f t="shared" si="80"/>
        <v>329914.88953045115</v>
      </c>
      <c r="L89" s="24">
        <f t="shared" si="80"/>
        <v>324265.94163730403</v>
      </c>
      <c r="M89" s="24">
        <f t="shared" si="80"/>
        <v>317220.61625085509</v>
      </c>
      <c r="N89" s="115">
        <f t="shared" si="80"/>
        <v>308122.71633258567</v>
      </c>
      <c r="O89" s="4"/>
      <c r="U89" s="91" t="s">
        <v>221</v>
      </c>
      <c r="V89" s="89">
        <f>P93/Q93</f>
        <v>0.24755918867570009</v>
      </c>
      <c r="W89" s="89">
        <f>V95</f>
        <v>0.23116337861245842</v>
      </c>
      <c r="X89" s="89">
        <f>W89</f>
        <v>0.23116337861245842</v>
      </c>
      <c r="Y89" s="89">
        <f t="shared" ref="Y89" si="81">V89*X89</f>
        <v>5.7226618460833892E-2</v>
      </c>
    </row>
    <row r="90" spans="1:30" ht="15.75" thickBot="1" x14ac:dyDescent="0.3">
      <c r="N90" s="45"/>
      <c r="O90" s="4"/>
      <c r="Y90" s="90">
        <f>SUM(Y87:Y89)</f>
        <v>8.5406365556666794E-2</v>
      </c>
      <c r="Z90" s="4" t="s">
        <v>202</v>
      </c>
    </row>
    <row r="91" spans="1:30" ht="15.75" thickTop="1" x14ac:dyDescent="0.25">
      <c r="A91" s="15" t="s">
        <v>108</v>
      </c>
      <c r="E91" s="23">
        <f>E80*D3</f>
        <v>25297.295695592285</v>
      </c>
      <c r="F91" s="28">
        <f>E91</f>
        <v>25297.295695592285</v>
      </c>
      <c r="G91" s="28">
        <f t="shared" ref="G91:N91" si="82">F91</f>
        <v>25297.295695592285</v>
      </c>
      <c r="H91" s="28">
        <f t="shared" si="82"/>
        <v>25297.295695592285</v>
      </c>
      <c r="I91" s="28">
        <f t="shared" si="82"/>
        <v>25297.295695592285</v>
      </c>
      <c r="J91" s="28">
        <f t="shared" si="82"/>
        <v>25297.295695592285</v>
      </c>
      <c r="K91" s="28">
        <f t="shared" si="82"/>
        <v>25297.295695592285</v>
      </c>
      <c r="L91" s="28">
        <f t="shared" si="82"/>
        <v>25297.295695592285</v>
      </c>
      <c r="M91" s="28">
        <f t="shared" si="82"/>
        <v>25297.295695592285</v>
      </c>
      <c r="N91" s="118">
        <f t="shared" si="82"/>
        <v>25297.295695592285</v>
      </c>
      <c r="O91" s="4"/>
      <c r="U91" s="93" t="s">
        <v>228</v>
      </c>
      <c r="V91" s="103">
        <f>Facts!B30</f>
        <v>0.9</v>
      </c>
    </row>
    <row r="92" spans="1:30" x14ac:dyDescent="0.25">
      <c r="A92" s="15" t="s">
        <v>109</v>
      </c>
      <c r="E92" s="31">
        <f>E62</f>
        <v>8140.2177866684506</v>
      </c>
      <c r="F92" s="24">
        <f t="shared" ref="F92:N92" si="83">E92+F62</f>
        <v>19505.0468095584</v>
      </c>
      <c r="G92" s="24">
        <f t="shared" si="83"/>
        <v>35693.610497774986</v>
      </c>
      <c r="H92" s="24">
        <f t="shared" si="83"/>
        <v>50913.95834459654</v>
      </c>
      <c r="I92" s="24">
        <f t="shared" si="83"/>
        <v>69642.340550381341</v>
      </c>
      <c r="J92" s="24">
        <f t="shared" si="83"/>
        <v>92149.944775169293</v>
      </c>
      <c r="K92" s="24">
        <f t="shared" si="83"/>
        <v>110774.33071858075</v>
      </c>
      <c r="L92" s="24">
        <f t="shared" si="83"/>
        <v>134158.05869048301</v>
      </c>
      <c r="M92" s="24">
        <f t="shared" si="83"/>
        <v>159496.20556472169</v>
      </c>
      <c r="N92" s="115">
        <f t="shared" si="83"/>
        <v>182346.05238583119</v>
      </c>
      <c r="O92" s="4"/>
      <c r="U92" s="93" t="s">
        <v>229</v>
      </c>
      <c r="V92" s="103">
        <f>V91*(1+(1-P24)*((V87+V88)/V89))</f>
        <v>3.0883953774916932</v>
      </c>
    </row>
    <row r="93" spans="1:30" ht="15.75" thickBot="1" x14ac:dyDescent="0.3">
      <c r="A93" s="15" t="s">
        <v>110</v>
      </c>
      <c r="E93" s="26">
        <f>E91+E92</f>
        <v>33437.513482260736</v>
      </c>
      <c r="F93" s="26">
        <f t="shared" ref="F93:M93" si="84">F91+F92</f>
        <v>44802.342505150686</v>
      </c>
      <c r="G93" s="26">
        <f t="shared" si="84"/>
        <v>60990.906193367271</v>
      </c>
      <c r="H93" s="26">
        <f t="shared" si="84"/>
        <v>76211.254040188825</v>
      </c>
      <c r="I93" s="26">
        <f t="shared" si="84"/>
        <v>94939.636245973627</v>
      </c>
      <c r="J93" s="26">
        <f t="shared" si="84"/>
        <v>117447.24047076158</v>
      </c>
      <c r="K93" s="26">
        <f t="shared" si="84"/>
        <v>136071.62641417305</v>
      </c>
      <c r="L93" s="26">
        <f t="shared" si="84"/>
        <v>159455.35438607528</v>
      </c>
      <c r="M93" s="26">
        <f t="shared" si="84"/>
        <v>184793.50126031396</v>
      </c>
      <c r="N93" s="114">
        <f>N91+N92</f>
        <v>207643.34808142349</v>
      </c>
      <c r="O93" s="4"/>
      <c r="P93" s="88">
        <f>AVERAGE(E93:N93)</f>
        <v>111579.27230796884</v>
      </c>
      <c r="Q93" s="4">
        <f>P87+P88+P93</f>
        <v>450717.55528386589</v>
      </c>
      <c r="U93" s="93" t="s">
        <v>230</v>
      </c>
      <c r="V93" s="19">
        <f>Facts!B52</f>
        <v>2.98E-2</v>
      </c>
    </row>
    <row r="94" spans="1:30" x14ac:dyDescent="0.25">
      <c r="N94" s="45"/>
      <c r="U94" s="93" t="s">
        <v>231</v>
      </c>
      <c r="V94" s="98">
        <f>Facts!B56</f>
        <v>9.5000000000000001E-2</v>
      </c>
      <c r="X94" s="203" t="s">
        <v>270</v>
      </c>
      <c r="Y94" s="204"/>
      <c r="Z94" s="204"/>
      <c r="AA94" s="205"/>
    </row>
    <row r="95" spans="1:30" x14ac:dyDescent="0.25">
      <c r="A95" s="16" t="s">
        <v>111</v>
      </c>
      <c r="E95" s="24">
        <f>E89+E93</f>
        <v>505945.91391184577</v>
      </c>
      <c r="F95" s="24">
        <f t="shared" ref="F95:N95" si="85">F89+F93</f>
        <v>491183.5889118457</v>
      </c>
      <c r="G95" s="24">
        <f t="shared" si="85"/>
        <v>476912.00603684568</v>
      </c>
      <c r="H95" s="24">
        <f t="shared" si="85"/>
        <v>460737.37138903327</v>
      </c>
      <c r="I95" s="24">
        <f t="shared" si="85"/>
        <v>446012.1760650574</v>
      </c>
      <c r="J95" s="24">
        <f t="shared" si="85"/>
        <v>455944.97969904158</v>
      </c>
      <c r="K95" s="24">
        <f t="shared" si="85"/>
        <v>465986.5159446242</v>
      </c>
      <c r="L95" s="24">
        <f t="shared" si="85"/>
        <v>483721.29602337931</v>
      </c>
      <c r="M95" s="24">
        <f t="shared" si="85"/>
        <v>502014.11751116905</v>
      </c>
      <c r="N95" s="115">
        <f t="shared" si="85"/>
        <v>515766.06441400916</v>
      </c>
      <c r="U95" s="93" t="s">
        <v>232</v>
      </c>
      <c r="V95" s="19">
        <f>V93+V92*(V94-V93)</f>
        <v>0.23116337861245842</v>
      </c>
      <c r="X95" s="206"/>
      <c r="Y95" s="207"/>
      <c r="Z95" s="207"/>
      <c r="AA95" s="208"/>
    </row>
    <row r="96" spans="1:30" x14ac:dyDescent="0.25">
      <c r="N96" s="45"/>
      <c r="X96" s="206"/>
      <c r="Y96" s="207"/>
      <c r="Z96" s="207"/>
      <c r="AA96" s="208"/>
    </row>
    <row r="97" spans="1:27" x14ac:dyDescent="0.25">
      <c r="A97" s="15" t="s">
        <v>112</v>
      </c>
      <c r="E97" s="4">
        <f t="shared" ref="E97:N97" si="86">E80-E95</f>
        <v>0</v>
      </c>
      <c r="F97" s="4">
        <f t="shared" si="86"/>
        <v>0</v>
      </c>
      <c r="G97" s="4">
        <f t="shared" si="86"/>
        <v>0</v>
      </c>
      <c r="H97" s="4">
        <f t="shared" si="86"/>
        <v>0</v>
      </c>
      <c r="I97" s="4">
        <f t="shared" si="86"/>
        <v>0</v>
      </c>
      <c r="J97" s="4">
        <f t="shared" si="86"/>
        <v>0</v>
      </c>
      <c r="K97" s="4">
        <f t="shared" si="86"/>
        <v>0</v>
      </c>
      <c r="L97" s="4">
        <f t="shared" si="86"/>
        <v>0</v>
      </c>
      <c r="M97" s="4">
        <f t="shared" si="86"/>
        <v>0</v>
      </c>
      <c r="N97" s="45">
        <f t="shared" si="86"/>
        <v>0</v>
      </c>
      <c r="X97" s="206"/>
      <c r="Y97" s="207"/>
      <c r="Z97" s="207"/>
      <c r="AA97" s="208"/>
    </row>
    <row r="98" spans="1:27" ht="15.75" thickBot="1" x14ac:dyDescent="0.3">
      <c r="A98" s="99"/>
      <c r="B98" s="100"/>
      <c r="C98" s="100"/>
      <c r="D98" s="100"/>
      <c r="E98" s="100"/>
      <c r="F98" s="100"/>
      <c r="G98" s="100"/>
      <c r="H98" s="100"/>
      <c r="I98" s="100"/>
      <c r="J98" s="100"/>
      <c r="K98" s="100"/>
      <c r="L98" s="100"/>
      <c r="M98" s="100"/>
      <c r="N98" s="109"/>
      <c r="X98" s="206"/>
      <c r="Y98" s="207"/>
      <c r="Z98" s="207"/>
      <c r="AA98" s="208"/>
    </row>
    <row r="99" spans="1:27" x14ac:dyDescent="0.25">
      <c r="A99" s="4" t="s">
        <v>257</v>
      </c>
      <c r="D99" s="19">
        <f>P24</f>
        <v>0.19999999999999998</v>
      </c>
      <c r="N99" s="110"/>
      <c r="X99" s="206"/>
      <c r="Y99" s="207"/>
      <c r="Z99" s="207"/>
      <c r="AA99" s="208"/>
    </row>
    <row r="100" spans="1:27" x14ac:dyDescent="0.25">
      <c r="N100" s="45"/>
      <c r="X100" s="206"/>
      <c r="Y100" s="207"/>
      <c r="Z100" s="207"/>
      <c r="AA100" s="208"/>
    </row>
    <row r="101" spans="1:27" ht="15.75" x14ac:dyDescent="0.25">
      <c r="A101" s="125" t="s">
        <v>201</v>
      </c>
      <c r="N101" s="45"/>
      <c r="X101" s="209"/>
      <c r="Y101" s="210"/>
      <c r="Z101" s="210"/>
      <c r="AA101" s="211"/>
    </row>
    <row r="102" spans="1:27" ht="15.75" thickBot="1" x14ac:dyDescent="0.3">
      <c r="B102" s="15" t="s">
        <v>209</v>
      </c>
      <c r="D102" s="4">
        <f>D41-D43-D44-D45-D46-D47-D49</f>
        <v>0</v>
      </c>
      <c r="E102" s="4">
        <f t="shared" ref="E102:N102" si="87">E41-E43-E44-E45-E46-E47-E48-E49</f>
        <v>48160</v>
      </c>
      <c r="F102" s="4">
        <f t="shared" si="87"/>
        <v>50432.477749999991</v>
      </c>
      <c r="G102" s="4">
        <f t="shared" si="87"/>
        <v>54366.524645825062</v>
      </c>
      <c r="H102" s="4">
        <f t="shared" si="87"/>
        <v>51152.032284060435</v>
      </c>
      <c r="I102" s="4">
        <f t="shared" si="87"/>
        <v>53281.112899467931</v>
      </c>
      <c r="J102" s="4">
        <f t="shared" si="87"/>
        <v>57200.62783754681</v>
      </c>
      <c r="K102" s="4">
        <f t="shared" si="87"/>
        <v>52027.801186908415</v>
      </c>
      <c r="L102" s="4">
        <f t="shared" si="87"/>
        <v>57643.66199012188</v>
      </c>
      <c r="M102" s="4">
        <f t="shared" si="87"/>
        <v>59738.195278607833</v>
      </c>
      <c r="N102" s="45">
        <f t="shared" si="87"/>
        <v>56263.465516274679</v>
      </c>
      <c r="X102" s="212" t="s">
        <v>273</v>
      </c>
      <c r="Y102" s="213"/>
      <c r="Z102" s="214" t="s">
        <v>274</v>
      </c>
      <c r="AA102" s="215"/>
    </row>
    <row r="103" spans="1:27" x14ac:dyDescent="0.25">
      <c r="B103" s="4" t="s">
        <v>210</v>
      </c>
      <c r="D103" s="4">
        <f t="shared" ref="D103:N103" si="88">D55</f>
        <v>0</v>
      </c>
      <c r="E103" s="4">
        <f t="shared" si="88"/>
        <v>15189</v>
      </c>
      <c r="F103" s="4">
        <f t="shared" si="88"/>
        <v>15189</v>
      </c>
      <c r="G103" s="4">
        <f t="shared" si="88"/>
        <v>15189</v>
      </c>
      <c r="H103" s="4">
        <f t="shared" si="88"/>
        <v>15189</v>
      </c>
      <c r="I103" s="4">
        <f t="shared" si="88"/>
        <v>15189</v>
      </c>
      <c r="J103" s="4">
        <f t="shared" si="88"/>
        <v>15189</v>
      </c>
      <c r="K103" s="4">
        <f t="shared" si="88"/>
        <v>15189</v>
      </c>
      <c r="L103" s="4">
        <f t="shared" si="88"/>
        <v>15189</v>
      </c>
      <c r="M103" s="4">
        <f t="shared" si="88"/>
        <v>15189</v>
      </c>
      <c r="N103" s="45">
        <f t="shared" si="88"/>
        <v>15189</v>
      </c>
    </row>
    <row r="104" spans="1:27" x14ac:dyDescent="0.25">
      <c r="B104" s="4" t="s">
        <v>211</v>
      </c>
      <c r="D104" s="124">
        <f>D102-D103</f>
        <v>0</v>
      </c>
      <c r="E104" s="124">
        <f>E102-E103</f>
        <v>32971</v>
      </c>
      <c r="F104" s="124">
        <f t="shared" ref="F104:N104" si="89">F102-F103</f>
        <v>35243.477749999991</v>
      </c>
      <c r="G104" s="124">
        <f t="shared" si="89"/>
        <v>39177.524645825062</v>
      </c>
      <c r="H104" s="124">
        <f t="shared" si="89"/>
        <v>35963.032284060435</v>
      </c>
      <c r="I104" s="124">
        <f t="shared" si="89"/>
        <v>38092.112899467931</v>
      </c>
      <c r="J104" s="124">
        <f t="shared" si="89"/>
        <v>42011.62783754681</v>
      </c>
      <c r="K104" s="124">
        <f t="shared" si="89"/>
        <v>36838.801186908415</v>
      </c>
      <c r="L104" s="124">
        <f t="shared" si="89"/>
        <v>42454.66199012188</v>
      </c>
      <c r="M104" s="124">
        <f t="shared" si="89"/>
        <v>44549.195278607833</v>
      </c>
      <c r="N104" s="45">
        <f t="shared" si="89"/>
        <v>41074.465516274679</v>
      </c>
    </row>
    <row r="105" spans="1:27" x14ac:dyDescent="0.25">
      <c r="B105" s="4" t="s">
        <v>212</v>
      </c>
      <c r="D105" s="123">
        <f>D104*$D$99</f>
        <v>0</v>
      </c>
      <c r="E105" s="123">
        <f>E104*$D$99</f>
        <v>6594.2</v>
      </c>
      <c r="F105" s="123">
        <f t="shared" ref="F105:N105" si="90">F104*$D$99</f>
        <v>7048.6955499999976</v>
      </c>
      <c r="G105" s="123">
        <f t="shared" si="90"/>
        <v>7835.5049291650121</v>
      </c>
      <c r="H105" s="123">
        <f t="shared" si="90"/>
        <v>7192.6064568120864</v>
      </c>
      <c r="I105" s="123">
        <f t="shared" si="90"/>
        <v>7618.4225798935859</v>
      </c>
      <c r="J105" s="123">
        <f t="shared" si="90"/>
        <v>8402.3255675093606</v>
      </c>
      <c r="K105" s="123">
        <f t="shared" si="90"/>
        <v>7367.7602373816826</v>
      </c>
      <c r="L105" s="123">
        <f t="shared" si="90"/>
        <v>8490.9323980243753</v>
      </c>
      <c r="M105" s="123">
        <f t="shared" si="90"/>
        <v>8909.8390557215662</v>
      </c>
      <c r="N105" s="51">
        <f t="shared" si="90"/>
        <v>8214.8931032549353</v>
      </c>
    </row>
    <row r="106" spans="1:27" x14ac:dyDescent="0.25">
      <c r="A106" s="87" t="s">
        <v>213</v>
      </c>
      <c r="D106" s="4">
        <f>D102-D105</f>
        <v>0</v>
      </c>
      <c r="E106" s="4">
        <f>E102-E105</f>
        <v>41565.800000000003</v>
      </c>
      <c r="F106" s="4">
        <f t="shared" ref="F106:N106" si="91">F102-F105</f>
        <v>43383.782199999994</v>
      </c>
      <c r="G106" s="4">
        <f t="shared" si="91"/>
        <v>46531.019716660048</v>
      </c>
      <c r="H106" s="4">
        <f t="shared" si="91"/>
        <v>43959.425827248349</v>
      </c>
      <c r="I106" s="4">
        <f t="shared" si="91"/>
        <v>45662.690319574343</v>
      </c>
      <c r="J106" s="4">
        <f t="shared" si="91"/>
        <v>48798.302270037449</v>
      </c>
      <c r="K106" s="4">
        <f t="shared" si="91"/>
        <v>44660.04094952673</v>
      </c>
      <c r="L106" s="4">
        <f t="shared" si="91"/>
        <v>49152.729592097501</v>
      </c>
      <c r="M106" s="4">
        <f t="shared" si="91"/>
        <v>50828.356222886265</v>
      </c>
      <c r="N106" s="45">
        <f t="shared" si="91"/>
        <v>48048.572413019741</v>
      </c>
    </row>
    <row r="107" spans="1:27" x14ac:dyDescent="0.25">
      <c r="N107" s="45"/>
    </row>
    <row r="108" spans="1:27" x14ac:dyDescent="0.25">
      <c r="A108" s="15" t="s">
        <v>214</v>
      </c>
      <c r="N108" s="45"/>
    </row>
    <row r="109" spans="1:27" x14ac:dyDescent="0.25">
      <c r="B109" s="4" t="s">
        <v>215</v>
      </c>
      <c r="D109" s="4">
        <f t="shared" ref="D109:N109" si="92">-((E67+E68)-(D67+D68))</f>
        <v>-10000</v>
      </c>
      <c r="E109" s="4">
        <f t="shared" si="92"/>
        <v>0</v>
      </c>
      <c r="F109" s="4">
        <f t="shared" si="92"/>
        <v>0</v>
      </c>
      <c r="G109" s="4">
        <f t="shared" si="92"/>
        <v>0</v>
      </c>
      <c r="H109" s="4">
        <f t="shared" si="92"/>
        <v>0</v>
      </c>
      <c r="I109" s="4">
        <f t="shared" si="92"/>
        <v>-24147.581079278709</v>
      </c>
      <c r="J109" s="4">
        <f t="shared" si="92"/>
        <v>-26741.556141809982</v>
      </c>
      <c r="K109" s="4">
        <f t="shared" si="92"/>
        <v>-31439.931294497248</v>
      </c>
      <c r="L109" s="4">
        <f t="shared" si="92"/>
        <v>-32949.852782811606</v>
      </c>
      <c r="M109" s="4">
        <f t="shared" si="92"/>
        <v>-29966.09656630781</v>
      </c>
      <c r="N109" s="45">
        <f t="shared" si="92"/>
        <v>155245.01786470535</v>
      </c>
      <c r="O109" s="88">
        <f>SUM(D109:N109)</f>
        <v>0</v>
      </c>
    </row>
    <row r="110" spans="1:27" x14ac:dyDescent="0.25">
      <c r="B110" s="4" t="s">
        <v>216</v>
      </c>
      <c r="D110" s="4">
        <f t="shared" ref="D110:N110" si="93">-(E69-D69)</f>
        <v>-30062.5</v>
      </c>
      <c r="E110" s="4">
        <f t="shared" si="93"/>
        <v>-601.25</v>
      </c>
      <c r="F110" s="4">
        <f t="shared" si="93"/>
        <v>-919.91250000000218</v>
      </c>
      <c r="G110" s="4">
        <f t="shared" si="93"/>
        <v>315.83662500000355</v>
      </c>
      <c r="H110" s="4">
        <f t="shared" si="93"/>
        <v>-625.35651750000034</v>
      </c>
      <c r="I110" s="4">
        <f t="shared" si="93"/>
        <v>-956.79547177500353</v>
      </c>
      <c r="J110" s="4">
        <f t="shared" si="93"/>
        <v>656.99955728549685</v>
      </c>
      <c r="K110" s="4">
        <f t="shared" si="93"/>
        <v>-1287.719132279577</v>
      </c>
      <c r="L110" s="4">
        <f t="shared" si="93"/>
        <v>-669.61394878538704</v>
      </c>
      <c r="M110" s="4">
        <f t="shared" si="93"/>
        <v>341.50311388054979</v>
      </c>
      <c r="N110" s="45">
        <f t="shared" si="93"/>
        <v>33808.80827417392</v>
      </c>
      <c r="O110" s="88">
        <f t="shared" ref="O110:O116" si="94">SUM(D110:N110)</f>
        <v>0</v>
      </c>
    </row>
    <row r="111" spans="1:27" x14ac:dyDescent="0.25">
      <c r="B111" s="4" t="s">
        <v>193</v>
      </c>
      <c r="D111" s="4">
        <f>-(E72-D72)</f>
        <v>-300</v>
      </c>
      <c r="E111" s="4">
        <f t="shared" ref="E111:N111" si="95">-(F72-E72)</f>
        <v>-0.74999999999994316</v>
      </c>
      <c r="F111" s="4">
        <f t="shared" si="95"/>
        <v>-0.75187499999998408</v>
      </c>
      <c r="G111" s="4">
        <f t="shared" si="95"/>
        <v>-0.75375468749996344</v>
      </c>
      <c r="H111" s="4">
        <f t="shared" si="95"/>
        <v>-0.75563907421872045</v>
      </c>
      <c r="I111" s="4">
        <f t="shared" si="95"/>
        <v>-0.75752817190425503</v>
      </c>
      <c r="J111" s="4">
        <f t="shared" si="95"/>
        <v>-0.75942199233406882</v>
      </c>
      <c r="K111" s="4">
        <f t="shared" si="95"/>
        <v>-0.76132054731488097</v>
      </c>
      <c r="L111" s="4">
        <f t="shared" si="95"/>
        <v>-0.76322384868313975</v>
      </c>
      <c r="M111" s="4">
        <f t="shared" si="95"/>
        <v>-0.76513190830490885</v>
      </c>
      <c r="N111" s="45">
        <f t="shared" si="95"/>
        <v>306.81789523025986</v>
      </c>
      <c r="O111" s="88">
        <f t="shared" si="94"/>
        <v>0</v>
      </c>
    </row>
    <row r="112" spans="1:27" x14ac:dyDescent="0.25">
      <c r="B112" s="4" t="s">
        <v>145</v>
      </c>
      <c r="D112" s="4">
        <f>-(E73-D73)</f>
        <v>-16233.75</v>
      </c>
      <c r="E112" s="4">
        <f t="shared" ref="E112:N112" si="96">-(F73-E73)</f>
        <v>-324.67500000000291</v>
      </c>
      <c r="F112" s="4">
        <f t="shared" si="96"/>
        <v>-496.75274999999601</v>
      </c>
      <c r="G112" s="4">
        <f t="shared" si="96"/>
        <v>170.55177750000075</v>
      </c>
      <c r="H112" s="4">
        <f t="shared" si="96"/>
        <v>-337.69251944999996</v>
      </c>
      <c r="I112" s="4">
        <f t="shared" si="96"/>
        <v>-516.66955475850409</v>
      </c>
      <c r="J112" s="4">
        <f t="shared" si="96"/>
        <v>354.77976093417237</v>
      </c>
      <c r="K112" s="4">
        <f t="shared" si="96"/>
        <v>-695.36833143097465</v>
      </c>
      <c r="L112" s="4">
        <f t="shared" si="96"/>
        <v>-361.59153234410405</v>
      </c>
      <c r="M112" s="4">
        <f t="shared" si="96"/>
        <v>184.41168149549412</v>
      </c>
      <c r="N112" s="45">
        <f t="shared" si="96"/>
        <v>18256.756468053914</v>
      </c>
      <c r="O112" s="88">
        <f t="shared" si="94"/>
        <v>0</v>
      </c>
    </row>
    <row r="113" spans="1:16" x14ac:dyDescent="0.25">
      <c r="B113" s="4" t="s">
        <v>254</v>
      </c>
      <c r="D113" s="4">
        <f t="shared" ref="D113:N113" si="97">-(E70-D70)</f>
        <v>-4500</v>
      </c>
      <c r="E113" s="4">
        <f t="shared" si="97"/>
        <v>500</v>
      </c>
      <c r="F113" s="4">
        <f t="shared" si="97"/>
        <v>500</v>
      </c>
      <c r="G113" s="4">
        <f t="shared" si="97"/>
        <v>500</v>
      </c>
      <c r="H113" s="4">
        <f t="shared" si="97"/>
        <v>500</v>
      </c>
      <c r="I113" s="4">
        <f t="shared" si="97"/>
        <v>500</v>
      </c>
      <c r="J113" s="4">
        <f t="shared" si="97"/>
        <v>500</v>
      </c>
      <c r="K113" s="4">
        <f t="shared" si="97"/>
        <v>500</v>
      </c>
      <c r="L113" s="4">
        <f t="shared" si="97"/>
        <v>500</v>
      </c>
      <c r="M113" s="4">
        <f t="shared" si="97"/>
        <v>500</v>
      </c>
      <c r="N113" s="45">
        <f t="shared" si="97"/>
        <v>0</v>
      </c>
      <c r="O113" s="88">
        <f t="shared" si="94"/>
        <v>0</v>
      </c>
    </row>
    <row r="114" spans="1:16" x14ac:dyDescent="0.25">
      <c r="B114" s="4" t="s">
        <v>104</v>
      </c>
      <c r="D114" s="4">
        <f t="shared" ref="D114:N114" si="98">(E82-D82)</f>
        <v>21411.095890410961</v>
      </c>
      <c r="E114" s="4">
        <f t="shared" si="98"/>
        <v>356.48067123287547</v>
      </c>
      <c r="F114" s="4">
        <f t="shared" si="98"/>
        <v>520.36578653013567</v>
      </c>
      <c r="G114" s="4">
        <f t="shared" si="98"/>
        <v>-76.532732232080889</v>
      </c>
      <c r="H114" s="4">
        <f t="shared" si="98"/>
        <v>383.62326247082456</v>
      </c>
      <c r="I114" s="4">
        <f t="shared" si="98"/>
        <v>550.66843560746565</v>
      </c>
      <c r="J114" s="4">
        <f t="shared" si="98"/>
        <v>-242.15708962903591</v>
      </c>
      <c r="K114" s="4">
        <f t="shared" si="98"/>
        <v>722.45690564758479</v>
      </c>
      <c r="L114" s="4">
        <f t="shared" si="98"/>
        <v>420.92221171400524</v>
      </c>
      <c r="M114" s="4">
        <f t="shared" si="98"/>
        <v>-82.806339743725403</v>
      </c>
      <c r="N114" s="45">
        <f t="shared" si="98"/>
        <v>-23964.11700200901</v>
      </c>
      <c r="O114" s="88">
        <f t="shared" si="94"/>
        <v>0</v>
      </c>
    </row>
    <row r="115" spans="1:16" x14ac:dyDescent="0.25">
      <c r="B115" s="4" t="s">
        <v>158</v>
      </c>
      <c r="D115" s="4">
        <f t="shared" ref="D115:N115" si="99">(E84-D84)</f>
        <v>2194.5625</v>
      </c>
      <c r="E115" s="4">
        <f t="shared" si="99"/>
        <v>43.891250000000127</v>
      </c>
      <c r="F115" s="4">
        <f t="shared" si="99"/>
        <v>67.153612500000236</v>
      </c>
      <c r="G115" s="4">
        <f t="shared" si="99"/>
        <v>-23.056073625000408</v>
      </c>
      <c r="H115" s="4">
        <f t="shared" si="99"/>
        <v>45.651025777500308</v>
      </c>
      <c r="I115" s="4">
        <f t="shared" si="99"/>
        <v>69.846069439574876</v>
      </c>
      <c r="J115" s="4">
        <f t="shared" si="99"/>
        <v>-47.960967681841339</v>
      </c>
      <c r="K115" s="4">
        <f t="shared" si="99"/>
        <v>94.003496656409425</v>
      </c>
      <c r="L115" s="4">
        <f t="shared" si="99"/>
        <v>48.881818261332683</v>
      </c>
      <c r="M115" s="4">
        <f t="shared" si="99"/>
        <v>-24.929727313279727</v>
      </c>
      <c r="N115" s="45">
        <f t="shared" si="99"/>
        <v>-2468.0430040146962</v>
      </c>
      <c r="O115" s="88">
        <f t="shared" si="94"/>
        <v>0</v>
      </c>
    </row>
    <row r="116" spans="1:16" x14ac:dyDescent="0.25">
      <c r="B116" s="4" t="s">
        <v>217</v>
      </c>
      <c r="D116" s="4">
        <f t="shared" ref="D116:N116" si="100">(E105-D105)</f>
        <v>6594.2</v>
      </c>
      <c r="E116" s="4">
        <f t="shared" si="100"/>
        <v>454.49554999999782</v>
      </c>
      <c r="F116" s="4">
        <f t="shared" si="100"/>
        <v>786.80937916501443</v>
      </c>
      <c r="G116" s="4">
        <f t="shared" si="100"/>
        <v>-642.89847235292564</v>
      </c>
      <c r="H116" s="4">
        <f t="shared" si="100"/>
        <v>425.81612308149943</v>
      </c>
      <c r="I116" s="4">
        <f t="shared" si="100"/>
        <v>783.90298761577469</v>
      </c>
      <c r="J116" s="4">
        <f t="shared" si="100"/>
        <v>-1034.565330127678</v>
      </c>
      <c r="K116" s="4">
        <f t="shared" si="100"/>
        <v>1123.1721606426927</v>
      </c>
      <c r="L116" s="4">
        <f t="shared" si="100"/>
        <v>418.90665769719089</v>
      </c>
      <c r="M116" s="4">
        <f t="shared" si="100"/>
        <v>-694.94595246663084</v>
      </c>
      <c r="N116" s="45">
        <f t="shared" si="100"/>
        <v>-8214.8931032549353</v>
      </c>
      <c r="O116" s="88">
        <f t="shared" si="94"/>
        <v>0</v>
      </c>
    </row>
    <row r="117" spans="1:16" x14ac:dyDescent="0.25">
      <c r="N117" s="45"/>
      <c r="O117" s="77" t="s">
        <v>262</v>
      </c>
      <c r="P117" s="105">
        <f>Facts!B64</f>
        <v>0.15</v>
      </c>
    </row>
    <row r="118" spans="1:16" x14ac:dyDescent="0.25">
      <c r="B118" s="4" t="s">
        <v>100</v>
      </c>
      <c r="D118" s="4">
        <f t="shared" ref="D118:N118" si="101">-(E76-D76)</f>
        <v>-4368.6639118457306</v>
      </c>
      <c r="E118" s="4">
        <f t="shared" si="101"/>
        <v>0</v>
      </c>
      <c r="F118" s="4">
        <f t="shared" si="101"/>
        <v>0</v>
      </c>
      <c r="G118" s="4">
        <f t="shared" si="101"/>
        <v>0</v>
      </c>
      <c r="H118" s="4">
        <f t="shared" si="101"/>
        <v>0</v>
      </c>
      <c r="I118" s="4">
        <f t="shared" si="101"/>
        <v>0</v>
      </c>
      <c r="J118" s="4">
        <f t="shared" si="101"/>
        <v>0</v>
      </c>
      <c r="K118" s="4">
        <f t="shared" si="101"/>
        <v>0</v>
      </c>
      <c r="L118" s="4">
        <f t="shared" si="101"/>
        <v>0</v>
      </c>
      <c r="M118" s="4">
        <f t="shared" si="101"/>
        <v>0</v>
      </c>
      <c r="N118" s="45">
        <f t="shared" si="101"/>
        <v>4368.6639118457306</v>
      </c>
      <c r="O118" s="77" t="s">
        <v>260</v>
      </c>
      <c r="P118" s="88">
        <v>5000</v>
      </c>
    </row>
    <row r="119" spans="1:16" x14ac:dyDescent="0.25">
      <c r="B119" s="4" t="s">
        <v>258</v>
      </c>
      <c r="N119" s="45">
        <f>P118-N118</f>
        <v>631.33608815426942</v>
      </c>
      <c r="O119" s="77" t="s">
        <v>251</v>
      </c>
      <c r="P119" s="88">
        <f>N118</f>
        <v>4368.6639118457306</v>
      </c>
    </row>
    <row r="120" spans="1:16" x14ac:dyDescent="0.25">
      <c r="B120" s="4" t="s">
        <v>259</v>
      </c>
      <c r="N120" s="45">
        <f>-P120*P117</f>
        <v>-94.700413223140416</v>
      </c>
      <c r="O120" s="77" t="s">
        <v>261</v>
      </c>
      <c r="P120" s="88">
        <f>P118-P119</f>
        <v>631.33608815426942</v>
      </c>
    </row>
    <row r="121" spans="1:16" x14ac:dyDescent="0.25">
      <c r="N121" s="45"/>
    </row>
    <row r="122" spans="1:16" x14ac:dyDescent="0.25">
      <c r="B122" s="4" t="s">
        <v>218</v>
      </c>
      <c r="D122" s="4">
        <f t="shared" ref="D122:N122" si="102">-(E77-D77)</f>
        <v>-455670</v>
      </c>
      <c r="E122" s="4">
        <f t="shared" si="102"/>
        <v>0</v>
      </c>
      <c r="F122" s="4">
        <f t="shared" si="102"/>
        <v>0</v>
      </c>
      <c r="G122" s="4">
        <f t="shared" si="102"/>
        <v>0</v>
      </c>
      <c r="H122" s="4">
        <f t="shared" si="102"/>
        <v>0</v>
      </c>
      <c r="I122" s="4">
        <f t="shared" si="102"/>
        <v>0</v>
      </c>
      <c r="J122" s="4">
        <f t="shared" si="102"/>
        <v>0</v>
      </c>
      <c r="K122" s="4">
        <f t="shared" si="102"/>
        <v>0</v>
      </c>
      <c r="L122" s="4">
        <f t="shared" si="102"/>
        <v>0</v>
      </c>
      <c r="M122" s="4">
        <f t="shared" si="102"/>
        <v>0</v>
      </c>
      <c r="N122" s="45">
        <f t="shared" si="102"/>
        <v>455670</v>
      </c>
      <c r="O122" s="77" t="s">
        <v>260</v>
      </c>
      <c r="P122" s="88">
        <v>500000</v>
      </c>
    </row>
    <row r="123" spans="1:16" x14ac:dyDescent="0.25">
      <c r="B123" s="4" t="s">
        <v>258</v>
      </c>
      <c r="N123" s="45">
        <f>P122-N122</f>
        <v>44330</v>
      </c>
      <c r="O123" s="77" t="s">
        <v>251</v>
      </c>
      <c r="P123" s="88">
        <f>N122-N78</f>
        <v>303780</v>
      </c>
    </row>
    <row r="124" spans="1:16" x14ac:dyDescent="0.25">
      <c r="B124" s="4" t="s">
        <v>259</v>
      </c>
      <c r="N124" s="45">
        <f>-P124*P117</f>
        <v>-29433</v>
      </c>
      <c r="O124" s="77" t="s">
        <v>261</v>
      </c>
      <c r="P124" s="88">
        <f>P122-P123</f>
        <v>196220</v>
      </c>
    </row>
    <row r="125" spans="1:16" x14ac:dyDescent="0.25">
      <c r="N125" s="45"/>
    </row>
    <row r="126" spans="1:16" x14ac:dyDescent="0.25">
      <c r="B126" s="4" t="s">
        <v>249</v>
      </c>
      <c r="D126" s="4">
        <f>-E137</f>
        <v>-14953.715198264865</v>
      </c>
      <c r="N126" s="45"/>
    </row>
    <row r="127" spans="1:16" x14ac:dyDescent="0.25">
      <c r="N127" s="45"/>
    </row>
    <row r="128" spans="1:16" x14ac:dyDescent="0.25">
      <c r="A128" s="16" t="s">
        <v>219</v>
      </c>
      <c r="D128" s="4">
        <f>SUM(D106:D126)</f>
        <v>-505888.77071969962</v>
      </c>
      <c r="E128" s="4">
        <f t="shared" ref="E128:M128" si="103">SUM(E106:E122)</f>
        <v>41993.992471232872</v>
      </c>
      <c r="F128" s="4">
        <f t="shared" si="103"/>
        <v>43840.693853195145</v>
      </c>
      <c r="G128" s="4">
        <f t="shared" si="103"/>
        <v>46774.16708626254</v>
      </c>
      <c r="H128" s="4">
        <f t="shared" si="103"/>
        <v>44350.711562553952</v>
      </c>
      <c r="I128" s="4">
        <f t="shared" si="103"/>
        <v>21945.304178253042</v>
      </c>
      <c r="J128" s="4">
        <f t="shared" si="103"/>
        <v>22243.082637016247</v>
      </c>
      <c r="K128" s="4">
        <f t="shared" si="103"/>
        <v>13675.893433718302</v>
      </c>
      <c r="L128" s="4">
        <f t="shared" si="103"/>
        <v>16559.618791980247</v>
      </c>
      <c r="M128" s="4">
        <f t="shared" si="103"/>
        <v>21084.727300522558</v>
      </c>
      <c r="N128" s="45">
        <f>SUM(N106:N126)</f>
        <v>696491.21939268138</v>
      </c>
    </row>
    <row r="129" spans="1:14" x14ac:dyDescent="0.25">
      <c r="N129" s="45"/>
    </row>
    <row r="130" spans="1:14" ht="15.75" thickBot="1" x14ac:dyDescent="0.3">
      <c r="A130" s="87" t="s">
        <v>202</v>
      </c>
      <c r="D130" s="19">
        <f>Y90</f>
        <v>8.5406365556666794E-2</v>
      </c>
      <c r="F130" s="122"/>
      <c r="N130" s="109"/>
    </row>
    <row r="131" spans="1:14" ht="15.75" thickBot="1" x14ac:dyDescent="0.3">
      <c r="A131" s="87" t="s">
        <v>203</v>
      </c>
      <c r="D131" s="19">
        <f>IRR(D128:N128)</f>
        <v>8.540636555666703E-2</v>
      </c>
      <c r="F131" s="122"/>
      <c r="K131" s="196" t="s">
        <v>275</v>
      </c>
      <c r="L131" s="197"/>
      <c r="M131" s="197"/>
      <c r="N131" s="198"/>
    </row>
    <row r="132" spans="1:14" x14ac:dyDescent="0.25">
      <c r="A132" s="87" t="s">
        <v>204</v>
      </c>
      <c r="D132" s="1">
        <f>NPV(D130,E128:N128)+D128</f>
        <v>0</v>
      </c>
      <c r="K132" s="203" t="s">
        <v>266</v>
      </c>
      <c r="L132" s="204"/>
      <c r="M132" s="204"/>
      <c r="N132" s="205"/>
    </row>
    <row r="133" spans="1:14" x14ac:dyDescent="0.25">
      <c r="K133" s="206"/>
      <c r="L133" s="207"/>
      <c r="M133" s="207"/>
      <c r="N133" s="208"/>
    </row>
    <row r="134" spans="1:14" x14ac:dyDescent="0.25">
      <c r="D134" s="123" t="s">
        <v>252</v>
      </c>
      <c r="E134" s="123" t="s">
        <v>253</v>
      </c>
      <c r="K134" s="206"/>
      <c r="L134" s="207"/>
      <c r="M134" s="207"/>
      <c r="N134" s="208"/>
    </row>
    <row r="135" spans="1:14" x14ac:dyDescent="0.25">
      <c r="A135" s="15" t="s">
        <v>250</v>
      </c>
      <c r="D135" s="4">
        <f>NPV(D130,E128:N128)</f>
        <v>505888.77071969962</v>
      </c>
      <c r="E135" s="4">
        <f>D135</f>
        <v>505888.77071969962</v>
      </c>
      <c r="K135" s="206"/>
      <c r="L135" s="207"/>
      <c r="M135" s="207"/>
      <c r="N135" s="208"/>
    </row>
    <row r="136" spans="1:14" x14ac:dyDescent="0.25">
      <c r="A136" s="15" t="s">
        <v>251</v>
      </c>
      <c r="D136" s="4">
        <f>-D128</f>
        <v>505888.77071969962</v>
      </c>
      <c r="E136" s="4">
        <f>-SUM(D106:D124)</f>
        <v>490935.05552143476</v>
      </c>
      <c r="F136" s="93" t="s">
        <v>250</v>
      </c>
      <c r="G136" s="93" t="s">
        <v>276</v>
      </c>
      <c r="K136" s="209"/>
      <c r="L136" s="210"/>
      <c r="M136" s="210"/>
      <c r="N136" s="211"/>
    </row>
    <row r="137" spans="1:14" ht="15.75" thickBot="1" x14ac:dyDescent="0.3">
      <c r="A137" s="15" t="s">
        <v>249</v>
      </c>
      <c r="D137" s="4">
        <f>D135-D136</f>
        <v>0</v>
      </c>
      <c r="E137" s="101">
        <f>E135-E136</f>
        <v>14953.715198264865</v>
      </c>
      <c r="F137" s="49">
        <f>E137/D135</f>
        <v>2.9559294579697928E-2</v>
      </c>
      <c r="G137" s="49">
        <f>E137/-(D122+D118)</f>
        <v>3.2505344379337539E-2</v>
      </c>
      <c r="K137" s="199" t="s">
        <v>264</v>
      </c>
      <c r="L137" s="200"/>
      <c r="M137" s="201" t="s">
        <v>265</v>
      </c>
      <c r="N137" s="202"/>
    </row>
    <row r="138" spans="1:14" ht="15.75" thickBot="1" x14ac:dyDescent="0.3">
      <c r="N138" s="110"/>
    </row>
    <row r="139" spans="1:14" x14ac:dyDescent="0.25">
      <c r="F139" s="223" t="s">
        <v>269</v>
      </c>
      <c r="G139" s="224"/>
      <c r="H139" s="224"/>
      <c r="I139" s="225"/>
      <c r="N139" s="45"/>
    </row>
    <row r="140" spans="1:14" x14ac:dyDescent="0.25">
      <c r="F140" s="226"/>
      <c r="G140" s="227"/>
      <c r="H140" s="227"/>
      <c r="I140" s="228"/>
      <c r="N140" s="45"/>
    </row>
    <row r="141" spans="1:14" x14ac:dyDescent="0.25">
      <c r="F141" s="226"/>
      <c r="G141" s="227"/>
      <c r="H141" s="227"/>
      <c r="I141" s="228"/>
      <c r="N141" s="45"/>
    </row>
    <row r="142" spans="1:14" x14ac:dyDescent="0.25">
      <c r="F142" s="229"/>
      <c r="G142" s="230"/>
      <c r="H142" s="230"/>
      <c r="I142" s="231"/>
      <c r="N142" s="45"/>
    </row>
    <row r="143" spans="1:14" ht="15.75" thickBot="1" x14ac:dyDescent="0.3">
      <c r="F143" s="220" t="s">
        <v>267</v>
      </c>
      <c r="G143" s="221"/>
      <c r="H143" s="222" t="s">
        <v>268</v>
      </c>
      <c r="I143" s="219"/>
      <c r="N143" s="45"/>
    </row>
    <row r="144" spans="1:14" x14ac:dyDescent="0.25">
      <c r="A144" s="95"/>
      <c r="B144" s="124"/>
      <c r="C144" s="124"/>
      <c r="D144" s="124"/>
      <c r="E144" s="124"/>
      <c r="F144" s="124"/>
      <c r="G144" s="124"/>
      <c r="H144" s="124"/>
      <c r="I144" s="124"/>
      <c r="J144" s="124"/>
      <c r="K144" s="124"/>
      <c r="L144" s="124"/>
      <c r="M144" s="124"/>
      <c r="N144" s="45"/>
    </row>
    <row r="145" spans="1:14" ht="15.75" thickBot="1" x14ac:dyDescent="0.3">
      <c r="A145" s="99"/>
      <c r="B145" s="100"/>
      <c r="C145" s="100"/>
      <c r="D145" s="100"/>
      <c r="E145" s="100"/>
      <c r="F145" s="100"/>
      <c r="G145" s="100"/>
      <c r="H145" s="100"/>
      <c r="I145" s="100"/>
      <c r="J145" s="100"/>
      <c r="K145" s="100"/>
      <c r="L145" s="100"/>
      <c r="M145" s="100"/>
      <c r="N145" s="109"/>
    </row>
  </sheetData>
  <mergeCells count="16">
    <mergeCell ref="F143:G143"/>
    <mergeCell ref="H143:I143"/>
    <mergeCell ref="F139:I142"/>
    <mergeCell ref="Q68:U74"/>
    <mergeCell ref="Q76:U79"/>
    <mergeCell ref="Y75:Z75"/>
    <mergeCell ref="K131:N131"/>
    <mergeCell ref="K137:L137"/>
    <mergeCell ref="M137:N137"/>
    <mergeCell ref="K132:N136"/>
    <mergeCell ref="X94:AA101"/>
    <mergeCell ref="X102:Y102"/>
    <mergeCell ref="Z102:AA102"/>
    <mergeCell ref="AA79:AD86"/>
    <mergeCell ref="AA87:AB87"/>
    <mergeCell ref="AC87:AD8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9E39-0AD2-4F52-B009-EA293A10FF5A}">
  <dimension ref="A1:Q16"/>
  <sheetViews>
    <sheetView showGridLines="0" zoomScaleNormal="100" workbookViewId="0">
      <selection activeCell="D5" sqref="D5"/>
    </sheetView>
  </sheetViews>
  <sheetFormatPr defaultRowHeight="15" x14ac:dyDescent="0.25"/>
  <cols>
    <col min="1" max="2" width="3.28515625" customWidth="1"/>
    <col min="3" max="3" width="30.7109375" customWidth="1"/>
    <col min="4" max="9" width="9.85546875" customWidth="1"/>
    <col min="10" max="10" width="12.42578125" bestFit="1" customWidth="1"/>
    <col min="11" max="14" width="9.85546875" customWidth="1"/>
  </cols>
  <sheetData>
    <row r="1" spans="1:17" x14ac:dyDescent="0.25">
      <c r="A1" s="155"/>
      <c r="B1" s="156"/>
      <c r="C1" s="156"/>
      <c r="D1" s="157" t="str">
        <f>FS!D1</f>
        <v>Year 0</v>
      </c>
      <c r="E1" s="157" t="str">
        <f>FS!E1</f>
        <v>Year 1</v>
      </c>
      <c r="F1" s="157" t="str">
        <f>FS!F1</f>
        <v>Year 2</v>
      </c>
      <c r="G1" s="157" t="str">
        <f>FS!G1</f>
        <v>Year 3</v>
      </c>
      <c r="H1" s="157" t="str">
        <f>FS!H1</f>
        <v>Year 4</v>
      </c>
      <c r="I1" s="157" t="str">
        <f>FS!I1</f>
        <v>Year 5</v>
      </c>
      <c r="J1" s="157" t="str">
        <f>FS!J1</f>
        <v>Year 6</v>
      </c>
      <c r="K1" s="157" t="str">
        <f>FS!K1</f>
        <v>Year 7</v>
      </c>
      <c r="L1" s="157" t="str">
        <f>FS!L1</f>
        <v>Year 8</v>
      </c>
      <c r="M1" s="157" t="str">
        <f>FS!M1</f>
        <v>Year 9</v>
      </c>
      <c r="N1" s="157" t="str">
        <f>FS!N1</f>
        <v>Year 10</v>
      </c>
      <c r="O1" s="157" t="s">
        <v>303</v>
      </c>
      <c r="P1" s="157" t="s">
        <v>304</v>
      </c>
      <c r="Q1" s="44"/>
    </row>
    <row r="2" spans="1:17" x14ac:dyDescent="0.25">
      <c r="A2" s="158" t="str">
        <f>FS!A130</f>
        <v>WACC</v>
      </c>
      <c r="B2" s="124"/>
      <c r="D2" s="152">
        <f>FS!D130</f>
        <v>8.5406365556666794E-2</v>
      </c>
      <c r="E2" s="124"/>
      <c r="F2" s="124"/>
      <c r="G2" s="124"/>
      <c r="H2" s="124"/>
      <c r="I2" s="124"/>
      <c r="J2" s="124"/>
      <c r="K2" s="124"/>
      <c r="L2" s="124"/>
      <c r="M2" s="124"/>
      <c r="N2" s="124"/>
      <c r="O2" s="124"/>
      <c r="P2" s="124"/>
      <c r="Q2" s="44"/>
    </row>
    <row r="3" spans="1:17" x14ac:dyDescent="0.25">
      <c r="A3" s="159" t="s">
        <v>293</v>
      </c>
      <c r="C3" s="95"/>
      <c r="D3" s="95">
        <f>FS!D128</f>
        <v>-505888.77071969962</v>
      </c>
      <c r="E3" s="95">
        <f>FS!E128</f>
        <v>41993.992471232872</v>
      </c>
      <c r="F3" s="95">
        <f>FS!F128</f>
        <v>43840.693853195145</v>
      </c>
      <c r="G3" s="95">
        <f>FS!G128</f>
        <v>46774.16708626254</v>
      </c>
      <c r="H3" s="95">
        <f>FS!H128</f>
        <v>44350.711562553952</v>
      </c>
      <c r="I3" s="95">
        <f>FS!I128</f>
        <v>21945.304178253042</v>
      </c>
      <c r="J3" s="95">
        <f>FS!J128</f>
        <v>22243.082637016247</v>
      </c>
      <c r="K3" s="95">
        <f>FS!K128</f>
        <v>13675.893433718302</v>
      </c>
      <c r="L3" s="95">
        <f>FS!L128</f>
        <v>16559.618791980247</v>
      </c>
      <c r="M3" s="95">
        <f>FS!M128</f>
        <v>21084.727300522558</v>
      </c>
      <c r="N3" s="95">
        <f>FS!N128</f>
        <v>696491.21939268138</v>
      </c>
      <c r="O3" s="124">
        <v>0</v>
      </c>
      <c r="P3" s="124">
        <v>0</v>
      </c>
      <c r="Q3" s="44"/>
    </row>
    <row r="4" spans="1:17" x14ac:dyDescent="0.25">
      <c r="A4" s="159" t="s">
        <v>204</v>
      </c>
      <c r="C4" s="95"/>
      <c r="D4" s="95">
        <f>NPV(D2,E3:P3)+D3</f>
        <v>0</v>
      </c>
      <c r="E4" s="95"/>
      <c r="F4" s="95"/>
      <c r="G4" s="95"/>
      <c r="H4" s="95"/>
      <c r="I4" s="95"/>
      <c r="J4" s="95"/>
      <c r="K4" s="95"/>
      <c r="L4" s="95"/>
      <c r="M4" s="95"/>
      <c r="N4" s="95"/>
      <c r="O4" s="124"/>
      <c r="P4" s="124"/>
      <c r="Q4" s="44"/>
    </row>
    <row r="5" spans="1:17" x14ac:dyDescent="0.25">
      <c r="A5" s="44"/>
      <c r="Q5" s="44"/>
    </row>
    <row r="6" spans="1:17" x14ac:dyDescent="0.25">
      <c r="A6" s="159" t="s">
        <v>292</v>
      </c>
      <c r="C6" s="95"/>
      <c r="D6" s="95"/>
      <c r="E6" s="95"/>
      <c r="F6" s="95"/>
      <c r="G6" s="95"/>
      <c r="H6" s="95"/>
      <c r="I6" s="95"/>
      <c r="J6" s="95"/>
      <c r="K6" s="95"/>
      <c r="L6" s="95"/>
      <c r="M6" s="95"/>
      <c r="N6" s="95"/>
      <c r="Q6" s="44"/>
    </row>
    <row r="7" spans="1:17" x14ac:dyDescent="0.25">
      <c r="A7" s="159"/>
      <c r="B7" t="s">
        <v>296</v>
      </c>
      <c r="C7" s="95"/>
      <c r="D7" s="124">
        <v>0</v>
      </c>
      <c r="E7" s="124">
        <v>0</v>
      </c>
      <c r="F7" s="124">
        <f>D3</f>
        <v>-505888.77071969962</v>
      </c>
      <c r="G7" s="124">
        <v>0</v>
      </c>
      <c r="H7" s="124">
        <v>0</v>
      </c>
      <c r="I7" s="124">
        <v>0</v>
      </c>
      <c r="J7" s="124">
        <v>0</v>
      </c>
      <c r="K7" s="124">
        <v>0</v>
      </c>
      <c r="L7" s="124">
        <v>0</v>
      </c>
      <c r="M7" s="124">
        <v>0</v>
      </c>
      <c r="N7" s="124">
        <v>0</v>
      </c>
      <c r="O7" s="104">
        <v>0</v>
      </c>
      <c r="P7" s="104">
        <v>0</v>
      </c>
      <c r="Q7" s="44"/>
    </row>
    <row r="8" spans="1:17" x14ac:dyDescent="0.25">
      <c r="A8" s="159"/>
      <c r="B8" t="s">
        <v>295</v>
      </c>
      <c r="C8" s="95"/>
      <c r="D8" s="124">
        <v>0</v>
      </c>
      <c r="E8" s="124">
        <v>0</v>
      </c>
      <c r="F8" s="124">
        <v>0</v>
      </c>
      <c r="G8" s="124">
        <f>'Real Options (2)'!E19</f>
        <v>41993.992471232872</v>
      </c>
      <c r="H8" s="124">
        <f t="shared" ref="H8:M8" si="0">F3</f>
        <v>43840.693853195145</v>
      </c>
      <c r="I8" s="124">
        <f t="shared" si="0"/>
        <v>46774.16708626254</v>
      </c>
      <c r="J8" s="124">
        <f t="shared" si="0"/>
        <v>44350.711562553952</v>
      </c>
      <c r="K8" s="124">
        <f t="shared" si="0"/>
        <v>21945.304178253042</v>
      </c>
      <c r="L8" s="124">
        <f t="shared" si="0"/>
        <v>22243.082637016247</v>
      </c>
      <c r="M8" s="124">
        <f t="shared" si="0"/>
        <v>13675.893433718302</v>
      </c>
      <c r="N8" s="124">
        <f t="shared" ref="N8" si="1">L3</f>
        <v>16559.618791980247</v>
      </c>
      <c r="O8" s="124">
        <f t="shared" ref="O8" si="2">M3</f>
        <v>21084.727300522558</v>
      </c>
      <c r="P8" s="124">
        <f t="shared" ref="P8" si="3">N3</f>
        <v>696491.21939268138</v>
      </c>
      <c r="Q8" s="44"/>
    </row>
    <row r="9" spans="1:17" x14ac:dyDescent="0.25">
      <c r="A9" s="159"/>
      <c r="B9" t="s">
        <v>204</v>
      </c>
      <c r="C9" s="95"/>
      <c r="D9" s="124">
        <f>NPV(D2,E8:P8)+D8</f>
        <v>429408.17769422458</v>
      </c>
      <c r="J9" s="95"/>
      <c r="K9" s="95"/>
      <c r="L9" s="95"/>
      <c r="M9" s="95"/>
      <c r="N9" s="95"/>
      <c r="Q9" s="44"/>
    </row>
    <row r="10" spans="1:17" x14ac:dyDescent="0.25">
      <c r="A10" s="159"/>
      <c r="C10" s="95"/>
      <c r="J10" s="95"/>
      <c r="K10" s="95"/>
      <c r="L10" s="95"/>
      <c r="M10" s="95"/>
      <c r="N10" s="95"/>
      <c r="Q10" s="44"/>
    </row>
    <row r="11" spans="1:17" ht="15.75" x14ac:dyDescent="0.25">
      <c r="A11" s="159"/>
      <c r="C11" s="95"/>
      <c r="E11" s="153" t="s">
        <v>290</v>
      </c>
      <c r="F11" s="154"/>
      <c r="G11" s="154"/>
      <c r="H11" s="154"/>
      <c r="I11" s="154"/>
      <c r="J11" s="154"/>
      <c r="K11" s="95"/>
      <c r="N11" s="95"/>
      <c r="Q11" s="44"/>
    </row>
    <row r="12" spans="1:17" ht="15.75" x14ac:dyDescent="0.25">
      <c r="C12" s="95"/>
      <c r="E12" s="127" t="s">
        <v>284</v>
      </c>
      <c r="F12" s="127" t="s">
        <v>285</v>
      </c>
      <c r="G12" s="127" t="s">
        <v>286</v>
      </c>
      <c r="H12" s="127" t="s">
        <v>287</v>
      </c>
      <c r="I12" s="127" t="s">
        <v>288</v>
      </c>
      <c r="J12" s="127" t="s">
        <v>289</v>
      </c>
      <c r="K12" s="95"/>
      <c r="M12" s="162" t="s">
        <v>308</v>
      </c>
      <c r="N12" s="95">
        <f>D4</f>
        <v>0</v>
      </c>
      <c r="Q12" s="44"/>
    </row>
    <row r="13" spans="1:17" ht="15.75" x14ac:dyDescent="0.25">
      <c r="C13" s="95"/>
      <c r="E13" s="137">
        <f>D9</f>
        <v>429408.17769422458</v>
      </c>
      <c r="F13" s="137">
        <f>-F7</f>
        <v>505888.77071969962</v>
      </c>
      <c r="G13" s="127">
        <v>2</v>
      </c>
      <c r="H13" s="129">
        <f>Facts!B76</f>
        <v>0.51</v>
      </c>
      <c r="I13" s="129">
        <f>Facts!B52</f>
        <v>2.98E-2</v>
      </c>
      <c r="J13" s="128">
        <f>(E13*(NORMSDIST((LN(E13/PV(I13,G13,,-F13))+(I13+((H13^2)/2)*G13))/(H13*SQRT(G13)))))-((NORMSDIST(((LN(E13/PV(I13,G13,,-F13))+(I13+((H13^2)/2)*G13))/(H13*SQRT(G13)))-(H13*SQRT(G13))))*PV(I13,G13,,-F13))</f>
        <v>105015.28423574832</v>
      </c>
      <c r="K13" s="95"/>
      <c r="M13" s="162" t="s">
        <v>309</v>
      </c>
      <c r="N13" s="95">
        <f>J13</f>
        <v>105015.28423574832</v>
      </c>
      <c r="Q13" s="44"/>
    </row>
    <row r="14" spans="1:17" x14ac:dyDescent="0.25">
      <c r="C14" s="95"/>
      <c r="D14" s="95"/>
      <c r="E14" s="95"/>
      <c r="F14" s="95"/>
      <c r="G14" s="95"/>
      <c r="H14" s="95"/>
      <c r="I14" s="95"/>
      <c r="J14" s="95"/>
      <c r="K14" s="95"/>
      <c r="L14" s="95"/>
      <c r="M14" s="162" t="s">
        <v>282</v>
      </c>
      <c r="N14" s="95">
        <f>N12+N13</f>
        <v>105015.28423574832</v>
      </c>
      <c r="Q14" s="44"/>
    </row>
    <row r="15" spans="1:17" x14ac:dyDescent="0.25">
      <c r="A15" s="159"/>
      <c r="C15" s="95"/>
      <c r="D15" s="95"/>
      <c r="E15" s="95"/>
      <c r="F15" s="95"/>
      <c r="G15" s="95"/>
      <c r="H15" s="95"/>
      <c r="I15" s="95"/>
      <c r="J15" s="95"/>
      <c r="K15" s="95"/>
      <c r="L15" s="95"/>
      <c r="M15" s="95"/>
      <c r="N15" s="95"/>
      <c r="Q15" s="44"/>
    </row>
    <row r="16" spans="1:17" x14ac:dyDescent="0.25">
      <c r="A16" s="47"/>
      <c r="B16" s="139"/>
      <c r="C16" s="139"/>
      <c r="D16" s="139"/>
      <c r="E16" s="139"/>
      <c r="F16" s="139"/>
      <c r="G16" s="139"/>
      <c r="H16" s="139"/>
      <c r="I16" s="139"/>
      <c r="J16" s="139"/>
      <c r="K16" s="139"/>
      <c r="L16" s="139"/>
      <c r="M16" s="139"/>
      <c r="N16" s="139"/>
      <c r="O16" s="139"/>
      <c r="P16" s="139"/>
      <c r="Q16" s="44"/>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D2DF-1FAB-411E-ABB2-059F9BB77AE7}">
  <dimension ref="A1:S45"/>
  <sheetViews>
    <sheetView showGridLines="0" tabSelected="1" topLeftCell="A13" zoomScaleNormal="100" workbookViewId="0">
      <selection activeCell="G26" sqref="G26"/>
    </sheetView>
  </sheetViews>
  <sheetFormatPr defaultRowHeight="15" x14ac:dyDescent="0.25"/>
  <cols>
    <col min="1" max="2" width="3.28515625" customWidth="1"/>
    <col min="3" max="3" width="30.7109375" customWidth="1"/>
    <col min="4" max="14" width="9.85546875" customWidth="1"/>
  </cols>
  <sheetData>
    <row r="1" spans="1:19" x14ac:dyDescent="0.25">
      <c r="B1" s="4"/>
      <c r="C1" s="4"/>
      <c r="D1" s="87" t="str">
        <f>FS!D1</f>
        <v>Year 0</v>
      </c>
      <c r="E1" s="87" t="str">
        <f>FS!E1</f>
        <v>Year 1</v>
      </c>
      <c r="F1" s="87" t="str">
        <f>FS!F1</f>
        <v>Year 2</v>
      </c>
      <c r="G1" s="87" t="str">
        <f>FS!G1</f>
        <v>Year 3</v>
      </c>
      <c r="H1" s="87" t="str">
        <f>FS!H1</f>
        <v>Year 4</v>
      </c>
      <c r="I1" s="87" t="str">
        <f>FS!I1</f>
        <v>Year 5</v>
      </c>
      <c r="J1" s="87" t="str">
        <f>FS!J1</f>
        <v>Year 6</v>
      </c>
      <c r="K1" s="87" t="str">
        <f>FS!K1</f>
        <v>Year 7</v>
      </c>
      <c r="L1" s="87" t="str">
        <f>FS!L1</f>
        <v>Year 8</v>
      </c>
      <c r="M1" s="87" t="str">
        <f>FS!M1</f>
        <v>Year 9</v>
      </c>
      <c r="N1" s="135" t="str">
        <f>FS!N1</f>
        <v>Year 10</v>
      </c>
    </row>
    <row r="2" spans="1:19" x14ac:dyDescent="0.25">
      <c r="A2" s="133" t="str">
        <f>FS!A130</f>
        <v>WACC</v>
      </c>
      <c r="B2" s="4"/>
      <c r="D2" s="19">
        <f>FS!D130</f>
        <v>8.5406365556666794E-2</v>
      </c>
      <c r="E2" s="4"/>
      <c r="F2" s="4"/>
      <c r="G2" s="4"/>
      <c r="H2" s="4"/>
      <c r="I2" s="4"/>
      <c r="J2" s="4"/>
      <c r="K2" s="4"/>
      <c r="L2" s="4"/>
      <c r="M2" s="4"/>
      <c r="N2" s="45"/>
    </row>
    <row r="3" spans="1:19" x14ac:dyDescent="0.25">
      <c r="A3" s="16" t="s">
        <v>293</v>
      </c>
      <c r="C3" s="15"/>
      <c r="D3" s="15">
        <f>FS!D128</f>
        <v>-505888.77071969962</v>
      </c>
      <c r="E3" s="15">
        <f>FS!E128</f>
        <v>41993.992471232872</v>
      </c>
      <c r="F3" s="15">
        <f>FS!F128</f>
        <v>43840.693853195145</v>
      </c>
      <c r="G3" s="15">
        <f>FS!G128</f>
        <v>46774.16708626254</v>
      </c>
      <c r="H3" s="15">
        <f>FS!H128</f>
        <v>44350.711562553952</v>
      </c>
      <c r="I3" s="15">
        <f>FS!I128</f>
        <v>21945.304178253042</v>
      </c>
      <c r="J3" s="15">
        <f>FS!J128</f>
        <v>22243.082637016247</v>
      </c>
      <c r="K3" s="15">
        <f>FS!K128</f>
        <v>13675.893433718302</v>
      </c>
      <c r="L3" s="15">
        <f>FS!L128</f>
        <v>16559.618791980247</v>
      </c>
      <c r="M3" s="15">
        <f>FS!M128</f>
        <v>21084.727300522558</v>
      </c>
      <c r="N3" s="130">
        <f>FS!N128</f>
        <v>696491.21939268138</v>
      </c>
    </row>
    <row r="4" spans="1:19" x14ac:dyDescent="0.25">
      <c r="A4" s="150"/>
      <c r="B4" s="139"/>
      <c r="C4" s="131"/>
      <c r="D4" s="131"/>
      <c r="E4" s="131"/>
      <c r="F4" s="131"/>
      <c r="G4" s="131"/>
      <c r="H4" s="131"/>
      <c r="I4" s="131"/>
      <c r="J4" s="131"/>
      <c r="K4" s="131"/>
      <c r="L4" s="131"/>
      <c r="M4" s="131"/>
      <c r="N4" s="151"/>
    </row>
    <row r="5" spans="1:19" x14ac:dyDescent="0.25">
      <c r="A5" s="16"/>
      <c r="C5" s="15"/>
      <c r="D5" s="15"/>
      <c r="E5" s="15"/>
      <c r="F5" s="15"/>
      <c r="G5" s="15"/>
      <c r="H5" s="15"/>
      <c r="I5" s="15"/>
      <c r="J5" s="15"/>
      <c r="K5" s="15"/>
      <c r="L5" s="15"/>
      <c r="M5" s="15"/>
      <c r="N5" s="130"/>
    </row>
    <row r="6" spans="1:19" ht="15.75" x14ac:dyDescent="0.25">
      <c r="A6" s="132" t="s">
        <v>291</v>
      </c>
      <c r="B6" s="15"/>
      <c r="C6" s="15"/>
      <c r="D6" s="15"/>
      <c r="E6" s="15"/>
      <c r="F6" s="15"/>
      <c r="G6" s="15"/>
      <c r="H6" s="15"/>
      <c r="I6" s="15"/>
      <c r="J6" s="15"/>
      <c r="K6" s="15"/>
      <c r="L6" s="15"/>
      <c r="M6" s="15"/>
      <c r="N6" s="130"/>
    </row>
    <row r="7" spans="1:19" x14ac:dyDescent="0.25">
      <c r="A7" s="15"/>
      <c r="B7" s="15" t="s">
        <v>281</v>
      </c>
      <c r="C7" s="15"/>
      <c r="D7" s="15">
        <f t="shared" ref="D7:N7" si="0">D3</f>
        <v>-505888.77071969962</v>
      </c>
      <c r="E7" s="15">
        <f t="shared" si="0"/>
        <v>41993.992471232872</v>
      </c>
      <c r="F7" s="15">
        <f t="shared" si="0"/>
        <v>43840.693853195145</v>
      </c>
      <c r="G7" s="15">
        <f t="shared" si="0"/>
        <v>46774.16708626254</v>
      </c>
      <c r="H7" s="15">
        <f t="shared" si="0"/>
        <v>44350.711562553952</v>
      </c>
      <c r="I7" s="15">
        <f t="shared" si="0"/>
        <v>21945.304178253042</v>
      </c>
      <c r="J7" s="15">
        <f t="shared" si="0"/>
        <v>22243.082637016247</v>
      </c>
      <c r="K7" s="15">
        <f t="shared" si="0"/>
        <v>13675.893433718302</v>
      </c>
      <c r="L7" s="15">
        <f t="shared" si="0"/>
        <v>16559.618791980247</v>
      </c>
      <c r="M7" s="15">
        <f t="shared" si="0"/>
        <v>21084.727300522558</v>
      </c>
      <c r="N7" s="130">
        <f t="shared" si="0"/>
        <v>696491.21939268138</v>
      </c>
      <c r="P7" s="241" t="s">
        <v>298</v>
      </c>
      <c r="Q7" s="242"/>
      <c r="R7" s="242"/>
      <c r="S7" s="243"/>
    </row>
    <row r="8" spans="1:19" x14ac:dyDescent="0.25">
      <c r="A8" s="15"/>
      <c r="B8" s="15" t="s">
        <v>294</v>
      </c>
      <c r="C8" s="15"/>
      <c r="D8" s="4">
        <v>0</v>
      </c>
      <c r="E8" s="4">
        <v>0</v>
      </c>
      <c r="F8" s="4">
        <v>0</v>
      </c>
      <c r="G8" s="124">
        <v>-20000</v>
      </c>
      <c r="H8" s="4">
        <v>0</v>
      </c>
      <c r="I8" s="4">
        <v>0</v>
      </c>
      <c r="J8" s="4">
        <v>0</v>
      </c>
      <c r="K8" s="4">
        <v>0</v>
      </c>
      <c r="L8" s="4">
        <v>0</v>
      </c>
      <c r="M8" s="4">
        <v>0</v>
      </c>
      <c r="N8" s="45">
        <v>0</v>
      </c>
      <c r="P8" s="148" t="s">
        <v>302</v>
      </c>
      <c r="Q8" s="141"/>
      <c r="R8" s="141"/>
      <c r="S8" s="142"/>
    </row>
    <row r="9" spans="1:19" x14ac:dyDescent="0.25">
      <c r="A9" s="15"/>
      <c r="B9" s="4" t="s">
        <v>279</v>
      </c>
      <c r="C9" s="4"/>
      <c r="D9" s="123">
        <v>0</v>
      </c>
      <c r="E9" s="123">
        <v>0</v>
      </c>
      <c r="F9" s="123">
        <v>0</v>
      </c>
      <c r="G9" s="123">
        <v>0</v>
      </c>
      <c r="H9" s="123">
        <v>3000</v>
      </c>
      <c r="I9" s="123">
        <v>5000</v>
      </c>
      <c r="J9" s="123">
        <v>8642</v>
      </c>
      <c r="K9" s="123">
        <v>8560</v>
      </c>
      <c r="L9" s="123">
        <v>9247</v>
      </c>
      <c r="M9" s="123">
        <v>9250</v>
      </c>
      <c r="N9" s="51">
        <v>42365</v>
      </c>
      <c r="P9" s="149" t="s">
        <v>301</v>
      </c>
      <c r="Q9" s="143"/>
      <c r="R9" s="143"/>
      <c r="S9" s="144"/>
    </row>
    <row r="10" spans="1:19" x14ac:dyDescent="0.25">
      <c r="A10" s="15"/>
      <c r="B10" s="4" t="s">
        <v>282</v>
      </c>
      <c r="C10" s="4"/>
      <c r="D10" s="4">
        <f>SUM(D7:D9)</f>
        <v>-505888.77071969962</v>
      </c>
      <c r="E10" s="4">
        <f>E7+E9</f>
        <v>41993.992471232872</v>
      </c>
      <c r="F10" s="4">
        <f>F7+F9</f>
        <v>43840.693853195145</v>
      </c>
      <c r="G10" s="4">
        <f>G7+G8</f>
        <v>26774.16708626254</v>
      </c>
      <c r="H10" s="4">
        <f t="shared" ref="H10:N10" si="1">H7+H9</f>
        <v>47350.711562553952</v>
      </c>
      <c r="I10" s="4">
        <f t="shared" si="1"/>
        <v>26945.304178253042</v>
      </c>
      <c r="J10" s="4">
        <f t="shared" si="1"/>
        <v>30885.082637016247</v>
      </c>
      <c r="K10" s="4">
        <f t="shared" si="1"/>
        <v>22235.893433718302</v>
      </c>
      <c r="L10" s="4">
        <f t="shared" si="1"/>
        <v>25806.618791980247</v>
      </c>
      <c r="M10" s="4">
        <f t="shared" si="1"/>
        <v>30334.727300522558</v>
      </c>
      <c r="N10" s="45">
        <f t="shared" si="1"/>
        <v>738856.21939268138</v>
      </c>
      <c r="P10" s="145"/>
      <c r="Q10" s="146"/>
      <c r="R10" s="146"/>
      <c r="S10" s="147"/>
    </row>
    <row r="11" spans="1:19" x14ac:dyDescent="0.25">
      <c r="A11" s="15" t="s">
        <v>204</v>
      </c>
      <c r="B11" s="4"/>
      <c r="C11" s="4"/>
      <c r="D11" s="4">
        <f>NPV($D$2,E10:N10)+D10</f>
        <v>27839.772274949064</v>
      </c>
      <c r="E11" s="4"/>
      <c r="F11" s="4"/>
      <c r="G11" s="4"/>
      <c r="H11" s="4"/>
      <c r="I11" s="4"/>
      <c r="J11" s="4"/>
      <c r="K11" s="4"/>
      <c r="L11" s="4"/>
      <c r="M11" s="4"/>
      <c r="N11" s="45"/>
    </row>
    <row r="12" spans="1:19" x14ac:dyDescent="0.25">
      <c r="A12" s="15"/>
      <c r="B12" s="4"/>
      <c r="C12" s="4"/>
      <c r="D12" s="4"/>
      <c r="E12" s="4"/>
      <c r="F12" s="4"/>
      <c r="G12" s="4"/>
      <c r="H12" s="4"/>
      <c r="I12" s="4"/>
      <c r="J12" s="4"/>
      <c r="K12" s="4"/>
      <c r="L12" s="4"/>
      <c r="M12" s="4"/>
      <c r="N12" s="45"/>
    </row>
    <row r="13" spans="1:19" x14ac:dyDescent="0.25">
      <c r="A13" s="15"/>
      <c r="B13" s="4" t="str">
        <f>B7</f>
        <v>Original Business (Good)</v>
      </c>
      <c r="C13" s="4"/>
      <c r="D13" s="4">
        <f t="shared" ref="D13:N13" si="2">D3</f>
        <v>-505888.77071969962</v>
      </c>
      <c r="E13" s="4">
        <f t="shared" si="2"/>
        <v>41993.992471232872</v>
      </c>
      <c r="F13" s="4">
        <f t="shared" si="2"/>
        <v>43840.693853195145</v>
      </c>
      <c r="G13" s="4">
        <f t="shared" si="2"/>
        <v>46774.16708626254</v>
      </c>
      <c r="H13" s="4">
        <f t="shared" si="2"/>
        <v>44350.711562553952</v>
      </c>
      <c r="I13" s="4">
        <f t="shared" si="2"/>
        <v>21945.304178253042</v>
      </c>
      <c r="J13" s="4">
        <f t="shared" si="2"/>
        <v>22243.082637016247</v>
      </c>
      <c r="K13" s="4">
        <f t="shared" si="2"/>
        <v>13675.893433718302</v>
      </c>
      <c r="L13" s="4">
        <f t="shared" si="2"/>
        <v>16559.618791980247</v>
      </c>
      <c r="M13" s="4">
        <f t="shared" si="2"/>
        <v>21084.727300522558</v>
      </c>
      <c r="N13" s="45">
        <f t="shared" si="2"/>
        <v>696491.21939268138</v>
      </c>
    </row>
    <row r="14" spans="1:19" x14ac:dyDescent="0.25">
      <c r="A14" s="15"/>
      <c r="B14" s="15" t="s">
        <v>294</v>
      </c>
      <c r="C14" s="4"/>
      <c r="D14" s="4">
        <v>0</v>
      </c>
      <c r="E14" s="4">
        <v>0</v>
      </c>
      <c r="F14" s="4">
        <v>0</v>
      </c>
      <c r="G14" s="124">
        <f>G8</f>
        <v>-20000</v>
      </c>
      <c r="H14" s="4">
        <v>0</v>
      </c>
      <c r="I14" s="4">
        <v>0</v>
      </c>
      <c r="J14" s="4">
        <v>0</v>
      </c>
      <c r="K14" s="4">
        <v>0</v>
      </c>
      <c r="L14" s="4">
        <v>0</v>
      </c>
      <c r="M14" s="4">
        <v>0</v>
      </c>
      <c r="N14" s="45">
        <v>0</v>
      </c>
    </row>
    <row r="15" spans="1:19" x14ac:dyDescent="0.25">
      <c r="A15" s="15"/>
      <c r="B15" s="4" t="s">
        <v>280</v>
      </c>
      <c r="C15" s="4"/>
      <c r="D15" s="123">
        <f>D9</f>
        <v>0</v>
      </c>
      <c r="E15" s="123">
        <f>E9</f>
        <v>0</v>
      </c>
      <c r="F15" s="123">
        <f>F9</f>
        <v>0</v>
      </c>
      <c r="G15" s="123">
        <f>G9</f>
        <v>0</v>
      </c>
      <c r="H15" s="123">
        <v>900</v>
      </c>
      <c r="I15" s="123">
        <v>1300</v>
      </c>
      <c r="J15" s="123">
        <v>1750</v>
      </c>
      <c r="K15" s="123">
        <v>1200</v>
      </c>
      <c r="L15" s="123">
        <v>1150</v>
      </c>
      <c r="M15" s="123">
        <v>1009</v>
      </c>
      <c r="N15" s="51">
        <v>20000</v>
      </c>
    </row>
    <row r="16" spans="1:19" x14ac:dyDescent="0.25">
      <c r="A16" s="15"/>
      <c r="B16" s="4" t="s">
        <v>282</v>
      </c>
      <c r="C16" s="4"/>
      <c r="D16" s="4">
        <f>SUM(D13:D15)</f>
        <v>-505888.77071969962</v>
      </c>
      <c r="E16" s="4">
        <f>E13+E15</f>
        <v>41993.992471232872</v>
      </c>
      <c r="F16" s="4">
        <f>F13+F15</f>
        <v>43840.693853195145</v>
      </c>
      <c r="G16" s="4">
        <f>G13+G14</f>
        <v>26774.16708626254</v>
      </c>
      <c r="H16" s="4">
        <f t="shared" ref="H16:N16" si="3">H13+H15</f>
        <v>45250.711562553952</v>
      </c>
      <c r="I16" s="4">
        <f t="shared" si="3"/>
        <v>23245.304178253042</v>
      </c>
      <c r="J16" s="4">
        <f t="shared" si="3"/>
        <v>23993.082637016247</v>
      </c>
      <c r="K16" s="4">
        <f t="shared" si="3"/>
        <v>14875.893433718302</v>
      </c>
      <c r="L16" s="4">
        <f t="shared" si="3"/>
        <v>17709.618791980247</v>
      </c>
      <c r="M16" s="4">
        <f t="shared" si="3"/>
        <v>22093.727300522558</v>
      </c>
      <c r="N16" s="45">
        <f t="shared" si="3"/>
        <v>716491.21939268138</v>
      </c>
    </row>
    <row r="17" spans="1:14" x14ac:dyDescent="0.25">
      <c r="A17" s="15" t="s">
        <v>204</v>
      </c>
      <c r="B17" s="4"/>
      <c r="C17" s="4"/>
      <c r="D17" s="4">
        <f>NPV($D$2,E16:N16)+D16</f>
        <v>-2490.6165309688076</v>
      </c>
      <c r="E17" s="4"/>
      <c r="F17" s="4"/>
      <c r="G17" s="4"/>
      <c r="H17" s="4"/>
      <c r="I17" s="4"/>
      <c r="J17" s="4"/>
      <c r="K17" s="4"/>
      <c r="L17" s="4"/>
      <c r="M17" s="4"/>
      <c r="N17" s="45"/>
    </row>
    <row r="18" spans="1:14" x14ac:dyDescent="0.25">
      <c r="A18" s="15"/>
      <c r="B18" s="4"/>
      <c r="C18" s="4"/>
      <c r="D18" s="4"/>
      <c r="E18" s="4"/>
      <c r="F18" s="4"/>
      <c r="G18" s="4"/>
      <c r="H18" s="4"/>
      <c r="I18" s="4"/>
      <c r="J18" s="4"/>
      <c r="K18" s="4"/>
      <c r="L18" s="4"/>
      <c r="M18" s="4"/>
      <c r="N18" s="45"/>
    </row>
    <row r="19" spans="1:14" x14ac:dyDescent="0.25">
      <c r="A19" s="15"/>
      <c r="B19" s="4" t="s">
        <v>283</v>
      </c>
      <c r="C19" s="4"/>
      <c r="D19" s="4">
        <f>D3</f>
        <v>-505888.77071969962</v>
      </c>
      <c r="E19" s="4">
        <f>E3</f>
        <v>41993.992471232872</v>
      </c>
      <c r="F19" s="4">
        <v>20000</v>
      </c>
      <c r="G19" s="4">
        <v>356897</v>
      </c>
      <c r="H19" s="4">
        <v>0</v>
      </c>
      <c r="I19" s="4">
        <v>0</v>
      </c>
      <c r="J19" s="4">
        <v>0</v>
      </c>
      <c r="K19" s="4">
        <v>0</v>
      </c>
      <c r="L19" s="4">
        <v>0</v>
      </c>
      <c r="M19" s="4">
        <v>0</v>
      </c>
      <c r="N19" s="45">
        <v>0</v>
      </c>
    </row>
    <row r="20" spans="1:14" x14ac:dyDescent="0.25">
      <c r="A20" s="15" t="s">
        <v>204</v>
      </c>
      <c r="B20" s="4"/>
      <c r="C20" s="4"/>
      <c r="D20" s="4">
        <f>NPV($D$2,E19:N19)+D19</f>
        <v>-171118.89817040088</v>
      </c>
      <c r="E20" s="4"/>
      <c r="F20" s="4"/>
      <c r="G20" s="4"/>
      <c r="H20" s="4"/>
      <c r="I20" s="4"/>
      <c r="J20" s="4"/>
      <c r="K20" s="4"/>
      <c r="L20" s="4"/>
      <c r="M20" s="4"/>
      <c r="N20" s="45"/>
    </row>
    <row r="21" spans="1:14" x14ac:dyDescent="0.25">
      <c r="A21" s="95"/>
      <c r="B21" s="124"/>
      <c r="C21" s="124"/>
      <c r="D21" s="124"/>
      <c r="E21" s="124"/>
      <c r="F21" s="124"/>
      <c r="G21" s="124"/>
      <c r="H21" s="124"/>
      <c r="I21" s="124"/>
      <c r="J21" s="124"/>
      <c r="K21" s="124"/>
      <c r="L21" s="124"/>
      <c r="M21" s="124"/>
      <c r="N21" s="45"/>
    </row>
    <row r="22" spans="1:14" x14ac:dyDescent="0.25">
      <c r="N22" s="134"/>
    </row>
    <row r="23" spans="1:14" x14ac:dyDescent="0.25">
      <c r="A23" s="140" t="s">
        <v>300</v>
      </c>
      <c r="D23" s="136">
        <f>N43</f>
        <v>2484.4352453488609</v>
      </c>
      <c r="N23" s="134"/>
    </row>
    <row r="24" spans="1:14" x14ac:dyDescent="0.25">
      <c r="A24" s="139"/>
      <c r="B24" s="139"/>
      <c r="C24" s="139"/>
      <c r="D24" s="139"/>
      <c r="E24" s="139"/>
      <c r="F24" s="139"/>
      <c r="G24" s="139"/>
      <c r="H24" s="139"/>
      <c r="I24" s="139"/>
      <c r="J24" s="139"/>
      <c r="K24" s="139"/>
      <c r="L24" s="139"/>
      <c r="M24" s="139"/>
      <c r="N24" s="74"/>
    </row>
    <row r="25" spans="1:14" x14ac:dyDescent="0.25">
      <c r="N25" s="134"/>
    </row>
    <row r="26" spans="1:14" x14ac:dyDescent="0.25">
      <c r="A26" s="140" t="s">
        <v>299</v>
      </c>
      <c r="N26" s="134"/>
    </row>
    <row r="27" spans="1:14" x14ac:dyDescent="0.25">
      <c r="J27" s="136" t="str">
        <f>B9</f>
        <v>Expansion (Good)</v>
      </c>
      <c r="L27" s="160" t="s">
        <v>204</v>
      </c>
      <c r="M27" s="160" t="s">
        <v>306</v>
      </c>
      <c r="N27" s="161" t="s">
        <v>307</v>
      </c>
    </row>
    <row r="28" spans="1:14" x14ac:dyDescent="0.25">
      <c r="J28" s="22">
        <v>0.8</v>
      </c>
      <c r="L28" s="136">
        <f>D11</f>
        <v>27839.772274949064</v>
      </c>
      <c r="M28" s="49">
        <f>F32*J28</f>
        <v>0.72000000000000008</v>
      </c>
      <c r="N28" s="73">
        <f>L28*M28</f>
        <v>20044.63603796333</v>
      </c>
    </row>
    <row r="29" spans="1:14" x14ac:dyDescent="0.25">
      <c r="N29" s="134"/>
    </row>
    <row r="30" spans="1:14" x14ac:dyDescent="0.25">
      <c r="N30" s="134"/>
    </row>
    <row r="31" spans="1:14" x14ac:dyDescent="0.25">
      <c r="G31" s="138" t="str">
        <f>B7</f>
        <v>Original Business (Good)</v>
      </c>
      <c r="N31" s="134"/>
    </row>
    <row r="32" spans="1:14" x14ac:dyDescent="0.25">
      <c r="E32" s="126"/>
      <c r="F32" s="22">
        <v>0.9</v>
      </c>
      <c r="N32" s="134"/>
    </row>
    <row r="33" spans="1:14" x14ac:dyDescent="0.25">
      <c r="N33" s="134"/>
    </row>
    <row r="34" spans="1:14" x14ac:dyDescent="0.25">
      <c r="N34" s="134"/>
    </row>
    <row r="35" spans="1:14" x14ac:dyDescent="0.25">
      <c r="B35" s="126" t="s">
        <v>297</v>
      </c>
      <c r="J35" s="136" t="str">
        <f>B15</f>
        <v>Expansion (Bad)</v>
      </c>
      <c r="N35" s="134"/>
    </row>
    <row r="36" spans="1:14" x14ac:dyDescent="0.25">
      <c r="J36" s="22">
        <f>1-J28</f>
        <v>0.19999999999999996</v>
      </c>
      <c r="L36" s="136">
        <f>D17</f>
        <v>-2490.6165309688076</v>
      </c>
      <c r="M36" s="49">
        <f>F32*J36</f>
        <v>0.17999999999999997</v>
      </c>
      <c r="N36" s="73">
        <f>L36*M36</f>
        <v>-448.31097557438528</v>
      </c>
    </row>
    <row r="37" spans="1:14" x14ac:dyDescent="0.25">
      <c r="N37" s="134"/>
    </row>
    <row r="38" spans="1:14" x14ac:dyDescent="0.25">
      <c r="N38" s="134"/>
    </row>
    <row r="39" spans="1:14" x14ac:dyDescent="0.25">
      <c r="G39" s="138" t="str">
        <f>B19</f>
        <v>Orginal Business (Bad)</v>
      </c>
      <c r="N39" s="134"/>
    </row>
    <row r="40" spans="1:14" x14ac:dyDescent="0.25">
      <c r="E40" s="126"/>
      <c r="F40" s="22">
        <f>1-F32</f>
        <v>9.9999999999999978E-2</v>
      </c>
      <c r="L40" s="136">
        <f>D20</f>
        <v>-171118.89817040088</v>
      </c>
      <c r="M40" s="22">
        <f>F40</f>
        <v>9.9999999999999978E-2</v>
      </c>
      <c r="N40" s="73">
        <f>L40*M40</f>
        <v>-17111.889817040083</v>
      </c>
    </row>
    <row r="41" spans="1:14" x14ac:dyDescent="0.25">
      <c r="N41" s="134"/>
    </row>
    <row r="42" spans="1:14" x14ac:dyDescent="0.25">
      <c r="M42" s="139"/>
      <c r="N42" s="74"/>
    </row>
    <row r="43" spans="1:14" x14ac:dyDescent="0.25">
      <c r="M43" s="12">
        <f>SUM(M28:M42)</f>
        <v>1</v>
      </c>
      <c r="N43" s="73">
        <f>SUM(N28:N42)</f>
        <v>2484.4352453488609</v>
      </c>
    </row>
    <row r="44" spans="1:14" x14ac:dyDescent="0.25">
      <c r="N44" s="134"/>
    </row>
    <row r="45" spans="1:14" x14ac:dyDescent="0.25">
      <c r="A45" s="139"/>
      <c r="B45" s="139"/>
      <c r="C45" s="139"/>
      <c r="D45" s="139"/>
      <c r="E45" s="139"/>
      <c r="F45" s="139"/>
      <c r="G45" s="139"/>
      <c r="H45" s="139"/>
      <c r="I45" s="139"/>
      <c r="J45" s="139"/>
      <c r="K45" s="139"/>
      <c r="L45" s="139"/>
      <c r="M45" s="139"/>
      <c r="N45" s="74"/>
    </row>
  </sheetData>
  <mergeCells count="1">
    <mergeCell ref="P7:S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01D7-B306-4D92-AF28-F2C4AFA2EB6D}">
  <dimension ref="A1:L140"/>
  <sheetViews>
    <sheetView workbookViewId="0">
      <selection activeCell="I27" sqref="I27"/>
    </sheetView>
  </sheetViews>
  <sheetFormatPr defaultColWidth="11.5703125" defaultRowHeight="15" x14ac:dyDescent="0.25"/>
  <cols>
    <col min="1" max="1" width="22.7109375" style="37" customWidth="1"/>
    <col min="2" max="6" width="16.7109375" style="37" customWidth="1"/>
    <col min="7" max="7" width="6.28515625" style="37" customWidth="1"/>
    <col min="8" max="8" width="11.5703125" style="37"/>
    <col min="9" max="9" width="17.42578125" style="37" customWidth="1"/>
    <col min="10" max="16384" width="11.5703125" style="37"/>
  </cols>
  <sheetData>
    <row r="1" spans="1:9" x14ac:dyDescent="0.25">
      <c r="A1" s="33"/>
      <c r="B1" s="34" t="s">
        <v>117</v>
      </c>
      <c r="C1" s="34" t="s">
        <v>118</v>
      </c>
      <c r="D1" s="34" t="s">
        <v>119</v>
      </c>
      <c r="E1" s="34" t="s">
        <v>120</v>
      </c>
      <c r="F1" s="34" t="s">
        <v>121</v>
      </c>
      <c r="G1" s="33"/>
      <c r="H1" s="35" t="s">
        <v>122</v>
      </c>
      <c r="I1" s="36">
        <f>FS!E21</f>
        <v>4.4600000000000001E-2</v>
      </c>
    </row>
    <row r="2" spans="1:9" x14ac:dyDescent="0.25">
      <c r="A2" s="38" t="s">
        <v>123</v>
      </c>
      <c r="B2" s="39">
        <f>+I7</f>
        <v>345028.99793388427</v>
      </c>
      <c r="C2" s="39">
        <f t="shared" ref="C2:C13" si="0">+E2-D2</f>
        <v>457.66270999722155</v>
      </c>
      <c r="D2" s="39">
        <f t="shared" ref="D2:D13" si="1">B2*$I$2</f>
        <v>1282.35777565427</v>
      </c>
      <c r="E2" s="39">
        <f t="shared" ref="E2:E13" si="2">-$I$9</f>
        <v>1740.0204856514915</v>
      </c>
      <c r="F2" s="39">
        <f t="shared" ref="F2:F13" si="3">+B2-C2</f>
        <v>344571.33522388706</v>
      </c>
      <c r="G2" s="33"/>
      <c r="H2" s="35" t="s">
        <v>124</v>
      </c>
      <c r="I2" s="36">
        <f>+I1/12</f>
        <v>3.7166666666666667E-3</v>
      </c>
    </row>
    <row r="3" spans="1:9" x14ac:dyDescent="0.25">
      <c r="A3" s="40" t="s">
        <v>125</v>
      </c>
      <c r="B3" s="39">
        <f t="shared" ref="B3:B13" si="4">+F2</f>
        <v>344571.33522388706</v>
      </c>
      <c r="C3" s="39">
        <f t="shared" si="0"/>
        <v>459.36368973604453</v>
      </c>
      <c r="D3" s="39">
        <f t="shared" si="1"/>
        <v>1280.656795915447</v>
      </c>
      <c r="E3" s="39">
        <f t="shared" si="2"/>
        <v>1740.0204856514915</v>
      </c>
      <c r="F3" s="39">
        <f t="shared" si="3"/>
        <v>344111.971534151</v>
      </c>
      <c r="G3" s="33"/>
      <c r="H3" s="35" t="s">
        <v>126</v>
      </c>
      <c r="I3" s="41">
        <v>0</v>
      </c>
    </row>
    <row r="4" spans="1:9" x14ac:dyDescent="0.25">
      <c r="A4" s="40" t="s">
        <v>127</v>
      </c>
      <c r="B4" s="39">
        <f t="shared" si="4"/>
        <v>344111.971534151</v>
      </c>
      <c r="C4" s="39">
        <f t="shared" si="0"/>
        <v>461.07099144956351</v>
      </c>
      <c r="D4" s="39">
        <f t="shared" si="1"/>
        <v>1278.949494201928</v>
      </c>
      <c r="E4" s="39">
        <f t="shared" si="2"/>
        <v>1740.0204856514915</v>
      </c>
      <c r="F4" s="39">
        <f t="shared" si="3"/>
        <v>343650.90054270142</v>
      </c>
      <c r="G4" s="33"/>
      <c r="H4" s="35" t="s">
        <v>128</v>
      </c>
      <c r="I4" s="42">
        <f>FS!E23</f>
        <v>30</v>
      </c>
    </row>
    <row r="5" spans="1:9" x14ac:dyDescent="0.25">
      <c r="A5" s="40" t="s">
        <v>129</v>
      </c>
      <c r="B5" s="39">
        <f t="shared" si="4"/>
        <v>343650.90054270142</v>
      </c>
      <c r="C5" s="39">
        <f t="shared" si="0"/>
        <v>462.78463863445131</v>
      </c>
      <c r="D5" s="39">
        <f t="shared" si="1"/>
        <v>1277.2358470170402</v>
      </c>
      <c r="E5" s="39">
        <f t="shared" si="2"/>
        <v>1740.0204856514915</v>
      </c>
      <c r="F5" s="39">
        <f t="shared" si="3"/>
        <v>343188.11590406694</v>
      </c>
      <c r="G5" s="33"/>
      <c r="H5" s="35" t="s">
        <v>130</v>
      </c>
      <c r="I5" s="33">
        <f>I4*12</f>
        <v>360</v>
      </c>
    </row>
    <row r="6" spans="1:9" x14ac:dyDescent="0.25">
      <c r="A6" s="40" t="s">
        <v>131</v>
      </c>
      <c r="B6" s="39">
        <f t="shared" si="4"/>
        <v>343188.11590406694</v>
      </c>
      <c r="C6" s="39">
        <f t="shared" si="0"/>
        <v>464.50465487470933</v>
      </c>
      <c r="D6" s="39">
        <f t="shared" si="1"/>
        <v>1275.5158307767822</v>
      </c>
      <c r="E6" s="39">
        <f t="shared" si="2"/>
        <v>1740.0204856514915</v>
      </c>
      <c r="F6" s="39">
        <f t="shared" si="3"/>
        <v>342723.61124919221</v>
      </c>
      <c r="G6" s="33"/>
      <c r="H6" s="35" t="s">
        <v>132</v>
      </c>
      <c r="I6" s="33">
        <v>0</v>
      </c>
    </row>
    <row r="7" spans="1:9" x14ac:dyDescent="0.25">
      <c r="A7" s="40" t="s">
        <v>133</v>
      </c>
      <c r="B7" s="39">
        <f t="shared" si="4"/>
        <v>342723.61124919221</v>
      </c>
      <c r="C7" s="39">
        <f t="shared" si="0"/>
        <v>466.23106384199377</v>
      </c>
      <c r="D7" s="39">
        <f t="shared" si="1"/>
        <v>1273.7894218094978</v>
      </c>
      <c r="E7" s="39">
        <f t="shared" si="2"/>
        <v>1740.0204856514915</v>
      </c>
      <c r="F7" s="39">
        <f t="shared" si="3"/>
        <v>342257.38018535019</v>
      </c>
      <c r="G7" s="33"/>
      <c r="H7" s="35" t="s">
        <v>134</v>
      </c>
      <c r="I7" s="41">
        <f>FS!D20</f>
        <v>345028.99793388427</v>
      </c>
    </row>
    <row r="8" spans="1:9" x14ac:dyDescent="0.25">
      <c r="A8" s="40" t="s">
        <v>135</v>
      </c>
      <c r="B8" s="39">
        <f t="shared" si="4"/>
        <v>342257.38018535019</v>
      </c>
      <c r="C8" s="39">
        <f t="shared" si="0"/>
        <v>467.96388929593991</v>
      </c>
      <c r="D8" s="39">
        <f t="shared" si="1"/>
        <v>1272.0565963555516</v>
      </c>
      <c r="E8" s="39">
        <f t="shared" si="2"/>
        <v>1740.0204856514915</v>
      </c>
      <c r="F8" s="39">
        <f t="shared" si="3"/>
        <v>341789.41629605426</v>
      </c>
      <c r="G8" s="33"/>
      <c r="H8" s="35"/>
      <c r="I8" s="33"/>
    </row>
    <row r="9" spans="1:9" x14ac:dyDescent="0.25">
      <c r="A9" s="40" t="s">
        <v>136</v>
      </c>
      <c r="B9" s="39">
        <f t="shared" si="4"/>
        <v>341789.41629605426</v>
      </c>
      <c r="C9" s="39">
        <f t="shared" si="0"/>
        <v>469.70315508448994</v>
      </c>
      <c r="D9" s="39">
        <f t="shared" si="1"/>
        <v>1270.3173305670016</v>
      </c>
      <c r="E9" s="39">
        <f t="shared" si="2"/>
        <v>1740.0204856514915</v>
      </c>
      <c r="F9" s="39">
        <f t="shared" si="3"/>
        <v>341319.71314096975</v>
      </c>
      <c r="G9" s="33"/>
      <c r="H9" s="35" t="s">
        <v>120</v>
      </c>
      <c r="I9" s="39">
        <f>PMT(I2,I5,I7,I3,I6)</f>
        <v>-1740.0204856514915</v>
      </c>
    </row>
    <row r="10" spans="1:9" x14ac:dyDescent="0.25">
      <c r="A10" s="40" t="s">
        <v>137</v>
      </c>
      <c r="B10" s="39">
        <f t="shared" si="4"/>
        <v>341319.71314096975</v>
      </c>
      <c r="C10" s="39">
        <f t="shared" si="0"/>
        <v>471.44888514422064</v>
      </c>
      <c r="D10" s="39">
        <f t="shared" si="1"/>
        <v>1268.5716005072709</v>
      </c>
      <c r="E10" s="39">
        <f t="shared" si="2"/>
        <v>1740.0204856514915</v>
      </c>
      <c r="F10" s="39">
        <f t="shared" si="3"/>
        <v>340848.26425582555</v>
      </c>
      <c r="G10" s="33"/>
      <c r="H10" s="33"/>
      <c r="I10" s="33"/>
    </row>
    <row r="11" spans="1:9" x14ac:dyDescent="0.25">
      <c r="A11" s="40" t="s">
        <v>138</v>
      </c>
      <c r="B11" s="39">
        <f t="shared" si="4"/>
        <v>340848.26425582555</v>
      </c>
      <c r="C11" s="39">
        <f t="shared" si="0"/>
        <v>473.2011035006733</v>
      </c>
      <c r="D11" s="39">
        <f t="shared" si="1"/>
        <v>1266.8193821508182</v>
      </c>
      <c r="E11" s="39">
        <f t="shared" si="2"/>
        <v>1740.0204856514915</v>
      </c>
      <c r="F11" s="39">
        <f t="shared" si="3"/>
        <v>340375.06315232487</v>
      </c>
      <c r="G11" s="33"/>
      <c r="H11" s="33"/>
      <c r="I11" s="33"/>
    </row>
    <row r="12" spans="1:9" x14ac:dyDescent="0.25">
      <c r="A12" s="40" t="s">
        <v>139</v>
      </c>
      <c r="B12" s="39">
        <f t="shared" si="4"/>
        <v>340375.06315232487</v>
      </c>
      <c r="C12" s="39">
        <f t="shared" si="0"/>
        <v>474.95983426868406</v>
      </c>
      <c r="D12" s="39">
        <f t="shared" si="1"/>
        <v>1265.0606513828075</v>
      </c>
      <c r="E12" s="39">
        <f t="shared" si="2"/>
        <v>1740.0204856514915</v>
      </c>
      <c r="F12" s="39">
        <f t="shared" si="3"/>
        <v>339900.10331805621</v>
      </c>
      <c r="G12" s="33"/>
      <c r="H12" s="33"/>
      <c r="I12" s="33"/>
    </row>
    <row r="13" spans="1:9" x14ac:dyDescent="0.25">
      <c r="A13" s="40" t="s">
        <v>140</v>
      </c>
      <c r="B13" s="39">
        <f t="shared" si="4"/>
        <v>339900.10331805621</v>
      </c>
      <c r="C13" s="39">
        <f t="shared" si="0"/>
        <v>476.72510165271592</v>
      </c>
      <c r="D13" s="39">
        <f t="shared" si="1"/>
        <v>1263.2953839987756</v>
      </c>
      <c r="E13" s="39">
        <f t="shared" si="2"/>
        <v>1740.0204856514915</v>
      </c>
      <c r="F13" s="39">
        <f t="shared" si="3"/>
        <v>339423.37821640348</v>
      </c>
      <c r="G13" s="33">
        <v>1</v>
      </c>
      <c r="H13" s="33"/>
      <c r="I13" s="33"/>
    </row>
    <row r="14" spans="1:9" x14ac:dyDescent="0.25">
      <c r="A14" s="43" t="s">
        <v>141</v>
      </c>
      <c r="B14" s="39"/>
      <c r="C14" s="39">
        <f>SUM(C2:C13)</f>
        <v>5605.6197174807085</v>
      </c>
      <c r="D14" s="39">
        <f>SUM(D2:D13)</f>
        <v>15274.626110337193</v>
      </c>
      <c r="E14" s="39"/>
      <c r="F14" s="39"/>
      <c r="G14" s="33"/>
      <c r="H14" s="33"/>
      <c r="I14" s="33"/>
    </row>
    <row r="15" spans="1:9" x14ac:dyDescent="0.25">
      <c r="A15" s="40"/>
      <c r="B15" s="39"/>
      <c r="C15" s="39"/>
      <c r="D15" s="39"/>
      <c r="E15" s="39"/>
      <c r="F15" s="39"/>
      <c r="G15" s="33"/>
      <c r="H15" s="33"/>
      <c r="I15" s="33"/>
    </row>
    <row r="16" spans="1:9" x14ac:dyDescent="0.25">
      <c r="A16" s="38" t="s">
        <v>123</v>
      </c>
      <c r="B16" s="39">
        <f>+F13</f>
        <v>339423.37821640348</v>
      </c>
      <c r="C16" s="39">
        <f t="shared" ref="C16:C27" si="5">+E16-D16</f>
        <v>478.4969299471918</v>
      </c>
      <c r="D16" s="39">
        <f t="shared" ref="D16:D27" si="6">B16*$I$2</f>
        <v>1261.5235557042997</v>
      </c>
      <c r="E16" s="39">
        <f t="shared" ref="E16:E27" si="7">-$I$9</f>
        <v>1740.0204856514915</v>
      </c>
      <c r="F16" s="39">
        <f t="shared" ref="F16:F27" si="8">+B16-C16</f>
        <v>338944.88128645631</v>
      </c>
      <c r="G16" s="33"/>
      <c r="H16" s="33"/>
      <c r="I16" s="33"/>
    </row>
    <row r="17" spans="1:12" x14ac:dyDescent="0.25">
      <c r="A17" s="40" t="s">
        <v>125</v>
      </c>
      <c r="B17" s="39">
        <f t="shared" ref="B17:B27" si="9">+F16</f>
        <v>338944.88128645631</v>
      </c>
      <c r="C17" s="39">
        <f t="shared" si="5"/>
        <v>480.27534353682881</v>
      </c>
      <c r="D17" s="39">
        <f t="shared" si="6"/>
        <v>1259.7451421146627</v>
      </c>
      <c r="E17" s="39">
        <f t="shared" si="7"/>
        <v>1740.0204856514915</v>
      </c>
      <c r="F17" s="39">
        <f t="shared" si="8"/>
        <v>338464.6059429195</v>
      </c>
      <c r="G17" s="33"/>
      <c r="H17" s="33"/>
      <c r="I17" s="33"/>
    </row>
    <row r="18" spans="1:12" x14ac:dyDescent="0.25">
      <c r="A18" s="40" t="s">
        <v>127</v>
      </c>
      <c r="B18" s="39">
        <f t="shared" si="9"/>
        <v>338464.6059429195</v>
      </c>
      <c r="C18" s="39">
        <f t="shared" si="5"/>
        <v>482.06036689697407</v>
      </c>
      <c r="D18" s="39">
        <f t="shared" si="6"/>
        <v>1257.9601187545175</v>
      </c>
      <c r="E18" s="39">
        <f t="shared" si="7"/>
        <v>1740.0204856514915</v>
      </c>
      <c r="F18" s="39">
        <f t="shared" si="8"/>
        <v>337982.54557602253</v>
      </c>
      <c r="G18" s="33"/>
      <c r="H18" s="33"/>
      <c r="I18" s="33"/>
    </row>
    <row r="19" spans="1:12" x14ac:dyDescent="0.25">
      <c r="A19" s="40" t="s">
        <v>129</v>
      </c>
      <c r="B19" s="39">
        <f t="shared" si="9"/>
        <v>337982.54557602253</v>
      </c>
      <c r="C19" s="39">
        <f t="shared" si="5"/>
        <v>483.852024593941</v>
      </c>
      <c r="D19" s="39">
        <f t="shared" si="6"/>
        <v>1256.1684610575505</v>
      </c>
      <c r="E19" s="39">
        <f t="shared" si="7"/>
        <v>1740.0204856514915</v>
      </c>
      <c r="F19" s="39">
        <f t="shared" si="8"/>
        <v>337498.69355142862</v>
      </c>
      <c r="G19" s="33"/>
      <c r="H19" s="33"/>
      <c r="I19" s="33"/>
    </row>
    <row r="20" spans="1:12" x14ac:dyDescent="0.25">
      <c r="A20" s="40" t="s">
        <v>131</v>
      </c>
      <c r="B20" s="39">
        <f t="shared" si="9"/>
        <v>337498.69355142862</v>
      </c>
      <c r="C20" s="39">
        <f t="shared" si="5"/>
        <v>485.65034128534853</v>
      </c>
      <c r="D20" s="39">
        <f t="shared" si="6"/>
        <v>1254.370144366143</v>
      </c>
      <c r="E20" s="39">
        <f t="shared" si="7"/>
        <v>1740.0204856514915</v>
      </c>
      <c r="F20" s="39">
        <f t="shared" si="8"/>
        <v>337013.04321014328</v>
      </c>
      <c r="G20" s="33"/>
      <c r="H20" s="33"/>
      <c r="I20" s="33"/>
    </row>
    <row r="21" spans="1:12" ht="15.75" thickBot="1" x14ac:dyDescent="0.3">
      <c r="A21" s="40" t="s">
        <v>133</v>
      </c>
      <c r="B21" s="39">
        <f t="shared" si="9"/>
        <v>337013.04321014328</v>
      </c>
      <c r="C21" s="39">
        <f t="shared" si="5"/>
        <v>487.45534172045905</v>
      </c>
      <c r="D21" s="39">
        <f t="shared" si="6"/>
        <v>1252.5651439310325</v>
      </c>
      <c r="E21" s="39">
        <f t="shared" si="7"/>
        <v>1740.0204856514915</v>
      </c>
      <c r="F21" s="39">
        <f t="shared" si="8"/>
        <v>336525.58786842279</v>
      </c>
      <c r="G21" s="33"/>
      <c r="H21" s="33"/>
      <c r="I21" s="33"/>
    </row>
    <row r="22" spans="1:12" ht="15" customHeight="1" x14ac:dyDescent="0.25">
      <c r="A22" s="40" t="s">
        <v>135</v>
      </c>
      <c r="B22" s="39">
        <f t="shared" si="9"/>
        <v>336525.58786842279</v>
      </c>
      <c r="C22" s="39">
        <f t="shared" si="5"/>
        <v>489.26705074052006</v>
      </c>
      <c r="D22" s="39">
        <f t="shared" si="6"/>
        <v>1250.7534349109715</v>
      </c>
      <c r="E22" s="39">
        <f t="shared" si="7"/>
        <v>1740.0204856514915</v>
      </c>
      <c r="F22" s="39">
        <f t="shared" si="8"/>
        <v>336036.32081768225</v>
      </c>
      <c r="G22" s="33"/>
      <c r="H22" s="33"/>
      <c r="I22" s="244" t="s">
        <v>165</v>
      </c>
      <c r="J22" s="245"/>
      <c r="K22" s="245"/>
      <c r="L22" s="246"/>
    </row>
    <row r="23" spans="1:12" x14ac:dyDescent="0.25">
      <c r="A23" s="40" t="s">
        <v>136</v>
      </c>
      <c r="B23" s="39">
        <f t="shared" si="9"/>
        <v>336036.32081768225</v>
      </c>
      <c r="C23" s="39">
        <f t="shared" si="5"/>
        <v>491.08549327910578</v>
      </c>
      <c r="D23" s="39">
        <f t="shared" si="6"/>
        <v>1248.9349923723858</v>
      </c>
      <c r="E23" s="39">
        <f t="shared" si="7"/>
        <v>1740.0204856514915</v>
      </c>
      <c r="F23" s="39">
        <f t="shared" si="8"/>
        <v>335545.23532440315</v>
      </c>
      <c r="G23" s="33"/>
      <c r="H23" s="33"/>
      <c r="I23" s="247"/>
      <c r="J23" s="248"/>
      <c r="K23" s="248"/>
      <c r="L23" s="249"/>
    </row>
    <row r="24" spans="1:12" x14ac:dyDescent="0.25">
      <c r="A24" s="40" t="s">
        <v>137</v>
      </c>
      <c r="B24" s="39">
        <f t="shared" si="9"/>
        <v>335545.23532440315</v>
      </c>
      <c r="C24" s="39">
        <f t="shared" si="5"/>
        <v>492.91069436245971</v>
      </c>
      <c r="D24" s="39">
        <f t="shared" si="6"/>
        <v>1247.1097912890318</v>
      </c>
      <c r="E24" s="39">
        <f t="shared" si="7"/>
        <v>1740.0204856514915</v>
      </c>
      <c r="F24" s="39">
        <f t="shared" si="8"/>
        <v>335052.32463004068</v>
      </c>
      <c r="G24" s="33"/>
      <c r="H24" s="33"/>
      <c r="I24" s="247"/>
      <c r="J24" s="248"/>
      <c r="K24" s="248"/>
      <c r="L24" s="249"/>
    </row>
    <row r="25" spans="1:12" ht="15.75" thickBot="1" x14ac:dyDescent="0.3">
      <c r="A25" s="40" t="s">
        <v>138</v>
      </c>
      <c r="B25" s="39">
        <f t="shared" si="9"/>
        <v>335052.32463004068</v>
      </c>
      <c r="C25" s="39">
        <f t="shared" si="5"/>
        <v>494.74267910984031</v>
      </c>
      <c r="D25" s="39">
        <f t="shared" si="6"/>
        <v>1245.2778065416512</v>
      </c>
      <c r="E25" s="39">
        <f t="shared" si="7"/>
        <v>1740.0204856514915</v>
      </c>
      <c r="F25" s="39">
        <f t="shared" si="8"/>
        <v>334557.58195093082</v>
      </c>
      <c r="G25" s="33"/>
      <c r="H25" s="33"/>
      <c r="I25" s="250"/>
      <c r="J25" s="251"/>
      <c r="K25" s="251"/>
      <c r="L25" s="252"/>
    </row>
    <row r="26" spans="1:12" x14ac:dyDescent="0.25">
      <c r="A26" s="40" t="s">
        <v>139</v>
      </c>
      <c r="B26" s="39">
        <f t="shared" si="9"/>
        <v>334557.58195093082</v>
      </c>
      <c r="C26" s="39">
        <f t="shared" si="5"/>
        <v>496.58147273386521</v>
      </c>
      <c r="D26" s="39">
        <f t="shared" si="6"/>
        <v>1243.4390129176263</v>
      </c>
      <c r="E26" s="39">
        <f t="shared" si="7"/>
        <v>1740.0204856514915</v>
      </c>
      <c r="F26" s="39">
        <f t="shared" si="8"/>
        <v>334061.00047819695</v>
      </c>
      <c r="G26" s="33"/>
      <c r="H26" s="33"/>
      <c r="I26" s="33"/>
    </row>
    <row r="27" spans="1:12" x14ac:dyDescent="0.25">
      <c r="A27" s="40" t="s">
        <v>140</v>
      </c>
      <c r="B27" s="39">
        <f t="shared" si="9"/>
        <v>334061.00047819695</v>
      </c>
      <c r="C27" s="39">
        <f t="shared" si="5"/>
        <v>498.42710054085956</v>
      </c>
      <c r="D27" s="39">
        <f t="shared" si="6"/>
        <v>1241.593385110632</v>
      </c>
      <c r="E27" s="39">
        <f t="shared" si="7"/>
        <v>1740.0204856514915</v>
      </c>
      <c r="F27" s="39">
        <f t="shared" si="8"/>
        <v>333562.57337765611</v>
      </c>
      <c r="G27" s="33">
        <f>G13+1</f>
        <v>2</v>
      </c>
      <c r="H27" s="33"/>
      <c r="I27" s="33"/>
    </row>
    <row r="28" spans="1:12" x14ac:dyDescent="0.25">
      <c r="A28" s="43" t="s">
        <v>141</v>
      </c>
      <c r="B28" s="39"/>
      <c r="C28" s="39">
        <f>SUM(C16:C27)</f>
        <v>5860.8048387473937</v>
      </c>
      <c r="D28" s="39">
        <f>SUM(D16:D27)</f>
        <v>15019.440989070503</v>
      </c>
      <c r="E28" s="39"/>
      <c r="F28" s="39"/>
      <c r="G28" s="33"/>
      <c r="H28" s="33"/>
      <c r="I28" s="33"/>
    </row>
    <row r="29" spans="1:12" x14ac:dyDescent="0.25">
      <c r="A29" s="40"/>
      <c r="B29" s="39"/>
      <c r="C29" s="39"/>
      <c r="D29" s="39"/>
      <c r="E29" s="39"/>
      <c r="F29" s="39"/>
      <c r="G29" s="33"/>
      <c r="H29" s="33"/>
    </row>
    <row r="30" spans="1:12" x14ac:dyDescent="0.25">
      <c r="A30" s="38" t="s">
        <v>123</v>
      </c>
      <c r="B30" s="39">
        <f>+F27</f>
        <v>333562.57337765611</v>
      </c>
      <c r="C30" s="39">
        <f t="shared" ref="C30:C41" si="10">+E30-D30</f>
        <v>500.27958793120297</v>
      </c>
      <c r="D30" s="39">
        <f t="shared" ref="D30:D41" si="11">B30*$I$2</f>
        <v>1239.7408977202886</v>
      </c>
      <c r="E30" s="39">
        <f t="shared" ref="E30:E41" si="12">-$I$9</f>
        <v>1740.0204856514915</v>
      </c>
      <c r="F30" s="39">
        <f t="shared" ref="F30:F41" si="13">+B30-C30</f>
        <v>333062.29378972494</v>
      </c>
      <c r="G30" s="33"/>
      <c r="H30" s="33"/>
    </row>
    <row r="31" spans="1:12" x14ac:dyDescent="0.25">
      <c r="A31" s="40" t="s">
        <v>125</v>
      </c>
      <c r="B31" s="39">
        <f t="shared" ref="B31:B41" si="14">+F30</f>
        <v>333062.29378972494</v>
      </c>
      <c r="C31" s="39">
        <f t="shared" si="10"/>
        <v>502.1389603996804</v>
      </c>
      <c r="D31" s="39">
        <f t="shared" si="11"/>
        <v>1237.8815252518111</v>
      </c>
      <c r="E31" s="39">
        <f t="shared" si="12"/>
        <v>1740.0204856514915</v>
      </c>
      <c r="F31" s="39">
        <f t="shared" si="13"/>
        <v>332560.15482932527</v>
      </c>
      <c r="G31" s="33"/>
      <c r="H31" s="33"/>
      <c r="I31" s="33"/>
    </row>
    <row r="32" spans="1:12" x14ac:dyDescent="0.25">
      <c r="A32" s="40" t="s">
        <v>127</v>
      </c>
      <c r="B32" s="39">
        <f t="shared" si="14"/>
        <v>332560.15482932527</v>
      </c>
      <c r="C32" s="39">
        <f t="shared" si="10"/>
        <v>504.00524353583251</v>
      </c>
      <c r="D32" s="39">
        <f t="shared" si="11"/>
        <v>1236.015242115659</v>
      </c>
      <c r="E32" s="39">
        <f t="shared" si="12"/>
        <v>1740.0204856514915</v>
      </c>
      <c r="F32" s="39">
        <f t="shared" si="13"/>
        <v>332056.14958578942</v>
      </c>
      <c r="G32" s="33"/>
      <c r="H32" s="33"/>
      <c r="I32" s="33"/>
    </row>
    <row r="33" spans="1:9" x14ac:dyDescent="0.25">
      <c r="A33" s="40" t="s">
        <v>129</v>
      </c>
      <c r="B33" s="39">
        <f t="shared" si="14"/>
        <v>332056.14958578942</v>
      </c>
      <c r="C33" s="39">
        <f t="shared" si="10"/>
        <v>505.87846302430739</v>
      </c>
      <c r="D33" s="39">
        <f t="shared" si="11"/>
        <v>1234.1420226271841</v>
      </c>
      <c r="E33" s="39">
        <f t="shared" si="12"/>
        <v>1740.0204856514915</v>
      </c>
      <c r="F33" s="39">
        <f t="shared" si="13"/>
        <v>331550.27112276509</v>
      </c>
      <c r="G33" s="33"/>
      <c r="H33" s="33"/>
      <c r="I33" s="33"/>
    </row>
    <row r="34" spans="1:9" x14ac:dyDescent="0.25">
      <c r="A34" s="40" t="s">
        <v>131</v>
      </c>
      <c r="B34" s="39">
        <f t="shared" si="14"/>
        <v>331550.27112276509</v>
      </c>
      <c r="C34" s="39">
        <f t="shared" si="10"/>
        <v>507.75864464521464</v>
      </c>
      <c r="D34" s="39">
        <f t="shared" si="11"/>
        <v>1232.2618410062769</v>
      </c>
      <c r="E34" s="39">
        <f t="shared" si="12"/>
        <v>1740.0204856514915</v>
      </c>
      <c r="F34" s="39">
        <f t="shared" si="13"/>
        <v>331042.51247811987</v>
      </c>
      <c r="G34" s="33"/>
      <c r="H34" s="33"/>
      <c r="I34" s="33"/>
    </row>
    <row r="35" spans="1:9" x14ac:dyDescent="0.25">
      <c r="A35" s="40" t="s">
        <v>133</v>
      </c>
      <c r="B35" s="39">
        <f t="shared" si="14"/>
        <v>331042.51247811987</v>
      </c>
      <c r="C35" s="39">
        <f t="shared" si="10"/>
        <v>509.64581427447933</v>
      </c>
      <c r="D35" s="39">
        <f t="shared" si="11"/>
        <v>1230.3746713770122</v>
      </c>
      <c r="E35" s="39">
        <f t="shared" si="12"/>
        <v>1740.0204856514915</v>
      </c>
      <c r="F35" s="39">
        <f t="shared" si="13"/>
        <v>330532.86666384537</v>
      </c>
      <c r="G35" s="33"/>
      <c r="H35" s="33"/>
      <c r="I35" s="33"/>
    </row>
    <row r="36" spans="1:9" x14ac:dyDescent="0.25">
      <c r="A36" s="40" t="s">
        <v>135</v>
      </c>
      <c r="B36" s="39">
        <f t="shared" si="14"/>
        <v>330532.86666384537</v>
      </c>
      <c r="C36" s="39">
        <f t="shared" si="10"/>
        <v>511.53999788419947</v>
      </c>
      <c r="D36" s="39">
        <f t="shared" si="11"/>
        <v>1228.4804877672921</v>
      </c>
      <c r="E36" s="39">
        <f t="shared" si="12"/>
        <v>1740.0204856514915</v>
      </c>
      <c r="F36" s="39">
        <f t="shared" si="13"/>
        <v>330021.32666596118</v>
      </c>
      <c r="G36" s="33"/>
      <c r="H36" s="33"/>
      <c r="I36" s="33"/>
    </row>
    <row r="37" spans="1:9" x14ac:dyDescent="0.25">
      <c r="A37" s="40" t="s">
        <v>136</v>
      </c>
      <c r="B37" s="39">
        <f t="shared" si="14"/>
        <v>330021.32666596118</v>
      </c>
      <c r="C37" s="39">
        <f t="shared" si="10"/>
        <v>513.44122154300248</v>
      </c>
      <c r="D37" s="39">
        <f t="shared" si="11"/>
        <v>1226.579264108489</v>
      </c>
      <c r="E37" s="39">
        <f t="shared" si="12"/>
        <v>1740.0204856514915</v>
      </c>
      <c r="F37" s="39">
        <f t="shared" si="13"/>
        <v>329507.88544441818</v>
      </c>
      <c r="G37" s="33"/>
      <c r="H37" s="33"/>
      <c r="I37" s="33"/>
    </row>
    <row r="38" spans="1:9" x14ac:dyDescent="0.25">
      <c r="A38" s="40" t="s">
        <v>137</v>
      </c>
      <c r="B38" s="39">
        <f t="shared" si="14"/>
        <v>329507.88544441818</v>
      </c>
      <c r="C38" s="39">
        <f t="shared" si="10"/>
        <v>515.34951141640386</v>
      </c>
      <c r="D38" s="39">
        <f t="shared" si="11"/>
        <v>1224.6709742350877</v>
      </c>
      <c r="E38" s="39">
        <f t="shared" si="12"/>
        <v>1740.0204856514915</v>
      </c>
      <c r="F38" s="39">
        <f t="shared" si="13"/>
        <v>328992.53593300178</v>
      </c>
      <c r="G38" s="33"/>
      <c r="H38" s="33"/>
      <c r="I38" s="33"/>
    </row>
    <row r="39" spans="1:9" x14ac:dyDescent="0.25">
      <c r="A39" s="40" t="s">
        <v>138</v>
      </c>
      <c r="B39" s="39">
        <f t="shared" si="14"/>
        <v>328992.53593300178</v>
      </c>
      <c r="C39" s="39">
        <f t="shared" si="10"/>
        <v>517.26489376716813</v>
      </c>
      <c r="D39" s="39">
        <f t="shared" si="11"/>
        <v>1222.7555918843234</v>
      </c>
      <c r="E39" s="39">
        <f t="shared" si="12"/>
        <v>1740.0204856514915</v>
      </c>
      <c r="F39" s="39">
        <f t="shared" si="13"/>
        <v>328475.27103923459</v>
      </c>
      <c r="G39" s="33"/>
      <c r="H39" s="33"/>
      <c r="I39" s="33"/>
    </row>
    <row r="40" spans="1:9" x14ac:dyDescent="0.25">
      <c r="A40" s="40" t="s">
        <v>139</v>
      </c>
      <c r="B40" s="39">
        <f t="shared" si="14"/>
        <v>328475.27103923459</v>
      </c>
      <c r="C40" s="39">
        <f t="shared" si="10"/>
        <v>519.18739495566956</v>
      </c>
      <c r="D40" s="39">
        <f t="shared" si="11"/>
        <v>1220.833090695822</v>
      </c>
      <c r="E40" s="39">
        <f t="shared" si="12"/>
        <v>1740.0204856514915</v>
      </c>
      <c r="F40" s="39">
        <f t="shared" si="13"/>
        <v>327956.08364427893</v>
      </c>
      <c r="G40" s="33"/>
      <c r="H40" s="33"/>
      <c r="I40" s="33"/>
    </row>
    <row r="41" spans="1:9" x14ac:dyDescent="0.25">
      <c r="A41" s="40" t="s">
        <v>140</v>
      </c>
      <c r="B41" s="39">
        <f t="shared" si="14"/>
        <v>327956.08364427893</v>
      </c>
      <c r="C41" s="39">
        <f t="shared" si="10"/>
        <v>521.11704144025475</v>
      </c>
      <c r="D41" s="39">
        <f t="shared" si="11"/>
        <v>1218.9034442112368</v>
      </c>
      <c r="E41" s="39">
        <f t="shared" si="12"/>
        <v>1740.0204856514915</v>
      </c>
      <c r="F41" s="39">
        <f t="shared" si="13"/>
        <v>327434.96660283866</v>
      </c>
      <c r="G41" s="33">
        <f>G27+1</f>
        <v>3</v>
      </c>
      <c r="H41" s="33"/>
      <c r="I41" s="33"/>
    </row>
    <row r="42" spans="1:9" x14ac:dyDescent="0.25">
      <c r="A42" s="43" t="s">
        <v>141</v>
      </c>
      <c r="B42" s="39"/>
      <c r="C42" s="39">
        <f>SUM(C30:C41)</f>
        <v>6127.6067748174164</v>
      </c>
      <c r="D42" s="39">
        <f>SUM(D30:D41)</f>
        <v>14752.639053000483</v>
      </c>
      <c r="E42" s="39"/>
      <c r="F42" s="39"/>
      <c r="G42" s="33"/>
      <c r="H42" s="33"/>
      <c r="I42" s="33"/>
    </row>
    <row r="43" spans="1:9" x14ac:dyDescent="0.25">
      <c r="A43" s="40"/>
      <c r="B43" s="39"/>
      <c r="C43" s="39"/>
      <c r="D43" s="39"/>
      <c r="E43" s="39"/>
      <c r="F43" s="39"/>
      <c r="G43" s="33"/>
      <c r="H43" s="33"/>
      <c r="I43" s="33"/>
    </row>
    <row r="44" spans="1:9" x14ac:dyDescent="0.25">
      <c r="A44" s="38" t="s">
        <v>123</v>
      </c>
      <c r="B44" s="39">
        <f>+F41</f>
        <v>327434.96660283866</v>
      </c>
      <c r="C44" s="39">
        <f>+E44-D44</f>
        <v>523.05385977760784</v>
      </c>
      <c r="D44" s="39">
        <f>B44*$I$2</f>
        <v>1216.9666258738837</v>
      </c>
      <c r="E44" s="39">
        <f t="shared" ref="E44:E55" si="15">-$I$9</f>
        <v>1740.0204856514915</v>
      </c>
      <c r="F44" s="39">
        <f>+B44-C44</f>
        <v>326911.91274306102</v>
      </c>
      <c r="G44" s="33"/>
      <c r="H44" s="33"/>
      <c r="I44" s="33"/>
    </row>
    <row r="45" spans="1:9" x14ac:dyDescent="0.25">
      <c r="A45" s="40" t="s">
        <v>125</v>
      </c>
      <c r="B45" s="39">
        <f>+F44</f>
        <v>326911.91274306102</v>
      </c>
      <c r="C45" s="39">
        <f>+E45-D45</f>
        <v>524.99787662311473</v>
      </c>
      <c r="D45" s="39">
        <f>B45*$I$2</f>
        <v>1215.0226090283768</v>
      </c>
      <c r="E45" s="39">
        <f t="shared" si="15"/>
        <v>1740.0204856514915</v>
      </c>
      <c r="F45" s="39">
        <f>+B45-C45</f>
        <v>326386.9148664379</v>
      </c>
      <c r="G45" s="33"/>
      <c r="H45" s="33"/>
      <c r="I45" s="33"/>
    </row>
    <row r="46" spans="1:9" x14ac:dyDescent="0.25">
      <c r="A46" s="40" t="s">
        <v>127</v>
      </c>
      <c r="B46" s="39">
        <f>+F45</f>
        <v>326386.9148664379</v>
      </c>
      <c r="C46" s="39">
        <f>+E46-D46</f>
        <v>526.94911873123056</v>
      </c>
      <c r="D46" s="39">
        <f>B46*$I$2</f>
        <v>1213.071366920261</v>
      </c>
      <c r="E46" s="39">
        <f t="shared" si="15"/>
        <v>1740.0204856514915</v>
      </c>
      <c r="F46" s="39">
        <f>+B46-C46</f>
        <v>325859.96574770665</v>
      </c>
      <c r="G46" s="33"/>
      <c r="H46" s="33"/>
      <c r="I46" s="33"/>
    </row>
    <row r="47" spans="1:9" x14ac:dyDescent="0.25">
      <c r="A47" s="40" t="s">
        <v>129</v>
      </c>
      <c r="B47" s="39">
        <f>+F46</f>
        <v>325859.96574770665</v>
      </c>
      <c r="C47" s="39">
        <f>+E47-D47</f>
        <v>528.90761295584844</v>
      </c>
      <c r="D47" s="39">
        <f>B47*$I$2</f>
        <v>1211.1128726956431</v>
      </c>
      <c r="E47" s="39">
        <f t="shared" si="15"/>
        <v>1740.0204856514915</v>
      </c>
      <c r="F47" s="39">
        <f>+B47-C47</f>
        <v>325331.05813475081</v>
      </c>
      <c r="G47" s="33"/>
      <c r="H47" s="33"/>
      <c r="I47" s="33"/>
    </row>
    <row r="48" spans="1:9" x14ac:dyDescent="0.25">
      <c r="A48" s="40" t="s">
        <v>131</v>
      </c>
      <c r="B48" s="39">
        <f t="shared" ref="B48:B55" si="16">+F47</f>
        <v>325331.05813475081</v>
      </c>
      <c r="C48" s="39">
        <f t="shared" ref="C48:C55" si="17">+E48-D48</f>
        <v>530.87338625066764</v>
      </c>
      <c r="D48" s="39">
        <f t="shared" ref="D48:D55" si="18">B48*$I$2</f>
        <v>1209.1470994008239</v>
      </c>
      <c r="E48" s="39">
        <f t="shared" si="15"/>
        <v>1740.0204856514915</v>
      </c>
      <c r="F48" s="39">
        <f t="shared" ref="F48:F55" si="19">+B48-C48</f>
        <v>324800.18474850012</v>
      </c>
      <c r="G48" s="33"/>
      <c r="H48" s="33"/>
      <c r="I48" s="33"/>
    </row>
    <row r="49" spans="1:9" x14ac:dyDescent="0.25">
      <c r="A49" s="40" t="s">
        <v>133</v>
      </c>
      <c r="B49" s="39">
        <f t="shared" si="16"/>
        <v>324800.18474850012</v>
      </c>
      <c r="C49" s="39">
        <f t="shared" si="17"/>
        <v>532.84646566956599</v>
      </c>
      <c r="D49" s="39">
        <f t="shared" si="18"/>
        <v>1207.1740199819255</v>
      </c>
      <c r="E49" s="39">
        <f t="shared" si="15"/>
        <v>1740.0204856514915</v>
      </c>
      <c r="F49" s="39">
        <f t="shared" si="19"/>
        <v>324267.33828283055</v>
      </c>
      <c r="G49" s="33"/>
      <c r="H49" s="33"/>
      <c r="I49" s="33"/>
    </row>
    <row r="50" spans="1:9" x14ac:dyDescent="0.25">
      <c r="A50" s="40" t="s">
        <v>135</v>
      </c>
      <c r="B50" s="39">
        <f t="shared" si="16"/>
        <v>324267.33828283055</v>
      </c>
      <c r="C50" s="39">
        <f t="shared" si="17"/>
        <v>534.82687836697141</v>
      </c>
      <c r="D50" s="39">
        <f t="shared" si="18"/>
        <v>1205.1936072845201</v>
      </c>
      <c r="E50" s="39">
        <f t="shared" si="15"/>
        <v>1740.0204856514915</v>
      </c>
      <c r="F50" s="39">
        <f t="shared" si="19"/>
        <v>323732.51140446356</v>
      </c>
      <c r="G50" s="33"/>
      <c r="H50" s="33"/>
      <c r="I50" s="33"/>
    </row>
    <row r="51" spans="1:9" x14ac:dyDescent="0.25">
      <c r="A51" s="40" t="s">
        <v>136</v>
      </c>
      <c r="B51" s="39">
        <f t="shared" si="16"/>
        <v>323732.51140446356</v>
      </c>
      <c r="C51" s="39">
        <f t="shared" si="17"/>
        <v>536.81465159823529</v>
      </c>
      <c r="D51" s="39">
        <f t="shared" si="18"/>
        <v>1203.2058340532562</v>
      </c>
      <c r="E51" s="39">
        <f t="shared" si="15"/>
        <v>1740.0204856514915</v>
      </c>
      <c r="F51" s="39">
        <f t="shared" si="19"/>
        <v>323195.69675286533</v>
      </c>
      <c r="G51" s="33"/>
      <c r="H51" s="33"/>
      <c r="I51" s="33"/>
    </row>
    <row r="52" spans="1:9" x14ac:dyDescent="0.25">
      <c r="A52" s="40" t="s">
        <v>137</v>
      </c>
      <c r="B52" s="39">
        <f t="shared" si="16"/>
        <v>323195.69675286533</v>
      </c>
      <c r="C52" s="39">
        <f t="shared" si="17"/>
        <v>538.80981272000872</v>
      </c>
      <c r="D52" s="39">
        <f t="shared" si="18"/>
        <v>1201.2106729314828</v>
      </c>
      <c r="E52" s="39">
        <f t="shared" si="15"/>
        <v>1740.0204856514915</v>
      </c>
      <c r="F52" s="39">
        <f t="shared" si="19"/>
        <v>322656.88694014534</v>
      </c>
      <c r="G52" s="33"/>
      <c r="H52" s="33"/>
      <c r="I52" s="33"/>
    </row>
    <row r="53" spans="1:9" x14ac:dyDescent="0.25">
      <c r="A53" s="40" t="s">
        <v>138</v>
      </c>
      <c r="B53" s="39">
        <f t="shared" si="16"/>
        <v>322656.88694014534</v>
      </c>
      <c r="C53" s="39">
        <f t="shared" si="17"/>
        <v>540.81238919061798</v>
      </c>
      <c r="D53" s="39">
        <f t="shared" si="18"/>
        <v>1199.2080964608735</v>
      </c>
      <c r="E53" s="39">
        <f t="shared" si="15"/>
        <v>1740.0204856514915</v>
      </c>
      <c r="F53" s="39">
        <f t="shared" si="19"/>
        <v>322116.07455095474</v>
      </c>
      <c r="G53" s="33"/>
      <c r="H53" s="33"/>
      <c r="I53" s="33"/>
    </row>
    <row r="54" spans="1:9" x14ac:dyDescent="0.25">
      <c r="A54" s="40" t="s">
        <v>139</v>
      </c>
      <c r="B54" s="39">
        <f t="shared" si="16"/>
        <v>322116.07455095474</v>
      </c>
      <c r="C54" s="39">
        <f t="shared" si="17"/>
        <v>542.82240857044303</v>
      </c>
      <c r="D54" s="39">
        <f t="shared" si="18"/>
        <v>1197.1980770810485</v>
      </c>
      <c r="E54" s="39">
        <f t="shared" si="15"/>
        <v>1740.0204856514915</v>
      </c>
      <c r="F54" s="39">
        <f t="shared" si="19"/>
        <v>321573.2521423843</v>
      </c>
      <c r="G54" s="33"/>
      <c r="H54" s="33"/>
      <c r="I54" s="33"/>
    </row>
    <row r="55" spans="1:9" x14ac:dyDescent="0.25">
      <c r="A55" s="40" t="s">
        <v>140</v>
      </c>
      <c r="B55" s="39">
        <f t="shared" si="16"/>
        <v>321573.2521423843</v>
      </c>
      <c r="C55" s="39">
        <f t="shared" si="17"/>
        <v>544.83989852229661</v>
      </c>
      <c r="D55" s="39">
        <f t="shared" si="18"/>
        <v>1195.1805871291949</v>
      </c>
      <c r="E55" s="39">
        <f t="shared" si="15"/>
        <v>1740.0204856514915</v>
      </c>
      <c r="F55" s="39">
        <f t="shared" si="19"/>
        <v>321028.412243862</v>
      </c>
      <c r="G55" s="33">
        <f>G41+1</f>
        <v>4</v>
      </c>
      <c r="H55" s="33"/>
      <c r="I55" s="33"/>
    </row>
    <row r="56" spans="1:9" x14ac:dyDescent="0.25">
      <c r="A56" s="43" t="s">
        <v>141</v>
      </c>
      <c r="B56" s="39"/>
      <c r="C56" s="39">
        <f>SUM(C44:C55)</f>
        <v>6406.5543589766075</v>
      </c>
      <c r="D56" s="39">
        <f>SUM(D44:D55)</f>
        <v>14473.691468841289</v>
      </c>
      <c r="E56" s="39"/>
      <c r="F56" s="39"/>
      <c r="G56" s="33"/>
      <c r="H56" s="33"/>
      <c r="I56" s="33"/>
    </row>
    <row r="57" spans="1:9" x14ac:dyDescent="0.25">
      <c r="A57" s="33"/>
      <c r="B57" s="39"/>
      <c r="C57" s="39"/>
      <c r="D57" s="39"/>
      <c r="E57" s="39"/>
      <c r="F57" s="39"/>
      <c r="G57" s="33"/>
      <c r="H57" s="33"/>
      <c r="I57" s="33"/>
    </row>
    <row r="58" spans="1:9" x14ac:dyDescent="0.25">
      <c r="A58" s="38" t="s">
        <v>123</v>
      </c>
      <c r="B58" s="39">
        <f>+F55</f>
        <v>321028.412243862</v>
      </c>
      <c r="C58" s="39">
        <f t="shared" ref="C58:C69" si="20">+E58-D58</f>
        <v>546.86488681180435</v>
      </c>
      <c r="D58" s="39">
        <f t="shared" ref="D58:D69" si="21">B58*$I$2</f>
        <v>1193.1555988396872</v>
      </c>
      <c r="E58" s="39">
        <f t="shared" ref="E58:E69" si="22">-$I$9</f>
        <v>1740.0204856514915</v>
      </c>
      <c r="F58" s="39">
        <f t="shared" ref="F58:F69" si="23">+B58-C58</f>
        <v>320481.54735705018</v>
      </c>
      <c r="G58" s="33"/>
      <c r="H58" s="33"/>
      <c r="I58" s="33"/>
    </row>
    <row r="59" spans="1:9" x14ac:dyDescent="0.25">
      <c r="A59" s="40" t="s">
        <v>125</v>
      </c>
      <c r="B59" s="39">
        <f t="shared" ref="B59:B69" si="24">+F58</f>
        <v>320481.54735705018</v>
      </c>
      <c r="C59" s="39">
        <f t="shared" si="20"/>
        <v>548.89740130778841</v>
      </c>
      <c r="D59" s="39">
        <f t="shared" si="21"/>
        <v>1191.1230843437031</v>
      </c>
      <c r="E59" s="39">
        <f t="shared" si="22"/>
        <v>1740.0204856514915</v>
      </c>
      <c r="F59" s="39">
        <f t="shared" si="23"/>
        <v>319932.64995574241</v>
      </c>
      <c r="G59" s="33"/>
      <c r="H59" s="33"/>
      <c r="I59" s="33"/>
    </row>
    <row r="60" spans="1:9" x14ac:dyDescent="0.25">
      <c r="A60" s="40" t="s">
        <v>127</v>
      </c>
      <c r="B60" s="39">
        <f t="shared" si="24"/>
        <v>319932.64995574241</v>
      </c>
      <c r="C60" s="39">
        <f t="shared" si="20"/>
        <v>550.93746998264896</v>
      </c>
      <c r="D60" s="39">
        <f t="shared" si="21"/>
        <v>1189.0830156688426</v>
      </c>
      <c r="E60" s="39">
        <f t="shared" si="22"/>
        <v>1740.0204856514915</v>
      </c>
      <c r="F60" s="39">
        <f t="shared" si="23"/>
        <v>319381.71248575975</v>
      </c>
      <c r="G60" s="33"/>
      <c r="H60" s="33"/>
      <c r="I60" s="33"/>
    </row>
    <row r="61" spans="1:9" x14ac:dyDescent="0.25">
      <c r="A61" s="40" t="s">
        <v>129</v>
      </c>
      <c r="B61" s="39">
        <f t="shared" si="24"/>
        <v>319381.71248575975</v>
      </c>
      <c r="C61" s="39">
        <f t="shared" si="20"/>
        <v>552.9851209127512</v>
      </c>
      <c r="D61" s="39">
        <f t="shared" si="21"/>
        <v>1187.0353647387403</v>
      </c>
      <c r="E61" s="39">
        <f t="shared" si="22"/>
        <v>1740.0204856514915</v>
      </c>
      <c r="F61" s="39">
        <f t="shared" si="23"/>
        <v>318828.72736484703</v>
      </c>
      <c r="G61" s="33"/>
      <c r="H61" s="33"/>
      <c r="I61" s="33"/>
    </row>
    <row r="62" spans="1:9" x14ac:dyDescent="0.25">
      <c r="A62" s="40" t="s">
        <v>131</v>
      </c>
      <c r="B62" s="39">
        <f t="shared" si="24"/>
        <v>318828.72736484703</v>
      </c>
      <c r="C62" s="39">
        <f t="shared" si="20"/>
        <v>555.04038227881006</v>
      </c>
      <c r="D62" s="39">
        <f t="shared" si="21"/>
        <v>1184.9801033726815</v>
      </c>
      <c r="E62" s="39">
        <f t="shared" si="22"/>
        <v>1740.0204856514915</v>
      </c>
      <c r="F62" s="39">
        <f t="shared" si="23"/>
        <v>318273.68698256824</v>
      </c>
      <c r="G62" s="33"/>
      <c r="H62" s="33"/>
      <c r="I62" s="33"/>
    </row>
    <row r="63" spans="1:9" x14ac:dyDescent="0.25">
      <c r="A63" s="40" t="s">
        <v>133</v>
      </c>
      <c r="B63" s="39">
        <f t="shared" si="24"/>
        <v>318273.68698256824</v>
      </c>
      <c r="C63" s="39">
        <f t="shared" si="20"/>
        <v>557.10328236627947</v>
      </c>
      <c r="D63" s="39">
        <f t="shared" si="21"/>
        <v>1182.9172032852121</v>
      </c>
      <c r="E63" s="39">
        <f t="shared" si="22"/>
        <v>1740.0204856514915</v>
      </c>
      <c r="F63" s="39">
        <f t="shared" si="23"/>
        <v>317716.58370020194</v>
      </c>
      <c r="G63" s="33"/>
      <c r="H63" s="33"/>
      <c r="I63" s="33"/>
    </row>
    <row r="64" spans="1:9" x14ac:dyDescent="0.25">
      <c r="A64" s="40" t="s">
        <v>135</v>
      </c>
      <c r="B64" s="39">
        <f t="shared" si="24"/>
        <v>317716.58370020194</v>
      </c>
      <c r="C64" s="39">
        <f t="shared" si="20"/>
        <v>559.17384956574097</v>
      </c>
      <c r="D64" s="39">
        <f t="shared" si="21"/>
        <v>1180.8466360857506</v>
      </c>
      <c r="E64" s="39">
        <f t="shared" si="22"/>
        <v>1740.0204856514915</v>
      </c>
      <c r="F64" s="39">
        <f t="shared" si="23"/>
        <v>317157.40985063621</v>
      </c>
      <c r="G64" s="33"/>
      <c r="H64" s="33"/>
      <c r="I64" s="33"/>
    </row>
    <row r="65" spans="1:9" x14ac:dyDescent="0.25">
      <c r="A65" s="40" t="s">
        <v>136</v>
      </c>
      <c r="B65" s="39">
        <f t="shared" si="24"/>
        <v>317157.40985063621</v>
      </c>
      <c r="C65" s="39">
        <f t="shared" si="20"/>
        <v>561.25211237329358</v>
      </c>
      <c r="D65" s="39">
        <f t="shared" si="21"/>
        <v>1178.7683732781979</v>
      </c>
      <c r="E65" s="39">
        <f t="shared" si="22"/>
        <v>1740.0204856514915</v>
      </c>
      <c r="F65" s="39">
        <f t="shared" si="23"/>
        <v>316596.1577382629</v>
      </c>
      <c r="G65" s="33"/>
      <c r="H65" s="33"/>
      <c r="I65" s="33"/>
    </row>
    <row r="66" spans="1:9" x14ac:dyDescent="0.25">
      <c r="A66" s="40" t="s">
        <v>137</v>
      </c>
      <c r="B66" s="39">
        <f t="shared" si="24"/>
        <v>316596.1577382629</v>
      </c>
      <c r="C66" s="39">
        <f t="shared" si="20"/>
        <v>563.33809939094772</v>
      </c>
      <c r="D66" s="39">
        <f t="shared" si="21"/>
        <v>1176.6823862605438</v>
      </c>
      <c r="E66" s="39">
        <f t="shared" si="22"/>
        <v>1740.0204856514915</v>
      </c>
      <c r="F66" s="39">
        <f t="shared" si="23"/>
        <v>316032.81963887194</v>
      </c>
      <c r="G66" s="33"/>
      <c r="H66" s="33"/>
      <c r="I66" s="33"/>
    </row>
    <row r="67" spans="1:9" x14ac:dyDescent="0.25">
      <c r="A67" s="40" t="s">
        <v>138</v>
      </c>
      <c r="B67" s="39">
        <f t="shared" si="24"/>
        <v>316032.81963887194</v>
      </c>
      <c r="C67" s="39">
        <f t="shared" si="20"/>
        <v>565.43183932701754</v>
      </c>
      <c r="D67" s="39">
        <f t="shared" si="21"/>
        <v>1174.588646324474</v>
      </c>
      <c r="E67" s="39">
        <f t="shared" si="22"/>
        <v>1740.0204856514915</v>
      </c>
      <c r="F67" s="39">
        <f t="shared" si="23"/>
        <v>315467.3877995449</v>
      </c>
      <c r="G67" s="33"/>
      <c r="H67" s="33"/>
      <c r="I67" s="33"/>
    </row>
    <row r="68" spans="1:9" x14ac:dyDescent="0.25">
      <c r="A68" s="40" t="s">
        <v>139</v>
      </c>
      <c r="B68" s="39">
        <f t="shared" si="24"/>
        <v>315467.3877995449</v>
      </c>
      <c r="C68" s="39">
        <f t="shared" si="20"/>
        <v>567.53336099651619</v>
      </c>
      <c r="D68" s="39">
        <f t="shared" si="21"/>
        <v>1172.4871246549753</v>
      </c>
      <c r="E68" s="39">
        <f t="shared" si="22"/>
        <v>1740.0204856514915</v>
      </c>
      <c r="F68" s="39">
        <f t="shared" si="23"/>
        <v>314899.85443854838</v>
      </c>
      <c r="G68" s="33"/>
      <c r="H68" s="33"/>
      <c r="I68" s="33"/>
    </row>
    <row r="69" spans="1:9" x14ac:dyDescent="0.25">
      <c r="A69" s="40" t="s">
        <v>140</v>
      </c>
      <c r="B69" s="39">
        <f t="shared" si="24"/>
        <v>314899.85443854838</v>
      </c>
      <c r="C69" s="39">
        <f t="shared" si="20"/>
        <v>569.64269332155345</v>
      </c>
      <c r="D69" s="39">
        <f t="shared" si="21"/>
        <v>1170.3777923299381</v>
      </c>
      <c r="E69" s="39">
        <f t="shared" si="22"/>
        <v>1740.0204856514915</v>
      </c>
      <c r="F69" s="39">
        <f t="shared" si="23"/>
        <v>314330.21174522681</v>
      </c>
      <c r="G69" s="33">
        <f>G55+1</f>
        <v>5</v>
      </c>
      <c r="H69" s="33"/>
      <c r="I69" s="33"/>
    </row>
    <row r="70" spans="1:9" x14ac:dyDescent="0.25">
      <c r="A70" s="43" t="s">
        <v>141</v>
      </c>
      <c r="B70" s="39"/>
      <c r="C70" s="39">
        <f>SUM(C58:C69)</f>
        <v>6698.2004986351521</v>
      </c>
      <c r="D70" s="39">
        <f>SUM(D58:D69)</f>
        <v>14182.045329182745</v>
      </c>
      <c r="E70" s="39"/>
      <c r="F70" s="39"/>
      <c r="G70" s="33"/>
      <c r="H70" s="33"/>
      <c r="I70" s="33"/>
    </row>
    <row r="71" spans="1:9" x14ac:dyDescent="0.25">
      <c r="A71" s="40"/>
      <c r="B71" s="39"/>
      <c r="C71" s="39"/>
      <c r="D71" s="39"/>
      <c r="E71" s="39"/>
      <c r="F71" s="39"/>
      <c r="G71" s="33"/>
      <c r="H71" s="33"/>
      <c r="I71" s="33"/>
    </row>
    <row r="72" spans="1:9" x14ac:dyDescent="0.25">
      <c r="A72" s="38" t="s">
        <v>123</v>
      </c>
      <c r="B72" s="39">
        <f>+F69</f>
        <v>314330.21174522681</v>
      </c>
      <c r="C72" s="39">
        <f t="shared" ref="C72:C83" si="25">+E72-D72</f>
        <v>571.75986533173182</v>
      </c>
      <c r="D72" s="39">
        <f t="shared" ref="D72:D83" si="26">B72*$I$2</f>
        <v>1168.2606203197597</v>
      </c>
      <c r="E72" s="39">
        <f t="shared" ref="E72:E83" si="27">-$I$9</f>
        <v>1740.0204856514915</v>
      </c>
      <c r="F72" s="39">
        <f t="shared" ref="F72:F83" si="28">+B72-C72</f>
        <v>313758.45187989506</v>
      </c>
      <c r="G72" s="33"/>
      <c r="H72" s="33"/>
      <c r="I72" s="33"/>
    </row>
    <row r="73" spans="1:9" x14ac:dyDescent="0.25">
      <c r="A73" s="40" t="s">
        <v>125</v>
      </c>
      <c r="B73" s="39">
        <f t="shared" ref="B73:B83" si="29">+F72</f>
        <v>313758.45187989506</v>
      </c>
      <c r="C73" s="39">
        <f t="shared" si="25"/>
        <v>573.88490616454828</v>
      </c>
      <c r="D73" s="39">
        <f t="shared" si="26"/>
        <v>1166.1355794869432</v>
      </c>
      <c r="E73" s="39">
        <f t="shared" si="27"/>
        <v>1740.0204856514915</v>
      </c>
      <c r="F73" s="39">
        <f t="shared" si="28"/>
        <v>313184.56697373051</v>
      </c>
      <c r="G73" s="33"/>
      <c r="H73" s="33"/>
      <c r="I73" s="33"/>
    </row>
    <row r="74" spans="1:9" x14ac:dyDescent="0.25">
      <c r="A74" s="40" t="s">
        <v>127</v>
      </c>
      <c r="B74" s="39">
        <f t="shared" si="29"/>
        <v>313184.56697373051</v>
      </c>
      <c r="C74" s="39">
        <f t="shared" si="25"/>
        <v>576.01784506579315</v>
      </c>
      <c r="D74" s="39">
        <f t="shared" si="26"/>
        <v>1164.0026405856984</v>
      </c>
      <c r="E74" s="39">
        <f t="shared" si="27"/>
        <v>1740.0204856514915</v>
      </c>
      <c r="F74" s="39">
        <f t="shared" si="28"/>
        <v>312608.54912866472</v>
      </c>
      <c r="G74" s="33"/>
      <c r="H74" s="33"/>
      <c r="I74" s="33"/>
    </row>
    <row r="75" spans="1:9" x14ac:dyDescent="0.25">
      <c r="A75" s="40" t="s">
        <v>129</v>
      </c>
      <c r="B75" s="39">
        <f t="shared" si="29"/>
        <v>312608.54912866472</v>
      </c>
      <c r="C75" s="39">
        <f t="shared" si="25"/>
        <v>578.15871138995431</v>
      </c>
      <c r="D75" s="39">
        <f t="shared" si="26"/>
        <v>1161.8617742615372</v>
      </c>
      <c r="E75" s="39">
        <f t="shared" si="27"/>
        <v>1740.0204856514915</v>
      </c>
      <c r="F75" s="39">
        <f t="shared" si="28"/>
        <v>312030.39041727479</v>
      </c>
      <c r="G75" s="33"/>
      <c r="H75" s="33"/>
      <c r="I75" s="33"/>
    </row>
    <row r="76" spans="1:9" x14ac:dyDescent="0.25">
      <c r="A76" s="40" t="s">
        <v>131</v>
      </c>
      <c r="B76" s="39">
        <f t="shared" si="29"/>
        <v>312030.39041727479</v>
      </c>
      <c r="C76" s="39">
        <f t="shared" si="25"/>
        <v>580.30753460062033</v>
      </c>
      <c r="D76" s="39">
        <f t="shared" si="26"/>
        <v>1159.7129510508712</v>
      </c>
      <c r="E76" s="39">
        <f t="shared" si="27"/>
        <v>1740.0204856514915</v>
      </c>
      <c r="F76" s="39">
        <f t="shared" si="28"/>
        <v>311450.08288267418</v>
      </c>
      <c r="G76" s="33"/>
      <c r="H76" s="33"/>
      <c r="I76" s="33"/>
    </row>
    <row r="77" spans="1:9" x14ac:dyDescent="0.25">
      <c r="A77" s="40" t="s">
        <v>133</v>
      </c>
      <c r="B77" s="39">
        <f t="shared" si="29"/>
        <v>311450.08288267418</v>
      </c>
      <c r="C77" s="39">
        <f t="shared" si="25"/>
        <v>582.4643442708857</v>
      </c>
      <c r="D77" s="39">
        <f t="shared" si="26"/>
        <v>1157.5561413806058</v>
      </c>
      <c r="E77" s="39">
        <f t="shared" si="27"/>
        <v>1740.0204856514915</v>
      </c>
      <c r="F77" s="39">
        <f t="shared" si="28"/>
        <v>310867.6185384033</v>
      </c>
      <c r="G77" s="33"/>
      <c r="H77" s="33"/>
      <c r="I77" s="33"/>
    </row>
    <row r="78" spans="1:9" x14ac:dyDescent="0.25">
      <c r="A78" s="40" t="s">
        <v>135</v>
      </c>
      <c r="B78" s="39">
        <f t="shared" si="29"/>
        <v>310867.6185384033</v>
      </c>
      <c r="C78" s="39">
        <f t="shared" si="25"/>
        <v>584.62917008375916</v>
      </c>
      <c r="D78" s="39">
        <f t="shared" si="26"/>
        <v>1155.3913155677324</v>
      </c>
      <c r="E78" s="39">
        <f t="shared" si="27"/>
        <v>1740.0204856514915</v>
      </c>
      <c r="F78" s="39">
        <f t="shared" si="28"/>
        <v>310282.98936831957</v>
      </c>
      <c r="G78" s="33"/>
      <c r="H78" s="33"/>
      <c r="I78" s="33"/>
    </row>
    <row r="79" spans="1:9" x14ac:dyDescent="0.25">
      <c r="A79" s="40" t="s">
        <v>136</v>
      </c>
      <c r="B79" s="39">
        <f t="shared" si="29"/>
        <v>310282.98936831957</v>
      </c>
      <c r="C79" s="39">
        <f t="shared" si="25"/>
        <v>586.80204183257047</v>
      </c>
      <c r="D79" s="39">
        <f t="shared" si="26"/>
        <v>1153.2184438189211</v>
      </c>
      <c r="E79" s="39">
        <f t="shared" si="27"/>
        <v>1740.0204856514915</v>
      </c>
      <c r="F79" s="39">
        <f t="shared" si="28"/>
        <v>309696.18732648698</v>
      </c>
      <c r="G79" s="33"/>
      <c r="H79" s="33"/>
      <c r="I79" s="33"/>
    </row>
    <row r="80" spans="1:9" x14ac:dyDescent="0.25">
      <c r="A80" s="40" t="s">
        <v>137</v>
      </c>
      <c r="B80" s="39">
        <f t="shared" si="29"/>
        <v>309696.18732648698</v>
      </c>
      <c r="C80" s="39">
        <f t="shared" si="25"/>
        <v>588.98298942138149</v>
      </c>
      <c r="D80" s="39">
        <f t="shared" si="26"/>
        <v>1151.03749623011</v>
      </c>
      <c r="E80" s="39">
        <f t="shared" si="27"/>
        <v>1740.0204856514915</v>
      </c>
      <c r="F80" s="39">
        <f t="shared" si="28"/>
        <v>309107.20433706557</v>
      </c>
      <c r="G80" s="33"/>
      <c r="H80" s="33"/>
      <c r="I80" s="33"/>
    </row>
    <row r="81" spans="1:9" x14ac:dyDescent="0.25">
      <c r="A81" s="40" t="s">
        <v>138</v>
      </c>
      <c r="B81" s="39">
        <f t="shared" si="29"/>
        <v>309107.20433706557</v>
      </c>
      <c r="C81" s="39">
        <f t="shared" si="25"/>
        <v>591.17204286539777</v>
      </c>
      <c r="D81" s="39">
        <f t="shared" si="26"/>
        <v>1148.8484427860938</v>
      </c>
      <c r="E81" s="39">
        <f t="shared" si="27"/>
        <v>1740.0204856514915</v>
      </c>
      <c r="F81" s="39">
        <f t="shared" si="28"/>
        <v>308516.03229420015</v>
      </c>
      <c r="G81" s="33"/>
      <c r="H81" s="33"/>
      <c r="I81" s="33"/>
    </row>
    <row r="82" spans="1:9" x14ac:dyDescent="0.25">
      <c r="A82" s="40" t="s">
        <v>139</v>
      </c>
      <c r="B82" s="39">
        <f t="shared" si="29"/>
        <v>308516.03229420015</v>
      </c>
      <c r="C82" s="39">
        <f t="shared" si="25"/>
        <v>593.36923229138097</v>
      </c>
      <c r="D82" s="39">
        <f t="shared" si="26"/>
        <v>1146.6512533601106</v>
      </c>
      <c r="E82" s="39">
        <f t="shared" si="27"/>
        <v>1740.0204856514915</v>
      </c>
      <c r="F82" s="39">
        <f t="shared" si="28"/>
        <v>307922.6630619088</v>
      </c>
      <c r="G82" s="33"/>
      <c r="H82" s="33"/>
      <c r="I82" s="33"/>
    </row>
    <row r="83" spans="1:9" x14ac:dyDescent="0.25">
      <c r="A83" s="40" t="s">
        <v>140</v>
      </c>
      <c r="B83" s="39">
        <f t="shared" si="29"/>
        <v>307922.6630619088</v>
      </c>
      <c r="C83" s="39">
        <f t="shared" si="25"/>
        <v>595.57458793806381</v>
      </c>
      <c r="D83" s="39">
        <f t="shared" si="26"/>
        <v>1144.4458977134277</v>
      </c>
      <c r="E83" s="39">
        <f t="shared" si="27"/>
        <v>1740.0204856514915</v>
      </c>
      <c r="F83" s="39">
        <f t="shared" si="28"/>
        <v>307327.08847397071</v>
      </c>
      <c r="G83" s="33">
        <f>G69+1</f>
        <v>6</v>
      </c>
      <c r="H83" s="33"/>
      <c r="I83" s="33"/>
    </row>
    <row r="84" spans="1:9" x14ac:dyDescent="0.25">
      <c r="A84" s="43" t="s">
        <v>141</v>
      </c>
      <c r="B84" s="39"/>
      <c r="C84" s="39">
        <f>SUM(C72:C83)</f>
        <v>7003.1232712560886</v>
      </c>
      <c r="D84" s="39">
        <f>SUM(D72:D83)</f>
        <v>13877.122556561812</v>
      </c>
      <c r="E84" s="39"/>
      <c r="F84" s="39"/>
      <c r="G84" s="33"/>
      <c r="H84" s="33"/>
      <c r="I84" s="33"/>
    </row>
    <row r="85" spans="1:9" x14ac:dyDescent="0.25">
      <c r="A85" s="40"/>
      <c r="B85" s="39"/>
      <c r="C85" s="39"/>
      <c r="D85" s="39"/>
      <c r="E85" s="39"/>
      <c r="F85" s="39"/>
      <c r="G85" s="33"/>
      <c r="H85" s="33"/>
      <c r="I85" s="33"/>
    </row>
    <row r="86" spans="1:9" x14ac:dyDescent="0.25">
      <c r="A86" s="38" t="s">
        <v>123</v>
      </c>
      <c r="B86" s="39">
        <f>+F83</f>
        <v>307327.08847397071</v>
      </c>
      <c r="C86" s="39">
        <f>+E86-D86</f>
        <v>597.78814015656712</v>
      </c>
      <c r="D86" s="39">
        <f>B86*$I$2</f>
        <v>1142.2323454949244</v>
      </c>
      <c r="E86" s="39">
        <f t="shared" ref="E86:E97" si="30">-$I$9</f>
        <v>1740.0204856514915</v>
      </c>
      <c r="F86" s="39">
        <f>+B86-C86</f>
        <v>306729.30033381417</v>
      </c>
    </row>
    <row r="87" spans="1:9" x14ac:dyDescent="0.25">
      <c r="A87" s="40" t="s">
        <v>125</v>
      </c>
      <c r="B87" s="39">
        <f>+F86</f>
        <v>306729.30033381417</v>
      </c>
      <c r="C87" s="39">
        <f>+E87-D87</f>
        <v>600.00991941081543</v>
      </c>
      <c r="D87" s="39">
        <f>B87*$I$2</f>
        <v>1140.0105662406761</v>
      </c>
      <c r="E87" s="39">
        <f t="shared" si="30"/>
        <v>1740.0204856514915</v>
      </c>
      <c r="F87" s="39">
        <f>+B87-C87</f>
        <v>306129.29041440337</v>
      </c>
    </row>
    <row r="88" spans="1:9" x14ac:dyDescent="0.25">
      <c r="A88" s="40" t="s">
        <v>127</v>
      </c>
      <c r="B88" s="39">
        <f>+F87</f>
        <v>306129.29041440337</v>
      </c>
      <c r="C88" s="39">
        <f>+E88-D88</f>
        <v>602.23995627795898</v>
      </c>
      <c r="D88" s="39">
        <f>B88*$I$2</f>
        <v>1137.7805293735325</v>
      </c>
      <c r="E88" s="39">
        <f t="shared" si="30"/>
        <v>1740.0204856514915</v>
      </c>
      <c r="F88" s="39">
        <f>+B88-C88</f>
        <v>305527.05045812542</v>
      </c>
    </row>
    <row r="89" spans="1:9" x14ac:dyDescent="0.25">
      <c r="A89" s="40" t="s">
        <v>129</v>
      </c>
      <c r="B89" s="39">
        <f>+F88</f>
        <v>305527.05045812542</v>
      </c>
      <c r="C89" s="39">
        <f>+E89-D89</f>
        <v>604.47828144879213</v>
      </c>
      <c r="D89" s="39">
        <f>B89*$I$2</f>
        <v>1135.5422042026994</v>
      </c>
      <c r="E89" s="39">
        <f t="shared" si="30"/>
        <v>1740.0204856514915</v>
      </c>
      <c r="F89" s="39">
        <f>+B89-C89</f>
        <v>304922.57217667665</v>
      </c>
    </row>
    <row r="90" spans="1:9" x14ac:dyDescent="0.25">
      <c r="A90" s="40" t="s">
        <v>131</v>
      </c>
      <c r="B90" s="39">
        <f t="shared" ref="B90:B97" si="31">+F89</f>
        <v>304922.57217667665</v>
      </c>
      <c r="C90" s="39">
        <f t="shared" ref="C90:C97" si="32">+E90-D90</f>
        <v>606.72492572817669</v>
      </c>
      <c r="D90" s="39">
        <f t="shared" ref="D90:D97" si="33">B90*$I$2</f>
        <v>1133.2955599233148</v>
      </c>
      <c r="E90" s="39">
        <f t="shared" si="30"/>
        <v>1740.0204856514915</v>
      </c>
      <c r="F90" s="39">
        <f t="shared" ref="F90:F97" si="34">+B90-C90</f>
        <v>304315.84725094849</v>
      </c>
    </row>
    <row r="91" spans="1:9" x14ac:dyDescent="0.25">
      <c r="A91" s="40" t="s">
        <v>133</v>
      </c>
      <c r="B91" s="39">
        <f t="shared" si="31"/>
        <v>304315.84725094849</v>
      </c>
      <c r="C91" s="39">
        <f t="shared" si="32"/>
        <v>608.97992003546619</v>
      </c>
      <c r="D91" s="39">
        <f t="shared" si="33"/>
        <v>1131.0405656160253</v>
      </c>
      <c r="E91" s="39">
        <f t="shared" si="30"/>
        <v>1740.0204856514915</v>
      </c>
      <c r="F91" s="39">
        <f t="shared" si="34"/>
        <v>303706.86733091302</v>
      </c>
    </row>
    <row r="92" spans="1:9" x14ac:dyDescent="0.25">
      <c r="A92" s="40" t="s">
        <v>135</v>
      </c>
      <c r="B92" s="39">
        <f t="shared" si="31"/>
        <v>303706.86733091302</v>
      </c>
      <c r="C92" s="39">
        <f t="shared" si="32"/>
        <v>611.24329540493136</v>
      </c>
      <c r="D92" s="39">
        <f t="shared" si="33"/>
        <v>1128.7771902465602</v>
      </c>
      <c r="E92" s="39">
        <f t="shared" si="30"/>
        <v>1740.0204856514915</v>
      </c>
      <c r="F92" s="39">
        <f t="shared" si="34"/>
        <v>303095.62403550808</v>
      </c>
    </row>
    <row r="93" spans="1:9" x14ac:dyDescent="0.25">
      <c r="A93" s="40" t="s">
        <v>136</v>
      </c>
      <c r="B93" s="39">
        <f t="shared" si="31"/>
        <v>303095.62403550808</v>
      </c>
      <c r="C93" s="39">
        <f t="shared" si="32"/>
        <v>613.51508298618637</v>
      </c>
      <c r="D93" s="39">
        <f t="shared" si="33"/>
        <v>1126.5054026653052</v>
      </c>
      <c r="E93" s="39">
        <f t="shared" si="30"/>
        <v>1740.0204856514915</v>
      </c>
      <c r="F93" s="39">
        <f t="shared" si="34"/>
        <v>302482.10895252187</v>
      </c>
    </row>
    <row r="94" spans="1:9" x14ac:dyDescent="0.25">
      <c r="A94" s="40" t="s">
        <v>137</v>
      </c>
      <c r="B94" s="39">
        <f t="shared" si="31"/>
        <v>302482.10895252187</v>
      </c>
      <c r="C94" s="39">
        <f t="shared" si="32"/>
        <v>615.79531404461864</v>
      </c>
      <c r="D94" s="39">
        <f t="shared" si="33"/>
        <v>1124.2251716068729</v>
      </c>
      <c r="E94" s="39">
        <f t="shared" si="30"/>
        <v>1740.0204856514915</v>
      </c>
      <c r="F94" s="39">
        <f t="shared" si="34"/>
        <v>301866.31363847724</v>
      </c>
    </row>
    <row r="95" spans="1:9" x14ac:dyDescent="0.25">
      <c r="A95" s="40" t="s">
        <v>138</v>
      </c>
      <c r="B95" s="39">
        <f t="shared" si="31"/>
        <v>301866.31363847724</v>
      </c>
      <c r="C95" s="39">
        <f t="shared" si="32"/>
        <v>618.08401996181783</v>
      </c>
      <c r="D95" s="39">
        <f t="shared" si="33"/>
        <v>1121.9364656896737</v>
      </c>
      <c r="E95" s="39">
        <f t="shared" si="30"/>
        <v>1740.0204856514915</v>
      </c>
      <c r="F95" s="39">
        <f t="shared" si="34"/>
        <v>301248.22961851541</v>
      </c>
    </row>
    <row r="96" spans="1:9" x14ac:dyDescent="0.25">
      <c r="A96" s="40" t="s">
        <v>139</v>
      </c>
      <c r="B96" s="39">
        <f t="shared" si="31"/>
        <v>301248.22961851541</v>
      </c>
      <c r="C96" s="39">
        <f t="shared" si="32"/>
        <v>620.38123223600928</v>
      </c>
      <c r="D96" s="39">
        <f t="shared" si="33"/>
        <v>1119.6392534154822</v>
      </c>
      <c r="E96" s="39">
        <f t="shared" si="30"/>
        <v>1740.0204856514915</v>
      </c>
      <c r="F96" s="39">
        <f t="shared" si="34"/>
        <v>300627.84838627942</v>
      </c>
    </row>
    <row r="97" spans="1:7" x14ac:dyDescent="0.25">
      <c r="A97" s="40" t="s">
        <v>140</v>
      </c>
      <c r="B97" s="39">
        <f t="shared" si="31"/>
        <v>300627.84838627942</v>
      </c>
      <c r="C97" s="39">
        <f t="shared" si="32"/>
        <v>622.68698248248643</v>
      </c>
      <c r="D97" s="39">
        <f t="shared" si="33"/>
        <v>1117.3335031690051</v>
      </c>
      <c r="E97" s="39">
        <f t="shared" si="30"/>
        <v>1740.0204856514915</v>
      </c>
      <c r="F97" s="39">
        <f t="shared" si="34"/>
        <v>300005.16140379693</v>
      </c>
      <c r="G97" s="33">
        <f>G83+1</f>
        <v>7</v>
      </c>
    </row>
    <row r="98" spans="1:7" x14ac:dyDescent="0.25">
      <c r="A98" s="43" t="s">
        <v>141</v>
      </c>
      <c r="B98" s="39"/>
      <c r="C98" s="39">
        <f>SUM(C86:C97)</f>
        <v>7321.9270701738269</v>
      </c>
      <c r="D98" s="39">
        <f>SUM(D86:D97)</f>
        <v>13558.318757644072</v>
      </c>
      <c r="E98" s="39"/>
      <c r="F98" s="39"/>
    </row>
    <row r="100" spans="1:7" x14ac:dyDescent="0.25">
      <c r="A100" s="38" t="s">
        <v>123</v>
      </c>
      <c r="B100" s="39">
        <f>+F97</f>
        <v>300005.16140379693</v>
      </c>
      <c r="C100" s="39">
        <f t="shared" ref="C100:C111" si="35">+E100-D100</f>
        <v>625.00130243404624</v>
      </c>
      <c r="D100" s="39">
        <f t="shared" ref="D100:D111" si="36">B100*$I$2</f>
        <v>1115.0191832174453</v>
      </c>
      <c r="E100" s="39">
        <f t="shared" ref="E100:E111" si="37">-$I$9</f>
        <v>1740.0204856514915</v>
      </c>
      <c r="F100" s="39">
        <f t="shared" ref="F100:F111" si="38">+B100-C100</f>
        <v>299380.16010136285</v>
      </c>
    </row>
    <row r="101" spans="1:7" x14ac:dyDescent="0.25">
      <c r="A101" s="40" t="s">
        <v>125</v>
      </c>
      <c r="B101" s="39">
        <f t="shared" ref="B101:B111" si="39">+F100</f>
        <v>299380.16010136285</v>
      </c>
      <c r="C101" s="39">
        <f t="shared" si="35"/>
        <v>627.32422394142623</v>
      </c>
      <c r="D101" s="39">
        <f t="shared" si="36"/>
        <v>1112.6962617100653</v>
      </c>
      <c r="E101" s="39">
        <f t="shared" si="37"/>
        <v>1740.0204856514915</v>
      </c>
      <c r="F101" s="39">
        <f t="shared" si="38"/>
        <v>298752.83587742143</v>
      </c>
    </row>
    <row r="102" spans="1:7" x14ac:dyDescent="0.25">
      <c r="A102" s="40" t="s">
        <v>127</v>
      </c>
      <c r="B102" s="39">
        <f t="shared" si="39"/>
        <v>298752.83587742143</v>
      </c>
      <c r="C102" s="39">
        <f t="shared" si="35"/>
        <v>629.65577897374192</v>
      </c>
      <c r="D102" s="39">
        <f t="shared" si="36"/>
        <v>1110.3647066777496</v>
      </c>
      <c r="E102" s="39">
        <f t="shared" si="37"/>
        <v>1740.0204856514915</v>
      </c>
      <c r="F102" s="39">
        <f t="shared" si="38"/>
        <v>298123.18009844766</v>
      </c>
    </row>
    <row r="103" spans="1:7" x14ac:dyDescent="0.25">
      <c r="A103" s="40" t="s">
        <v>129</v>
      </c>
      <c r="B103" s="39">
        <f t="shared" si="39"/>
        <v>298123.18009844766</v>
      </c>
      <c r="C103" s="39">
        <f t="shared" si="35"/>
        <v>631.99599961892773</v>
      </c>
      <c r="D103" s="39">
        <f t="shared" si="36"/>
        <v>1108.0244860325638</v>
      </c>
      <c r="E103" s="39">
        <f t="shared" si="37"/>
        <v>1740.0204856514915</v>
      </c>
      <c r="F103" s="39">
        <f t="shared" si="38"/>
        <v>297491.18409882876</v>
      </c>
    </row>
    <row r="104" spans="1:7" x14ac:dyDescent="0.25">
      <c r="A104" s="40" t="s">
        <v>131</v>
      </c>
      <c r="B104" s="39">
        <f t="shared" si="39"/>
        <v>297491.18409882876</v>
      </c>
      <c r="C104" s="39">
        <f t="shared" si="35"/>
        <v>634.34491808417806</v>
      </c>
      <c r="D104" s="39">
        <f t="shared" si="36"/>
        <v>1105.6755675673135</v>
      </c>
      <c r="E104" s="39">
        <f t="shared" si="37"/>
        <v>1740.0204856514915</v>
      </c>
      <c r="F104" s="39">
        <f t="shared" si="38"/>
        <v>296856.8391807446</v>
      </c>
    </row>
    <row r="105" spans="1:7" x14ac:dyDescent="0.25">
      <c r="A105" s="40" t="s">
        <v>133</v>
      </c>
      <c r="B105" s="39">
        <f t="shared" si="39"/>
        <v>296856.8391807446</v>
      </c>
      <c r="C105" s="39">
        <f t="shared" si="35"/>
        <v>636.7025666963907</v>
      </c>
      <c r="D105" s="39">
        <f t="shared" si="36"/>
        <v>1103.3179189551008</v>
      </c>
      <c r="E105" s="39">
        <f t="shared" si="37"/>
        <v>1740.0204856514915</v>
      </c>
      <c r="F105" s="39">
        <f t="shared" si="38"/>
        <v>296220.13661404821</v>
      </c>
    </row>
    <row r="106" spans="1:7" x14ac:dyDescent="0.25">
      <c r="A106" s="40" t="s">
        <v>135</v>
      </c>
      <c r="B106" s="39">
        <f t="shared" si="39"/>
        <v>296220.13661404821</v>
      </c>
      <c r="C106" s="39">
        <f t="shared" si="35"/>
        <v>639.06897790261223</v>
      </c>
      <c r="D106" s="39">
        <f t="shared" si="36"/>
        <v>1100.9515077488793</v>
      </c>
      <c r="E106" s="39">
        <f t="shared" si="37"/>
        <v>1740.0204856514915</v>
      </c>
      <c r="F106" s="39">
        <f t="shared" si="38"/>
        <v>295581.06763614563</v>
      </c>
    </row>
    <row r="107" spans="1:7" x14ac:dyDescent="0.25">
      <c r="A107" s="40" t="s">
        <v>136</v>
      </c>
      <c r="B107" s="39">
        <f t="shared" si="39"/>
        <v>295581.06763614563</v>
      </c>
      <c r="C107" s="39">
        <f t="shared" si="35"/>
        <v>641.44418427048367</v>
      </c>
      <c r="D107" s="39">
        <f t="shared" si="36"/>
        <v>1098.5763013810079</v>
      </c>
      <c r="E107" s="39">
        <f t="shared" si="37"/>
        <v>1740.0204856514915</v>
      </c>
      <c r="F107" s="39">
        <f t="shared" si="38"/>
        <v>294939.62345187517</v>
      </c>
    </row>
    <row r="108" spans="1:7" x14ac:dyDescent="0.25">
      <c r="A108" s="40" t="s">
        <v>137</v>
      </c>
      <c r="B108" s="39">
        <f t="shared" si="39"/>
        <v>294939.62345187517</v>
      </c>
      <c r="C108" s="39">
        <f t="shared" si="35"/>
        <v>643.82821848868889</v>
      </c>
      <c r="D108" s="39">
        <f t="shared" si="36"/>
        <v>1096.1922671628026</v>
      </c>
      <c r="E108" s="39">
        <f t="shared" si="37"/>
        <v>1740.0204856514915</v>
      </c>
      <c r="F108" s="39">
        <f t="shared" si="38"/>
        <v>294295.79523338651</v>
      </c>
    </row>
    <row r="109" spans="1:7" x14ac:dyDescent="0.25">
      <c r="A109" s="40" t="s">
        <v>138</v>
      </c>
      <c r="B109" s="39">
        <f t="shared" si="39"/>
        <v>294295.79523338651</v>
      </c>
      <c r="C109" s="39">
        <f t="shared" si="35"/>
        <v>646.221113367405</v>
      </c>
      <c r="D109" s="39">
        <f t="shared" si="36"/>
        <v>1093.7993722840865</v>
      </c>
      <c r="E109" s="39">
        <f t="shared" si="37"/>
        <v>1740.0204856514915</v>
      </c>
      <c r="F109" s="39">
        <f t="shared" si="38"/>
        <v>293649.5741200191</v>
      </c>
    </row>
    <row r="110" spans="1:7" x14ac:dyDescent="0.25">
      <c r="A110" s="40" t="s">
        <v>139</v>
      </c>
      <c r="B110" s="39">
        <f t="shared" si="39"/>
        <v>293649.5741200191</v>
      </c>
      <c r="C110" s="39">
        <f t="shared" si="35"/>
        <v>648.62290183875393</v>
      </c>
      <c r="D110" s="39">
        <f t="shared" si="36"/>
        <v>1091.3975838127376</v>
      </c>
      <c r="E110" s="39">
        <f t="shared" si="37"/>
        <v>1740.0204856514915</v>
      </c>
      <c r="F110" s="39">
        <f t="shared" si="38"/>
        <v>293000.95121818036</v>
      </c>
    </row>
    <row r="111" spans="1:7" x14ac:dyDescent="0.25">
      <c r="A111" s="40" t="s">
        <v>140</v>
      </c>
      <c r="B111" s="39">
        <f t="shared" si="39"/>
        <v>293000.95121818036</v>
      </c>
      <c r="C111" s="39">
        <f t="shared" si="35"/>
        <v>651.03361695725448</v>
      </c>
      <c r="D111" s="39">
        <f t="shared" si="36"/>
        <v>1088.986868694237</v>
      </c>
      <c r="E111" s="39">
        <f t="shared" si="37"/>
        <v>1740.0204856514915</v>
      </c>
      <c r="F111" s="39">
        <f t="shared" si="38"/>
        <v>292349.9176012231</v>
      </c>
      <c r="G111" s="33">
        <f>G97+1</f>
        <v>8</v>
      </c>
    </row>
    <row r="112" spans="1:7" x14ac:dyDescent="0.25">
      <c r="A112" s="43" t="s">
        <v>141</v>
      </c>
      <c r="B112" s="39"/>
      <c r="C112" s="39">
        <f>SUM(C100:C111)</f>
        <v>7655.2438025739093</v>
      </c>
      <c r="D112" s="39">
        <f>SUM(D100:D111)</f>
        <v>13225.002025243992</v>
      </c>
      <c r="E112" s="39"/>
      <c r="F112" s="39"/>
    </row>
    <row r="113" spans="1:7" x14ac:dyDescent="0.25">
      <c r="A113" s="40"/>
      <c r="B113" s="39"/>
      <c r="C113" s="39"/>
      <c r="D113" s="39"/>
      <c r="E113" s="39"/>
      <c r="F113" s="39"/>
    </row>
    <row r="114" spans="1:7" x14ac:dyDescent="0.25">
      <c r="A114" s="38" t="s">
        <v>123</v>
      </c>
      <c r="B114" s="39">
        <f>+F111</f>
        <v>292349.9176012231</v>
      </c>
      <c r="C114" s="39">
        <f t="shared" ref="C114:C125" si="40">+E114-D114</f>
        <v>653.45329190027905</v>
      </c>
      <c r="D114" s="39">
        <f t="shared" ref="D114:D125" si="41">B114*$I$2</f>
        <v>1086.5671937512125</v>
      </c>
      <c r="E114" s="39">
        <f t="shared" ref="E114:E125" si="42">-$I$9</f>
        <v>1740.0204856514915</v>
      </c>
      <c r="F114" s="39">
        <f t="shared" ref="F114:F125" si="43">+B114-C114</f>
        <v>291696.46430932282</v>
      </c>
    </row>
    <row r="115" spans="1:7" x14ac:dyDescent="0.25">
      <c r="A115" s="40" t="s">
        <v>125</v>
      </c>
      <c r="B115" s="39">
        <f t="shared" ref="B115:B125" si="44">+F114</f>
        <v>291696.46430932282</v>
      </c>
      <c r="C115" s="39">
        <f t="shared" si="40"/>
        <v>655.88195996850845</v>
      </c>
      <c r="D115" s="39">
        <f t="shared" si="41"/>
        <v>1084.1385256829831</v>
      </c>
      <c r="E115" s="39">
        <f t="shared" si="42"/>
        <v>1740.0204856514915</v>
      </c>
      <c r="F115" s="39">
        <f t="shared" si="43"/>
        <v>291040.58234935428</v>
      </c>
    </row>
    <row r="116" spans="1:7" x14ac:dyDescent="0.25">
      <c r="A116" s="40" t="s">
        <v>127</v>
      </c>
      <c r="B116" s="39">
        <f t="shared" si="44"/>
        <v>291040.58234935428</v>
      </c>
      <c r="C116" s="39">
        <f t="shared" si="40"/>
        <v>658.31965458639138</v>
      </c>
      <c r="D116" s="39">
        <f t="shared" si="41"/>
        <v>1081.7008310651001</v>
      </c>
      <c r="E116" s="39">
        <f t="shared" si="42"/>
        <v>1740.0204856514915</v>
      </c>
      <c r="F116" s="39">
        <f t="shared" si="43"/>
        <v>290382.26269476791</v>
      </c>
    </row>
    <row r="117" spans="1:7" x14ac:dyDescent="0.25">
      <c r="A117" s="40" t="s">
        <v>129</v>
      </c>
      <c r="B117" s="39">
        <f t="shared" si="44"/>
        <v>290382.26269476791</v>
      </c>
      <c r="C117" s="39">
        <f t="shared" si="40"/>
        <v>660.76640930260419</v>
      </c>
      <c r="D117" s="39">
        <f t="shared" si="41"/>
        <v>1079.2540763488873</v>
      </c>
      <c r="E117" s="39">
        <f t="shared" si="42"/>
        <v>1740.0204856514915</v>
      </c>
      <c r="F117" s="39">
        <f t="shared" si="43"/>
        <v>289721.49628546531</v>
      </c>
    </row>
    <row r="118" spans="1:7" x14ac:dyDescent="0.25">
      <c r="A118" s="40" t="s">
        <v>131</v>
      </c>
      <c r="B118" s="39">
        <f t="shared" si="44"/>
        <v>289721.49628546531</v>
      </c>
      <c r="C118" s="39">
        <f t="shared" si="40"/>
        <v>663.222257790512</v>
      </c>
      <c r="D118" s="39">
        <f t="shared" si="41"/>
        <v>1076.7982278609795</v>
      </c>
      <c r="E118" s="39">
        <f t="shared" si="42"/>
        <v>1740.0204856514915</v>
      </c>
      <c r="F118" s="39">
        <f t="shared" si="43"/>
        <v>289058.27402767481</v>
      </c>
    </row>
    <row r="119" spans="1:7" x14ac:dyDescent="0.25">
      <c r="A119" s="40" t="s">
        <v>133</v>
      </c>
      <c r="B119" s="39">
        <f t="shared" si="44"/>
        <v>289058.27402767481</v>
      </c>
      <c r="C119" s="39">
        <f t="shared" si="40"/>
        <v>665.68723384863347</v>
      </c>
      <c r="D119" s="39">
        <f t="shared" si="41"/>
        <v>1074.3332518028581</v>
      </c>
      <c r="E119" s="39">
        <f t="shared" si="42"/>
        <v>1740.0204856514915</v>
      </c>
      <c r="F119" s="39">
        <f t="shared" si="43"/>
        <v>288392.58679382619</v>
      </c>
    </row>
    <row r="120" spans="1:7" x14ac:dyDescent="0.25">
      <c r="A120" s="40" t="s">
        <v>135</v>
      </c>
      <c r="B120" s="39">
        <f t="shared" si="44"/>
        <v>288392.58679382619</v>
      </c>
      <c r="C120" s="39">
        <f t="shared" si="40"/>
        <v>668.16137140110413</v>
      </c>
      <c r="D120" s="39">
        <f t="shared" si="41"/>
        <v>1071.8591142503874</v>
      </c>
      <c r="E120" s="39">
        <f t="shared" si="42"/>
        <v>1740.0204856514915</v>
      </c>
      <c r="F120" s="39">
        <f t="shared" si="43"/>
        <v>287724.42542242509</v>
      </c>
    </row>
    <row r="121" spans="1:7" x14ac:dyDescent="0.25">
      <c r="A121" s="40" t="s">
        <v>136</v>
      </c>
      <c r="B121" s="39">
        <f t="shared" si="44"/>
        <v>287724.42542242509</v>
      </c>
      <c r="C121" s="39">
        <f t="shared" si="40"/>
        <v>670.64470449814485</v>
      </c>
      <c r="D121" s="39">
        <f t="shared" si="41"/>
        <v>1069.3757811533467</v>
      </c>
      <c r="E121" s="39">
        <f t="shared" si="42"/>
        <v>1740.0204856514915</v>
      </c>
      <c r="F121" s="39">
        <f t="shared" si="43"/>
        <v>287053.78071792697</v>
      </c>
    </row>
    <row r="122" spans="1:7" x14ac:dyDescent="0.25">
      <c r="A122" s="40" t="s">
        <v>137</v>
      </c>
      <c r="B122" s="39">
        <f t="shared" si="44"/>
        <v>287053.78071792697</v>
      </c>
      <c r="C122" s="39">
        <f t="shared" si="40"/>
        <v>673.13726731652969</v>
      </c>
      <c r="D122" s="39">
        <f t="shared" si="41"/>
        <v>1066.8832183349618</v>
      </c>
      <c r="E122" s="39">
        <f t="shared" si="42"/>
        <v>1740.0204856514915</v>
      </c>
      <c r="F122" s="39">
        <f t="shared" si="43"/>
        <v>286380.64345061046</v>
      </c>
    </row>
    <row r="123" spans="1:7" x14ac:dyDescent="0.25">
      <c r="A123" s="40" t="s">
        <v>138</v>
      </c>
      <c r="B123" s="39">
        <f t="shared" si="44"/>
        <v>286380.64345061046</v>
      </c>
      <c r="C123" s="39">
        <f t="shared" si="40"/>
        <v>675.63909416005595</v>
      </c>
      <c r="D123" s="39">
        <f t="shared" si="41"/>
        <v>1064.3813914914356</v>
      </c>
      <c r="E123" s="39">
        <f t="shared" si="42"/>
        <v>1740.0204856514915</v>
      </c>
      <c r="F123" s="39">
        <f t="shared" si="43"/>
        <v>285705.0043564504</v>
      </c>
    </row>
    <row r="124" spans="1:7" x14ac:dyDescent="0.25">
      <c r="A124" s="40" t="s">
        <v>139</v>
      </c>
      <c r="B124" s="39">
        <f t="shared" si="44"/>
        <v>285705.0043564504</v>
      </c>
      <c r="C124" s="39">
        <f t="shared" si="40"/>
        <v>678.15021946001752</v>
      </c>
      <c r="D124" s="39">
        <f t="shared" si="41"/>
        <v>1061.870266191474</v>
      </c>
      <c r="E124" s="39">
        <f t="shared" si="42"/>
        <v>1740.0204856514915</v>
      </c>
      <c r="F124" s="39">
        <f t="shared" si="43"/>
        <v>285026.85413699038</v>
      </c>
    </row>
    <row r="125" spans="1:7" x14ac:dyDescent="0.25">
      <c r="A125" s="40" t="s">
        <v>140</v>
      </c>
      <c r="B125" s="39">
        <f t="shared" si="44"/>
        <v>285026.85413699038</v>
      </c>
      <c r="C125" s="39">
        <f t="shared" si="40"/>
        <v>680.67067777567718</v>
      </c>
      <c r="D125" s="39">
        <f t="shared" si="41"/>
        <v>1059.3498078758143</v>
      </c>
      <c r="E125" s="39">
        <f t="shared" si="42"/>
        <v>1740.0204856514915</v>
      </c>
      <c r="F125" s="39">
        <f t="shared" si="43"/>
        <v>284346.18345921469</v>
      </c>
      <c r="G125" s="33">
        <f>G111+1</f>
        <v>9</v>
      </c>
    </row>
    <row r="126" spans="1:7" x14ac:dyDescent="0.25">
      <c r="A126" s="43" t="s">
        <v>141</v>
      </c>
      <c r="B126" s="39"/>
      <c r="C126" s="39">
        <f>SUM(C114:C125)</f>
        <v>8003.7341420084576</v>
      </c>
      <c r="D126" s="39">
        <f>SUM(D114:D125)</f>
        <v>12876.511685809441</v>
      </c>
      <c r="E126" s="39"/>
      <c r="F126" s="39"/>
    </row>
    <row r="127" spans="1:7" x14ac:dyDescent="0.25">
      <c r="A127" s="40"/>
      <c r="B127" s="39"/>
      <c r="C127" s="39"/>
      <c r="D127" s="39"/>
      <c r="E127" s="39"/>
      <c r="F127" s="39"/>
    </row>
    <row r="128" spans="1:7" x14ac:dyDescent="0.25">
      <c r="A128" s="38" t="s">
        <v>123</v>
      </c>
      <c r="B128" s="39">
        <f>+F125</f>
        <v>284346.18345921469</v>
      </c>
      <c r="C128" s="39">
        <f>+E128-D128</f>
        <v>683.20050379474355</v>
      </c>
      <c r="D128" s="39">
        <f>B128*$I$2</f>
        <v>1056.819981856748</v>
      </c>
      <c r="E128" s="39">
        <f t="shared" ref="E128:E139" si="45">-$I$9</f>
        <v>1740.0204856514915</v>
      </c>
      <c r="F128" s="39">
        <f>+B128-C128</f>
        <v>283662.98295541992</v>
      </c>
    </row>
    <row r="129" spans="1:7" x14ac:dyDescent="0.25">
      <c r="A129" s="40" t="s">
        <v>125</v>
      </c>
      <c r="B129" s="39">
        <f>+F128</f>
        <v>283662.98295541992</v>
      </c>
      <c r="C129" s="39">
        <f>+E129-D129</f>
        <v>685.73973233384754</v>
      </c>
      <c r="D129" s="39">
        <f>B129*$I$2</f>
        <v>1054.280753317644</v>
      </c>
      <c r="E129" s="39">
        <f t="shared" si="45"/>
        <v>1740.0204856514915</v>
      </c>
      <c r="F129" s="39">
        <f>+B129-C129</f>
        <v>282977.24322308606</v>
      </c>
    </row>
    <row r="130" spans="1:7" x14ac:dyDescent="0.25">
      <c r="A130" s="40" t="s">
        <v>127</v>
      </c>
      <c r="B130" s="39">
        <f>+F129</f>
        <v>282977.24322308606</v>
      </c>
      <c r="C130" s="39">
        <f>+E130-D130</f>
        <v>688.28839833902157</v>
      </c>
      <c r="D130" s="39">
        <f>B130*$I$2</f>
        <v>1051.73208731247</v>
      </c>
      <c r="E130" s="39">
        <f t="shared" si="45"/>
        <v>1740.0204856514915</v>
      </c>
      <c r="F130" s="39">
        <f>+B130-C130</f>
        <v>282288.95482474705</v>
      </c>
    </row>
    <row r="131" spans="1:7" x14ac:dyDescent="0.25">
      <c r="A131" s="40" t="s">
        <v>129</v>
      </c>
      <c r="B131" s="39">
        <f>+F130</f>
        <v>282288.95482474705</v>
      </c>
      <c r="C131" s="39">
        <f>+E131-D131</f>
        <v>690.84653688618164</v>
      </c>
      <c r="D131" s="39">
        <f>B131*$I$2</f>
        <v>1049.1739487653099</v>
      </c>
      <c r="E131" s="39">
        <f t="shared" si="45"/>
        <v>1740.0204856514915</v>
      </c>
      <c r="F131" s="39">
        <f>+B131-C131</f>
        <v>281598.10828786087</v>
      </c>
    </row>
    <row r="132" spans="1:7" x14ac:dyDescent="0.25">
      <c r="A132" s="40" t="s">
        <v>131</v>
      </c>
      <c r="B132" s="39">
        <f t="shared" ref="B132:B139" si="46">+F131</f>
        <v>281598.10828786087</v>
      </c>
      <c r="C132" s="39">
        <f t="shared" ref="C132:C139" si="47">+E132-D132</f>
        <v>693.41418318160868</v>
      </c>
      <c r="D132" s="39">
        <f t="shared" ref="D132:D139" si="48">B132*$I$2</f>
        <v>1046.6063024698828</v>
      </c>
      <c r="E132" s="39">
        <f t="shared" si="45"/>
        <v>1740.0204856514915</v>
      </c>
      <c r="F132" s="39">
        <f t="shared" ref="F132:F139" si="49">+B132-C132</f>
        <v>280904.69410467928</v>
      </c>
    </row>
    <row r="133" spans="1:7" x14ac:dyDescent="0.25">
      <c r="A133" s="40" t="s">
        <v>133</v>
      </c>
      <c r="B133" s="39">
        <f t="shared" si="46"/>
        <v>280904.69410467928</v>
      </c>
      <c r="C133" s="39">
        <f t="shared" si="47"/>
        <v>695.99137256243353</v>
      </c>
      <c r="D133" s="39">
        <f t="shared" si="48"/>
        <v>1044.029113089058</v>
      </c>
      <c r="E133" s="39">
        <f t="shared" si="45"/>
        <v>1740.0204856514915</v>
      </c>
      <c r="F133" s="39">
        <f t="shared" si="49"/>
        <v>280208.70273211686</v>
      </c>
    </row>
    <row r="134" spans="1:7" x14ac:dyDescent="0.25">
      <c r="A134" s="40" t="s">
        <v>135</v>
      </c>
      <c r="B134" s="39">
        <f t="shared" si="46"/>
        <v>280208.70273211686</v>
      </c>
      <c r="C134" s="39">
        <f t="shared" si="47"/>
        <v>698.57814049712397</v>
      </c>
      <c r="D134" s="39">
        <f t="shared" si="48"/>
        <v>1041.4423451543676</v>
      </c>
      <c r="E134" s="39">
        <f t="shared" si="45"/>
        <v>1740.0204856514915</v>
      </c>
      <c r="F134" s="39">
        <f t="shared" si="49"/>
        <v>279510.12459161971</v>
      </c>
    </row>
    <row r="135" spans="1:7" x14ac:dyDescent="0.25">
      <c r="A135" s="40" t="s">
        <v>136</v>
      </c>
      <c r="B135" s="39">
        <f t="shared" si="46"/>
        <v>279510.12459161971</v>
      </c>
      <c r="C135" s="39">
        <f t="shared" si="47"/>
        <v>701.17452258597154</v>
      </c>
      <c r="D135" s="39">
        <f t="shared" si="48"/>
        <v>1038.84596306552</v>
      </c>
      <c r="E135" s="39">
        <f t="shared" si="45"/>
        <v>1740.0204856514915</v>
      </c>
      <c r="F135" s="39">
        <f t="shared" si="49"/>
        <v>278808.95006903372</v>
      </c>
    </row>
    <row r="136" spans="1:7" x14ac:dyDescent="0.25">
      <c r="A136" s="40" t="s">
        <v>137</v>
      </c>
      <c r="B136" s="39">
        <f t="shared" si="46"/>
        <v>278808.95006903372</v>
      </c>
      <c r="C136" s="39">
        <f t="shared" si="47"/>
        <v>703.7805545615829</v>
      </c>
      <c r="D136" s="39">
        <f t="shared" si="48"/>
        <v>1036.2399310899086</v>
      </c>
      <c r="E136" s="39">
        <f t="shared" si="45"/>
        <v>1740.0204856514915</v>
      </c>
      <c r="F136" s="39">
        <f t="shared" si="49"/>
        <v>278105.16951447213</v>
      </c>
    </row>
    <row r="137" spans="1:7" x14ac:dyDescent="0.25">
      <c r="A137" s="40" t="s">
        <v>138</v>
      </c>
      <c r="B137" s="39">
        <f t="shared" si="46"/>
        <v>278105.16951447213</v>
      </c>
      <c r="C137" s="39">
        <f t="shared" si="47"/>
        <v>706.39627228937002</v>
      </c>
      <c r="D137" s="39">
        <f t="shared" si="48"/>
        <v>1033.6242133621215</v>
      </c>
      <c r="E137" s="39">
        <f t="shared" si="45"/>
        <v>1740.0204856514915</v>
      </c>
      <c r="F137" s="39">
        <f t="shared" si="49"/>
        <v>277398.77324218274</v>
      </c>
    </row>
    <row r="138" spans="1:7" x14ac:dyDescent="0.25">
      <c r="A138" s="40" t="s">
        <v>139</v>
      </c>
      <c r="B138" s="39">
        <f t="shared" si="46"/>
        <v>277398.77324218274</v>
      </c>
      <c r="C138" s="39">
        <f t="shared" si="47"/>
        <v>709.02171176804563</v>
      </c>
      <c r="D138" s="39">
        <f t="shared" si="48"/>
        <v>1030.9987738834459</v>
      </c>
      <c r="E138" s="39">
        <f t="shared" si="45"/>
        <v>1740.0204856514915</v>
      </c>
      <c r="F138" s="39">
        <f t="shared" si="49"/>
        <v>276689.75153041468</v>
      </c>
    </row>
    <row r="139" spans="1:7" x14ac:dyDescent="0.25">
      <c r="A139" s="40" t="s">
        <v>140</v>
      </c>
      <c r="B139" s="39">
        <f t="shared" si="46"/>
        <v>276689.75153041468</v>
      </c>
      <c r="C139" s="39">
        <f t="shared" si="47"/>
        <v>711.6569091301169</v>
      </c>
      <c r="D139" s="39">
        <f t="shared" si="48"/>
        <v>1028.3635765213746</v>
      </c>
      <c r="E139" s="39">
        <f t="shared" si="45"/>
        <v>1740.0204856514915</v>
      </c>
      <c r="F139" s="39">
        <f t="shared" si="49"/>
        <v>275978.09462128457</v>
      </c>
      <c r="G139" s="33">
        <f>G125+1</f>
        <v>10</v>
      </c>
    </row>
    <row r="140" spans="1:7" x14ac:dyDescent="0.25">
      <c r="A140" s="43" t="s">
        <v>141</v>
      </c>
      <c r="B140" s="39"/>
      <c r="C140" s="39">
        <f>SUM(C128:C139)</f>
        <v>8368.0888379300468</v>
      </c>
      <c r="D140" s="39">
        <f>SUM(D128:D139)</f>
        <v>12512.156989887853</v>
      </c>
      <c r="E140" s="39"/>
      <c r="F140" s="39"/>
    </row>
  </sheetData>
  <mergeCells count="1">
    <mergeCell ref="I22:L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Facts</vt:lpstr>
      <vt:lpstr>Prices</vt:lpstr>
      <vt:lpstr>FS</vt:lpstr>
      <vt:lpstr>Real Options</vt:lpstr>
      <vt:lpstr>Real Options (2)</vt:lpstr>
      <vt:lpstr>Amortization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2023-09-25T17:26:16Z</dcterms:created>
  <dcterms:modified xsi:type="dcterms:W3CDTF">2023-09-25T17:26:36Z</dcterms:modified>
</cp:coreProperties>
</file>