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 documentId="11_9F1FE212343B6BBD74CCA1ABFFB3B9DAACD0F2CC" xr6:coauthVersionLast="47" xr6:coauthVersionMax="47" xr10:uidLastSave="{907E7651-7C40-41F6-B205-6A53D8249B75}"/>
  <bookViews>
    <workbookView xWindow="-120" yWindow="-120" windowWidth="23280" windowHeight="15000" xr2:uid="{00000000-000D-0000-FFFF-FFFF00000000}"/>
  </bookViews>
  <sheets>
    <sheet name="Forecast Decision Tree" sheetId="1" r:id="rId1"/>
    <sheet name="Forecast Black Scholes" sheetId="2" r:id="rId2"/>
    <sheet name="Mortgage"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3" i="1" l="1"/>
  <c r="N165" i="2"/>
  <c r="O165" i="2"/>
  <c r="G165" i="2"/>
  <c r="H165" i="2"/>
  <c r="I165" i="2"/>
  <c r="J165" i="2"/>
  <c r="K165" i="2"/>
  <c r="L165" i="2"/>
  <c r="M165" i="2"/>
  <c r="F165" i="2"/>
  <c r="E163" i="2"/>
  <c r="I9" i="5" l="1"/>
  <c r="B4" i="5" s="1"/>
  <c r="I4" i="5"/>
  <c r="I6" i="5"/>
  <c r="I7" i="5" s="1"/>
  <c r="I11" i="5" s="1"/>
  <c r="E49" i="5" s="1"/>
  <c r="D97" i="1"/>
  <c r="D66" i="1" s="1"/>
  <c r="N97" i="1"/>
  <c r="Q120" i="1"/>
  <c r="N101" i="1"/>
  <c r="D8" i="1"/>
  <c r="J2" i="1"/>
  <c r="E5" i="1" s="1"/>
  <c r="D33" i="1"/>
  <c r="D35" i="1"/>
  <c r="D15" i="1"/>
  <c r="D26" i="1" s="1"/>
  <c r="D57" i="1"/>
  <c r="D36" i="1"/>
  <c r="D18" i="1"/>
  <c r="D64" i="1"/>
  <c r="D63" i="1"/>
  <c r="D112" i="1" s="1"/>
  <c r="E25" i="1"/>
  <c r="E33" i="1"/>
  <c r="E35" i="1"/>
  <c r="E14" i="1"/>
  <c r="E15" i="1"/>
  <c r="E26" i="1" s="1"/>
  <c r="E13" i="1"/>
  <c r="E57" i="1"/>
  <c r="E36" i="1"/>
  <c r="E18" i="1"/>
  <c r="E64" i="1"/>
  <c r="E66" i="1"/>
  <c r="E63" i="1"/>
  <c r="E112" i="1" s="1"/>
  <c r="F33" i="1"/>
  <c r="F35" i="1"/>
  <c r="F14" i="1"/>
  <c r="F15" i="1"/>
  <c r="F26" i="1" s="1"/>
  <c r="F13" i="1"/>
  <c r="F57" i="1"/>
  <c r="F36" i="1"/>
  <c r="G36" i="1" s="1"/>
  <c r="H36" i="1" s="1"/>
  <c r="F18" i="1"/>
  <c r="F64" i="1"/>
  <c r="F66" i="1"/>
  <c r="F63" i="1"/>
  <c r="G33" i="1"/>
  <c r="G35" i="1"/>
  <c r="G14" i="1"/>
  <c r="G15" i="1"/>
  <c r="G26" i="1" s="1"/>
  <c r="G57" i="1" s="1"/>
  <c r="G13" i="1"/>
  <c r="G18" i="1"/>
  <c r="G64" i="1"/>
  <c r="G66" i="1"/>
  <c r="G63" i="1"/>
  <c r="G112" i="1" s="1"/>
  <c r="H33" i="1"/>
  <c r="H35" i="1"/>
  <c r="H14" i="1"/>
  <c r="H15" i="1"/>
  <c r="H26" i="1" s="1"/>
  <c r="H13" i="1"/>
  <c r="H57" i="1"/>
  <c r="H18" i="1"/>
  <c r="H64" i="1"/>
  <c r="H66" i="1"/>
  <c r="H63" i="1"/>
  <c r="H112" i="1" s="1"/>
  <c r="I33" i="1"/>
  <c r="I35" i="1"/>
  <c r="I14" i="1"/>
  <c r="I15" i="1"/>
  <c r="I26" i="1" s="1"/>
  <c r="I57" i="1" s="1"/>
  <c r="I36" i="1"/>
  <c r="J36" i="1" s="1"/>
  <c r="K36" i="1" s="1"/>
  <c r="L36" i="1" s="1"/>
  <c r="M36" i="1" s="1"/>
  <c r="I18" i="1"/>
  <c r="I64" i="1" s="1"/>
  <c r="I66" i="1"/>
  <c r="I63" i="1"/>
  <c r="J5" i="1"/>
  <c r="J33" i="1"/>
  <c r="J35" i="1"/>
  <c r="J14" i="1"/>
  <c r="J15" i="1" s="1"/>
  <c r="J26" i="1" s="1"/>
  <c r="J57" i="1" s="1"/>
  <c r="J18" i="1"/>
  <c r="J85" i="1" s="1"/>
  <c r="J64" i="1"/>
  <c r="J112" i="1" s="1"/>
  <c r="J66" i="1"/>
  <c r="J63" i="1"/>
  <c r="K5" i="1"/>
  <c r="K33" i="1"/>
  <c r="K35" i="1"/>
  <c r="K14" i="1"/>
  <c r="K18" i="1"/>
  <c r="K85" i="1" s="1"/>
  <c r="K66" i="1"/>
  <c r="K63" i="1"/>
  <c r="L5" i="1"/>
  <c r="L33" i="1"/>
  <c r="L35" i="1"/>
  <c r="L18" i="1"/>
  <c r="L85" i="1" s="1"/>
  <c r="L64" i="1"/>
  <c r="L112" i="1" s="1"/>
  <c r="L66" i="1"/>
  <c r="L63" i="1"/>
  <c r="M33" i="1"/>
  <c r="M35" i="1"/>
  <c r="M18" i="1"/>
  <c r="M64" i="1" s="1"/>
  <c r="M112" i="1" s="1"/>
  <c r="M66" i="1"/>
  <c r="M63" i="1"/>
  <c r="S118" i="1"/>
  <c r="T118" i="1" s="1"/>
  <c r="T114" i="1"/>
  <c r="T120" i="1"/>
  <c r="K40" i="1"/>
  <c r="J40" i="1"/>
  <c r="J120" i="1"/>
  <c r="D29" i="1"/>
  <c r="K83" i="1"/>
  <c r="J127" i="1" s="1"/>
  <c r="J83" i="1"/>
  <c r="I127" i="1" s="1"/>
  <c r="E84" i="1"/>
  <c r="F84" i="1"/>
  <c r="G84" i="1" s="1"/>
  <c r="L40" i="1"/>
  <c r="K120" i="1"/>
  <c r="L83" i="1"/>
  <c r="K127" i="1" s="1"/>
  <c r="M40" i="1"/>
  <c r="L120" i="1"/>
  <c r="M83" i="1"/>
  <c r="M85" i="1"/>
  <c r="M120" i="1"/>
  <c r="M127" i="1"/>
  <c r="P129" i="1" s="1"/>
  <c r="P128" i="1"/>
  <c r="M129" i="1"/>
  <c r="D86" i="1"/>
  <c r="E86" i="1"/>
  <c r="F86" i="1" s="1"/>
  <c r="G86" i="1" s="1"/>
  <c r="H86" i="1" s="1"/>
  <c r="D85" i="1"/>
  <c r="D87" i="1"/>
  <c r="E40" i="1"/>
  <c r="D40" i="1"/>
  <c r="D120" i="1"/>
  <c r="E83" i="1"/>
  <c r="D127" i="1"/>
  <c r="D131" i="1"/>
  <c r="E85" i="1"/>
  <c r="F40" i="1"/>
  <c r="E120" i="1"/>
  <c r="F112" i="1"/>
  <c r="F83" i="1"/>
  <c r="E127" i="1" s="1"/>
  <c r="E131" i="1"/>
  <c r="F85" i="1"/>
  <c r="G40" i="1"/>
  <c r="F120" i="1"/>
  <c r="G83" i="1"/>
  <c r="F127" i="1"/>
  <c r="G85" i="1"/>
  <c r="F135" i="1"/>
  <c r="H40" i="1"/>
  <c r="G120" i="1"/>
  <c r="H83" i="1"/>
  <c r="G127" i="1"/>
  <c r="H85" i="1"/>
  <c r="G135" i="1" s="1"/>
  <c r="I40" i="1"/>
  <c r="H120" i="1"/>
  <c r="I83" i="1"/>
  <c r="H127" i="1" s="1"/>
  <c r="I85" i="1"/>
  <c r="H135" i="1" s="1"/>
  <c r="I120" i="1"/>
  <c r="C120" i="1"/>
  <c r="C127" i="1"/>
  <c r="C131" i="1"/>
  <c r="C135" i="1"/>
  <c r="B171" i="2"/>
  <c r="C156" i="2"/>
  <c r="E171" i="2" s="1"/>
  <c r="D97" i="2"/>
  <c r="N97" i="2"/>
  <c r="Q120" i="2" s="1"/>
  <c r="N101" i="2"/>
  <c r="D8" i="2"/>
  <c r="D46" i="2" s="1"/>
  <c r="J2" i="2"/>
  <c r="D5" i="2"/>
  <c r="D33" i="2"/>
  <c r="D50" i="2"/>
  <c r="D35" i="2"/>
  <c r="D56" i="2" s="1"/>
  <c r="D15" i="2"/>
  <c r="D26" i="2" s="1"/>
  <c r="D57" i="2" s="1"/>
  <c r="D36" i="2"/>
  <c r="D58" i="2"/>
  <c r="D18" i="2"/>
  <c r="D64" i="2" s="1"/>
  <c r="D66" i="2"/>
  <c r="D63" i="2"/>
  <c r="E25" i="2"/>
  <c r="E8" i="2" s="1"/>
  <c r="E5" i="2"/>
  <c r="E33" i="2"/>
  <c r="E35" i="2"/>
  <c r="E14" i="2"/>
  <c r="E15" i="2" s="1"/>
  <c r="E26" i="2" s="1"/>
  <c r="E57" i="2" s="1"/>
  <c r="E13" i="2"/>
  <c r="E36" i="2"/>
  <c r="E18" i="2"/>
  <c r="E66" i="2"/>
  <c r="E63" i="2"/>
  <c r="F25" i="2"/>
  <c r="F5" i="2"/>
  <c r="F33" i="2"/>
  <c r="F35" i="2"/>
  <c r="F14" i="2"/>
  <c r="F13" i="2"/>
  <c r="F36" i="2"/>
  <c r="G36" i="2" s="1"/>
  <c r="H36" i="2" s="1"/>
  <c r="I36" i="2" s="1"/>
  <c r="J36" i="2" s="1"/>
  <c r="K36" i="2" s="1"/>
  <c r="L36" i="2" s="1"/>
  <c r="M36" i="2" s="1"/>
  <c r="M58" i="2" s="1"/>
  <c r="F18" i="2"/>
  <c r="F64" i="2" s="1"/>
  <c r="F66" i="2"/>
  <c r="F63" i="2"/>
  <c r="G5" i="2"/>
  <c r="G33" i="2"/>
  <c r="G35" i="2"/>
  <c r="G13" i="2"/>
  <c r="G18" i="2"/>
  <c r="G64" i="2" s="1"/>
  <c r="G66" i="2"/>
  <c r="G63" i="2"/>
  <c r="G112" i="2" s="1"/>
  <c r="H5" i="2"/>
  <c r="H33" i="2"/>
  <c r="H35" i="2"/>
  <c r="H13" i="2"/>
  <c r="H18" i="2"/>
  <c r="H64" i="2" s="1"/>
  <c r="H66" i="2"/>
  <c r="H63" i="2"/>
  <c r="H112" i="2" s="1"/>
  <c r="I5" i="2"/>
  <c r="I33" i="2"/>
  <c r="I35" i="2"/>
  <c r="I18" i="2"/>
  <c r="I85" i="2" s="1"/>
  <c r="I64" i="2"/>
  <c r="I112" i="2" s="1"/>
  <c r="I66" i="2"/>
  <c r="I63" i="2"/>
  <c r="J5" i="2"/>
  <c r="J33" i="2"/>
  <c r="J35" i="2"/>
  <c r="J18" i="2"/>
  <c r="J64" i="2" s="1"/>
  <c r="J66" i="2"/>
  <c r="J63" i="2"/>
  <c r="K5" i="2"/>
  <c r="K33" i="2"/>
  <c r="K35" i="2"/>
  <c r="K18" i="2"/>
  <c r="K64" i="2"/>
  <c r="K112" i="2" s="1"/>
  <c r="K66" i="2"/>
  <c r="K63" i="2"/>
  <c r="L5" i="2"/>
  <c r="L33" i="2"/>
  <c r="L35" i="2"/>
  <c r="L18" i="2"/>
  <c r="L64" i="2"/>
  <c r="L66" i="2"/>
  <c r="L63" i="2"/>
  <c r="M5" i="2"/>
  <c r="M46" i="2" s="1"/>
  <c r="M50" i="2" s="1"/>
  <c r="M33" i="2"/>
  <c r="M35" i="2"/>
  <c r="M18" i="2"/>
  <c r="M64" i="2"/>
  <c r="M66" i="2"/>
  <c r="M63" i="2"/>
  <c r="M112" i="2" s="1"/>
  <c r="S118" i="2"/>
  <c r="T118" i="2" s="1"/>
  <c r="T114" i="2"/>
  <c r="T120" i="2" s="1"/>
  <c r="E40" i="2"/>
  <c r="D40" i="2"/>
  <c r="D120" i="2"/>
  <c r="D29" i="2"/>
  <c r="D79" i="2"/>
  <c r="E83" i="2"/>
  <c r="D127" i="2"/>
  <c r="E84" i="2"/>
  <c r="D85" i="2"/>
  <c r="F40" i="2"/>
  <c r="E120" i="2"/>
  <c r="F112" i="2"/>
  <c r="F83" i="2"/>
  <c r="E127" i="2" s="1"/>
  <c r="F85" i="2"/>
  <c r="G40" i="2"/>
  <c r="F120" i="2"/>
  <c r="G83" i="2"/>
  <c r="F127" i="2"/>
  <c r="G85" i="2"/>
  <c r="F135" i="2" s="1"/>
  <c r="H40" i="2"/>
  <c r="G120" i="2"/>
  <c r="H83" i="2"/>
  <c r="G127" i="2"/>
  <c r="H85" i="2"/>
  <c r="G135" i="2" s="1"/>
  <c r="I40" i="2"/>
  <c r="H120" i="2"/>
  <c r="I83" i="2"/>
  <c r="H127" i="2"/>
  <c r="J40" i="2"/>
  <c r="I120" i="2"/>
  <c r="J112" i="2"/>
  <c r="J83" i="2"/>
  <c r="J85" i="2"/>
  <c r="K40" i="2"/>
  <c r="J120" i="2"/>
  <c r="K83" i="2"/>
  <c r="J127" i="2" s="1"/>
  <c r="K85" i="2"/>
  <c r="J135" i="2" s="1"/>
  <c r="L40" i="2"/>
  <c r="K120" i="2"/>
  <c r="L112" i="2"/>
  <c r="L83" i="2"/>
  <c r="K127" i="2"/>
  <c r="L85" i="2"/>
  <c r="K135" i="2" s="1"/>
  <c r="M40" i="2"/>
  <c r="L120" i="2"/>
  <c r="M79" i="2"/>
  <c r="M83" i="2"/>
  <c r="L127" i="2"/>
  <c r="M85" i="2"/>
  <c r="L135" i="2" s="1"/>
  <c r="M120" i="2"/>
  <c r="M121" i="2"/>
  <c r="M127" i="2"/>
  <c r="P129" i="2" s="1"/>
  <c r="M129" i="2" s="1"/>
  <c r="P128" i="2"/>
  <c r="D86" i="2"/>
  <c r="E86" i="2"/>
  <c r="F86" i="2"/>
  <c r="C120" i="2"/>
  <c r="C121" i="2"/>
  <c r="C127" i="2"/>
  <c r="C131" i="2"/>
  <c r="P118" i="2"/>
  <c r="C112" i="2"/>
  <c r="C111" i="2"/>
  <c r="D34" i="2"/>
  <c r="D51" i="2" s="1"/>
  <c r="E34" i="2"/>
  <c r="F34" i="2" s="1"/>
  <c r="G34" i="2" s="1"/>
  <c r="H34" i="2" s="1"/>
  <c r="I34" i="2" s="1"/>
  <c r="J34" i="2" s="1"/>
  <c r="K34" i="2" s="1"/>
  <c r="L34" i="2"/>
  <c r="M34" i="2"/>
  <c r="M51" i="2" s="1"/>
  <c r="M45" i="2"/>
  <c r="D45" i="2"/>
  <c r="D44" i="2"/>
  <c r="M39" i="2"/>
  <c r="L39" i="2"/>
  <c r="K39" i="2"/>
  <c r="J39" i="2"/>
  <c r="I39" i="2"/>
  <c r="H39" i="2"/>
  <c r="G39" i="2"/>
  <c r="F39" i="2"/>
  <c r="E39" i="2"/>
  <c r="D39" i="2"/>
  <c r="M37" i="2"/>
  <c r="L37" i="2"/>
  <c r="K37" i="2"/>
  <c r="J37" i="2"/>
  <c r="I37" i="2"/>
  <c r="H37" i="2"/>
  <c r="G37" i="2"/>
  <c r="F37" i="2"/>
  <c r="E37" i="2"/>
  <c r="D37" i="2"/>
  <c r="M27" i="2"/>
  <c r="L27" i="2"/>
  <c r="K27" i="2"/>
  <c r="J27" i="2"/>
  <c r="I27" i="2"/>
  <c r="H27" i="2"/>
  <c r="G27" i="2"/>
  <c r="F27" i="2"/>
  <c r="E27" i="2"/>
  <c r="D27" i="2"/>
  <c r="M9" i="2"/>
  <c r="D9" i="2"/>
  <c r="D7" i="2"/>
  <c r="L2" i="2"/>
  <c r="D170" i="1"/>
  <c r="E170" i="1"/>
  <c r="F170" i="1"/>
  <c r="G167" i="1"/>
  <c r="G170" i="1" s="1"/>
  <c r="C170" i="1"/>
  <c r="C154" i="1"/>
  <c r="C172" i="1" s="1"/>
  <c r="D161" i="1"/>
  <c r="E161" i="1"/>
  <c r="F161" i="1"/>
  <c r="G161" i="1"/>
  <c r="H161" i="1"/>
  <c r="I161" i="1"/>
  <c r="J161" i="1"/>
  <c r="K161" i="1"/>
  <c r="L161" i="1"/>
  <c r="M161" i="1"/>
  <c r="C161" i="1"/>
  <c r="D152" i="1"/>
  <c r="E152" i="1"/>
  <c r="F152" i="1"/>
  <c r="G152" i="1"/>
  <c r="H152" i="1"/>
  <c r="I152" i="1"/>
  <c r="J152" i="1"/>
  <c r="K152" i="1"/>
  <c r="L152" i="1"/>
  <c r="M152" i="1"/>
  <c r="C152" i="1"/>
  <c r="P118" i="1"/>
  <c r="C112" i="1"/>
  <c r="C111" i="1"/>
  <c r="D34" i="1"/>
  <c r="E34" i="1"/>
  <c r="F34" i="1"/>
  <c r="G34" i="1" s="1"/>
  <c r="H34" i="1" s="1"/>
  <c r="I34" i="1" s="1"/>
  <c r="J34" i="1" s="1"/>
  <c r="K34" i="1" s="1"/>
  <c r="L34" i="1" s="1"/>
  <c r="M34" i="1" s="1"/>
  <c r="M39" i="1"/>
  <c r="L39" i="1"/>
  <c r="K39" i="1"/>
  <c r="J39" i="1"/>
  <c r="I39" i="1"/>
  <c r="H39" i="1"/>
  <c r="G39" i="1"/>
  <c r="F39" i="1"/>
  <c r="E39" i="1"/>
  <c r="D39" i="1"/>
  <c r="M37" i="1"/>
  <c r="L37" i="1"/>
  <c r="K37" i="1"/>
  <c r="J37" i="1"/>
  <c r="I37" i="1"/>
  <c r="H37" i="1"/>
  <c r="G37" i="1"/>
  <c r="F37" i="1"/>
  <c r="E37" i="1"/>
  <c r="D37" i="1"/>
  <c r="M27" i="1"/>
  <c r="L27" i="1"/>
  <c r="K27" i="1"/>
  <c r="J27" i="1"/>
  <c r="I27" i="1"/>
  <c r="H27" i="1"/>
  <c r="G27" i="1"/>
  <c r="F27" i="1"/>
  <c r="E27" i="1"/>
  <c r="D27" i="1"/>
  <c r="D135" i="1" l="1"/>
  <c r="E135" i="1"/>
  <c r="K15" i="1"/>
  <c r="K26" i="1" s="1"/>
  <c r="K57" i="1" s="1"/>
  <c r="L14" i="1"/>
  <c r="G86" i="2"/>
  <c r="H86" i="2" s="1"/>
  <c r="I86" i="2" s="1"/>
  <c r="J86" i="2" s="1"/>
  <c r="K86" i="2" s="1"/>
  <c r="L86" i="2" s="1"/>
  <c r="M86" i="2" s="1"/>
  <c r="I127" i="2"/>
  <c r="F8" i="2"/>
  <c r="G25" i="2"/>
  <c r="E87" i="1"/>
  <c r="D88" i="1"/>
  <c r="E79" i="2"/>
  <c r="D121" i="2" s="1"/>
  <c r="H135" i="2"/>
  <c r="D88" i="2"/>
  <c r="D87" i="2"/>
  <c r="C135" i="2"/>
  <c r="E46" i="2"/>
  <c r="E9" i="2"/>
  <c r="L127" i="1"/>
  <c r="D131" i="2"/>
  <c r="F84" i="2"/>
  <c r="F15" i="2"/>
  <c r="F26" i="2" s="1"/>
  <c r="F57" i="2" s="1"/>
  <c r="G14" i="2"/>
  <c r="E8" i="1"/>
  <c r="F25" i="1"/>
  <c r="I112" i="1"/>
  <c r="M77" i="2"/>
  <c r="D60" i="2"/>
  <c r="F131" i="1"/>
  <c r="H84" i="1"/>
  <c r="I135" i="2"/>
  <c r="I135" i="1"/>
  <c r="M135" i="2"/>
  <c r="I86" i="1"/>
  <c r="J86" i="1" s="1"/>
  <c r="K86" i="1" s="1"/>
  <c r="L86" i="1" s="1"/>
  <c r="M86" i="1" s="1"/>
  <c r="L135" i="1"/>
  <c r="M135" i="1"/>
  <c r="M49" i="2"/>
  <c r="M52" i="2" s="1"/>
  <c r="M53" i="2"/>
  <c r="M44" i="2"/>
  <c r="M56" i="2"/>
  <c r="D112" i="2"/>
  <c r="K64" i="1"/>
  <c r="K112" i="1" s="1"/>
  <c r="E64" i="2"/>
  <c r="E112" i="2" s="1"/>
  <c r="E85" i="2"/>
  <c r="J135" i="1"/>
  <c r="D77" i="2"/>
  <c r="D49" i="2"/>
  <c r="D52" i="2" s="1"/>
  <c r="K135" i="1"/>
  <c r="M5" i="1"/>
  <c r="D5" i="1"/>
  <c r="D9" i="1" s="1"/>
  <c r="I5" i="1"/>
  <c r="H5" i="1"/>
  <c r="G5" i="1"/>
  <c r="F5" i="1"/>
  <c r="D4" i="5"/>
  <c r="E145" i="5"/>
  <c r="E144" i="5"/>
  <c r="E143" i="5"/>
  <c r="E135" i="5"/>
  <c r="E131" i="5"/>
  <c r="E150" i="5"/>
  <c r="E149" i="5"/>
  <c r="E148" i="5"/>
  <c r="E147" i="5"/>
  <c r="E130" i="5"/>
  <c r="E52" i="5"/>
  <c r="E4" i="5"/>
  <c r="E5" i="5"/>
  <c r="E9" i="5"/>
  <c r="E13" i="5"/>
  <c r="E20" i="5"/>
  <c r="E24" i="5"/>
  <c r="E28" i="5"/>
  <c r="E35" i="5"/>
  <c r="E39" i="5"/>
  <c r="E43" i="5"/>
  <c r="E50" i="5"/>
  <c r="E54" i="5"/>
  <c r="E58" i="5"/>
  <c r="E65" i="5"/>
  <c r="E69" i="5"/>
  <c r="E73" i="5"/>
  <c r="E80" i="5"/>
  <c r="E84" i="5"/>
  <c r="E21" i="5"/>
  <c r="E22" i="5"/>
  <c r="E23" i="5"/>
  <c r="E14" i="5"/>
  <c r="E15" i="5"/>
  <c r="E19" i="5"/>
  <c r="E36" i="5"/>
  <c r="E37" i="5"/>
  <c r="E38" i="5"/>
  <c r="E55" i="5"/>
  <c r="E56" i="5"/>
  <c r="E57" i="5"/>
  <c r="E74" i="5"/>
  <c r="E75" i="5"/>
  <c r="E79" i="5"/>
  <c r="E89" i="5"/>
  <c r="E96" i="5"/>
  <c r="E100" i="5"/>
  <c r="E104" i="5"/>
  <c r="E11" i="5"/>
  <c r="E29" i="5"/>
  <c r="E42" i="5"/>
  <c r="E45" i="5"/>
  <c r="E51" i="5"/>
  <c r="E68" i="5"/>
  <c r="E71" i="5"/>
  <c r="E81" i="5"/>
  <c r="E90" i="5"/>
  <c r="E94" i="5"/>
  <c r="E95" i="5"/>
  <c r="E113" i="5"/>
  <c r="E7" i="5"/>
  <c r="E25" i="5"/>
  <c r="E27" i="5"/>
  <c r="E34" i="5"/>
  <c r="E41" i="5"/>
  <c r="E44" i="5"/>
  <c r="E64" i="5"/>
  <c r="E67" i="5"/>
  <c r="E70" i="5"/>
  <c r="E87" i="5"/>
  <c r="E88" i="5"/>
  <c r="E105" i="5"/>
  <c r="E109" i="5"/>
  <c r="E110" i="5"/>
  <c r="E114" i="5"/>
  <c r="E118" i="5"/>
  <c r="E125" i="5"/>
  <c r="E129" i="5"/>
  <c r="E133" i="5"/>
  <c r="E10" i="5"/>
  <c r="E30" i="5"/>
  <c r="E53" i="5"/>
  <c r="E101" i="5"/>
  <c r="E103" i="5"/>
  <c r="E115" i="5"/>
  <c r="E126" i="5"/>
  <c r="E127" i="5"/>
  <c r="E128" i="5"/>
  <c r="E142" i="5"/>
  <c r="E146" i="5"/>
  <c r="E6" i="5"/>
  <c r="E26" i="5"/>
  <c r="E59" i="5"/>
  <c r="E82" i="5"/>
  <c r="E85" i="5"/>
  <c r="E97" i="5"/>
  <c r="E99" i="5"/>
  <c r="E112" i="5"/>
  <c r="E119" i="5"/>
  <c r="E120" i="5"/>
  <c r="E124" i="5"/>
  <c r="E139" i="5"/>
  <c r="E12" i="5"/>
  <c r="E40" i="5"/>
  <c r="E60" i="5"/>
  <c r="E66" i="5"/>
  <c r="E83" i="5"/>
  <c r="E86" i="5"/>
  <c r="E102" i="5"/>
  <c r="E111" i="5"/>
  <c r="E117" i="5"/>
  <c r="E134" i="5"/>
  <c r="E140" i="5"/>
  <c r="E141" i="5"/>
  <c r="E132" i="5"/>
  <c r="E116" i="5"/>
  <c r="E98" i="5"/>
  <c r="E72" i="5"/>
  <c r="E8" i="5"/>
  <c r="F46" i="2" l="1"/>
  <c r="F9" i="2"/>
  <c r="D81" i="2"/>
  <c r="D90" i="2" s="1"/>
  <c r="C119" i="2"/>
  <c r="G131" i="1"/>
  <c r="I84" i="1"/>
  <c r="M14" i="1"/>
  <c r="M15" i="1" s="1"/>
  <c r="M26" i="1" s="1"/>
  <c r="M57" i="1" s="1"/>
  <c r="L15" i="1"/>
  <c r="L26" i="1" s="1"/>
  <c r="L57" i="1" s="1"/>
  <c r="C4" i="5"/>
  <c r="D135" i="2"/>
  <c r="E135" i="2"/>
  <c r="E46" i="1"/>
  <c r="E9" i="1"/>
  <c r="G15" i="2"/>
  <c r="G26" i="2" s="1"/>
  <c r="G57" i="2" s="1"/>
  <c r="H14" i="2"/>
  <c r="F87" i="1"/>
  <c r="E88" i="1"/>
  <c r="D46" i="1"/>
  <c r="G84" i="2"/>
  <c r="E131" i="2"/>
  <c r="D80" i="2"/>
  <c r="C122" i="2" s="1"/>
  <c r="D93" i="2"/>
  <c r="C123" i="2" s="1"/>
  <c r="D53" i="2"/>
  <c r="D61" i="2" s="1"/>
  <c r="D111" i="2" s="1"/>
  <c r="F8" i="1"/>
  <c r="G25" i="1"/>
  <c r="E77" i="2"/>
  <c r="E49" i="2"/>
  <c r="E52" i="2" s="1"/>
  <c r="E50" i="2"/>
  <c r="E58" i="2"/>
  <c r="E45" i="2"/>
  <c r="E44" i="2"/>
  <c r="E7" i="2"/>
  <c r="E51" i="2"/>
  <c r="E56" i="2"/>
  <c r="E60" i="2" s="1"/>
  <c r="M46" i="1"/>
  <c r="M9" i="1"/>
  <c r="M93" i="2"/>
  <c r="M80" i="2"/>
  <c r="E87" i="2"/>
  <c r="H25" i="2"/>
  <c r="G8" i="2"/>
  <c r="M119" i="2"/>
  <c r="F4" i="5"/>
  <c r="B5" i="5" s="1"/>
  <c r="G46" i="2" l="1"/>
  <c r="G9" i="2"/>
  <c r="J84" i="1"/>
  <c r="H131" i="1"/>
  <c r="H8" i="2"/>
  <c r="I25" i="2"/>
  <c r="D119" i="2"/>
  <c r="E81" i="2"/>
  <c r="E90" i="2" s="1"/>
  <c r="F87" i="2"/>
  <c r="E88" i="2"/>
  <c r="F46" i="1"/>
  <c r="F9" i="1"/>
  <c r="M123" i="2"/>
  <c r="E93" i="2"/>
  <c r="D123" i="2" s="1"/>
  <c r="E80" i="2"/>
  <c r="D122" i="2" s="1"/>
  <c r="E77" i="1"/>
  <c r="E49" i="1"/>
  <c r="E50" i="1"/>
  <c r="E58" i="1"/>
  <c r="E79" i="1"/>
  <c r="D121" i="1" s="1"/>
  <c r="E7" i="1"/>
  <c r="E51" i="1"/>
  <c r="E45" i="1"/>
  <c r="E44" i="1"/>
  <c r="E56" i="1"/>
  <c r="F131" i="2"/>
  <c r="H84" i="2"/>
  <c r="C141" i="2"/>
  <c r="G87" i="1"/>
  <c r="F88" i="1"/>
  <c r="M56" i="1"/>
  <c r="M77" i="1"/>
  <c r="M50" i="1"/>
  <c r="M58" i="1"/>
  <c r="M44" i="1"/>
  <c r="M45" i="1"/>
  <c r="M49" i="1"/>
  <c r="M51" i="1"/>
  <c r="M79" i="1"/>
  <c r="H15" i="2"/>
  <c r="H26" i="2" s="1"/>
  <c r="H57" i="2" s="1"/>
  <c r="I14" i="2"/>
  <c r="F49" i="2"/>
  <c r="F50" i="2"/>
  <c r="F45" i="2"/>
  <c r="F58" i="2"/>
  <c r="F77" i="2"/>
  <c r="F44" i="2"/>
  <c r="F7" i="2"/>
  <c r="F51" i="2"/>
  <c r="F79" i="2"/>
  <c r="E121" i="2" s="1"/>
  <c r="F56" i="2"/>
  <c r="F60" i="2" s="1"/>
  <c r="H25" i="1"/>
  <c r="G8" i="1"/>
  <c r="M122" i="2"/>
  <c r="D56" i="1"/>
  <c r="D77" i="1"/>
  <c r="D58" i="1"/>
  <c r="D44" i="1"/>
  <c r="D49" i="1"/>
  <c r="D79" i="1"/>
  <c r="C121" i="1" s="1"/>
  <c r="D7" i="1"/>
  <c r="L2" i="1"/>
  <c r="D51" i="1"/>
  <c r="D45" i="1"/>
  <c r="D50" i="1"/>
  <c r="D115" i="2"/>
  <c r="D113" i="2"/>
  <c r="D114" i="2" s="1"/>
  <c r="C124" i="2" s="1"/>
  <c r="M81" i="2"/>
  <c r="E53" i="2"/>
  <c r="E61" i="2" s="1"/>
  <c r="E111" i="2" s="1"/>
  <c r="D5" i="5"/>
  <c r="H87" i="1" l="1"/>
  <c r="G88" i="1"/>
  <c r="C119" i="1"/>
  <c r="J25" i="2"/>
  <c r="I8" i="2"/>
  <c r="E113" i="2"/>
  <c r="E114" i="2" s="1"/>
  <c r="D124" i="2" s="1"/>
  <c r="D141" i="2" s="1"/>
  <c r="E119" i="2"/>
  <c r="E60" i="1"/>
  <c r="D52" i="1"/>
  <c r="G46" i="1"/>
  <c r="G9" i="1"/>
  <c r="M60" i="1"/>
  <c r="E52" i="1"/>
  <c r="I131" i="1"/>
  <c r="K84" i="1"/>
  <c r="F52" i="2"/>
  <c r="G131" i="2"/>
  <c r="I84" i="2"/>
  <c r="D60" i="1"/>
  <c r="I15" i="2"/>
  <c r="I26" i="2" s="1"/>
  <c r="I57" i="2" s="1"/>
  <c r="J14" i="2"/>
  <c r="H46" i="2"/>
  <c r="H9" i="2"/>
  <c r="M119" i="1"/>
  <c r="M121" i="1"/>
  <c r="F49" i="1"/>
  <c r="F77" i="1"/>
  <c r="F7" i="1"/>
  <c r="F79" i="1"/>
  <c r="E121" i="1" s="1"/>
  <c r="F51" i="1"/>
  <c r="F50" i="1"/>
  <c r="F58" i="1"/>
  <c r="F44" i="1"/>
  <c r="F45" i="1"/>
  <c r="F56" i="1"/>
  <c r="F60" i="1" s="1"/>
  <c r="I25" i="1"/>
  <c r="H8" i="1"/>
  <c r="M52" i="1"/>
  <c r="D119" i="1"/>
  <c r="G87" i="2"/>
  <c r="F88" i="2"/>
  <c r="G49" i="2"/>
  <c r="G52" i="2" s="1"/>
  <c r="G53" i="2"/>
  <c r="G61" i="2" s="1"/>
  <c r="G111" i="2" s="1"/>
  <c r="G50" i="2"/>
  <c r="G77" i="2"/>
  <c r="G44" i="2"/>
  <c r="G7" i="2"/>
  <c r="G51" i="2"/>
  <c r="G45" i="2"/>
  <c r="G58" i="2"/>
  <c r="G56" i="2"/>
  <c r="G60" i="2" s="1"/>
  <c r="G79" i="2"/>
  <c r="F121" i="2" s="1"/>
  <c r="C5" i="5"/>
  <c r="G80" i="2" l="1"/>
  <c r="G93" i="2"/>
  <c r="I46" i="2"/>
  <c r="I9" i="2"/>
  <c r="H87" i="2"/>
  <c r="G88" i="2"/>
  <c r="F80" i="2"/>
  <c r="F93" i="2"/>
  <c r="E123" i="2" s="1"/>
  <c r="F53" i="2"/>
  <c r="F61" i="2" s="1"/>
  <c r="F111" i="2" s="1"/>
  <c r="G49" i="1"/>
  <c r="G77" i="1"/>
  <c r="G50" i="1"/>
  <c r="G51" i="1"/>
  <c r="G58" i="1"/>
  <c r="G45" i="1"/>
  <c r="G44" i="1"/>
  <c r="G7" i="1"/>
  <c r="G56" i="1"/>
  <c r="G79" i="1"/>
  <c r="F121" i="1" s="1"/>
  <c r="K25" i="2"/>
  <c r="J8" i="2"/>
  <c r="F52" i="1"/>
  <c r="H49" i="2"/>
  <c r="H52" i="2" s="1"/>
  <c r="H50" i="2"/>
  <c r="H44" i="2"/>
  <c r="H7" i="2"/>
  <c r="H58" i="2"/>
  <c r="H51" i="2"/>
  <c r="H45" i="2"/>
  <c r="H77" i="2"/>
  <c r="H56" i="2"/>
  <c r="H79" i="2"/>
  <c r="G121" i="2" s="1"/>
  <c r="D80" i="1"/>
  <c r="D93" i="1"/>
  <c r="C123" i="1" s="1"/>
  <c r="D53" i="1"/>
  <c r="D61" i="1" s="1"/>
  <c r="D111" i="1" s="1"/>
  <c r="J15" i="2"/>
  <c r="J26" i="2" s="1"/>
  <c r="J57" i="2" s="1"/>
  <c r="K14" i="2"/>
  <c r="J131" i="1"/>
  <c r="L84" i="1"/>
  <c r="G113" i="2"/>
  <c r="G114" i="2" s="1"/>
  <c r="G115" i="2"/>
  <c r="E80" i="1"/>
  <c r="E93" i="1"/>
  <c r="D123" i="1" s="1"/>
  <c r="E53" i="1"/>
  <c r="E61" i="1" s="1"/>
  <c r="E111" i="1" s="1"/>
  <c r="E115" i="2"/>
  <c r="E119" i="1"/>
  <c r="F119" i="2"/>
  <c r="G81" i="2"/>
  <c r="M80" i="1"/>
  <c r="M93" i="1"/>
  <c r="M53" i="1"/>
  <c r="M61" i="1" s="1"/>
  <c r="M111" i="1" s="1"/>
  <c r="J25" i="1"/>
  <c r="I8" i="1"/>
  <c r="H131" i="2"/>
  <c r="J84" i="2"/>
  <c r="H46" i="1"/>
  <c r="H9" i="1"/>
  <c r="I87" i="1"/>
  <c r="H88" i="1"/>
  <c r="F5" i="5"/>
  <c r="B6" i="5" s="1"/>
  <c r="J87" i="1" l="1"/>
  <c r="I88" i="1"/>
  <c r="M113" i="1"/>
  <c r="M114" i="1" s="1"/>
  <c r="M115" i="1"/>
  <c r="E113" i="1"/>
  <c r="E114" i="1" s="1"/>
  <c r="E115" i="1"/>
  <c r="K15" i="2"/>
  <c r="K26" i="2" s="1"/>
  <c r="K57" i="2" s="1"/>
  <c r="L14" i="2"/>
  <c r="G119" i="2"/>
  <c r="H80" i="2"/>
  <c r="G122" i="2" s="1"/>
  <c r="H93" i="2"/>
  <c r="G123" i="2" s="1"/>
  <c r="M123" i="1"/>
  <c r="F80" i="1"/>
  <c r="F93" i="1"/>
  <c r="E123" i="1" s="1"/>
  <c r="F53" i="1"/>
  <c r="F61" i="1" s="1"/>
  <c r="F111" i="1" s="1"/>
  <c r="H77" i="1"/>
  <c r="H49" i="1"/>
  <c r="H50" i="1"/>
  <c r="H51" i="1"/>
  <c r="H58" i="1"/>
  <c r="H45" i="1"/>
  <c r="H56" i="1"/>
  <c r="H44" i="1"/>
  <c r="H7" i="1"/>
  <c r="H79" i="1"/>
  <c r="G121" i="1" s="1"/>
  <c r="D122" i="1"/>
  <c r="E81" i="1"/>
  <c r="E90" i="1" s="1"/>
  <c r="D113" i="1"/>
  <c r="D114" i="1" s="1"/>
  <c r="C124" i="1" s="1"/>
  <c r="D115" i="1"/>
  <c r="L25" i="2"/>
  <c r="K8" i="2"/>
  <c r="I87" i="2"/>
  <c r="H88" i="2"/>
  <c r="C122" i="1"/>
  <c r="D81" i="1"/>
  <c r="D90" i="1" s="1"/>
  <c r="F119" i="1"/>
  <c r="I46" i="1"/>
  <c r="I9" i="1"/>
  <c r="K131" i="1"/>
  <c r="M84" i="1"/>
  <c r="G52" i="1"/>
  <c r="F123" i="2"/>
  <c r="E122" i="2"/>
  <c r="F81" i="2"/>
  <c r="F90" i="2" s="1"/>
  <c r="M122" i="1"/>
  <c r="M81" i="1"/>
  <c r="J46" i="2"/>
  <c r="J9" i="2"/>
  <c r="G90" i="2"/>
  <c r="K84" i="2"/>
  <c r="I131" i="2"/>
  <c r="G60" i="1"/>
  <c r="I49" i="2"/>
  <c r="I50" i="2"/>
  <c r="I51" i="2"/>
  <c r="I45" i="2"/>
  <c r="I44" i="2"/>
  <c r="I58" i="2"/>
  <c r="I77" i="2"/>
  <c r="I7" i="2"/>
  <c r="I79" i="2"/>
  <c r="H121" i="2" s="1"/>
  <c r="I56" i="2"/>
  <c r="I60" i="2" s="1"/>
  <c r="K25" i="1"/>
  <c r="J8" i="1"/>
  <c r="H60" i="2"/>
  <c r="H53" i="2"/>
  <c r="H61" i="2" s="1"/>
  <c r="H111" i="2" s="1"/>
  <c r="F113" i="2"/>
  <c r="F114" i="2" s="1"/>
  <c r="E124" i="2" s="1"/>
  <c r="E141" i="2" s="1"/>
  <c r="F115" i="2"/>
  <c r="F122" i="2"/>
  <c r="D6" i="5"/>
  <c r="I52" i="2" l="1"/>
  <c r="P132" i="1"/>
  <c r="L131" i="1"/>
  <c r="M131" i="1"/>
  <c r="P133" i="1" s="1"/>
  <c r="M133" i="1" s="1"/>
  <c r="H52" i="1"/>
  <c r="M124" i="1"/>
  <c r="G93" i="1"/>
  <c r="F123" i="1" s="1"/>
  <c r="G80" i="1"/>
  <c r="G53" i="1"/>
  <c r="G61" i="1" s="1"/>
  <c r="G111" i="1" s="1"/>
  <c r="C141" i="1"/>
  <c r="H119" i="2"/>
  <c r="F124" i="2"/>
  <c r="I49" i="1"/>
  <c r="I52" i="1" s="1"/>
  <c r="I53" i="1"/>
  <c r="I77" i="1"/>
  <c r="I45" i="1"/>
  <c r="I58" i="1"/>
  <c r="I50" i="1"/>
  <c r="I44" i="1"/>
  <c r="I51" i="1"/>
  <c r="I7" i="1"/>
  <c r="I56" i="1"/>
  <c r="I79" i="1"/>
  <c r="H121" i="1" s="1"/>
  <c r="D141" i="1"/>
  <c r="M14" i="2"/>
  <c r="M15" i="2" s="1"/>
  <c r="M26" i="2" s="1"/>
  <c r="M57" i="2" s="1"/>
  <c r="M60" i="2" s="1"/>
  <c r="M61" i="2" s="1"/>
  <c r="M111" i="2" s="1"/>
  <c r="L15" i="2"/>
  <c r="L26" i="2" s="1"/>
  <c r="L57" i="2" s="1"/>
  <c r="F141" i="2"/>
  <c r="E122" i="1"/>
  <c r="E141" i="1" s="1"/>
  <c r="F81" i="1"/>
  <c r="F90" i="1" s="1"/>
  <c r="J49" i="2"/>
  <c r="J58" i="2"/>
  <c r="J7" i="2"/>
  <c r="J51" i="2"/>
  <c r="J77" i="2"/>
  <c r="J44" i="2"/>
  <c r="J56" i="2"/>
  <c r="J45" i="2"/>
  <c r="J79" i="2"/>
  <c r="I121" i="2" s="1"/>
  <c r="J50" i="2"/>
  <c r="H115" i="2"/>
  <c r="H113" i="2"/>
  <c r="H114" i="2" s="1"/>
  <c r="G124" i="2" s="1"/>
  <c r="G141" i="2" s="1"/>
  <c r="D124" i="1"/>
  <c r="J87" i="2"/>
  <c r="I88" i="2"/>
  <c r="J46" i="1"/>
  <c r="J9" i="1"/>
  <c r="L84" i="2"/>
  <c r="J131" i="2"/>
  <c r="K46" i="2"/>
  <c r="K9" i="2"/>
  <c r="G119" i="1"/>
  <c r="H81" i="2"/>
  <c r="H90" i="2" s="1"/>
  <c r="L25" i="1"/>
  <c r="K8" i="1"/>
  <c r="L8" i="2"/>
  <c r="M25" i="2"/>
  <c r="H60" i="1"/>
  <c r="F113" i="1"/>
  <c r="F114" i="1" s="1"/>
  <c r="E124" i="1" s="1"/>
  <c r="K87" i="1"/>
  <c r="J88" i="1"/>
  <c r="C6" i="5"/>
  <c r="M113" i="2" l="1"/>
  <c r="M114" i="2" s="1"/>
  <c r="L8" i="1"/>
  <c r="M25" i="1"/>
  <c r="G113" i="1"/>
  <c r="G114" i="1" s="1"/>
  <c r="F124" i="1" s="1"/>
  <c r="G115" i="1"/>
  <c r="J49" i="1"/>
  <c r="J52" i="1" s="1"/>
  <c r="J53" i="1"/>
  <c r="J61" i="1" s="1"/>
  <c r="J111" i="1" s="1"/>
  <c r="J77" i="1"/>
  <c r="J51" i="1"/>
  <c r="J58" i="1"/>
  <c r="J45" i="1"/>
  <c r="J44" i="1"/>
  <c r="J7" i="1"/>
  <c r="J56" i="1"/>
  <c r="J60" i="1" s="1"/>
  <c r="J79" i="1"/>
  <c r="I121" i="1" s="1"/>
  <c r="J50" i="1"/>
  <c r="J52" i="2"/>
  <c r="I60" i="1"/>
  <c r="I61" i="1"/>
  <c r="I111" i="1" s="1"/>
  <c r="F122" i="1"/>
  <c r="G81" i="1"/>
  <c r="G90" i="1" s="1"/>
  <c r="F115" i="1"/>
  <c r="F141" i="1" s="1"/>
  <c r="J60" i="2"/>
  <c r="I80" i="1"/>
  <c r="I93" i="1"/>
  <c r="K87" i="2"/>
  <c r="J88" i="2"/>
  <c r="K50" i="2"/>
  <c r="K58" i="2"/>
  <c r="K45" i="2"/>
  <c r="K56" i="2"/>
  <c r="K77" i="2"/>
  <c r="K44" i="2"/>
  <c r="K7" i="2"/>
  <c r="K51" i="2"/>
  <c r="K49" i="2"/>
  <c r="K52" i="2" s="1"/>
  <c r="K53" i="2" s="1"/>
  <c r="K79" i="2"/>
  <c r="J121" i="2" s="1"/>
  <c r="I119" i="2"/>
  <c r="I80" i="2"/>
  <c r="I93" i="2"/>
  <c r="H123" i="2" s="1"/>
  <c r="I53" i="2"/>
  <c r="I61" i="2" s="1"/>
  <c r="I111" i="2" s="1"/>
  <c r="K46" i="1"/>
  <c r="K9" i="1"/>
  <c r="M84" i="2"/>
  <c r="K131" i="2"/>
  <c r="L87" i="1"/>
  <c r="K88" i="1"/>
  <c r="H119" i="1"/>
  <c r="I81" i="1"/>
  <c r="I90" i="1" s="1"/>
  <c r="L46" i="2"/>
  <c r="L9" i="2"/>
  <c r="H80" i="1"/>
  <c r="H93" i="1"/>
  <c r="G123" i="1" s="1"/>
  <c r="H53" i="1"/>
  <c r="H61" i="1" s="1"/>
  <c r="H111" i="1" s="1"/>
  <c r="F6" i="5"/>
  <c r="B7" i="5" s="1"/>
  <c r="M87" i="1" l="1"/>
  <c r="L88" i="1"/>
  <c r="H122" i="2"/>
  <c r="I81" i="2"/>
  <c r="I90" i="2" s="1"/>
  <c r="L87" i="2"/>
  <c r="K88" i="2"/>
  <c r="L46" i="1"/>
  <c r="L9" i="1"/>
  <c r="K93" i="2"/>
  <c r="K80" i="2"/>
  <c r="K81" i="2" s="1"/>
  <c r="K90" i="2" s="1"/>
  <c r="J80" i="1"/>
  <c r="I122" i="1" s="1"/>
  <c r="J93" i="1"/>
  <c r="I123" i="1" s="1"/>
  <c r="H113" i="1"/>
  <c r="H114" i="1" s="1"/>
  <c r="G124" i="1" s="1"/>
  <c r="H115" i="1"/>
  <c r="J119" i="2"/>
  <c r="H123" i="1"/>
  <c r="J80" i="2"/>
  <c r="J93" i="2"/>
  <c r="I123" i="2" s="1"/>
  <c r="J53" i="2"/>
  <c r="J61" i="2" s="1"/>
  <c r="J111" i="2" s="1"/>
  <c r="M124" i="2"/>
  <c r="J113" i="1"/>
  <c r="J114" i="1" s="1"/>
  <c r="J115" i="1" s="1"/>
  <c r="K49" i="1"/>
  <c r="K77" i="1"/>
  <c r="K58" i="1"/>
  <c r="K44" i="1"/>
  <c r="K79" i="1"/>
  <c r="J121" i="1" s="1"/>
  <c r="K7" i="1"/>
  <c r="K56" i="1"/>
  <c r="K51" i="1"/>
  <c r="K45" i="1"/>
  <c r="K50" i="1"/>
  <c r="I113" i="2"/>
  <c r="I114" i="2" s="1"/>
  <c r="H124" i="2" s="1"/>
  <c r="I113" i="1"/>
  <c r="I114" i="1" s="1"/>
  <c r="H124" i="1" s="1"/>
  <c r="G122" i="1"/>
  <c r="G141" i="1" s="1"/>
  <c r="H81" i="1"/>
  <c r="H90" i="1" s="1"/>
  <c r="L56" i="2"/>
  <c r="L49" i="2"/>
  <c r="L58" i="2"/>
  <c r="L51" i="2"/>
  <c r="L77" i="2"/>
  <c r="L44" i="2"/>
  <c r="L45" i="2"/>
  <c r="L7" i="2"/>
  <c r="L79" i="2"/>
  <c r="L50" i="2"/>
  <c r="L131" i="2"/>
  <c r="M131" i="2"/>
  <c r="P133" i="2" s="1"/>
  <c r="M133" i="2" s="1"/>
  <c r="P132" i="2"/>
  <c r="K60" i="2"/>
  <c r="K61" i="2" s="1"/>
  <c r="K111" i="2" s="1"/>
  <c r="H122" i="1"/>
  <c r="I119" i="1"/>
  <c r="J81" i="1"/>
  <c r="J90" i="1" s="1"/>
  <c r="M115" i="2"/>
  <c r="D7" i="5"/>
  <c r="K113" i="2" l="1"/>
  <c r="K114" i="2" s="1"/>
  <c r="J124" i="2" s="1"/>
  <c r="H141" i="1"/>
  <c r="M87" i="2"/>
  <c r="L88" i="2"/>
  <c r="J113" i="2"/>
  <c r="J114" i="2" s="1"/>
  <c r="I124" i="2" s="1"/>
  <c r="J115" i="2"/>
  <c r="L52" i="2"/>
  <c r="H141" i="2"/>
  <c r="I122" i="2"/>
  <c r="J81" i="2"/>
  <c r="J90" i="2" s="1"/>
  <c r="J123" i="2"/>
  <c r="P136" i="1"/>
  <c r="P137" i="1" s="1"/>
  <c r="M137" i="1" s="1"/>
  <c r="M141" i="1" s="1"/>
  <c r="M88" i="1"/>
  <c r="M90" i="1" s="1"/>
  <c r="K60" i="1"/>
  <c r="K119" i="2"/>
  <c r="L119" i="2"/>
  <c r="I115" i="2"/>
  <c r="I141" i="2" s="1"/>
  <c r="K121" i="2"/>
  <c r="L121" i="2"/>
  <c r="J119" i="1"/>
  <c r="L60" i="2"/>
  <c r="J122" i="2"/>
  <c r="K52" i="1"/>
  <c r="I115" i="1"/>
  <c r="I124" i="1"/>
  <c r="L50" i="1"/>
  <c r="L58" i="1"/>
  <c r="L77" i="1"/>
  <c r="L44" i="1"/>
  <c r="L7" i="1"/>
  <c r="L49" i="1"/>
  <c r="L45" i="1"/>
  <c r="L56" i="1"/>
  <c r="L60" i="1" s="1"/>
  <c r="L51" i="1"/>
  <c r="L79" i="1"/>
  <c r="C7" i="5"/>
  <c r="P136" i="2" l="1"/>
  <c r="P137" i="2" s="1"/>
  <c r="M137" i="2" s="1"/>
  <c r="M141" i="2" s="1"/>
  <c r="M88" i="2"/>
  <c r="M90" i="2" s="1"/>
  <c r="I141" i="1"/>
  <c r="K80" i="1"/>
  <c r="K93" i="1"/>
  <c r="J123" i="1" s="1"/>
  <c r="K53" i="1"/>
  <c r="K61" i="1" s="1"/>
  <c r="K111" i="1" s="1"/>
  <c r="L80" i="2"/>
  <c r="L93" i="2"/>
  <c r="L53" i="2"/>
  <c r="L61" i="2" s="1"/>
  <c r="L111" i="2" s="1"/>
  <c r="K115" i="2"/>
  <c r="L52" i="1"/>
  <c r="K121" i="1"/>
  <c r="L121" i="1"/>
  <c r="K119" i="1"/>
  <c r="L119" i="1"/>
  <c r="J141" i="2"/>
  <c r="F7" i="5"/>
  <c r="B8" i="5" s="1"/>
  <c r="K113" i="1" l="1"/>
  <c r="K114" i="1" s="1"/>
  <c r="J124" i="1" s="1"/>
  <c r="L113" i="2"/>
  <c r="L114" i="2" s="1"/>
  <c r="J122" i="1"/>
  <c r="J141" i="1" s="1"/>
  <c r="K81" i="1"/>
  <c r="K90" i="1" s="1"/>
  <c r="L80" i="1"/>
  <c r="L93" i="1"/>
  <c r="L53" i="1"/>
  <c r="L61" i="1" s="1"/>
  <c r="L111" i="1" s="1"/>
  <c r="K123" i="2"/>
  <c r="L123" i="2"/>
  <c r="K122" i="2"/>
  <c r="L122" i="2"/>
  <c r="L81" i="2"/>
  <c r="L90" i="2" s="1"/>
  <c r="D8" i="5"/>
  <c r="K141" i="2" l="1"/>
  <c r="C143" i="2" s="1"/>
  <c r="C152" i="2" s="1"/>
  <c r="K124" i="2"/>
  <c r="L124" i="2"/>
  <c r="L115" i="2"/>
  <c r="L141" i="2" s="1"/>
  <c r="L113" i="1"/>
  <c r="L114" i="1" s="1"/>
  <c r="L115" i="1"/>
  <c r="K123" i="1"/>
  <c r="L123" i="1"/>
  <c r="K115" i="1"/>
  <c r="K122" i="1"/>
  <c r="L122" i="1"/>
  <c r="L81" i="1"/>
  <c r="L90" i="1" s="1"/>
  <c r="C8" i="5"/>
  <c r="K141" i="1" l="1"/>
  <c r="L141" i="1"/>
  <c r="C143" i="1" s="1"/>
  <c r="K124" i="1"/>
  <c r="L124" i="1"/>
  <c r="F8" i="5"/>
  <c r="B9" i="5" s="1"/>
  <c r="D9" i="5" l="1"/>
  <c r="C9" i="5" l="1"/>
  <c r="F9" i="5" s="1"/>
  <c r="B10" i="5" s="1"/>
  <c r="D10" i="5" l="1"/>
  <c r="C10" i="5" s="1"/>
  <c r="F10" i="5" s="1"/>
  <c r="B11" i="5" s="1"/>
  <c r="D11" i="5" l="1"/>
  <c r="C11" i="5" s="1"/>
  <c r="F11" i="5" s="1"/>
  <c r="B12" i="5" s="1"/>
  <c r="D12" i="5" l="1"/>
  <c r="C12" i="5" s="1"/>
  <c r="F12" i="5" s="1"/>
  <c r="B13" i="5" s="1"/>
  <c r="D13" i="5" l="1"/>
  <c r="C13" i="5" s="1"/>
  <c r="F13" i="5" s="1"/>
  <c r="B14" i="5" s="1"/>
  <c r="D14" i="5" l="1"/>
  <c r="C14" i="5" s="1"/>
  <c r="F14" i="5" s="1"/>
  <c r="B15" i="5" s="1"/>
  <c r="D15" i="5" l="1"/>
  <c r="C15" i="5" l="1"/>
  <c r="D16" i="5"/>
  <c r="D65" i="2" l="1"/>
  <c r="D65" i="1"/>
  <c r="C16" i="5"/>
  <c r="F15" i="5"/>
  <c r="B19" i="5" l="1"/>
  <c r="D96" i="2"/>
  <c r="D96" i="1"/>
  <c r="D68" i="1"/>
  <c r="D69" i="1" s="1"/>
  <c r="D94" i="1" s="1"/>
  <c r="D68" i="2"/>
  <c r="D69" i="2" s="1"/>
  <c r="D94" i="2" s="1"/>
  <c r="D71" i="1" l="1"/>
  <c r="D102" i="1" s="1"/>
  <c r="D71" i="2"/>
  <c r="D102" i="2" s="1"/>
  <c r="D99" i="2"/>
  <c r="D99" i="1"/>
  <c r="D104" i="1" s="1"/>
  <c r="D106" i="1" s="1"/>
  <c r="D19" i="5"/>
  <c r="D104" i="2" l="1"/>
  <c r="D106" i="2" s="1"/>
  <c r="C19" i="5"/>
  <c r="F19" i="5" l="1"/>
  <c r="B20" i="5" s="1"/>
  <c r="D20" i="5" l="1"/>
  <c r="C20" i="5" l="1"/>
  <c r="F20" i="5" l="1"/>
  <c r="B21" i="5" s="1"/>
  <c r="D21" i="5" l="1"/>
  <c r="C21" i="5" l="1"/>
  <c r="F21" i="5" l="1"/>
  <c r="B22" i="5" s="1"/>
  <c r="D22" i="5" l="1"/>
  <c r="C22" i="5" l="1"/>
  <c r="F22" i="5" l="1"/>
  <c r="B23" i="5" s="1"/>
  <c r="D23" i="5" l="1"/>
  <c r="C23" i="5" l="1"/>
  <c r="F23" i="5" l="1"/>
  <c r="B24" i="5" s="1"/>
  <c r="D24" i="5" l="1"/>
  <c r="C24" i="5" s="1"/>
  <c r="F24" i="5" s="1"/>
  <c r="B25" i="5" s="1"/>
  <c r="D25" i="5" l="1"/>
  <c r="C25" i="5" s="1"/>
  <c r="F25" i="5" s="1"/>
  <c r="B26" i="5" s="1"/>
  <c r="D26" i="5" l="1"/>
  <c r="C26" i="5" s="1"/>
  <c r="F26" i="5" s="1"/>
  <c r="B27" i="5" s="1"/>
  <c r="D27" i="5" l="1"/>
  <c r="C27" i="5" s="1"/>
  <c r="F27" i="5" s="1"/>
  <c r="B28" i="5" s="1"/>
  <c r="D28" i="5" l="1"/>
  <c r="C28" i="5" s="1"/>
  <c r="F28" i="5" s="1"/>
  <c r="B29" i="5" s="1"/>
  <c r="D29" i="5" l="1"/>
  <c r="C29" i="5" s="1"/>
  <c r="F29" i="5" s="1"/>
  <c r="B30" i="5" s="1"/>
  <c r="D30" i="5" l="1"/>
  <c r="C30" i="5" l="1"/>
  <c r="D31" i="5"/>
  <c r="E65" i="2" l="1"/>
  <c r="E65" i="1"/>
  <c r="C31" i="5"/>
  <c r="F30" i="5"/>
  <c r="E68" i="1" l="1"/>
  <c r="E69" i="1" s="1"/>
  <c r="E94" i="1" s="1"/>
  <c r="B34" i="5"/>
  <c r="E96" i="1"/>
  <c r="E96" i="2"/>
  <c r="E68" i="2"/>
  <c r="E69" i="2" s="1"/>
  <c r="E94" i="2" s="1"/>
  <c r="E71" i="2" l="1"/>
  <c r="E102" i="2" s="1"/>
  <c r="E99" i="2"/>
  <c r="E104" i="2" s="1"/>
  <c r="E106" i="2" s="1"/>
  <c r="D34" i="5"/>
  <c r="E99" i="1"/>
  <c r="E71" i="1"/>
  <c r="E102" i="1" s="1"/>
  <c r="C34" i="5" l="1"/>
  <c r="E104" i="1"/>
  <c r="E106" i="1" s="1"/>
  <c r="F34" i="5" l="1"/>
  <c r="B35" i="5" s="1"/>
  <c r="D35" i="5" l="1"/>
  <c r="C35" i="5" l="1"/>
  <c r="F35" i="5" l="1"/>
  <c r="B36" i="5" s="1"/>
  <c r="D36" i="5" l="1"/>
  <c r="C36" i="5" l="1"/>
  <c r="F36" i="5" l="1"/>
  <c r="B37" i="5" s="1"/>
  <c r="D37" i="5" l="1"/>
  <c r="C37" i="5" l="1"/>
  <c r="F37" i="5" l="1"/>
  <c r="B38" i="5" s="1"/>
  <c r="D38" i="5" l="1"/>
  <c r="C38" i="5" l="1"/>
  <c r="F38" i="5" l="1"/>
  <c r="B39" i="5" s="1"/>
  <c r="D39" i="5" l="1"/>
  <c r="C39" i="5" s="1"/>
  <c r="F39" i="5" s="1"/>
  <c r="B40" i="5" s="1"/>
  <c r="D40" i="5" l="1"/>
  <c r="C40" i="5" s="1"/>
  <c r="F40" i="5" s="1"/>
  <c r="B41" i="5" s="1"/>
  <c r="D41" i="5" l="1"/>
  <c r="C41" i="5" s="1"/>
  <c r="F41" i="5" s="1"/>
  <c r="B42" i="5" s="1"/>
  <c r="D42" i="5" l="1"/>
  <c r="C42" i="5" s="1"/>
  <c r="F42" i="5" s="1"/>
  <c r="B43" i="5" s="1"/>
  <c r="D43" i="5" l="1"/>
  <c r="C43" i="5" s="1"/>
  <c r="F43" i="5" s="1"/>
  <c r="B44" i="5" s="1"/>
  <c r="D44" i="5" l="1"/>
  <c r="C44" i="5" s="1"/>
  <c r="F44" i="5" s="1"/>
  <c r="B45" i="5" s="1"/>
  <c r="D45" i="5" l="1"/>
  <c r="C45" i="5" l="1"/>
  <c r="D46" i="5"/>
  <c r="C46" i="5" l="1"/>
  <c r="F45" i="5"/>
  <c r="F65" i="1"/>
  <c r="F65" i="2"/>
  <c r="F68" i="2" l="1"/>
  <c r="F69" i="2" s="1"/>
  <c r="F94" i="2" s="1"/>
  <c r="F68" i="1"/>
  <c r="F69" i="1" s="1"/>
  <c r="F94" i="1" s="1"/>
  <c r="B49" i="5"/>
  <c r="F96" i="1"/>
  <c r="F96" i="2"/>
  <c r="D49" i="5" l="1"/>
  <c r="F71" i="1"/>
  <c r="F102" i="1" s="1"/>
  <c r="F99" i="1"/>
  <c r="F71" i="2"/>
  <c r="F102" i="2" s="1"/>
  <c r="F99" i="2"/>
  <c r="F104" i="1" l="1"/>
  <c r="F106" i="1" s="1"/>
  <c r="F104" i="2"/>
  <c r="F106" i="2" s="1"/>
  <c r="C49" i="5"/>
  <c r="F49" i="5" l="1"/>
  <c r="B50" i="5" s="1"/>
  <c r="D50" i="5" l="1"/>
  <c r="C50" i="5" l="1"/>
  <c r="F50" i="5" l="1"/>
  <c r="B51" i="5" s="1"/>
  <c r="D51" i="5" l="1"/>
  <c r="C51" i="5" l="1"/>
  <c r="F51" i="5" l="1"/>
  <c r="B52" i="5" s="1"/>
  <c r="D52" i="5" l="1"/>
  <c r="C52" i="5" l="1"/>
  <c r="F52" i="5" l="1"/>
  <c r="B53" i="5" s="1"/>
  <c r="D53" i="5" l="1"/>
  <c r="C53" i="5" l="1"/>
  <c r="F53" i="5" l="1"/>
  <c r="B54" i="5" s="1"/>
  <c r="D54" i="5" l="1"/>
  <c r="C54" i="5" s="1"/>
  <c r="F54" i="5" s="1"/>
  <c r="B55" i="5" s="1"/>
  <c r="D55" i="5" l="1"/>
  <c r="C55" i="5" s="1"/>
  <c r="F55" i="5" s="1"/>
  <c r="B56" i="5" s="1"/>
  <c r="D56" i="5" l="1"/>
  <c r="C56" i="5" s="1"/>
  <c r="F56" i="5" s="1"/>
  <c r="B57" i="5" s="1"/>
  <c r="D57" i="5" l="1"/>
  <c r="C57" i="5" s="1"/>
  <c r="F57" i="5" s="1"/>
  <c r="B58" i="5" s="1"/>
  <c r="D58" i="5" l="1"/>
  <c r="C58" i="5" s="1"/>
  <c r="F58" i="5" s="1"/>
  <c r="B59" i="5" s="1"/>
  <c r="D59" i="5" l="1"/>
  <c r="C59" i="5" s="1"/>
  <c r="F59" i="5" s="1"/>
  <c r="B60" i="5" s="1"/>
  <c r="D60" i="5" l="1"/>
  <c r="C60" i="5" l="1"/>
  <c r="D61" i="5"/>
  <c r="G65" i="1" l="1"/>
  <c r="G65" i="2"/>
  <c r="C61" i="5"/>
  <c r="F60" i="5"/>
  <c r="G68" i="2" l="1"/>
  <c r="G69" i="2" s="1"/>
  <c r="G94" i="2" s="1"/>
  <c r="B64" i="5"/>
  <c r="G96" i="1"/>
  <c r="G96" i="2"/>
  <c r="G68" i="1"/>
  <c r="G69" i="1" s="1"/>
  <c r="G94" i="1" s="1"/>
  <c r="G71" i="1" l="1"/>
  <c r="G102" i="1" s="1"/>
  <c r="G71" i="2"/>
  <c r="G102" i="2" s="1"/>
  <c r="G99" i="1"/>
  <c r="G104" i="1" s="1"/>
  <c r="G106" i="1" s="1"/>
  <c r="D64" i="5"/>
  <c r="G99" i="2"/>
  <c r="G104" i="2" s="1"/>
  <c r="G106" i="2" s="1"/>
  <c r="C64" i="5" l="1"/>
  <c r="F64" i="5" l="1"/>
  <c r="B65" i="5" s="1"/>
  <c r="D65" i="5" l="1"/>
  <c r="C65" i="5" l="1"/>
  <c r="F65" i="5" l="1"/>
  <c r="B66" i="5" s="1"/>
  <c r="D66" i="5" l="1"/>
  <c r="C66" i="5" l="1"/>
  <c r="F66" i="5" l="1"/>
  <c r="B67" i="5" s="1"/>
  <c r="D67" i="5" l="1"/>
  <c r="C67" i="5" l="1"/>
  <c r="F67" i="5" l="1"/>
  <c r="B68" i="5" s="1"/>
  <c r="D68" i="5" l="1"/>
  <c r="C68" i="5" l="1"/>
  <c r="F68" i="5" l="1"/>
  <c r="B69" i="5" s="1"/>
  <c r="D69" i="5" l="1"/>
  <c r="C69" i="5" s="1"/>
  <c r="F69" i="5" s="1"/>
  <c r="B70" i="5" s="1"/>
  <c r="D70" i="5" l="1"/>
  <c r="C70" i="5" s="1"/>
  <c r="F70" i="5" s="1"/>
  <c r="B71" i="5" s="1"/>
  <c r="D71" i="5" l="1"/>
  <c r="C71" i="5" s="1"/>
  <c r="F71" i="5" s="1"/>
  <c r="B72" i="5" s="1"/>
  <c r="D72" i="5" l="1"/>
  <c r="C72" i="5" s="1"/>
  <c r="F72" i="5" s="1"/>
  <c r="B73" i="5" s="1"/>
  <c r="D73" i="5" l="1"/>
  <c r="C73" i="5" s="1"/>
  <c r="F73" i="5" s="1"/>
  <c r="B74" i="5" s="1"/>
  <c r="D74" i="5" l="1"/>
  <c r="C74" i="5" s="1"/>
  <c r="F74" i="5" s="1"/>
  <c r="B75" i="5" s="1"/>
  <c r="D75" i="5" l="1"/>
  <c r="C75" i="5" l="1"/>
  <c r="D76" i="5"/>
  <c r="H65" i="2" l="1"/>
  <c r="H65" i="1"/>
  <c r="C76" i="5"/>
  <c r="F75" i="5"/>
  <c r="H68" i="1" l="1"/>
  <c r="H69" i="1" s="1"/>
  <c r="H94" i="1" s="1"/>
  <c r="B79" i="5"/>
  <c r="H96" i="1"/>
  <c r="H96" i="2"/>
  <c r="H68" i="2"/>
  <c r="H69" i="2" s="1"/>
  <c r="H94" i="2" s="1"/>
  <c r="H71" i="2" l="1"/>
  <c r="H102" i="2" s="1"/>
  <c r="D79" i="5"/>
  <c r="H99" i="1"/>
  <c r="H99" i="2"/>
  <c r="H104" i="2" s="1"/>
  <c r="H106" i="2" s="1"/>
  <c r="H71" i="1"/>
  <c r="H102" i="1" s="1"/>
  <c r="C79" i="5" l="1"/>
  <c r="H104" i="1"/>
  <c r="H106" i="1" s="1"/>
  <c r="F79" i="5" l="1"/>
  <c r="B80" i="5" s="1"/>
  <c r="D80" i="5" l="1"/>
  <c r="C80" i="5" l="1"/>
  <c r="F80" i="5" l="1"/>
  <c r="B81" i="5" s="1"/>
  <c r="D81" i="5" l="1"/>
  <c r="C81" i="5" l="1"/>
  <c r="F81" i="5" l="1"/>
  <c r="B82" i="5" s="1"/>
  <c r="D82" i="5" l="1"/>
  <c r="C82" i="5" l="1"/>
  <c r="F82" i="5" l="1"/>
  <c r="B83" i="5" s="1"/>
  <c r="D83" i="5" l="1"/>
  <c r="C83" i="5" l="1"/>
  <c r="F83" i="5" l="1"/>
  <c r="B84" i="5" s="1"/>
  <c r="D84" i="5" l="1"/>
  <c r="C84" i="5" s="1"/>
  <c r="F84" i="5" s="1"/>
  <c r="B85" i="5" s="1"/>
  <c r="D85" i="5" l="1"/>
  <c r="C85" i="5" s="1"/>
  <c r="F85" i="5" s="1"/>
  <c r="B86" i="5" s="1"/>
  <c r="D86" i="5" l="1"/>
  <c r="C86" i="5" s="1"/>
  <c r="F86" i="5" s="1"/>
  <c r="B87" i="5" s="1"/>
  <c r="D87" i="5" l="1"/>
  <c r="C87" i="5" s="1"/>
  <c r="F87" i="5" s="1"/>
  <c r="B88" i="5" s="1"/>
  <c r="D88" i="5" l="1"/>
  <c r="C88" i="5" s="1"/>
  <c r="F88" i="5" s="1"/>
  <c r="B89" i="5" s="1"/>
  <c r="D89" i="5" l="1"/>
  <c r="C89" i="5" s="1"/>
  <c r="F89" i="5" s="1"/>
  <c r="B90" i="5" s="1"/>
  <c r="D90" i="5" l="1"/>
  <c r="C90" i="5" l="1"/>
  <c r="D91" i="5"/>
  <c r="C91" i="5" l="1"/>
  <c r="F90" i="5"/>
  <c r="I65" i="1"/>
  <c r="I65" i="2"/>
  <c r="I68" i="2" l="1"/>
  <c r="I69" i="2" s="1"/>
  <c r="I94" i="2" s="1"/>
  <c r="I68" i="1"/>
  <c r="I69" i="1" s="1"/>
  <c r="I94" i="1" s="1"/>
  <c r="I96" i="1"/>
  <c r="B94" i="5"/>
  <c r="I96" i="2"/>
  <c r="I71" i="1" l="1"/>
  <c r="I102" i="1" s="1"/>
  <c r="I99" i="1"/>
  <c r="D94" i="5"/>
  <c r="I71" i="2"/>
  <c r="I102" i="2" s="1"/>
  <c r="I99" i="2"/>
  <c r="I104" i="1" l="1"/>
  <c r="I106" i="1" s="1"/>
  <c r="C94" i="5"/>
  <c r="I104" i="2"/>
  <c r="I106" i="2" s="1"/>
  <c r="F94" i="5" l="1"/>
  <c r="B95" i="5" s="1"/>
  <c r="D95" i="5" l="1"/>
  <c r="C95" i="5" l="1"/>
  <c r="F95" i="5" l="1"/>
  <c r="B96" i="5" s="1"/>
  <c r="D96" i="5" l="1"/>
  <c r="C96" i="5" l="1"/>
  <c r="F96" i="5" l="1"/>
  <c r="B97" i="5" s="1"/>
  <c r="D97" i="5" l="1"/>
  <c r="C97" i="5" l="1"/>
  <c r="F97" i="5" l="1"/>
  <c r="B98" i="5" s="1"/>
  <c r="D98" i="5" l="1"/>
  <c r="C98" i="5" l="1"/>
  <c r="F98" i="5" l="1"/>
  <c r="B99" i="5" s="1"/>
  <c r="D99" i="5" l="1"/>
  <c r="C99" i="5" s="1"/>
  <c r="F99" i="5" s="1"/>
  <c r="B100" i="5" s="1"/>
  <c r="D100" i="5" l="1"/>
  <c r="C100" i="5" s="1"/>
  <c r="F100" i="5" s="1"/>
  <c r="B101" i="5" s="1"/>
  <c r="D101" i="5" l="1"/>
  <c r="C101" i="5" s="1"/>
  <c r="F101" i="5" s="1"/>
  <c r="B102" i="5" s="1"/>
  <c r="D102" i="5" l="1"/>
  <c r="C102" i="5" s="1"/>
  <c r="F102" i="5" s="1"/>
  <c r="B103" i="5" s="1"/>
  <c r="D103" i="5" l="1"/>
  <c r="C103" i="5" s="1"/>
  <c r="F103" i="5" s="1"/>
  <c r="B104" i="5" s="1"/>
  <c r="D104" i="5" l="1"/>
  <c r="C104" i="5" s="1"/>
  <c r="F104" i="5" s="1"/>
  <c r="B105" i="5" s="1"/>
  <c r="D105" i="5" l="1"/>
  <c r="C105" i="5" l="1"/>
  <c r="D106" i="5"/>
  <c r="J65" i="2" l="1"/>
  <c r="J65" i="1"/>
  <c r="C106" i="5"/>
  <c r="F105" i="5"/>
  <c r="J68" i="1" l="1"/>
  <c r="J69" i="1" s="1"/>
  <c r="J94" i="1" s="1"/>
  <c r="B109" i="5"/>
  <c r="J96" i="2"/>
  <c r="J96" i="1"/>
  <c r="J68" i="2"/>
  <c r="J69" i="2" s="1"/>
  <c r="J94" i="2" s="1"/>
  <c r="J71" i="2" l="1"/>
  <c r="J102" i="2" s="1"/>
  <c r="D109" i="5"/>
  <c r="J99" i="1"/>
  <c r="J99" i="2"/>
  <c r="J71" i="1"/>
  <c r="J102" i="1" s="1"/>
  <c r="J104" i="2" l="1"/>
  <c r="J106" i="2" s="1"/>
  <c r="C109" i="5"/>
  <c r="J104" i="1"/>
  <c r="J106" i="1" s="1"/>
  <c r="F109" i="5" l="1"/>
  <c r="B110" i="5" s="1"/>
  <c r="D110" i="5" l="1"/>
  <c r="C110" i="5" l="1"/>
  <c r="F110" i="5" l="1"/>
  <c r="B111" i="5" s="1"/>
  <c r="D111" i="5" l="1"/>
  <c r="C111" i="5" l="1"/>
  <c r="F111" i="5" l="1"/>
  <c r="B112" i="5" s="1"/>
  <c r="D112" i="5" l="1"/>
  <c r="C112" i="5" l="1"/>
  <c r="F112" i="5" l="1"/>
  <c r="B113" i="5" s="1"/>
  <c r="D113" i="5" l="1"/>
  <c r="C113" i="5" l="1"/>
  <c r="F113" i="5" l="1"/>
  <c r="B114" i="5" s="1"/>
  <c r="D114" i="5" l="1"/>
  <c r="C114" i="5" s="1"/>
  <c r="F114" i="5" s="1"/>
  <c r="B115" i="5" s="1"/>
  <c r="D115" i="5" l="1"/>
  <c r="C115" i="5" s="1"/>
  <c r="F115" i="5" s="1"/>
  <c r="B116" i="5" s="1"/>
  <c r="D116" i="5" l="1"/>
  <c r="C116" i="5" s="1"/>
  <c r="F116" i="5" s="1"/>
  <c r="B117" i="5" s="1"/>
  <c r="D117" i="5" l="1"/>
  <c r="C117" i="5" s="1"/>
  <c r="F117" i="5" s="1"/>
  <c r="B118" i="5" s="1"/>
  <c r="D118" i="5" l="1"/>
  <c r="C118" i="5" s="1"/>
  <c r="F118" i="5" s="1"/>
  <c r="B119" i="5" s="1"/>
  <c r="D119" i="5" l="1"/>
  <c r="C119" i="5" s="1"/>
  <c r="F119" i="5" s="1"/>
  <c r="B120" i="5" s="1"/>
  <c r="D120" i="5" l="1"/>
  <c r="C120" i="5" l="1"/>
  <c r="D121" i="5"/>
  <c r="C121" i="5" l="1"/>
  <c r="F120" i="5"/>
  <c r="K65" i="2"/>
  <c r="K65" i="1"/>
  <c r="K68" i="2" l="1"/>
  <c r="K69" i="2" s="1"/>
  <c r="K94" i="2" s="1"/>
  <c r="K68" i="1"/>
  <c r="K69" i="1" s="1"/>
  <c r="K94" i="1" s="1"/>
  <c r="B124" i="5"/>
  <c r="K96" i="1"/>
  <c r="K96" i="2"/>
  <c r="K71" i="2" l="1"/>
  <c r="K102" i="2" s="1"/>
  <c r="K99" i="1"/>
  <c r="K71" i="1"/>
  <c r="K102" i="1" s="1"/>
  <c r="D124" i="5"/>
  <c r="K99" i="2"/>
  <c r="K104" i="2" l="1"/>
  <c r="K106" i="2" s="1"/>
  <c r="K104" i="1"/>
  <c r="K106" i="1" s="1"/>
  <c r="C124" i="5"/>
  <c r="F124" i="5" l="1"/>
  <c r="B125" i="5" s="1"/>
  <c r="D125" i="5" l="1"/>
  <c r="C125" i="5" l="1"/>
  <c r="F125" i="5" l="1"/>
  <c r="B126" i="5" s="1"/>
  <c r="D126" i="5" l="1"/>
  <c r="C126" i="5" l="1"/>
  <c r="F126" i="5" l="1"/>
  <c r="B127" i="5" s="1"/>
  <c r="D127" i="5" l="1"/>
  <c r="C127" i="5" l="1"/>
  <c r="F127" i="5" l="1"/>
  <c r="B128" i="5" s="1"/>
  <c r="D128" i="5" l="1"/>
  <c r="C128" i="5" l="1"/>
  <c r="F128" i="5" l="1"/>
  <c r="B129" i="5" s="1"/>
  <c r="D129" i="5" l="1"/>
  <c r="C129" i="5" s="1"/>
  <c r="F129" i="5" s="1"/>
  <c r="B130" i="5" s="1"/>
  <c r="D130" i="5" l="1"/>
  <c r="C130" i="5" s="1"/>
  <c r="F130" i="5" s="1"/>
  <c r="B131" i="5" s="1"/>
  <c r="D131" i="5" l="1"/>
  <c r="C131" i="5" s="1"/>
  <c r="F131" i="5" s="1"/>
  <c r="B132" i="5" s="1"/>
  <c r="D132" i="5" l="1"/>
  <c r="C132" i="5" s="1"/>
  <c r="F132" i="5" s="1"/>
  <c r="B133" i="5" s="1"/>
  <c r="D133" i="5" l="1"/>
  <c r="C133" i="5" s="1"/>
  <c r="F133" i="5" s="1"/>
  <c r="B134" i="5" s="1"/>
  <c r="D134" i="5" l="1"/>
  <c r="C134" i="5" s="1"/>
  <c r="F134" i="5" s="1"/>
  <c r="B135" i="5" s="1"/>
  <c r="D135" i="5" l="1"/>
  <c r="C135" i="5" l="1"/>
  <c r="D136" i="5"/>
  <c r="L65" i="2" l="1"/>
  <c r="L65" i="1"/>
  <c r="C136" i="5"/>
  <c r="F135" i="5"/>
  <c r="L68" i="1" l="1"/>
  <c r="L69" i="1" s="1"/>
  <c r="L94" i="1" s="1"/>
  <c r="B139" i="5"/>
  <c r="L96" i="1"/>
  <c r="L96" i="2"/>
  <c r="L68" i="2"/>
  <c r="L69" i="2" s="1"/>
  <c r="L94" i="2" s="1"/>
  <c r="L71" i="2" l="1"/>
  <c r="L102" i="2" s="1"/>
  <c r="D139" i="5"/>
  <c r="L99" i="1"/>
  <c r="L99" i="2"/>
  <c r="L71" i="1"/>
  <c r="L102" i="1" s="1"/>
  <c r="L104" i="2" l="1"/>
  <c r="L106" i="2" s="1"/>
  <c r="L104" i="1"/>
  <c r="L106" i="1" s="1"/>
  <c r="C139" i="5"/>
  <c r="F139" i="5" l="1"/>
  <c r="B140" i="5" s="1"/>
  <c r="D140" i="5" l="1"/>
  <c r="C140" i="5" l="1"/>
  <c r="F140" i="5" l="1"/>
  <c r="B141" i="5" s="1"/>
  <c r="D141" i="5" l="1"/>
  <c r="C141" i="5" l="1"/>
  <c r="F141" i="5" l="1"/>
  <c r="B142" i="5" s="1"/>
  <c r="D142" i="5" l="1"/>
  <c r="C142" i="5" l="1"/>
  <c r="F142" i="5" l="1"/>
  <c r="B143" i="5" s="1"/>
  <c r="D143" i="5" l="1"/>
  <c r="C143" i="5" l="1"/>
  <c r="F143" i="5" l="1"/>
  <c r="B144" i="5" s="1"/>
  <c r="D144" i="5" l="1"/>
  <c r="C144" i="5" s="1"/>
  <c r="F144" i="5" s="1"/>
  <c r="B145" i="5" s="1"/>
  <c r="D145" i="5" l="1"/>
  <c r="C145" i="5" s="1"/>
  <c r="F145" i="5" s="1"/>
  <c r="B146" i="5" s="1"/>
  <c r="D146" i="5" l="1"/>
  <c r="C146" i="5" s="1"/>
  <c r="F146" i="5" s="1"/>
  <c r="B147" i="5" s="1"/>
  <c r="D147" i="5" l="1"/>
  <c r="C147" i="5" s="1"/>
  <c r="F147" i="5" s="1"/>
  <c r="B148" i="5" s="1"/>
  <c r="D148" i="5" l="1"/>
  <c r="C148" i="5" s="1"/>
  <c r="F148" i="5" s="1"/>
  <c r="B149" i="5" s="1"/>
  <c r="D149" i="5" l="1"/>
  <c r="C149" i="5" s="1"/>
  <c r="F149" i="5" s="1"/>
  <c r="B150" i="5" s="1"/>
  <c r="D150" i="5" l="1"/>
  <c r="C150" i="5" l="1"/>
  <c r="D151" i="5"/>
  <c r="C151" i="5" l="1"/>
  <c r="F150" i="5"/>
  <c r="M65" i="1"/>
  <c r="M65" i="2"/>
  <c r="M68" i="2" l="1"/>
  <c r="M69" i="2" s="1"/>
  <c r="M94" i="2" s="1"/>
  <c r="M68" i="1"/>
  <c r="M69" i="1" s="1"/>
  <c r="M94" i="1" s="1"/>
  <c r="M96" i="1"/>
  <c r="N96" i="1" s="1"/>
  <c r="M96" i="2"/>
  <c r="N96" i="2" s="1"/>
  <c r="M99" i="1" l="1"/>
  <c r="M99" i="2"/>
  <c r="N98" i="2"/>
  <c r="Q118" i="2"/>
  <c r="M71" i="2"/>
  <c r="M102" i="2" s="1"/>
  <c r="N102" i="2" s="1"/>
  <c r="N103" i="2" s="1"/>
  <c r="Q122" i="2" s="1"/>
  <c r="M71" i="1"/>
  <c r="M102" i="1" s="1"/>
  <c r="N102" i="1" s="1"/>
  <c r="N103" i="1" s="1"/>
  <c r="Q122" i="1" s="1"/>
  <c r="N98" i="1"/>
  <c r="Q118" i="1"/>
  <c r="M104" i="1" l="1"/>
  <c r="M106" i="1" s="1"/>
  <c r="Q124" i="1"/>
  <c r="M104" i="2"/>
  <c r="M106" i="2" s="1"/>
  <c r="Q124" i="2"/>
  <c r="R122" i="2" s="1"/>
  <c r="R118" i="2" l="1"/>
  <c r="R120" i="1"/>
  <c r="U120" i="1" s="1"/>
  <c r="R124" i="1"/>
  <c r="R120" i="2"/>
  <c r="U120" i="2" s="1"/>
  <c r="R124" i="2"/>
  <c r="R118" i="1"/>
  <c r="R122" i="1"/>
  <c r="U118" i="1" l="1"/>
  <c r="X119" i="1"/>
  <c r="X123" i="1" s="1"/>
  <c r="S122" i="1" s="1"/>
  <c r="T122" i="1" s="1"/>
  <c r="U122" i="1" s="1"/>
  <c r="X119" i="2"/>
  <c r="U118" i="2"/>
  <c r="C157" i="2" l="1"/>
  <c r="X123" i="2"/>
  <c r="S122" i="2" s="1"/>
  <c r="T122" i="2" s="1"/>
  <c r="U122" i="2" s="1"/>
  <c r="U124" i="2" s="1"/>
  <c r="C142" i="2" s="1"/>
  <c r="U124" i="1"/>
  <c r="C142" i="1" s="1"/>
  <c r="C153" i="1" l="1" a="1"/>
  <c r="C153" i="1" s="1"/>
  <c r="C155" i="1" s="1"/>
  <c r="C162" i="1" a="1"/>
  <c r="C162" i="1" s="1"/>
  <c r="C164" i="1" s="1"/>
  <c r="C171" i="1" a="1"/>
  <c r="C171" i="1" s="1"/>
  <c r="C173" i="1" s="1"/>
  <c r="C144" i="1" a="1"/>
  <c r="C144" i="1" s="1"/>
  <c r="C166" i="2"/>
  <c r="A171" i="2" s="1"/>
  <c r="F171" i="2" s="1"/>
  <c r="C144" i="2" a="1"/>
  <c r="C144" i="2" s="1"/>
  <c r="C154" i="2" s="1"/>
  <c r="C153" i="2"/>
</calcChain>
</file>

<file path=xl/sharedStrings.xml><?xml version="1.0" encoding="utf-8"?>
<sst xmlns="http://schemas.openxmlformats.org/spreadsheetml/2006/main" count="602" uniqueCount="195">
  <si>
    <t>Areas</t>
  </si>
  <si>
    <t>Bentonville</t>
  </si>
  <si>
    <t>Rogers</t>
  </si>
  <si>
    <t>Springdale</t>
  </si>
  <si>
    <t>fayetteville</t>
  </si>
  <si>
    <t>Bella Vista</t>
  </si>
  <si>
    <t>Surrounding areas</t>
  </si>
  <si>
    <t>Total Population</t>
  </si>
  <si>
    <t>Rev per person</t>
  </si>
  <si>
    <t>Population</t>
  </si>
  <si>
    <t>Assumptions</t>
  </si>
  <si>
    <t>Year 1</t>
  </si>
  <si>
    <t>Year 2</t>
  </si>
  <si>
    <t>Year 3</t>
  </si>
  <si>
    <t>Year 4</t>
  </si>
  <si>
    <t>Year 5</t>
  </si>
  <si>
    <t>Year 6</t>
  </si>
  <si>
    <t>Year 7</t>
  </si>
  <si>
    <t>Year 8</t>
  </si>
  <si>
    <t>Year 9</t>
  </si>
  <si>
    <t>Year 10</t>
  </si>
  <si>
    <t>Total Area Pop</t>
  </si>
  <si>
    <t>IRR</t>
  </si>
  <si>
    <t>Benton County Pop</t>
  </si>
  <si>
    <t>Rev per person in Total Area at current rate</t>
  </si>
  <si>
    <t>Adjusted rev per person</t>
  </si>
  <si>
    <t>NPV of FCF</t>
  </si>
  <si>
    <t>Rev for Total Area Pop</t>
  </si>
  <si>
    <t>Commercial Revenue Mix</t>
  </si>
  <si>
    <t>Residential Revenue Mix</t>
  </si>
  <si>
    <t>Number of Employees</t>
  </si>
  <si>
    <t>Average Industry Salary</t>
  </si>
  <si>
    <t>Employee Pay</t>
  </si>
  <si>
    <t>Number of Trucks</t>
  </si>
  <si>
    <t>Cost of a Truck</t>
  </si>
  <si>
    <t>Total Truck</t>
  </si>
  <si>
    <t>Exercise Price</t>
  </si>
  <si>
    <t xml:space="preserve">Building  </t>
  </si>
  <si>
    <t>Building Cost</t>
  </si>
  <si>
    <t>Land Cost</t>
  </si>
  <si>
    <t>Building Depreciation Life</t>
  </si>
  <si>
    <t>Vehicle life</t>
  </si>
  <si>
    <t>Ratios</t>
  </si>
  <si>
    <t>Cash Flows if Exercised</t>
  </si>
  <si>
    <t>Revenue per Person</t>
  </si>
  <si>
    <t>Wages and Salaries</t>
  </si>
  <si>
    <t>NPV</t>
  </si>
  <si>
    <t>Total Cost of Trucks</t>
  </si>
  <si>
    <t>Profit Margin</t>
  </si>
  <si>
    <t xml:space="preserve">Days Accounts Receivable </t>
  </si>
  <si>
    <t>Days Accounts Payable</t>
  </si>
  <si>
    <t>Days of Inventory</t>
  </si>
  <si>
    <t>S</t>
  </si>
  <si>
    <t>Repairs/revenue</t>
  </si>
  <si>
    <t>X</t>
  </si>
  <si>
    <t>Supplies/Revenue</t>
  </si>
  <si>
    <t>t</t>
  </si>
  <si>
    <t>STDEV(%)</t>
  </si>
  <si>
    <t>r</t>
  </si>
  <si>
    <t>VALUE</t>
  </si>
  <si>
    <t>Travel/Revenue</t>
  </si>
  <si>
    <t>General/Admin</t>
  </si>
  <si>
    <t>Selling/Revenue</t>
  </si>
  <si>
    <t>Acccounts Payable/COGS</t>
  </si>
  <si>
    <t>Taxable rate</t>
  </si>
  <si>
    <t>common stock/assets</t>
  </si>
  <si>
    <t>cash/revenue</t>
  </si>
  <si>
    <t>Interest Expense</t>
  </si>
  <si>
    <t>Income Statement</t>
  </si>
  <si>
    <t>Revenue</t>
  </si>
  <si>
    <t>Residential Properties</t>
  </si>
  <si>
    <t>For Total Revenue, we took an assumption from the listing that stated that it was reasonable to assume that Squeegee Squad would make $1.00 of revenue per population of NorthWest Arkansas. We thought this was an interesting statement and assumed that this would be too high in the beginning. We said--taking this same relationship--that revenue would start as $0.65 per population that would then in crease to $1.00 of revenue per population in our 10th year.</t>
  </si>
  <si>
    <t>Commercial Properties</t>
  </si>
  <si>
    <t>Total Revenues</t>
  </si>
  <si>
    <t>Costs of Goods Sold</t>
  </si>
  <si>
    <t>Repairs &amp; Maintenance</t>
  </si>
  <si>
    <t>Supplies</t>
  </si>
  <si>
    <t>Travel Expense</t>
  </si>
  <si>
    <t>Total Cost of Goods Sold</t>
  </si>
  <si>
    <t>Gross Profit</t>
  </si>
  <si>
    <t>Operating Expenses</t>
  </si>
  <si>
    <t>General and Administrative</t>
  </si>
  <si>
    <t>Salaries and Wages Expense</t>
  </si>
  <si>
    <t>Selling and Marketing</t>
  </si>
  <si>
    <t>Total Operating Expenses</t>
  </si>
  <si>
    <t>For Salaries and Wages Expense, we searched for industry averages for window washers and saw that the national average is $13.00. We took this number and used it mutliplied by our total employees (4) by hours worked in a year.</t>
  </si>
  <si>
    <t>Operating Profit</t>
  </si>
  <si>
    <t>Depreciation-Buildings</t>
  </si>
  <si>
    <t>Depreciation- Equipment</t>
  </si>
  <si>
    <t>Interest Expense - Mortgage Loan</t>
  </si>
  <si>
    <t>Interest Expense - Extra Loans</t>
  </si>
  <si>
    <t>Taxable Income</t>
  </si>
  <si>
    <t>Income Tax</t>
  </si>
  <si>
    <t>Net Income</t>
  </si>
  <si>
    <t>BALANCE SHEET</t>
  </si>
  <si>
    <t>Assets</t>
  </si>
  <si>
    <t>For the Accounts Receivable line item we assumed that Days of Receivables is 23.2 days. We researched what industry averages are for this type of business and also took into account that 40% of the services offered were for commercial properties who would prefer to pay in a receivable type basis. Also with industries such as Window Washing it would not be uncommon to function with Invoices which would approximate a month's delay between services rendered and revenue received.</t>
  </si>
  <si>
    <t>Minimum Cash</t>
  </si>
  <si>
    <t>Extra Cash</t>
  </si>
  <si>
    <t>Accounts Receivable</t>
  </si>
  <si>
    <t>Inventory</t>
  </si>
  <si>
    <t>Total Current Assets</t>
  </si>
  <si>
    <t xml:space="preserve">Land </t>
  </si>
  <si>
    <t>Buildings and Fixtures</t>
  </si>
  <si>
    <t>Equipment</t>
  </si>
  <si>
    <t>Less: Accumulated Depreciation-Buildings</t>
  </si>
  <si>
    <t>Less: Accumulated Depreciation-Equipment</t>
  </si>
  <si>
    <t>Total Long Term Assets</t>
  </si>
  <si>
    <t>Total Assets</t>
  </si>
  <si>
    <t>Liabilities and Shareholders Equity</t>
  </si>
  <si>
    <t>The building cost of $240,000 was determined by the cost per foot in the area and the assumed company needs. From there we came up with the mortgage amount and also found that the average mortgage time for this kind of building is 27.5 years. These numbers were used as imputs for the amorization table.</t>
  </si>
  <si>
    <t>Accounts Payable</t>
  </si>
  <si>
    <t>Income Taxes Payable</t>
  </si>
  <si>
    <t>Mortgage Loan on Buildings</t>
  </si>
  <si>
    <t>Extra Loans</t>
  </si>
  <si>
    <t>Total Liabilities</t>
  </si>
  <si>
    <t>Common Stock Equivalent</t>
  </si>
  <si>
    <t>Retained Earnings</t>
  </si>
  <si>
    <t>Total Liabilities and Shareholder Equity</t>
  </si>
  <si>
    <t>DFN</t>
  </si>
  <si>
    <t>FREE CASH FLOWS</t>
  </si>
  <si>
    <t>Year 0</t>
  </si>
  <si>
    <t>Cash From Operations</t>
  </si>
  <si>
    <t>Less: Depreciation</t>
  </si>
  <si>
    <t>Taxable Operating Profit</t>
  </si>
  <si>
    <t>Taxes on Operations</t>
  </si>
  <si>
    <t>Tax Rate</t>
  </si>
  <si>
    <t>Total Cash from Operations</t>
  </si>
  <si>
    <t>Cash from Changes in Balance Sheet</t>
  </si>
  <si>
    <t>ENTIRE CORP</t>
  </si>
  <si>
    <t>Value</t>
  </si>
  <si>
    <t>Proportion</t>
  </si>
  <si>
    <t>Rate</t>
  </si>
  <si>
    <t>Tax Adjusted</t>
  </si>
  <si>
    <t>Weighted</t>
  </si>
  <si>
    <t>Working Capital</t>
  </si>
  <si>
    <t>Unlevered Beta</t>
  </si>
  <si>
    <t>(+)</t>
  </si>
  <si>
    <t>Minimum Cash Balance</t>
  </si>
  <si>
    <t>$ -</t>
  </si>
  <si>
    <t>Relevered Beta</t>
  </si>
  <si>
    <t>T-Bills</t>
  </si>
  <si>
    <t>WACC</t>
  </si>
  <si>
    <t>Equity</t>
  </si>
  <si>
    <t>S&amp;P 500 return</t>
  </si>
  <si>
    <t>(-)</t>
  </si>
  <si>
    <t>Accounts Payable (COGS Expense)</t>
  </si>
  <si>
    <t>RETURN EQUITY WANTS</t>
  </si>
  <si>
    <t>TOTAL</t>
  </si>
  <si>
    <t>Fixed Assets</t>
  </si>
  <si>
    <t>Land</t>
  </si>
  <si>
    <t>We decided to have a gain of $3,000 on land because of the prime location whre Squeegee Squad is located. It is close to all of its customers, and has great potential to be bought and changed into another company if sold. We also gave an adjustment for sale of $15,000 for the buildings becuase of how useful the building is. It is a warehouse/office/garage type building that could be converted into several different businesses. For equipment, we had an adjustment of sale for -$2,500 becuase the wear and tear that would occur from use.</t>
  </si>
  <si>
    <t>Adjustment for Sale</t>
  </si>
  <si>
    <t>Book</t>
  </si>
  <si>
    <t>Taxes on Sale</t>
  </si>
  <si>
    <t>Gain</t>
  </si>
  <si>
    <t>Buildings</t>
  </si>
  <si>
    <t>Goodwill At Purchase</t>
  </si>
  <si>
    <t>Total Free Cash Flows</t>
  </si>
  <si>
    <t xml:space="preserve">Two facts that can justify th4e Goodwill at purchase would be the fact that Squeegee Squad is a world wide brand. Squeegee Squad is located all throughout the country and brings with it its reputable presence in every city. Another fact is that this store has been in Arkansas received the Thumbtack Best of 2016 Award stating that they are the best window cleaning service in Arkansas for that year. Squeegee Squad is highly known and highly favored.                                                                                                                                       </t>
  </si>
  <si>
    <t>BLACK SCHOLES METHOD</t>
  </si>
  <si>
    <t>WACC of Forecast</t>
  </si>
  <si>
    <t>T-Bill Rate</t>
  </si>
  <si>
    <t>DECISION TREE METHOD</t>
  </si>
  <si>
    <t>OPTION TO EXPAND THE COMPANY IN 4 YEARS</t>
  </si>
  <si>
    <t>Expand GOOD</t>
  </si>
  <si>
    <t>Probability</t>
  </si>
  <si>
    <t>EXPECTED VALUE</t>
  </si>
  <si>
    <t>Black-Sholes Computation Area:</t>
  </si>
  <si>
    <t>Expand FAIL</t>
  </si>
  <si>
    <t>SELL BUSINESS</t>
  </si>
  <si>
    <t>Beg Balance</t>
  </si>
  <si>
    <t>Principal</t>
  </si>
  <si>
    <t xml:space="preserve">Interest </t>
  </si>
  <si>
    <t>Payment</t>
  </si>
  <si>
    <t>End Balance</t>
  </si>
  <si>
    <t>Jan</t>
  </si>
  <si>
    <t>Per Rate</t>
  </si>
  <si>
    <t>Feb</t>
  </si>
  <si>
    <t>FV</t>
  </si>
  <si>
    <t>Mar</t>
  </si>
  <si>
    <t>Years</t>
  </si>
  <si>
    <t>Apr</t>
  </si>
  <si>
    <t>Per</t>
  </si>
  <si>
    <t>May</t>
  </si>
  <si>
    <t>Type</t>
  </si>
  <si>
    <t>Jun</t>
  </si>
  <si>
    <t>PV</t>
  </si>
  <si>
    <t>Jul</t>
  </si>
  <si>
    <t>Aug</t>
  </si>
  <si>
    <t>Sep</t>
  </si>
  <si>
    <t>Oct</t>
  </si>
  <si>
    <t>Nov</t>
  </si>
  <si>
    <t>Dec</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</si>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</sst>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 #,##0_);_(\$* \(#,##0\);_(\$* \-??_);_(@_)"/>
    <numFmt numFmtId="165" formatCode="&quot;$&quot;#,##0.00"/>
    <numFmt numFmtId="166" formatCode="&quot;$&quot;#,##0"/>
    <numFmt numFmtId="167" formatCode="_(\$* #,##0.00_);_(\$* \(#,##0.00\);_(\$* \-??_);_(@_)"/>
    <numFmt numFmtId="168" formatCode="_(&quot;$&quot;* #,##0_);_(&quot;$&quot;* \(#,##0\);_(&quot;$&quot;* &quot;-&quot;??_);_(@_)"/>
    <numFmt numFmtId="169" formatCode="0.0000%"/>
    <numFmt numFmtId="170" formatCode="[$$-409]#,##0.00;[Red]\-[$$-409]#,##0.00"/>
  </numFmts>
  <fonts count="19" x14ac:knownFonts="1">
    <font>
      <sz val="12"/>
      <color rgb="FF000000"/>
      <name val="Calibri"/>
    </font>
    <font>
      <sz val="12"/>
      <name val="Calibri"/>
    </font>
    <font>
      <sz val="12"/>
      <name val="Arial"/>
    </font>
    <font>
      <sz val="12"/>
      <color rgb="FF222222"/>
      <name val="Calibri"/>
    </font>
    <font>
      <sz val="11"/>
      <color rgb="FF000000"/>
      <name val="Calibri"/>
    </font>
    <font>
      <b/>
      <sz val="12"/>
      <color rgb="FF000000"/>
      <name val="Arial"/>
    </font>
    <font>
      <b/>
      <sz val="12"/>
      <name val="Calibri"/>
    </font>
    <font>
      <sz val="12"/>
      <name val="Calibri"/>
    </font>
    <font>
      <b/>
      <sz val="12"/>
      <name val="Arial"/>
    </font>
    <font>
      <b/>
      <sz val="11"/>
      <color rgb="FF000000"/>
      <name val="Calibri"/>
    </font>
    <font>
      <b/>
      <sz val="11"/>
      <color rgb="FF000000"/>
      <name val="Arial"/>
    </font>
    <font>
      <b/>
      <sz val="12"/>
      <name val="Calibri"/>
    </font>
    <font>
      <b/>
      <i/>
      <sz val="12"/>
      <name val="Calibri"/>
    </font>
    <font>
      <sz val="11"/>
      <name val="Arial"/>
    </font>
    <font>
      <sz val="11"/>
      <color rgb="FF000000"/>
      <name val="Arial"/>
    </font>
    <font>
      <b/>
      <sz val="11"/>
      <name val="Arial"/>
    </font>
    <font>
      <sz val="12"/>
      <color rgb="FF000000"/>
      <name val="Calibri"/>
      <family val="2"/>
    </font>
    <font>
      <sz val="12"/>
      <name val="Calibri"/>
      <family val="2"/>
    </font>
    <font>
      <sz val="11"/>
      <name val="Arial"/>
      <family val="2"/>
    </font>
  </fonts>
  <fills count="7">
    <fill>
      <patternFill patternType="none"/>
    </fill>
    <fill>
      <patternFill patternType="gray125"/>
    </fill>
    <fill>
      <patternFill patternType="solid">
        <fgColor rgb="FFD9EAD3"/>
        <bgColor rgb="FFD9EAD3"/>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FFE599"/>
        <bgColor rgb="FFFFE599"/>
      </patternFill>
    </fill>
  </fills>
  <borders count="7">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79">
    <xf numFmtId="0" fontId="0" fillId="0" borderId="0" xfId="0"/>
    <xf numFmtId="0" fontId="1" fillId="0" borderId="0" xfId="0" applyFont="1"/>
    <xf numFmtId="0" fontId="2" fillId="0" borderId="0" xfId="0" applyFont="1"/>
    <xf numFmtId="0" fontId="2" fillId="0" borderId="2" xfId="0" applyFont="1" applyBorder="1"/>
    <xf numFmtId="3" fontId="3" fillId="0" borderId="0" xfId="0" applyNumberFormat="1" applyFont="1" applyAlignment="1">
      <alignment horizontal="left"/>
    </xf>
    <xf numFmtId="0" fontId="1" fillId="0" borderId="0" xfId="0" applyFont="1" applyAlignment="1">
      <alignment horizontal="center"/>
    </xf>
    <xf numFmtId="3" fontId="1" fillId="0" borderId="0" xfId="0" applyNumberFormat="1" applyFont="1"/>
    <xf numFmtId="165" fontId="1" fillId="0" borderId="0" xfId="0" applyNumberFormat="1" applyFont="1"/>
    <xf numFmtId="0" fontId="5" fillId="0" borderId="0" xfId="0" applyFont="1" applyAlignment="1">
      <alignment horizontal="center"/>
    </xf>
    <xf numFmtId="166" fontId="1" fillId="0" borderId="0" xfId="0" applyNumberFormat="1" applyFont="1"/>
    <xf numFmtId="167" fontId="2" fillId="0" borderId="0" xfId="0" applyNumberFormat="1" applyFont="1"/>
    <xf numFmtId="0" fontId="7" fillId="0" borderId="0" xfId="0" applyFont="1"/>
    <xf numFmtId="0" fontId="2" fillId="0" borderId="1" xfId="0" applyFont="1" applyBorder="1"/>
    <xf numFmtId="9" fontId="0" fillId="0" borderId="0" xfId="0" applyNumberFormat="1"/>
    <xf numFmtId="10" fontId="2" fillId="0" borderId="0" xfId="0" applyNumberFormat="1" applyFont="1"/>
    <xf numFmtId="166" fontId="0" fillId="0" borderId="0" xfId="0" applyNumberFormat="1"/>
    <xf numFmtId="9" fontId="2" fillId="0" borderId="0" xfId="0" applyNumberFormat="1" applyFont="1"/>
    <xf numFmtId="166" fontId="7" fillId="0" borderId="0" xfId="0" applyNumberFormat="1" applyFont="1"/>
    <xf numFmtId="164" fontId="2" fillId="0" borderId="0" xfId="0" applyNumberFormat="1" applyFont="1"/>
    <xf numFmtId="0" fontId="8" fillId="0" borderId="0" xfId="0" applyFont="1" applyAlignment="1">
      <alignment horizontal="center"/>
    </xf>
    <xf numFmtId="168" fontId="0" fillId="0" borderId="0" xfId="0" applyNumberFormat="1" applyAlignment="1">
      <alignment horizontal="right"/>
    </xf>
    <xf numFmtId="0" fontId="2" fillId="0" borderId="4" xfId="0" applyFont="1" applyBorder="1"/>
    <xf numFmtId="0" fontId="2" fillId="0" borderId="5" xfId="0" applyFont="1" applyBorder="1"/>
    <xf numFmtId="9" fontId="7" fillId="0" borderId="0" xfId="0" applyNumberFormat="1" applyFont="1"/>
    <xf numFmtId="9" fontId="1" fillId="0" borderId="0" xfId="0" applyNumberFormat="1" applyFont="1"/>
    <xf numFmtId="9" fontId="2" fillId="0" borderId="5" xfId="0" applyNumberFormat="1" applyFont="1" applyBorder="1" applyAlignment="1">
      <alignment horizontal="right"/>
    </xf>
    <xf numFmtId="164" fontId="2" fillId="0" borderId="1" xfId="0" applyNumberFormat="1" applyFont="1" applyBorder="1"/>
    <xf numFmtId="168" fontId="2" fillId="0" borderId="1" xfId="0" applyNumberFormat="1" applyFont="1" applyBorder="1"/>
    <xf numFmtId="0" fontId="6" fillId="0" borderId="0" xfId="0" applyFont="1"/>
    <xf numFmtId="168" fontId="1" fillId="0" borderId="0" xfId="0" applyNumberFormat="1" applyFont="1"/>
    <xf numFmtId="168" fontId="6" fillId="0" borderId="0" xfId="0" applyNumberFormat="1" applyFont="1"/>
    <xf numFmtId="168" fontId="7" fillId="0" borderId="0" xfId="0" applyNumberFormat="1" applyFont="1"/>
    <xf numFmtId="168" fontId="9" fillId="0" borderId="0" xfId="0" applyNumberFormat="1" applyFont="1"/>
    <xf numFmtId="168" fontId="0" fillId="0" borderId="0" xfId="0" applyNumberFormat="1"/>
    <xf numFmtId="0" fontId="9" fillId="0" borderId="0" xfId="0" applyFont="1"/>
    <xf numFmtId="168" fontId="0" fillId="3" borderId="6" xfId="0" applyNumberFormat="1" applyFill="1" applyBorder="1"/>
    <xf numFmtId="168" fontId="1" fillId="3" borderId="6" xfId="0" applyNumberFormat="1" applyFont="1" applyFill="1" applyBorder="1"/>
    <xf numFmtId="168" fontId="0" fillId="4" borderId="0" xfId="0" applyNumberFormat="1" applyFill="1"/>
    <xf numFmtId="168" fontId="11" fillId="0" borderId="0" xfId="0" applyNumberFormat="1" applyFont="1"/>
    <xf numFmtId="168" fontId="1" fillId="5" borderId="0" xfId="0" applyNumberFormat="1" applyFont="1" applyFill="1"/>
    <xf numFmtId="166" fontId="7" fillId="0" borderId="0" xfId="0" applyNumberFormat="1" applyFont="1" applyAlignment="1">
      <alignment horizontal="right"/>
    </xf>
    <xf numFmtId="10" fontId="7" fillId="0" borderId="0" xfId="0" applyNumberFormat="1" applyFont="1" applyAlignment="1">
      <alignment horizontal="right"/>
    </xf>
    <xf numFmtId="9" fontId="7" fillId="0" borderId="0" xfId="0" applyNumberFormat="1" applyFont="1" applyAlignment="1">
      <alignment horizontal="right"/>
    </xf>
    <xf numFmtId="2" fontId="7" fillId="0" borderId="0" xfId="0" applyNumberFormat="1" applyFont="1"/>
    <xf numFmtId="169" fontId="7" fillId="0" borderId="0" xfId="0" applyNumberFormat="1" applyFont="1" applyAlignment="1">
      <alignment horizontal="right"/>
    </xf>
    <xf numFmtId="10" fontId="7" fillId="0" borderId="0" xfId="0" applyNumberFormat="1" applyFont="1"/>
    <xf numFmtId="168" fontId="7" fillId="3" borderId="0" xfId="0" applyNumberFormat="1" applyFont="1" applyFill="1"/>
    <xf numFmtId="10" fontId="7" fillId="3" borderId="0" xfId="0" applyNumberFormat="1" applyFont="1" applyFill="1"/>
    <xf numFmtId="165" fontId="7" fillId="3" borderId="0" xfId="0" applyNumberFormat="1" applyFont="1" applyFill="1"/>
    <xf numFmtId="165" fontId="7" fillId="0" borderId="0" xfId="0" applyNumberFormat="1" applyFont="1"/>
    <xf numFmtId="0" fontId="12" fillId="0" borderId="0" xfId="0" applyFont="1"/>
    <xf numFmtId="0" fontId="12" fillId="6" borderId="0" xfId="0" applyFont="1" applyFill="1"/>
    <xf numFmtId="0" fontId="6" fillId="0" borderId="1" xfId="0" applyFont="1" applyBorder="1"/>
    <xf numFmtId="168" fontId="4" fillId="0" borderId="0" xfId="0" applyNumberFormat="1" applyFont="1" applyAlignment="1">
      <alignment horizontal="right"/>
    </xf>
    <xf numFmtId="168" fontId="2" fillId="0" borderId="0" xfId="0" applyNumberFormat="1" applyFont="1"/>
    <xf numFmtId="0" fontId="2" fillId="0" borderId="3" xfId="0" applyFont="1" applyBorder="1"/>
    <xf numFmtId="0" fontId="2" fillId="0" borderId="5" xfId="0" applyFont="1" applyBorder="1" applyAlignment="1">
      <alignment horizontal="right"/>
    </xf>
    <xf numFmtId="44" fontId="7" fillId="0" borderId="0" xfId="0" applyNumberFormat="1" applyFont="1"/>
    <xf numFmtId="0" fontId="13" fillId="0" borderId="0" xfId="0" applyFont="1"/>
    <xf numFmtId="10" fontId="13" fillId="0" borderId="0" xfId="0" applyNumberFormat="1" applyFont="1"/>
    <xf numFmtId="17" fontId="13" fillId="0" borderId="0" xfId="0" quotePrefix="1" applyNumberFormat="1" applyFont="1" applyAlignment="1">
      <alignment wrapText="1"/>
    </xf>
    <xf numFmtId="44" fontId="14" fillId="0" borderId="0" xfId="0" applyNumberFormat="1" applyFont="1"/>
    <xf numFmtId="0" fontId="13" fillId="0" borderId="0" xfId="0" applyFont="1" applyAlignment="1">
      <alignment wrapText="1"/>
    </xf>
    <xf numFmtId="170" fontId="13" fillId="0" borderId="0" xfId="0" applyNumberFormat="1" applyFont="1"/>
    <xf numFmtId="0" fontId="15" fillId="0" borderId="0" xfId="0" applyFont="1" applyAlignment="1">
      <alignment wrapText="1"/>
    </xf>
    <xf numFmtId="170" fontId="13" fillId="0" borderId="0" xfId="0" applyNumberFormat="1" applyFont="1" applyAlignment="1">
      <alignment wrapText="1"/>
    </xf>
    <xf numFmtId="17" fontId="13" fillId="0" borderId="0" xfId="0" applyNumberFormat="1" applyFont="1" applyAlignment="1">
      <alignment wrapText="1"/>
    </xf>
    <xf numFmtId="168" fontId="16" fillId="0" borderId="5" xfId="0" applyNumberFormat="1" applyFont="1" applyBorder="1" applyAlignment="1">
      <alignment horizontal="center"/>
    </xf>
    <xf numFmtId="0" fontId="17" fillId="0" borderId="0" xfId="0" applyFont="1" applyAlignment="1">
      <alignment horizontal="center"/>
    </xf>
    <xf numFmtId="168" fontId="18" fillId="0" borderId="0" xfId="0" applyNumberFormat="1" applyFont="1"/>
    <xf numFmtId="164" fontId="2" fillId="0" borderId="5" xfId="0" applyNumberFormat="1" applyFont="1" applyBorder="1" applyAlignment="1">
      <alignment horizontal="right"/>
    </xf>
    <xf numFmtId="164" fontId="2" fillId="0" borderId="4" xfId="0" applyNumberFormat="1" applyFont="1" applyBorder="1" applyAlignment="1">
      <alignment horizontal="right"/>
    </xf>
    <xf numFmtId="0" fontId="5" fillId="0" borderId="0" xfId="0" applyFont="1" applyAlignment="1">
      <alignment horizontal="center"/>
    </xf>
    <xf numFmtId="0" fontId="0" fillId="0" borderId="0" xfId="0"/>
    <xf numFmtId="0" fontId="7" fillId="2" borderId="0" xfId="0" applyFont="1" applyFill="1" applyAlignment="1">
      <alignment horizontal="center" vertical="center" wrapText="1"/>
    </xf>
    <xf numFmtId="168" fontId="10" fillId="0" borderId="0" xfId="0" applyNumberFormat="1" applyFont="1" applyAlignment="1">
      <alignment horizontal="center"/>
    </xf>
    <xf numFmtId="166" fontId="1" fillId="0" borderId="0" xfId="0" applyNumberFormat="1" applyFont="1"/>
    <xf numFmtId="0" fontId="7" fillId="0" borderId="0" xfId="0" applyFont="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91"/>
  <sheetViews>
    <sheetView tabSelected="1" topLeftCell="A146" zoomScale="80" zoomScaleNormal="80" workbookViewId="0">
      <selection activeCell="C163" sqref="C163"/>
    </sheetView>
  </sheetViews>
  <sheetFormatPr defaultColWidth="11.25" defaultRowHeight="15" customHeight="1" x14ac:dyDescent="0.25"/>
  <cols>
    <col min="1" max="1" width="10.125" customWidth="1"/>
    <col min="2" max="2" width="33.75" customWidth="1"/>
    <col min="3" max="4" width="10.25" customWidth="1"/>
    <col min="5" max="7" width="10.375" customWidth="1"/>
    <col min="8" max="8" width="11" customWidth="1"/>
    <col min="9" max="22" width="10.375" customWidth="1"/>
    <col min="23" max="23" width="14.875" customWidth="1"/>
    <col min="24" max="28" width="10.375" customWidth="1"/>
    <col min="29" max="29" width="20.375" customWidth="1"/>
    <col min="30" max="35" width="10.375" customWidth="1"/>
    <col min="36" max="36" width="17.875" customWidth="1"/>
    <col min="37" max="38" width="11.125" customWidth="1"/>
  </cols>
  <sheetData>
    <row r="1" spans="2:15" ht="15.75" customHeight="1" x14ac:dyDescent="0.25">
      <c r="B1" s="1" t="s">
        <v>0</v>
      </c>
      <c r="C1" s="1"/>
      <c r="D1" s="1" t="s">
        <v>1</v>
      </c>
      <c r="E1" s="1" t="s">
        <v>2</v>
      </c>
      <c r="F1" s="1" t="s">
        <v>3</v>
      </c>
      <c r="G1" s="1" t="s">
        <v>4</v>
      </c>
      <c r="H1" s="1" t="s">
        <v>5</v>
      </c>
      <c r="I1" s="1" t="s">
        <v>6</v>
      </c>
      <c r="J1" s="1" t="s">
        <v>7</v>
      </c>
      <c r="L1" s="1" t="s">
        <v>8</v>
      </c>
    </row>
    <row r="2" spans="2:15" ht="15.75" customHeight="1" x14ac:dyDescent="0.25">
      <c r="B2" s="1" t="s">
        <v>9</v>
      </c>
      <c r="C2" s="4"/>
      <c r="D2" s="4">
        <v>47093</v>
      </c>
      <c r="E2" s="4">
        <v>65021</v>
      </c>
      <c r="F2" s="4">
        <v>78557</v>
      </c>
      <c r="G2" s="4">
        <v>83826</v>
      </c>
      <c r="H2" s="4">
        <v>28406</v>
      </c>
      <c r="I2" s="1">
        <v>75000</v>
      </c>
      <c r="J2" s="6">
        <f>SUM(D2:I2)</f>
        <v>377903</v>
      </c>
      <c r="L2" s="7">
        <f>D46/J2</f>
        <v>0.65</v>
      </c>
    </row>
    <row r="3" spans="2:15" ht="15.75" customHeight="1" x14ac:dyDescent="0.25"/>
    <row r="4" spans="2:15" ht="15.75" customHeight="1" x14ac:dyDescent="0.25">
      <c r="B4" s="8" t="s">
        <v>10</v>
      </c>
      <c r="D4" t="s">
        <v>11</v>
      </c>
      <c r="E4" t="s">
        <v>12</v>
      </c>
      <c r="F4" t="s">
        <v>13</v>
      </c>
      <c r="G4" t="s">
        <v>14</v>
      </c>
      <c r="H4" t="s">
        <v>15</v>
      </c>
      <c r="I4" t="s">
        <v>16</v>
      </c>
      <c r="J4" t="s">
        <v>17</v>
      </c>
      <c r="K4" t="s">
        <v>18</v>
      </c>
      <c r="L4" t="s">
        <v>19</v>
      </c>
      <c r="M4" t="s">
        <v>20</v>
      </c>
    </row>
    <row r="5" spans="2:15" ht="15.75" customHeight="1" x14ac:dyDescent="0.25">
      <c r="B5" s="1" t="s">
        <v>21</v>
      </c>
      <c r="C5" s="9"/>
      <c r="D5" s="9">
        <f t="shared" ref="D5:M5" si="0">$J$2</f>
        <v>377903</v>
      </c>
      <c r="E5" s="9">
        <f t="shared" si="0"/>
        <v>377903</v>
      </c>
      <c r="F5" s="9">
        <f t="shared" si="0"/>
        <v>377903</v>
      </c>
      <c r="G5" s="9">
        <f t="shared" si="0"/>
        <v>377903</v>
      </c>
      <c r="H5" s="9">
        <f t="shared" si="0"/>
        <v>377903</v>
      </c>
      <c r="I5" s="9">
        <f t="shared" si="0"/>
        <v>377903</v>
      </c>
      <c r="J5" s="9">
        <f t="shared" si="0"/>
        <v>377903</v>
      </c>
      <c r="K5" s="9">
        <f t="shared" si="0"/>
        <v>377903</v>
      </c>
      <c r="L5" s="9">
        <f t="shared" si="0"/>
        <v>377903</v>
      </c>
      <c r="M5" s="9">
        <f t="shared" si="0"/>
        <v>377903</v>
      </c>
    </row>
    <row r="6" spans="2:15" ht="15.75" customHeight="1" x14ac:dyDescent="0.25">
      <c r="B6" s="1" t="s">
        <v>23</v>
      </c>
      <c r="C6" s="9"/>
      <c r="D6" s="9">
        <v>249672</v>
      </c>
      <c r="E6" s="9">
        <v>249672</v>
      </c>
      <c r="F6" s="9">
        <v>249672</v>
      </c>
      <c r="G6" s="9">
        <v>249672</v>
      </c>
      <c r="H6" s="9">
        <v>249672</v>
      </c>
      <c r="I6" s="9">
        <v>249672</v>
      </c>
      <c r="J6" s="9">
        <v>249672</v>
      </c>
      <c r="K6" s="9">
        <v>249672</v>
      </c>
      <c r="L6" s="9">
        <v>249672</v>
      </c>
      <c r="M6" s="9">
        <v>249672</v>
      </c>
    </row>
    <row r="7" spans="2:15" ht="15.75" customHeight="1" x14ac:dyDescent="0.25">
      <c r="B7" s="1" t="s">
        <v>24</v>
      </c>
      <c r="C7" s="7"/>
      <c r="D7" s="7">
        <f t="shared" ref="D7:L7" si="1">D46/D5</f>
        <v>0.65</v>
      </c>
      <c r="E7" s="7">
        <f t="shared" si="1"/>
        <v>0.68900000000000006</v>
      </c>
      <c r="F7" s="7">
        <f t="shared" si="1"/>
        <v>0.72345000000000004</v>
      </c>
      <c r="G7" s="7">
        <f t="shared" si="1"/>
        <v>0.75962250000000009</v>
      </c>
      <c r="H7" s="7">
        <f t="shared" si="1"/>
        <v>0.79760362500000015</v>
      </c>
      <c r="I7" s="7">
        <f t="shared" si="1"/>
        <v>0.83748380625000018</v>
      </c>
      <c r="J7" s="7">
        <f t="shared" si="1"/>
        <v>0.87935799656250013</v>
      </c>
      <c r="K7" s="7">
        <f t="shared" si="1"/>
        <v>0.92332589639062523</v>
      </c>
      <c r="L7" s="7">
        <f t="shared" si="1"/>
        <v>0.96949219121015662</v>
      </c>
      <c r="M7" s="7">
        <v>1</v>
      </c>
    </row>
    <row r="8" spans="2:15" ht="15.75" customHeight="1" x14ac:dyDescent="0.25">
      <c r="B8" s="1" t="s">
        <v>25</v>
      </c>
      <c r="C8" s="7"/>
      <c r="D8" s="7">
        <f t="shared" ref="D8:L8" si="2">D25</f>
        <v>0.65</v>
      </c>
      <c r="E8" s="7">
        <f t="shared" si="2"/>
        <v>0.68900000000000006</v>
      </c>
      <c r="F8" s="7">
        <f t="shared" si="2"/>
        <v>0.72345000000000004</v>
      </c>
      <c r="G8" s="7">
        <f t="shared" si="2"/>
        <v>0.75962250000000009</v>
      </c>
      <c r="H8" s="7">
        <f t="shared" si="2"/>
        <v>0.79760362500000015</v>
      </c>
      <c r="I8" s="7">
        <f t="shared" si="2"/>
        <v>0.83748380625000018</v>
      </c>
      <c r="J8" s="7">
        <f t="shared" si="2"/>
        <v>0.87935799656250024</v>
      </c>
      <c r="K8" s="7">
        <f t="shared" si="2"/>
        <v>0.92332589639062534</v>
      </c>
      <c r="L8" s="7">
        <f t="shared" si="2"/>
        <v>0.96949219121015662</v>
      </c>
      <c r="M8" s="7">
        <v>1</v>
      </c>
      <c r="N8" s="1">
        <v>7.0000000000000007E-2</v>
      </c>
    </row>
    <row r="9" spans="2:15" ht="15.75" customHeight="1" x14ac:dyDescent="0.25">
      <c r="B9" s="1" t="s">
        <v>27</v>
      </c>
      <c r="C9" s="9"/>
      <c r="D9" s="9">
        <f t="shared" ref="D9:M9" si="3">D8*D5</f>
        <v>245636.95</v>
      </c>
      <c r="E9" s="9">
        <f t="shared" si="3"/>
        <v>260375.16700000002</v>
      </c>
      <c r="F9" s="9">
        <f t="shared" si="3"/>
        <v>273393.92535000003</v>
      </c>
      <c r="G9" s="9">
        <f t="shared" si="3"/>
        <v>287063.62161750003</v>
      </c>
      <c r="H9" s="9">
        <f t="shared" si="3"/>
        <v>301416.80269837508</v>
      </c>
      <c r="I9" s="9">
        <f t="shared" si="3"/>
        <v>316487.64283329382</v>
      </c>
      <c r="J9" s="9">
        <f t="shared" si="3"/>
        <v>332312.02497495851</v>
      </c>
      <c r="K9" s="9">
        <f t="shared" si="3"/>
        <v>348927.62622370647</v>
      </c>
      <c r="L9" s="9">
        <f t="shared" si="3"/>
        <v>366374.00753489183</v>
      </c>
      <c r="M9" s="9">
        <f t="shared" si="3"/>
        <v>377903</v>
      </c>
    </row>
    <row r="10" spans="2:15" ht="15.75" customHeight="1" x14ac:dyDescent="0.25"/>
    <row r="11" spans="2:15" ht="15.75" customHeight="1" x14ac:dyDescent="0.25">
      <c r="B11" s="11" t="s">
        <v>28</v>
      </c>
      <c r="C11" s="13"/>
      <c r="D11" s="13">
        <v>0.4</v>
      </c>
    </row>
    <row r="12" spans="2:15" ht="15.75" customHeight="1" x14ac:dyDescent="0.25">
      <c r="B12" s="11" t="s">
        <v>29</v>
      </c>
      <c r="C12" s="13"/>
      <c r="D12" s="13">
        <v>0.6</v>
      </c>
    </row>
    <row r="13" spans="2:15" ht="15.75" customHeight="1" x14ac:dyDescent="0.25">
      <c r="B13" s="1" t="s">
        <v>30</v>
      </c>
      <c r="C13" s="1"/>
      <c r="D13" s="1">
        <v>4</v>
      </c>
      <c r="E13">
        <f t="shared" ref="E13:H13" si="4">E16*2</f>
        <v>4</v>
      </c>
      <c r="F13">
        <f t="shared" si="4"/>
        <v>4</v>
      </c>
      <c r="G13">
        <f t="shared" si="4"/>
        <v>4</v>
      </c>
      <c r="H13">
        <f t="shared" si="4"/>
        <v>4</v>
      </c>
      <c r="I13">
        <v>5</v>
      </c>
      <c r="J13">
        <v>5</v>
      </c>
      <c r="K13">
        <v>5</v>
      </c>
      <c r="L13">
        <v>5</v>
      </c>
      <c r="M13">
        <v>5</v>
      </c>
    </row>
    <row r="14" spans="2:15" ht="15.75" customHeight="1" x14ac:dyDescent="0.25">
      <c r="B14" s="1" t="s">
        <v>31</v>
      </c>
      <c r="C14" s="9"/>
      <c r="D14" s="9">
        <v>13</v>
      </c>
      <c r="E14" s="9">
        <f t="shared" ref="E14:M14" si="5">D14*(1+$N$14)</f>
        <v>13.13</v>
      </c>
      <c r="F14" s="9">
        <f t="shared" si="5"/>
        <v>13.2613</v>
      </c>
      <c r="G14" s="9">
        <f t="shared" si="5"/>
        <v>13.393913000000001</v>
      </c>
      <c r="H14" s="9">
        <f t="shared" si="5"/>
        <v>13.527852130000001</v>
      </c>
      <c r="I14" s="9">
        <f t="shared" si="5"/>
        <v>13.663130651300001</v>
      </c>
      <c r="J14" s="9">
        <f t="shared" si="5"/>
        <v>13.799761957813001</v>
      </c>
      <c r="K14" s="9">
        <f t="shared" si="5"/>
        <v>13.93775957739113</v>
      </c>
      <c r="L14" s="9">
        <f t="shared" si="5"/>
        <v>14.077137173165042</v>
      </c>
      <c r="M14" s="9">
        <f t="shared" si="5"/>
        <v>14.217908544896693</v>
      </c>
      <c r="N14" s="1">
        <v>0.01</v>
      </c>
    </row>
    <row r="15" spans="2:15" ht="15.75" customHeight="1" x14ac:dyDescent="0.25">
      <c r="B15" s="1" t="s">
        <v>32</v>
      </c>
      <c r="C15" s="9"/>
      <c r="D15" s="9">
        <f t="shared" ref="D15:M15" si="6">D14*40*52</f>
        <v>27040</v>
      </c>
      <c r="E15" s="9">
        <f t="shared" si="6"/>
        <v>27310.400000000001</v>
      </c>
      <c r="F15" s="9">
        <f t="shared" si="6"/>
        <v>27583.504000000001</v>
      </c>
      <c r="G15" s="9">
        <f t="shared" si="6"/>
        <v>27859.339040000003</v>
      </c>
      <c r="H15" s="9">
        <f t="shared" si="6"/>
        <v>28137.932430400004</v>
      </c>
      <c r="I15" s="9">
        <f t="shared" si="6"/>
        <v>28419.311754704006</v>
      </c>
      <c r="J15" s="9">
        <f t="shared" si="6"/>
        <v>28703.504872251044</v>
      </c>
      <c r="K15" s="9">
        <f t="shared" si="6"/>
        <v>28990.539920973551</v>
      </c>
      <c r="L15" s="9">
        <f t="shared" si="6"/>
        <v>29280.445320183288</v>
      </c>
      <c r="M15" s="9">
        <f t="shared" si="6"/>
        <v>29573.24977338512</v>
      </c>
    </row>
    <row r="16" spans="2:15" ht="15.75" customHeight="1" x14ac:dyDescent="0.25">
      <c r="B16" s="1" t="s">
        <v>33</v>
      </c>
      <c r="C16" s="1"/>
      <c r="D16" s="1">
        <v>2</v>
      </c>
      <c r="E16" s="1">
        <v>2</v>
      </c>
      <c r="F16" s="1">
        <v>2</v>
      </c>
      <c r="G16" s="1">
        <v>2</v>
      </c>
      <c r="H16" s="1">
        <v>2</v>
      </c>
      <c r="I16" s="1">
        <v>3</v>
      </c>
      <c r="J16" s="1">
        <v>3</v>
      </c>
      <c r="K16" s="1">
        <v>3</v>
      </c>
      <c r="L16" s="1">
        <v>3</v>
      </c>
      <c r="M16" s="1">
        <v>3</v>
      </c>
      <c r="N16" s="1"/>
      <c r="O16" s="1"/>
    </row>
    <row r="17" spans="2:13" ht="15.75" customHeight="1" x14ac:dyDescent="0.25">
      <c r="B17" s="1" t="s">
        <v>34</v>
      </c>
      <c r="C17" s="9"/>
      <c r="D17" s="9">
        <v>19500</v>
      </c>
      <c r="E17" s="9">
        <v>19500</v>
      </c>
      <c r="F17" s="9">
        <v>19500</v>
      </c>
      <c r="G17" s="9">
        <v>19500</v>
      </c>
      <c r="H17" s="9">
        <v>19500</v>
      </c>
      <c r="I17" s="9">
        <v>19500</v>
      </c>
      <c r="J17" s="9">
        <v>19500</v>
      </c>
      <c r="K17" s="9">
        <v>19500</v>
      </c>
      <c r="L17" s="9">
        <v>19500</v>
      </c>
      <c r="M17" s="9">
        <v>19500</v>
      </c>
    </row>
    <row r="18" spans="2:13" ht="15.75" customHeight="1" x14ac:dyDescent="0.25">
      <c r="B18" s="1" t="s">
        <v>35</v>
      </c>
      <c r="C18" s="15"/>
      <c r="D18" s="15">
        <f t="shared" ref="D18:M18" si="7">D16*D17</f>
        <v>39000</v>
      </c>
      <c r="E18" s="15">
        <f t="shared" si="7"/>
        <v>39000</v>
      </c>
      <c r="F18" s="15">
        <f t="shared" si="7"/>
        <v>39000</v>
      </c>
      <c r="G18" s="15">
        <f t="shared" si="7"/>
        <v>39000</v>
      </c>
      <c r="H18" s="15">
        <f t="shared" si="7"/>
        <v>39000</v>
      </c>
      <c r="I18" s="15">
        <f t="shared" si="7"/>
        <v>58500</v>
      </c>
      <c r="J18" s="15">
        <f t="shared" si="7"/>
        <v>58500</v>
      </c>
      <c r="K18" s="15">
        <f t="shared" si="7"/>
        <v>58500</v>
      </c>
      <c r="L18" s="15">
        <f t="shared" si="7"/>
        <v>58500</v>
      </c>
      <c r="M18" s="15">
        <f t="shared" si="7"/>
        <v>58500</v>
      </c>
    </row>
    <row r="19" spans="2:13" ht="15.75" customHeight="1" x14ac:dyDescent="0.25">
      <c r="B19" s="1" t="s">
        <v>38</v>
      </c>
      <c r="C19" s="15"/>
      <c r="D19" s="15">
        <v>240000</v>
      </c>
      <c r="E19" s="17"/>
      <c r="F19" s="17"/>
      <c r="G19" s="17"/>
      <c r="H19" s="17"/>
      <c r="I19" s="17"/>
      <c r="J19" s="17"/>
      <c r="K19" s="17"/>
      <c r="L19" s="17"/>
      <c r="M19" s="17"/>
    </row>
    <row r="20" spans="2:13" ht="15.75" customHeight="1" x14ac:dyDescent="0.25">
      <c r="B20" s="1" t="s">
        <v>39</v>
      </c>
      <c r="C20" s="15"/>
      <c r="D20" s="15">
        <v>60000</v>
      </c>
      <c r="E20" s="17"/>
      <c r="F20" s="17"/>
      <c r="G20" s="17"/>
      <c r="H20" s="17"/>
      <c r="I20" s="17"/>
      <c r="J20" s="17"/>
      <c r="K20" s="17"/>
      <c r="L20" s="17"/>
      <c r="M20" s="17"/>
    </row>
    <row r="21" spans="2:13" ht="15.75" customHeight="1" x14ac:dyDescent="0.25">
      <c r="B21" s="1" t="s">
        <v>40</v>
      </c>
      <c r="D21">
        <v>27.5</v>
      </c>
    </row>
    <row r="22" spans="2:13" ht="15.75" customHeight="1" x14ac:dyDescent="0.25">
      <c r="B22" s="1" t="s">
        <v>41</v>
      </c>
      <c r="C22" s="1"/>
      <c r="D22" s="1">
        <v>10</v>
      </c>
    </row>
    <row r="23" spans="2:13" ht="15.75" customHeight="1" x14ac:dyDescent="0.25">
      <c r="B23" s="1"/>
    </row>
    <row r="24" spans="2:13" ht="15.75" customHeight="1" x14ac:dyDescent="0.25">
      <c r="B24" s="19" t="s">
        <v>42</v>
      </c>
    </row>
    <row r="25" spans="2:13" ht="15.75" customHeight="1" x14ac:dyDescent="0.25">
      <c r="B25" s="1" t="s">
        <v>44</v>
      </c>
      <c r="C25" s="7"/>
      <c r="D25" s="7">
        <v>0.65</v>
      </c>
      <c r="E25" s="7">
        <f>D25*(1+0.06)</f>
        <v>0.68900000000000006</v>
      </c>
      <c r="F25" s="7">
        <f t="shared" ref="F25:M25" si="8">E25*(1+0.05)</f>
        <v>0.72345000000000004</v>
      </c>
      <c r="G25" s="7">
        <f t="shared" si="8"/>
        <v>0.75962250000000009</v>
      </c>
      <c r="H25" s="7">
        <f t="shared" si="8"/>
        <v>0.79760362500000015</v>
      </c>
      <c r="I25" s="7">
        <f t="shared" si="8"/>
        <v>0.83748380625000018</v>
      </c>
      <c r="J25" s="7">
        <f t="shared" si="8"/>
        <v>0.87935799656250024</v>
      </c>
      <c r="K25" s="7">
        <f t="shared" si="8"/>
        <v>0.92332589639062534</v>
      </c>
      <c r="L25" s="7">
        <f t="shared" si="8"/>
        <v>0.96949219121015662</v>
      </c>
      <c r="M25" s="7">
        <f t="shared" si="8"/>
        <v>1.0179668007706646</v>
      </c>
    </row>
    <row r="26" spans="2:13" ht="15.75" customHeight="1" x14ac:dyDescent="0.25">
      <c r="B26" s="1" t="s">
        <v>45</v>
      </c>
      <c r="C26" s="9"/>
      <c r="D26" s="9">
        <f t="shared" ref="D26:M26" si="9">D15*D13</f>
        <v>108160</v>
      </c>
      <c r="E26" s="9">
        <f t="shared" si="9"/>
        <v>109241.60000000001</v>
      </c>
      <c r="F26" s="9">
        <f t="shared" si="9"/>
        <v>110334.016</v>
      </c>
      <c r="G26" s="9">
        <f t="shared" si="9"/>
        <v>111437.35616000001</v>
      </c>
      <c r="H26" s="9">
        <f t="shared" si="9"/>
        <v>112551.72972160002</v>
      </c>
      <c r="I26" s="9">
        <f t="shared" si="9"/>
        <v>142096.55877352002</v>
      </c>
      <c r="J26" s="9">
        <f t="shared" si="9"/>
        <v>143517.52436125523</v>
      </c>
      <c r="K26" s="9">
        <f t="shared" si="9"/>
        <v>144952.69960486775</v>
      </c>
      <c r="L26" s="9">
        <f t="shared" si="9"/>
        <v>146402.22660091645</v>
      </c>
      <c r="M26" s="9">
        <f t="shared" si="9"/>
        <v>147866.2488669256</v>
      </c>
    </row>
    <row r="27" spans="2:13" ht="15.75" customHeight="1" x14ac:dyDescent="0.25">
      <c r="B27" s="1" t="s">
        <v>47</v>
      </c>
      <c r="C27" s="15"/>
      <c r="D27" s="15">
        <f t="shared" ref="D27:M27" si="10">D17*D16</f>
        <v>39000</v>
      </c>
      <c r="E27" s="15">
        <f t="shared" si="10"/>
        <v>39000</v>
      </c>
      <c r="F27" s="15">
        <f t="shared" si="10"/>
        <v>39000</v>
      </c>
      <c r="G27" s="15">
        <f t="shared" si="10"/>
        <v>39000</v>
      </c>
      <c r="H27" s="15">
        <f t="shared" si="10"/>
        <v>39000</v>
      </c>
      <c r="I27" s="15">
        <f t="shared" si="10"/>
        <v>58500</v>
      </c>
      <c r="J27" s="15">
        <f t="shared" si="10"/>
        <v>58500</v>
      </c>
      <c r="K27" s="15">
        <f t="shared" si="10"/>
        <v>58500</v>
      </c>
      <c r="L27" s="15">
        <f t="shared" si="10"/>
        <v>58500</v>
      </c>
      <c r="M27" s="15">
        <f t="shared" si="10"/>
        <v>58500</v>
      </c>
    </row>
    <row r="28" spans="2:13" ht="15.75" customHeight="1" x14ac:dyDescent="0.25">
      <c r="B28" s="1" t="s">
        <v>48</v>
      </c>
      <c r="C28" s="13"/>
      <c r="D28" s="13">
        <v>0.2</v>
      </c>
    </row>
    <row r="29" spans="2:13" ht="15.75" customHeight="1" x14ac:dyDescent="0.25">
      <c r="B29" s="1" t="s">
        <v>49</v>
      </c>
      <c r="C29" s="1"/>
      <c r="D29" s="1">
        <f>(D11*20)+(D12*30)</f>
        <v>26</v>
      </c>
    </row>
    <row r="30" spans="2:13" ht="15.75" customHeight="1" x14ac:dyDescent="0.25">
      <c r="B30" s="1" t="s">
        <v>50</v>
      </c>
      <c r="C30" s="1"/>
      <c r="D30" s="1">
        <v>45</v>
      </c>
    </row>
    <row r="31" spans="2:13" ht="15.75" customHeight="1" x14ac:dyDescent="0.25">
      <c r="B31" s="1" t="s">
        <v>51</v>
      </c>
      <c r="D31">
        <v>45</v>
      </c>
    </row>
    <row r="32" spans="2:13" ht="15.75" customHeight="1" x14ac:dyDescent="0.25">
      <c r="B32" s="1" t="s">
        <v>53</v>
      </c>
      <c r="C32" s="13"/>
      <c r="D32" s="13">
        <v>0.08</v>
      </c>
      <c r="E32" s="13">
        <v>0.08</v>
      </c>
      <c r="F32" s="13">
        <v>0.08</v>
      </c>
      <c r="G32" s="13">
        <v>0.08</v>
      </c>
      <c r="H32" s="13">
        <v>0.08</v>
      </c>
      <c r="I32" s="13">
        <v>0.08</v>
      </c>
      <c r="J32" s="13">
        <v>0.08</v>
      </c>
      <c r="K32" s="13">
        <v>0.08</v>
      </c>
      <c r="L32" s="13">
        <v>0.08</v>
      </c>
      <c r="M32" s="13">
        <v>0.08</v>
      </c>
    </row>
    <row r="33" spans="2:23" ht="15.75" customHeight="1" x14ac:dyDescent="0.25">
      <c r="B33" s="1" t="s">
        <v>55</v>
      </c>
      <c r="C33" s="23"/>
      <c r="D33" s="23">
        <f t="shared" ref="D33:M33" si="11">1.2/10</f>
        <v>0.12</v>
      </c>
      <c r="E33" s="23">
        <f t="shared" si="11"/>
        <v>0.12</v>
      </c>
      <c r="F33" s="23">
        <f t="shared" si="11"/>
        <v>0.12</v>
      </c>
      <c r="G33" s="23">
        <f t="shared" si="11"/>
        <v>0.12</v>
      </c>
      <c r="H33" s="23">
        <f t="shared" si="11"/>
        <v>0.12</v>
      </c>
      <c r="I33" s="23">
        <f t="shared" si="11"/>
        <v>0.12</v>
      </c>
      <c r="J33" s="23">
        <f t="shared" si="11"/>
        <v>0.12</v>
      </c>
      <c r="K33" s="23">
        <f t="shared" si="11"/>
        <v>0.12</v>
      </c>
      <c r="L33" s="23">
        <f t="shared" si="11"/>
        <v>0.12</v>
      </c>
      <c r="M33" s="23">
        <f t="shared" si="11"/>
        <v>0.12</v>
      </c>
    </row>
    <row r="34" spans="2:23" ht="15.75" customHeight="1" x14ac:dyDescent="0.25">
      <c r="B34" s="1" t="s">
        <v>60</v>
      </c>
      <c r="C34" s="24"/>
      <c r="D34" s="24">
        <f>0.7/10</f>
        <v>6.9999999999999993E-2</v>
      </c>
      <c r="E34" s="24">
        <f t="shared" ref="E34:M34" si="12">D34*1+(0.01)</f>
        <v>7.9999999999999988E-2</v>
      </c>
      <c r="F34" s="24">
        <f t="shared" si="12"/>
        <v>8.9999999999999983E-2</v>
      </c>
      <c r="G34" s="24">
        <f t="shared" si="12"/>
        <v>9.9999999999999978E-2</v>
      </c>
      <c r="H34" s="24">
        <f t="shared" si="12"/>
        <v>0.10999999999999997</v>
      </c>
      <c r="I34" s="24">
        <f t="shared" si="12"/>
        <v>0.11999999999999997</v>
      </c>
      <c r="J34" s="24">
        <f t="shared" si="12"/>
        <v>0.12999999999999998</v>
      </c>
      <c r="K34" s="24">
        <f t="shared" si="12"/>
        <v>0.13999999999999999</v>
      </c>
      <c r="L34" s="24">
        <f t="shared" si="12"/>
        <v>0.15</v>
      </c>
      <c r="M34" s="24">
        <f t="shared" si="12"/>
        <v>0.16</v>
      </c>
    </row>
    <row r="35" spans="2:23" ht="15.75" customHeight="1" x14ac:dyDescent="0.25">
      <c r="B35" s="1" t="s">
        <v>61</v>
      </c>
      <c r="C35" s="24"/>
      <c r="D35" s="24">
        <f>12%</f>
        <v>0.12</v>
      </c>
      <c r="E35" s="24">
        <f t="shared" ref="E35:M35" si="13">1.1/10</f>
        <v>0.11000000000000001</v>
      </c>
      <c r="F35" s="24">
        <f t="shared" si="13"/>
        <v>0.11000000000000001</v>
      </c>
      <c r="G35" s="24">
        <f t="shared" si="13"/>
        <v>0.11000000000000001</v>
      </c>
      <c r="H35" s="24">
        <f t="shared" si="13"/>
        <v>0.11000000000000001</v>
      </c>
      <c r="I35" s="24">
        <f t="shared" si="13"/>
        <v>0.11000000000000001</v>
      </c>
      <c r="J35" s="24">
        <f t="shared" si="13"/>
        <v>0.11000000000000001</v>
      </c>
      <c r="K35" s="24">
        <f t="shared" si="13"/>
        <v>0.11000000000000001</v>
      </c>
      <c r="L35" s="24">
        <f t="shared" si="13"/>
        <v>0.11000000000000001</v>
      </c>
      <c r="M35" s="24">
        <f t="shared" si="13"/>
        <v>0.11000000000000001</v>
      </c>
    </row>
    <row r="36" spans="2:23" ht="15.75" customHeight="1" x14ac:dyDescent="0.25">
      <c r="B36" s="1" t="s">
        <v>62</v>
      </c>
      <c r="C36" s="24"/>
      <c r="D36" s="24">
        <f>0.7/10</f>
        <v>6.9999999999999993E-2</v>
      </c>
      <c r="E36" s="24">
        <f t="shared" ref="E36:M36" si="14">D36*(1+0.08)</f>
        <v>7.5600000000000001E-2</v>
      </c>
      <c r="F36" s="24">
        <f t="shared" si="14"/>
        <v>8.1648000000000012E-2</v>
      </c>
      <c r="G36" s="24">
        <f t="shared" si="14"/>
        <v>8.8179840000000023E-2</v>
      </c>
      <c r="H36" s="24">
        <f t="shared" si="14"/>
        <v>9.5234227200000035E-2</v>
      </c>
      <c r="I36" s="24">
        <f t="shared" si="14"/>
        <v>0.10285296537600004</v>
      </c>
      <c r="J36" s="24">
        <f t="shared" si="14"/>
        <v>0.11108120260608005</v>
      </c>
      <c r="K36" s="24">
        <f t="shared" si="14"/>
        <v>0.11996769881456647</v>
      </c>
      <c r="L36" s="24">
        <f t="shared" si="14"/>
        <v>0.12956511471973178</v>
      </c>
      <c r="M36" s="24">
        <f t="shared" si="14"/>
        <v>0.13993032389731033</v>
      </c>
    </row>
    <row r="37" spans="2:23" ht="15.75" customHeight="1" x14ac:dyDescent="0.25">
      <c r="B37" s="1" t="s">
        <v>63</v>
      </c>
      <c r="C37" s="24"/>
      <c r="D37" s="24">
        <f t="shared" ref="D37:M37" si="15">3/10</f>
        <v>0.3</v>
      </c>
      <c r="E37" s="24">
        <f t="shared" si="15"/>
        <v>0.3</v>
      </c>
      <c r="F37" s="24">
        <f t="shared" si="15"/>
        <v>0.3</v>
      </c>
      <c r="G37" s="24">
        <f t="shared" si="15"/>
        <v>0.3</v>
      </c>
      <c r="H37" s="24">
        <f t="shared" si="15"/>
        <v>0.3</v>
      </c>
      <c r="I37" s="24">
        <f t="shared" si="15"/>
        <v>0.3</v>
      </c>
      <c r="J37" s="24">
        <f t="shared" si="15"/>
        <v>0.3</v>
      </c>
      <c r="K37" s="24">
        <f t="shared" si="15"/>
        <v>0.3</v>
      </c>
      <c r="L37" s="24">
        <f t="shared" si="15"/>
        <v>0.3</v>
      </c>
      <c r="M37" s="24">
        <f t="shared" si="15"/>
        <v>0.3</v>
      </c>
    </row>
    <row r="38" spans="2:23" ht="15.75" customHeight="1" x14ac:dyDescent="0.25">
      <c r="B38" s="1" t="s">
        <v>64</v>
      </c>
      <c r="C38" s="24"/>
      <c r="D38" s="24">
        <v>0.21</v>
      </c>
      <c r="E38" s="24">
        <v>0.21</v>
      </c>
      <c r="F38" s="24">
        <v>0.21</v>
      </c>
      <c r="G38" s="24">
        <v>0.21</v>
      </c>
      <c r="H38" s="24">
        <v>0.21</v>
      </c>
      <c r="I38" s="24">
        <v>0.21</v>
      </c>
      <c r="J38" s="24">
        <v>0.21</v>
      </c>
      <c r="K38" s="24">
        <v>0.21</v>
      </c>
      <c r="L38" s="24">
        <v>0.21</v>
      </c>
      <c r="M38" s="24">
        <v>0.21</v>
      </c>
    </row>
    <row r="39" spans="2:23" ht="15.75" customHeight="1" x14ac:dyDescent="0.25">
      <c r="B39" s="1" t="s">
        <v>65</v>
      </c>
      <c r="C39" s="24"/>
      <c r="D39" s="24">
        <f t="shared" ref="D39:M39" si="16">8%</f>
        <v>0.08</v>
      </c>
      <c r="E39" s="24">
        <f t="shared" si="16"/>
        <v>0.08</v>
      </c>
      <c r="F39" s="24">
        <f t="shared" si="16"/>
        <v>0.08</v>
      </c>
      <c r="G39" s="24">
        <f t="shared" si="16"/>
        <v>0.08</v>
      </c>
      <c r="H39" s="24">
        <f t="shared" si="16"/>
        <v>0.08</v>
      </c>
      <c r="I39" s="24">
        <f t="shared" si="16"/>
        <v>0.08</v>
      </c>
      <c r="J39" s="24">
        <f t="shared" si="16"/>
        <v>0.08</v>
      </c>
      <c r="K39" s="24">
        <f t="shared" si="16"/>
        <v>0.08</v>
      </c>
      <c r="L39" s="24">
        <f t="shared" si="16"/>
        <v>0.08</v>
      </c>
      <c r="M39" s="24">
        <f t="shared" si="16"/>
        <v>0.08</v>
      </c>
    </row>
    <row r="40" spans="2:23" ht="15.75" customHeight="1" x14ac:dyDescent="0.25">
      <c r="B40" s="1" t="s">
        <v>66</v>
      </c>
      <c r="C40" s="24"/>
      <c r="D40" s="24">
        <f t="shared" ref="D40:M40" si="17">0.4/10</f>
        <v>0.04</v>
      </c>
      <c r="E40" s="24">
        <f t="shared" si="17"/>
        <v>0.04</v>
      </c>
      <c r="F40" s="24">
        <f t="shared" si="17"/>
        <v>0.04</v>
      </c>
      <c r="G40" s="24">
        <f t="shared" si="17"/>
        <v>0.04</v>
      </c>
      <c r="H40" s="24">
        <f t="shared" si="17"/>
        <v>0.04</v>
      </c>
      <c r="I40" s="24">
        <f t="shared" si="17"/>
        <v>0.04</v>
      </c>
      <c r="J40" s="24">
        <f t="shared" si="17"/>
        <v>0.04</v>
      </c>
      <c r="K40" s="24">
        <f t="shared" si="17"/>
        <v>0.04</v>
      </c>
      <c r="L40" s="24">
        <f t="shared" si="17"/>
        <v>0.04</v>
      </c>
      <c r="M40" s="24">
        <f t="shared" si="17"/>
        <v>0.04</v>
      </c>
    </row>
    <row r="41" spans="2:23" ht="15.75" customHeight="1" x14ac:dyDescent="0.25">
      <c r="B41" s="1" t="s">
        <v>67</v>
      </c>
      <c r="C41" s="24"/>
      <c r="D41" s="24">
        <v>0.08</v>
      </c>
      <c r="E41" s="23"/>
      <c r="F41" s="23"/>
      <c r="G41" s="23"/>
      <c r="H41" s="23"/>
      <c r="I41" s="23"/>
      <c r="J41" s="23"/>
      <c r="K41" s="23"/>
      <c r="L41" s="23"/>
      <c r="M41" s="23"/>
    </row>
    <row r="42" spans="2:23" ht="15.75" customHeight="1" x14ac:dyDescent="0.25">
      <c r="B42" s="72" t="s">
        <v>68</v>
      </c>
      <c r="C42" s="73"/>
      <c r="D42" s="73"/>
      <c r="E42" s="73"/>
      <c r="F42" s="73"/>
      <c r="G42" s="73"/>
      <c r="H42" s="73"/>
      <c r="I42" s="73"/>
      <c r="J42" s="73"/>
      <c r="K42" s="73"/>
      <c r="L42" s="73"/>
      <c r="M42" s="73"/>
    </row>
    <row r="43" spans="2:23" ht="15.75" customHeight="1" x14ac:dyDescent="0.25">
      <c r="B43" s="28" t="s">
        <v>69</v>
      </c>
      <c r="D43" t="s">
        <v>11</v>
      </c>
      <c r="E43" t="s">
        <v>12</v>
      </c>
      <c r="F43" t="s">
        <v>13</v>
      </c>
      <c r="G43" t="s">
        <v>14</v>
      </c>
      <c r="H43" t="s">
        <v>15</v>
      </c>
      <c r="I43" t="s">
        <v>16</v>
      </c>
      <c r="J43" t="s">
        <v>17</v>
      </c>
      <c r="K43" t="s">
        <v>18</v>
      </c>
      <c r="L43" t="s">
        <v>19</v>
      </c>
      <c r="M43" t="s">
        <v>20</v>
      </c>
    </row>
    <row r="44" spans="2:23" ht="15.75" customHeight="1" x14ac:dyDescent="0.25">
      <c r="B44" s="29" t="s">
        <v>70</v>
      </c>
      <c r="C44" s="29"/>
      <c r="D44" s="29">
        <f t="shared" ref="D44:M44" si="18">D46*$D$12</f>
        <v>147382.17000000001</v>
      </c>
      <c r="E44" s="29">
        <f t="shared" si="18"/>
        <v>156225.10020000002</v>
      </c>
      <c r="F44" s="29">
        <f t="shared" si="18"/>
        <v>164036.35521000001</v>
      </c>
      <c r="G44" s="29">
        <f t="shared" si="18"/>
        <v>172238.17297050002</v>
      </c>
      <c r="H44" s="29">
        <f t="shared" si="18"/>
        <v>180850.08161902503</v>
      </c>
      <c r="I44" s="29">
        <f t="shared" si="18"/>
        <v>189892.58569997628</v>
      </c>
      <c r="J44" s="29">
        <f t="shared" si="18"/>
        <v>199387.21498497509</v>
      </c>
      <c r="K44" s="29">
        <f t="shared" si="18"/>
        <v>209356.57573422388</v>
      </c>
      <c r="L44" s="29">
        <f t="shared" si="18"/>
        <v>219824.40452093509</v>
      </c>
      <c r="M44" s="29">
        <f t="shared" si="18"/>
        <v>226741.8</v>
      </c>
      <c r="O44" s="74" t="s">
        <v>71</v>
      </c>
      <c r="P44" s="73"/>
      <c r="Q44" s="73"/>
      <c r="R44" s="73"/>
      <c r="S44" s="73"/>
      <c r="T44" s="73"/>
      <c r="U44" s="73"/>
      <c r="V44" s="73"/>
      <c r="W44" s="73"/>
    </row>
    <row r="45" spans="2:23" ht="15.75" customHeight="1" x14ac:dyDescent="0.25">
      <c r="B45" s="29" t="s">
        <v>72</v>
      </c>
      <c r="C45" s="29"/>
      <c r="D45" s="29">
        <f t="shared" ref="D45:M45" si="19">D46*$D$11</f>
        <v>98254.780000000013</v>
      </c>
      <c r="E45" s="29">
        <f t="shared" si="19"/>
        <v>104150.06680000002</v>
      </c>
      <c r="F45" s="29">
        <f t="shared" si="19"/>
        <v>109357.57014000003</v>
      </c>
      <c r="G45" s="29">
        <f t="shared" si="19"/>
        <v>114825.44864700001</v>
      </c>
      <c r="H45" s="29">
        <f t="shared" si="19"/>
        <v>120566.72107935004</v>
      </c>
      <c r="I45" s="29">
        <f t="shared" si="19"/>
        <v>126595.05713331753</v>
      </c>
      <c r="J45" s="29">
        <f t="shared" si="19"/>
        <v>132924.80998998342</v>
      </c>
      <c r="K45" s="29">
        <f t="shared" si="19"/>
        <v>139571.05048948259</v>
      </c>
      <c r="L45" s="29">
        <f t="shared" si="19"/>
        <v>146549.60301395674</v>
      </c>
      <c r="M45" s="29">
        <f t="shared" si="19"/>
        <v>151161.20000000001</v>
      </c>
      <c r="N45" s="9"/>
      <c r="O45" s="73"/>
      <c r="P45" s="73"/>
      <c r="Q45" s="73"/>
      <c r="R45" s="73"/>
      <c r="S45" s="73"/>
      <c r="T45" s="73"/>
      <c r="U45" s="73"/>
      <c r="V45" s="73"/>
      <c r="W45" s="73"/>
    </row>
    <row r="46" spans="2:23" ht="15.75" customHeight="1" x14ac:dyDescent="0.25">
      <c r="B46" s="30" t="s">
        <v>73</v>
      </c>
      <c r="C46" s="29"/>
      <c r="D46" s="29">
        <f t="shared" ref="D46:M46" si="20">D8*D5</f>
        <v>245636.95</v>
      </c>
      <c r="E46" s="29">
        <f t="shared" si="20"/>
        <v>260375.16700000002</v>
      </c>
      <c r="F46" s="29">
        <f t="shared" si="20"/>
        <v>273393.92535000003</v>
      </c>
      <c r="G46" s="29">
        <f t="shared" si="20"/>
        <v>287063.62161750003</v>
      </c>
      <c r="H46" s="29">
        <f t="shared" si="20"/>
        <v>301416.80269837508</v>
      </c>
      <c r="I46" s="29">
        <f t="shared" si="20"/>
        <v>316487.64283329382</v>
      </c>
      <c r="J46" s="29">
        <f t="shared" si="20"/>
        <v>332312.02497495851</v>
      </c>
      <c r="K46" s="29">
        <f t="shared" si="20"/>
        <v>348927.62622370647</v>
      </c>
      <c r="L46" s="29">
        <f t="shared" si="20"/>
        <v>366374.00753489183</v>
      </c>
      <c r="M46" s="29">
        <f t="shared" si="20"/>
        <v>377903</v>
      </c>
      <c r="O46" s="73"/>
      <c r="P46" s="73"/>
      <c r="Q46" s="73"/>
      <c r="R46" s="73"/>
      <c r="S46" s="73"/>
      <c r="T46" s="73"/>
      <c r="U46" s="73"/>
      <c r="V46" s="73"/>
      <c r="W46" s="73"/>
    </row>
    <row r="47" spans="2:23" ht="15.75" customHeight="1" x14ac:dyDescent="0.25">
      <c r="B47" s="30"/>
      <c r="C47" s="29"/>
      <c r="D47" s="29"/>
      <c r="E47" s="29"/>
      <c r="F47" s="29"/>
      <c r="G47" s="29"/>
      <c r="H47" s="29"/>
      <c r="I47" s="29"/>
      <c r="J47" s="29"/>
      <c r="K47" s="29"/>
      <c r="L47" s="29"/>
      <c r="M47" s="29"/>
      <c r="O47" s="73"/>
      <c r="P47" s="73"/>
      <c r="Q47" s="73"/>
      <c r="R47" s="73"/>
      <c r="S47" s="73"/>
      <c r="T47" s="73"/>
      <c r="U47" s="73"/>
      <c r="V47" s="73"/>
      <c r="W47" s="73"/>
    </row>
    <row r="48" spans="2:23" ht="15.75" customHeight="1" x14ac:dyDescent="0.25">
      <c r="B48" s="30" t="s">
        <v>74</v>
      </c>
      <c r="C48" s="29"/>
      <c r="D48" s="29"/>
      <c r="E48" s="29"/>
      <c r="F48" s="29"/>
      <c r="G48" s="29"/>
      <c r="H48" s="29"/>
      <c r="I48" s="29"/>
      <c r="J48" s="29"/>
      <c r="K48" s="29"/>
      <c r="L48" s="29"/>
      <c r="M48" s="29"/>
      <c r="O48" s="73"/>
      <c r="P48" s="73"/>
      <c r="Q48" s="73"/>
      <c r="R48" s="73"/>
      <c r="S48" s="73"/>
      <c r="T48" s="73"/>
      <c r="U48" s="73"/>
      <c r="V48" s="73"/>
      <c r="W48" s="73"/>
    </row>
    <row r="49" spans="2:23" ht="15.75" customHeight="1" x14ac:dyDescent="0.25">
      <c r="B49" s="29" t="s">
        <v>75</v>
      </c>
      <c r="C49" s="29"/>
      <c r="D49" s="29">
        <f t="shared" ref="D49:M49" si="21">D32*D46</f>
        <v>19650.956000000002</v>
      </c>
      <c r="E49" s="29">
        <f t="shared" si="21"/>
        <v>20830.013360000001</v>
      </c>
      <c r="F49" s="29">
        <f t="shared" si="21"/>
        <v>21871.514028000001</v>
      </c>
      <c r="G49" s="29">
        <f t="shared" si="21"/>
        <v>22965.089729400002</v>
      </c>
      <c r="H49" s="29">
        <f t="shared" si="21"/>
        <v>24113.344215870005</v>
      </c>
      <c r="I49" s="29">
        <f t="shared" si="21"/>
        <v>25319.011426663506</v>
      </c>
      <c r="J49" s="29">
        <f t="shared" si="21"/>
        <v>26584.961997996681</v>
      </c>
      <c r="K49" s="29">
        <f t="shared" si="21"/>
        <v>27914.210097896517</v>
      </c>
      <c r="L49" s="29">
        <f t="shared" si="21"/>
        <v>29309.920602791346</v>
      </c>
      <c r="M49" s="29">
        <f t="shared" si="21"/>
        <v>30232.240000000002</v>
      </c>
      <c r="O49" s="73"/>
      <c r="P49" s="73"/>
      <c r="Q49" s="73"/>
      <c r="R49" s="73"/>
      <c r="S49" s="73"/>
      <c r="T49" s="73"/>
      <c r="U49" s="73"/>
      <c r="V49" s="73"/>
      <c r="W49" s="73"/>
    </row>
    <row r="50" spans="2:23" ht="15.75" customHeight="1" x14ac:dyDescent="0.25">
      <c r="B50" s="29" t="s">
        <v>76</v>
      </c>
      <c r="C50" s="29"/>
      <c r="D50" s="29">
        <f t="shared" ref="D50:M50" si="22">D33*D46</f>
        <v>29476.434000000001</v>
      </c>
      <c r="E50" s="29">
        <f t="shared" si="22"/>
        <v>31245.020039999999</v>
      </c>
      <c r="F50" s="29">
        <f t="shared" si="22"/>
        <v>32807.271042</v>
      </c>
      <c r="G50" s="29">
        <f t="shared" si="22"/>
        <v>34447.634594100004</v>
      </c>
      <c r="H50" s="29">
        <f t="shared" si="22"/>
        <v>36170.016323805008</v>
      </c>
      <c r="I50" s="29">
        <f t="shared" si="22"/>
        <v>37978.51713999526</v>
      </c>
      <c r="J50" s="29">
        <f t="shared" si="22"/>
        <v>39877.442996995022</v>
      </c>
      <c r="K50" s="29">
        <f t="shared" si="22"/>
        <v>41871.315146844776</v>
      </c>
      <c r="L50" s="29">
        <f t="shared" si="22"/>
        <v>43964.880904187019</v>
      </c>
      <c r="M50" s="29">
        <f t="shared" si="22"/>
        <v>45348.36</v>
      </c>
      <c r="O50" s="73"/>
      <c r="P50" s="73"/>
      <c r="Q50" s="73"/>
      <c r="R50" s="73"/>
      <c r="S50" s="73"/>
      <c r="T50" s="73"/>
      <c r="U50" s="73"/>
      <c r="V50" s="73"/>
      <c r="W50" s="73"/>
    </row>
    <row r="51" spans="2:23" ht="15.75" customHeight="1" x14ac:dyDescent="0.25">
      <c r="B51" s="31" t="s">
        <v>77</v>
      </c>
      <c r="C51" s="29"/>
      <c r="D51" s="29">
        <f t="shared" ref="D51:M51" si="23">D46*D34</f>
        <v>17194.586499999998</v>
      </c>
      <c r="E51" s="29">
        <f t="shared" si="23"/>
        <v>20830.013359999997</v>
      </c>
      <c r="F51" s="29">
        <f t="shared" si="23"/>
        <v>24605.453281499998</v>
      </c>
      <c r="G51" s="29">
        <f t="shared" si="23"/>
        <v>28706.362161749996</v>
      </c>
      <c r="H51" s="29">
        <f t="shared" si="23"/>
        <v>33155.848296821248</v>
      </c>
      <c r="I51" s="29">
        <f t="shared" si="23"/>
        <v>37978.517139995245</v>
      </c>
      <c r="J51" s="29">
        <f t="shared" si="23"/>
        <v>43200.563246744598</v>
      </c>
      <c r="K51" s="29">
        <f t="shared" si="23"/>
        <v>48849.867671318898</v>
      </c>
      <c r="L51" s="29">
        <f t="shared" si="23"/>
        <v>54956.101130233772</v>
      </c>
      <c r="M51" s="29">
        <f t="shared" si="23"/>
        <v>60464.480000000003</v>
      </c>
      <c r="O51" s="73"/>
      <c r="P51" s="73"/>
      <c r="Q51" s="73"/>
      <c r="R51" s="73"/>
      <c r="S51" s="73"/>
      <c r="T51" s="73"/>
      <c r="U51" s="73"/>
      <c r="V51" s="73"/>
      <c r="W51" s="73"/>
    </row>
    <row r="52" spans="2:23" ht="15.75" customHeight="1" x14ac:dyDescent="0.25">
      <c r="B52" s="31" t="s">
        <v>78</v>
      </c>
      <c r="C52" s="29"/>
      <c r="D52" s="29">
        <f t="shared" ref="D52:M52" si="24">SUM(D49:D50)</f>
        <v>49127.39</v>
      </c>
      <c r="E52" s="29">
        <f t="shared" si="24"/>
        <v>52075.0334</v>
      </c>
      <c r="F52" s="29">
        <f t="shared" si="24"/>
        <v>54678.785069999998</v>
      </c>
      <c r="G52" s="29">
        <f t="shared" si="24"/>
        <v>57412.724323500006</v>
      </c>
      <c r="H52" s="29">
        <f t="shared" si="24"/>
        <v>60283.360539675014</v>
      </c>
      <c r="I52" s="29">
        <f t="shared" si="24"/>
        <v>63297.528566658766</v>
      </c>
      <c r="J52" s="29">
        <f t="shared" si="24"/>
        <v>66462.404994991695</v>
      </c>
      <c r="K52" s="29">
        <f t="shared" si="24"/>
        <v>69785.525244741293</v>
      </c>
      <c r="L52" s="29">
        <f t="shared" si="24"/>
        <v>73274.801506978372</v>
      </c>
      <c r="M52" s="29">
        <f t="shared" si="24"/>
        <v>75580.600000000006</v>
      </c>
      <c r="O52" s="73"/>
      <c r="P52" s="73"/>
      <c r="Q52" s="73"/>
      <c r="R52" s="73"/>
      <c r="S52" s="73"/>
      <c r="T52" s="73"/>
      <c r="U52" s="73"/>
      <c r="V52" s="73"/>
      <c r="W52" s="73"/>
    </row>
    <row r="53" spans="2:23" ht="15.75" customHeight="1" x14ac:dyDescent="0.25">
      <c r="B53" s="31" t="s">
        <v>79</v>
      </c>
      <c r="C53" s="29"/>
      <c r="D53" s="29">
        <f t="shared" ref="D53:M53" si="25">D46-D52</f>
        <v>196509.56</v>
      </c>
      <c r="E53" s="29">
        <f t="shared" si="25"/>
        <v>208300.1336</v>
      </c>
      <c r="F53" s="29">
        <f t="shared" si="25"/>
        <v>218715.14028000005</v>
      </c>
      <c r="G53" s="29">
        <f t="shared" si="25"/>
        <v>229650.89729400002</v>
      </c>
      <c r="H53" s="29">
        <f t="shared" si="25"/>
        <v>241133.44215870005</v>
      </c>
      <c r="I53" s="29">
        <f t="shared" si="25"/>
        <v>253190.11426663506</v>
      </c>
      <c r="J53" s="29">
        <f t="shared" si="25"/>
        <v>265849.61997996678</v>
      </c>
      <c r="K53" s="29">
        <f t="shared" si="25"/>
        <v>279142.10097896517</v>
      </c>
      <c r="L53" s="29">
        <f t="shared" si="25"/>
        <v>293099.20602791349</v>
      </c>
      <c r="M53" s="29">
        <f t="shared" si="25"/>
        <v>302322.40000000002</v>
      </c>
      <c r="O53" s="73"/>
      <c r="P53" s="73"/>
      <c r="Q53" s="73"/>
      <c r="R53" s="73"/>
      <c r="S53" s="73"/>
      <c r="T53" s="73"/>
      <c r="U53" s="73"/>
      <c r="V53" s="73"/>
      <c r="W53" s="73"/>
    </row>
    <row r="54" spans="2:23" ht="15.75" customHeight="1" x14ac:dyDescent="0.25">
      <c r="B54" s="31"/>
      <c r="C54" s="31"/>
      <c r="D54" s="31"/>
      <c r="E54" s="31"/>
      <c r="F54" s="29"/>
      <c r="G54" s="29"/>
      <c r="H54" s="29"/>
      <c r="I54" s="29"/>
      <c r="J54" s="29"/>
      <c r="K54" s="29"/>
      <c r="L54" s="29"/>
      <c r="M54" s="31"/>
      <c r="O54" s="73"/>
      <c r="P54" s="73"/>
      <c r="Q54" s="73"/>
      <c r="R54" s="73"/>
      <c r="S54" s="73"/>
      <c r="T54" s="73"/>
      <c r="U54" s="73"/>
      <c r="V54" s="73"/>
      <c r="W54" s="73"/>
    </row>
    <row r="55" spans="2:23" ht="15.75" customHeight="1" x14ac:dyDescent="0.25">
      <c r="B55" s="30" t="s">
        <v>80</v>
      </c>
      <c r="C55" s="29"/>
      <c r="D55" s="29"/>
      <c r="E55" s="29"/>
      <c r="F55" s="29"/>
      <c r="G55" s="29"/>
      <c r="H55" s="29"/>
      <c r="I55" s="29"/>
      <c r="J55" s="29"/>
      <c r="K55" s="29"/>
      <c r="L55" s="29"/>
      <c r="M55" s="29"/>
      <c r="O55" s="73"/>
      <c r="P55" s="73"/>
      <c r="Q55" s="73"/>
      <c r="R55" s="73"/>
      <c r="S55" s="73"/>
      <c r="T55" s="73"/>
      <c r="U55" s="73"/>
      <c r="V55" s="73"/>
      <c r="W55" s="73"/>
    </row>
    <row r="56" spans="2:23" ht="15.75" customHeight="1" x14ac:dyDescent="0.25">
      <c r="B56" s="31" t="s">
        <v>81</v>
      </c>
      <c r="C56" s="29"/>
      <c r="D56" s="29">
        <f t="shared" ref="D56:M56" si="26">D35*D46</f>
        <v>29476.434000000001</v>
      </c>
      <c r="E56" s="29">
        <f t="shared" si="26"/>
        <v>28641.268370000005</v>
      </c>
      <c r="F56" s="29">
        <f t="shared" si="26"/>
        <v>30073.331788500007</v>
      </c>
      <c r="G56" s="29">
        <f t="shared" si="26"/>
        <v>31576.998377925007</v>
      </c>
      <c r="H56" s="29">
        <f t="shared" si="26"/>
        <v>33155.848296821263</v>
      </c>
      <c r="I56" s="29">
        <f t="shared" si="26"/>
        <v>34813.640711662323</v>
      </c>
      <c r="J56" s="29">
        <f t="shared" si="26"/>
        <v>36554.322747245438</v>
      </c>
      <c r="K56" s="29">
        <f t="shared" si="26"/>
        <v>38382.038884607719</v>
      </c>
      <c r="L56" s="29">
        <f t="shared" si="26"/>
        <v>40301.140828838106</v>
      </c>
      <c r="M56" s="29">
        <f t="shared" si="26"/>
        <v>41569.330000000009</v>
      </c>
      <c r="O56" s="73"/>
      <c r="P56" s="73"/>
      <c r="Q56" s="73"/>
      <c r="R56" s="73"/>
      <c r="S56" s="73"/>
      <c r="T56" s="73"/>
      <c r="U56" s="73"/>
      <c r="V56" s="73"/>
      <c r="W56" s="73"/>
    </row>
    <row r="57" spans="2:23" ht="15.75" customHeight="1" x14ac:dyDescent="0.25">
      <c r="B57" s="29" t="s">
        <v>82</v>
      </c>
      <c r="C57" s="29"/>
      <c r="D57" s="29">
        <f t="shared" ref="D57:M57" si="27">D26</f>
        <v>108160</v>
      </c>
      <c r="E57" s="29">
        <f t="shared" si="27"/>
        <v>109241.60000000001</v>
      </c>
      <c r="F57" s="29">
        <f t="shared" si="27"/>
        <v>110334.016</v>
      </c>
      <c r="G57" s="29">
        <f t="shared" si="27"/>
        <v>111437.35616000001</v>
      </c>
      <c r="H57" s="29">
        <f t="shared" si="27"/>
        <v>112551.72972160002</v>
      </c>
      <c r="I57" s="29">
        <f t="shared" si="27"/>
        <v>142096.55877352002</v>
      </c>
      <c r="J57" s="29">
        <f t="shared" si="27"/>
        <v>143517.52436125523</v>
      </c>
      <c r="K57" s="29">
        <f t="shared" si="27"/>
        <v>144952.69960486775</v>
      </c>
      <c r="L57" s="29">
        <f t="shared" si="27"/>
        <v>146402.22660091645</v>
      </c>
      <c r="M57" s="29">
        <f t="shared" si="27"/>
        <v>147866.2488669256</v>
      </c>
      <c r="O57" s="73"/>
      <c r="P57" s="73"/>
      <c r="Q57" s="73"/>
      <c r="R57" s="73"/>
      <c r="S57" s="73"/>
      <c r="T57" s="73"/>
      <c r="U57" s="73"/>
      <c r="V57" s="73"/>
      <c r="W57" s="73"/>
    </row>
    <row r="58" spans="2:23" ht="15.75" customHeight="1" x14ac:dyDescent="0.25">
      <c r="B58" s="31" t="s">
        <v>83</v>
      </c>
      <c r="C58" s="29"/>
      <c r="D58" s="29">
        <f t="shared" ref="D58:M58" si="28">D46*D36</f>
        <v>17194.586499999998</v>
      </c>
      <c r="E58" s="29">
        <f t="shared" si="28"/>
        <v>19684.362625200003</v>
      </c>
      <c r="F58" s="29">
        <f t="shared" si="28"/>
        <v>22322.067216976808</v>
      </c>
      <c r="G58" s="29">
        <f t="shared" si="28"/>
        <v>25313.224224051701</v>
      </c>
      <c r="H58" s="29">
        <f t="shared" si="28"/>
        <v>28705.196270074637</v>
      </c>
      <c r="I58" s="29">
        <f t="shared" si="28"/>
        <v>32551.692570264637</v>
      </c>
      <c r="J58" s="29">
        <f t="shared" si="28"/>
        <v>36913.6193746801</v>
      </c>
      <c r="K58" s="29">
        <f t="shared" si="28"/>
        <v>41860.044370887241</v>
      </c>
      <c r="L58" s="29">
        <f t="shared" si="28"/>
        <v>47469.290316586135</v>
      </c>
      <c r="M58" s="29">
        <f t="shared" si="28"/>
        <v>52880.08919176527</v>
      </c>
      <c r="O58" s="73"/>
      <c r="P58" s="73"/>
      <c r="Q58" s="73"/>
      <c r="R58" s="73"/>
      <c r="S58" s="73"/>
      <c r="T58" s="73"/>
      <c r="U58" s="73"/>
      <c r="V58" s="73"/>
      <c r="W58" s="73"/>
    </row>
    <row r="59" spans="2:23" ht="15.75" customHeight="1" x14ac:dyDescent="0.25">
      <c r="B59" s="31"/>
      <c r="C59" s="29"/>
      <c r="D59" s="29"/>
      <c r="E59" s="29"/>
      <c r="F59" s="29"/>
      <c r="G59" s="29"/>
      <c r="H59" s="29"/>
      <c r="I59" s="29"/>
      <c r="J59" s="29"/>
      <c r="K59" s="29"/>
      <c r="L59" s="29"/>
      <c r="M59" s="29"/>
    </row>
    <row r="60" spans="2:23" ht="15.75" customHeight="1" x14ac:dyDescent="0.25">
      <c r="B60" s="30" t="s">
        <v>84</v>
      </c>
      <c r="C60" s="29"/>
      <c r="D60" s="29">
        <f t="shared" ref="D60:M60" si="29">SUM(D56:D59)</f>
        <v>154831.02050000001</v>
      </c>
      <c r="E60" s="29">
        <f t="shared" si="29"/>
        <v>157567.23099520002</v>
      </c>
      <c r="F60" s="29">
        <f t="shared" si="29"/>
        <v>162729.41500547683</v>
      </c>
      <c r="G60" s="29">
        <f t="shared" si="29"/>
        <v>168327.57876197671</v>
      </c>
      <c r="H60" s="29">
        <f t="shared" si="29"/>
        <v>174412.77428849592</v>
      </c>
      <c r="I60" s="29">
        <f t="shared" si="29"/>
        <v>209461.89205544698</v>
      </c>
      <c r="J60" s="29">
        <f t="shared" si="29"/>
        <v>216985.46648318076</v>
      </c>
      <c r="K60" s="29">
        <f t="shared" si="29"/>
        <v>225194.78286036273</v>
      </c>
      <c r="L60" s="29">
        <f t="shared" si="29"/>
        <v>234172.65774634067</v>
      </c>
      <c r="M60" s="29">
        <f t="shared" si="29"/>
        <v>242315.66805869088</v>
      </c>
      <c r="O60" s="74" t="s">
        <v>85</v>
      </c>
      <c r="P60" s="73"/>
      <c r="Q60" s="73"/>
      <c r="R60" s="73"/>
      <c r="S60" s="73"/>
      <c r="T60" s="73"/>
      <c r="U60" s="73"/>
      <c r="V60" s="73"/>
      <c r="W60" s="73"/>
    </row>
    <row r="61" spans="2:23" ht="15.75" customHeight="1" x14ac:dyDescent="0.25">
      <c r="B61" s="31" t="s">
        <v>86</v>
      </c>
      <c r="C61" s="29"/>
      <c r="D61" s="29">
        <f t="shared" ref="D61:M61" si="30">D53-D60</f>
        <v>41678.539499999984</v>
      </c>
      <c r="E61" s="29">
        <f t="shared" si="30"/>
        <v>50732.90260479998</v>
      </c>
      <c r="F61" s="29">
        <f t="shared" si="30"/>
        <v>55985.725274523225</v>
      </c>
      <c r="G61" s="29">
        <f t="shared" si="30"/>
        <v>61323.318532023317</v>
      </c>
      <c r="H61" s="29">
        <f t="shared" si="30"/>
        <v>66720.667870204139</v>
      </c>
      <c r="I61" s="29">
        <f t="shared" si="30"/>
        <v>43728.222211188084</v>
      </c>
      <c r="J61" s="29">
        <f t="shared" si="30"/>
        <v>48864.153496786021</v>
      </c>
      <c r="K61" s="29">
        <f t="shared" si="30"/>
        <v>53947.318118602445</v>
      </c>
      <c r="L61" s="29">
        <f t="shared" si="30"/>
        <v>58926.548281572817</v>
      </c>
      <c r="M61" s="29">
        <f t="shared" si="30"/>
        <v>60006.731941309146</v>
      </c>
      <c r="O61" s="73"/>
      <c r="P61" s="73"/>
      <c r="Q61" s="73"/>
      <c r="R61" s="73"/>
      <c r="S61" s="73"/>
      <c r="T61" s="73"/>
      <c r="U61" s="73"/>
      <c r="V61" s="73"/>
      <c r="W61" s="73"/>
    </row>
    <row r="62" spans="2:23" ht="15.75" customHeight="1" x14ac:dyDescent="0.25">
      <c r="B62" s="31"/>
      <c r="C62" s="31"/>
      <c r="D62" s="31"/>
      <c r="E62" s="31"/>
      <c r="F62" s="29"/>
      <c r="G62" s="29"/>
      <c r="H62" s="29"/>
      <c r="I62" s="29"/>
      <c r="J62" s="29"/>
      <c r="K62" s="29"/>
      <c r="L62" s="29"/>
      <c r="M62" s="31"/>
      <c r="O62" s="73"/>
      <c r="P62" s="73"/>
      <c r="Q62" s="73"/>
      <c r="R62" s="73"/>
      <c r="S62" s="73"/>
      <c r="T62" s="73"/>
      <c r="U62" s="73"/>
      <c r="V62" s="73"/>
      <c r="W62" s="73"/>
    </row>
    <row r="63" spans="2:23" ht="15.75" customHeight="1" x14ac:dyDescent="0.25">
      <c r="B63" s="31" t="s">
        <v>87</v>
      </c>
      <c r="C63" s="29"/>
      <c r="D63" s="29">
        <f t="shared" ref="D63:M63" si="31">$D$19/$D$21</f>
        <v>8727.2727272727279</v>
      </c>
      <c r="E63" s="29">
        <f t="shared" si="31"/>
        <v>8727.2727272727279</v>
      </c>
      <c r="F63" s="29">
        <f t="shared" si="31"/>
        <v>8727.2727272727279</v>
      </c>
      <c r="G63" s="29">
        <f t="shared" si="31"/>
        <v>8727.2727272727279</v>
      </c>
      <c r="H63" s="29">
        <f t="shared" si="31"/>
        <v>8727.2727272727279</v>
      </c>
      <c r="I63" s="29">
        <f t="shared" si="31"/>
        <v>8727.2727272727279</v>
      </c>
      <c r="J63" s="29">
        <f t="shared" si="31"/>
        <v>8727.2727272727279</v>
      </c>
      <c r="K63" s="29">
        <f t="shared" si="31"/>
        <v>8727.2727272727279</v>
      </c>
      <c r="L63" s="29">
        <f t="shared" si="31"/>
        <v>8727.2727272727279</v>
      </c>
      <c r="M63" s="29">
        <f t="shared" si="31"/>
        <v>8727.2727272727279</v>
      </c>
      <c r="O63" s="73"/>
      <c r="P63" s="73"/>
      <c r="Q63" s="73"/>
      <c r="R63" s="73"/>
      <c r="S63" s="73"/>
      <c r="T63" s="73"/>
      <c r="U63" s="73"/>
      <c r="V63" s="73"/>
      <c r="W63" s="73"/>
    </row>
    <row r="64" spans="2:23" ht="15.75" customHeight="1" x14ac:dyDescent="0.25">
      <c r="B64" s="31" t="s">
        <v>88</v>
      </c>
      <c r="C64" s="29"/>
      <c r="D64" s="29">
        <f t="shared" ref="D64:M64" si="32">D18/$D$22</f>
        <v>3900</v>
      </c>
      <c r="E64" s="29">
        <f t="shared" si="32"/>
        <v>3900</v>
      </c>
      <c r="F64" s="29">
        <f t="shared" si="32"/>
        <v>3900</v>
      </c>
      <c r="G64" s="29">
        <f t="shared" si="32"/>
        <v>3900</v>
      </c>
      <c r="H64" s="29">
        <f t="shared" si="32"/>
        <v>3900</v>
      </c>
      <c r="I64" s="29">
        <f t="shared" si="32"/>
        <v>5850</v>
      </c>
      <c r="J64" s="29">
        <f t="shared" si="32"/>
        <v>5850</v>
      </c>
      <c r="K64" s="29">
        <f t="shared" si="32"/>
        <v>5850</v>
      </c>
      <c r="L64" s="29">
        <f t="shared" si="32"/>
        <v>5850</v>
      </c>
      <c r="M64" s="29">
        <f t="shared" si="32"/>
        <v>5850</v>
      </c>
      <c r="O64" s="73"/>
      <c r="P64" s="73"/>
      <c r="Q64" s="73"/>
      <c r="R64" s="73"/>
      <c r="S64" s="73"/>
      <c r="T64" s="73"/>
      <c r="U64" s="73"/>
      <c r="V64" s="73"/>
      <c r="W64" s="73"/>
    </row>
    <row r="65" spans="1:23" ht="15.75" customHeight="1" x14ac:dyDescent="0.25">
      <c r="B65" s="31" t="s">
        <v>89</v>
      </c>
      <c r="C65" s="29"/>
      <c r="D65" s="29">
        <f>Mortgage!D16</f>
        <v>11905.273454094804</v>
      </c>
      <c r="E65" s="29">
        <f>Mortgage!D31</f>
        <v>11691.872166912231</v>
      </c>
      <c r="F65" s="29">
        <f>Mortgage!D46</f>
        <v>11467.55286486699</v>
      </c>
      <c r="G65" s="29">
        <f>Mortgage!D61</f>
        <v>11231.756961597614</v>
      </c>
      <c r="H65" s="29">
        <f>Mortgage!D76</f>
        <v>10983.897292404234</v>
      </c>
      <c r="I65" s="29">
        <f>Mortgage!D91</f>
        <v>10723.356652126586</v>
      </c>
      <c r="J65" s="29">
        <f>Mortgage!D106</f>
        <v>10449.48625821701</v>
      </c>
      <c r="K65" s="29">
        <f>Mortgage!D121</f>
        <v>10161.604135181402</v>
      </c>
      <c r="L65" s="29">
        <f>Mortgage!D136</f>
        <v>9858.9934163650669</v>
      </c>
      <c r="M65" s="29">
        <f>Mortgage!D151</f>
        <v>9540.9005588547352</v>
      </c>
      <c r="O65" s="73"/>
      <c r="P65" s="73"/>
      <c r="Q65" s="73"/>
      <c r="R65" s="73"/>
      <c r="S65" s="73"/>
      <c r="T65" s="73"/>
      <c r="U65" s="73"/>
      <c r="V65" s="73"/>
      <c r="W65" s="73"/>
    </row>
    <row r="66" spans="1:23" ht="15.75" customHeight="1" x14ac:dyDescent="0.25">
      <c r="B66" s="29" t="s">
        <v>90</v>
      </c>
      <c r="C66" s="29"/>
      <c r="D66" s="29">
        <f t="shared" ref="D66:M66" si="33">$D$41*D97</f>
        <v>1540.96</v>
      </c>
      <c r="E66" s="29">
        <f t="shared" si="33"/>
        <v>0</v>
      </c>
      <c r="F66" s="29">
        <f t="shared" si="33"/>
        <v>0</v>
      </c>
      <c r="G66" s="29">
        <f t="shared" si="33"/>
        <v>0</v>
      </c>
      <c r="H66" s="29">
        <f t="shared" si="33"/>
        <v>0</v>
      </c>
      <c r="I66" s="29">
        <f t="shared" si="33"/>
        <v>0</v>
      </c>
      <c r="J66" s="29">
        <f t="shared" si="33"/>
        <v>0</v>
      </c>
      <c r="K66" s="29">
        <f t="shared" si="33"/>
        <v>0</v>
      </c>
      <c r="L66" s="29">
        <f t="shared" si="33"/>
        <v>0</v>
      </c>
      <c r="M66" s="29">
        <f t="shared" si="33"/>
        <v>0</v>
      </c>
      <c r="O66" s="73"/>
      <c r="P66" s="73"/>
      <c r="Q66" s="73"/>
      <c r="R66" s="73"/>
      <c r="S66" s="73"/>
      <c r="T66" s="73"/>
      <c r="U66" s="73"/>
      <c r="V66" s="73"/>
      <c r="W66" s="73"/>
    </row>
    <row r="67" spans="1:23" ht="15.75" customHeight="1" x14ac:dyDescent="0.25">
      <c r="B67" s="31"/>
      <c r="C67" s="29"/>
      <c r="D67" s="29"/>
      <c r="E67" s="29"/>
      <c r="F67" s="29"/>
      <c r="G67" s="29"/>
      <c r="H67" s="29"/>
      <c r="I67" s="29"/>
      <c r="J67" s="29"/>
      <c r="K67" s="29"/>
      <c r="L67" s="29"/>
      <c r="M67" s="29"/>
      <c r="O67" s="73"/>
      <c r="P67" s="73"/>
      <c r="Q67" s="73"/>
      <c r="R67" s="73"/>
      <c r="S67" s="73"/>
      <c r="T67" s="73"/>
      <c r="U67" s="73"/>
      <c r="V67" s="73"/>
      <c r="W67" s="73"/>
    </row>
    <row r="68" spans="1:23" ht="15.75" customHeight="1" x14ac:dyDescent="0.25">
      <c r="B68" s="31" t="s">
        <v>91</v>
      </c>
      <c r="C68" s="29"/>
      <c r="D68" s="29">
        <f t="shared" ref="D68:M68" si="34">D61-D64-D65-D63</f>
        <v>17145.993318632452</v>
      </c>
      <c r="E68" s="29">
        <f t="shared" si="34"/>
        <v>26413.75771061502</v>
      </c>
      <c r="F68" s="29">
        <f t="shared" si="34"/>
        <v>31890.899682383511</v>
      </c>
      <c r="G68" s="29">
        <f t="shared" si="34"/>
        <v>37464.288843152979</v>
      </c>
      <c r="H68" s="29">
        <f t="shared" si="34"/>
        <v>43109.497850527179</v>
      </c>
      <c r="I68" s="29">
        <f t="shared" si="34"/>
        <v>18427.59283178877</v>
      </c>
      <c r="J68" s="29">
        <f t="shared" si="34"/>
        <v>23837.394511296283</v>
      </c>
      <c r="K68" s="29">
        <f t="shared" si="34"/>
        <v>29208.441256148311</v>
      </c>
      <c r="L68" s="29">
        <f t="shared" si="34"/>
        <v>34490.282137935021</v>
      </c>
      <c r="M68" s="29">
        <f t="shared" si="34"/>
        <v>35888.558655181681</v>
      </c>
      <c r="O68" s="73"/>
      <c r="P68" s="73"/>
      <c r="Q68" s="73"/>
      <c r="R68" s="73"/>
      <c r="S68" s="73"/>
      <c r="T68" s="73"/>
      <c r="U68" s="73"/>
      <c r="V68" s="73"/>
      <c r="W68" s="73"/>
    </row>
    <row r="69" spans="1:23" ht="15.75" customHeight="1" x14ac:dyDescent="0.25">
      <c r="B69" s="31" t="s">
        <v>92</v>
      </c>
      <c r="C69" s="29"/>
      <c r="D69" s="29">
        <f t="shared" ref="D69:M69" si="35">IF(D68&gt;0,D68*D38,0)</f>
        <v>3600.658596912815</v>
      </c>
      <c r="E69" s="29">
        <f t="shared" si="35"/>
        <v>5546.8891192291539</v>
      </c>
      <c r="F69" s="29">
        <f t="shared" si="35"/>
        <v>6697.0889333005371</v>
      </c>
      <c r="G69" s="29">
        <f t="shared" si="35"/>
        <v>7867.5006570621254</v>
      </c>
      <c r="H69" s="29">
        <f t="shared" si="35"/>
        <v>9052.9945486107081</v>
      </c>
      <c r="I69" s="29">
        <f t="shared" si="35"/>
        <v>3869.7944946756415</v>
      </c>
      <c r="J69" s="29">
        <f t="shared" si="35"/>
        <v>5005.852847372219</v>
      </c>
      <c r="K69" s="29">
        <f t="shared" si="35"/>
        <v>6133.7726637911455</v>
      </c>
      <c r="L69" s="29">
        <f t="shared" si="35"/>
        <v>7242.9592489663537</v>
      </c>
      <c r="M69" s="29">
        <f t="shared" si="35"/>
        <v>7536.5973175881527</v>
      </c>
      <c r="O69" s="73"/>
      <c r="P69" s="73"/>
      <c r="Q69" s="73"/>
      <c r="R69" s="73"/>
      <c r="S69" s="73"/>
      <c r="T69" s="73"/>
      <c r="U69" s="73"/>
      <c r="V69" s="73"/>
      <c r="W69" s="73"/>
    </row>
    <row r="70" spans="1:23" ht="15.75" customHeight="1" x14ac:dyDescent="0.25">
      <c r="B70" s="31"/>
      <c r="C70" s="29"/>
      <c r="D70" s="29"/>
      <c r="E70" s="29"/>
      <c r="F70" s="29"/>
      <c r="G70" s="29"/>
      <c r="H70" s="29"/>
      <c r="I70" s="29"/>
      <c r="J70" s="29"/>
      <c r="K70" s="29"/>
      <c r="L70" s="29"/>
      <c r="M70" s="29"/>
      <c r="O70" s="73"/>
      <c r="P70" s="73"/>
      <c r="Q70" s="73"/>
      <c r="R70" s="73"/>
      <c r="S70" s="73"/>
      <c r="T70" s="73"/>
      <c r="U70" s="73"/>
      <c r="V70" s="73"/>
      <c r="W70" s="73"/>
    </row>
    <row r="71" spans="1:23" ht="15.75" customHeight="1" x14ac:dyDescent="0.25">
      <c r="B71" s="32" t="s">
        <v>93</v>
      </c>
      <c r="C71" s="29"/>
      <c r="D71" s="29">
        <f t="shared" ref="D71:M71" si="36">D46-D52-D60-D64-D65-D66-D69</f>
        <v>20731.647448992368</v>
      </c>
      <c r="E71" s="29">
        <f t="shared" si="36"/>
        <v>29594.141318658592</v>
      </c>
      <c r="F71" s="29">
        <f t="shared" si="36"/>
        <v>33921.0834763557</v>
      </c>
      <c r="G71" s="29">
        <f t="shared" si="36"/>
        <v>38324.060913363581</v>
      </c>
      <c r="H71" s="29">
        <f t="shared" si="36"/>
        <v>42783.776029189197</v>
      </c>
      <c r="I71" s="29">
        <f t="shared" si="36"/>
        <v>23285.071064385855</v>
      </c>
      <c r="J71" s="29">
        <f t="shared" si="36"/>
        <v>27558.814391196793</v>
      </c>
      <c r="K71" s="29">
        <f t="shared" si="36"/>
        <v>31801.941319629892</v>
      </c>
      <c r="L71" s="29">
        <f t="shared" si="36"/>
        <v>35974.595616241393</v>
      </c>
      <c r="M71" s="29">
        <f t="shared" si="36"/>
        <v>37079.234064866258</v>
      </c>
      <c r="O71" s="73"/>
      <c r="P71" s="73"/>
      <c r="Q71" s="73"/>
      <c r="R71" s="73"/>
      <c r="S71" s="73"/>
      <c r="T71" s="73"/>
      <c r="U71" s="73"/>
      <c r="V71" s="73"/>
      <c r="W71" s="73"/>
    </row>
    <row r="72" spans="1:23" ht="15.75" customHeight="1" x14ac:dyDescent="0.25">
      <c r="B72" s="31"/>
      <c r="C72" s="29"/>
      <c r="D72" s="29"/>
      <c r="E72" s="29"/>
      <c r="F72" s="29"/>
      <c r="G72" s="29"/>
      <c r="H72" s="29"/>
      <c r="I72" s="29"/>
      <c r="J72" s="29"/>
      <c r="K72" s="29"/>
      <c r="L72" s="29"/>
      <c r="M72" s="29"/>
      <c r="O72" s="73"/>
      <c r="P72" s="73"/>
      <c r="Q72" s="73"/>
      <c r="R72" s="73"/>
      <c r="S72" s="73"/>
      <c r="T72" s="73"/>
      <c r="U72" s="73"/>
      <c r="V72" s="73"/>
      <c r="W72" s="73"/>
    </row>
    <row r="73" spans="1:23" ht="15.75" customHeight="1" x14ac:dyDescent="0.25">
      <c r="B73" s="31"/>
      <c r="C73" s="29"/>
      <c r="D73" s="29"/>
      <c r="E73" s="29"/>
      <c r="F73" s="29"/>
      <c r="G73" s="29"/>
      <c r="H73" s="29"/>
      <c r="I73" s="29"/>
      <c r="J73" s="29"/>
      <c r="K73" s="29"/>
      <c r="L73" s="29"/>
      <c r="M73" s="29"/>
      <c r="O73" s="73"/>
      <c r="P73" s="73"/>
      <c r="Q73" s="73"/>
      <c r="R73" s="73"/>
      <c r="S73" s="73"/>
      <c r="T73" s="73"/>
      <c r="U73" s="73"/>
      <c r="V73" s="73"/>
      <c r="W73" s="73"/>
    </row>
    <row r="74" spans="1:23" ht="15.75" customHeight="1" x14ac:dyDescent="0.25">
      <c r="B74" s="75" t="s">
        <v>94</v>
      </c>
      <c r="C74" s="73"/>
      <c r="D74" s="73"/>
      <c r="E74" s="73"/>
      <c r="F74" s="73"/>
      <c r="G74" s="73"/>
      <c r="H74" s="73"/>
      <c r="I74" s="73"/>
      <c r="J74" s="73"/>
      <c r="K74" s="73"/>
      <c r="L74" s="73"/>
      <c r="M74" s="73"/>
      <c r="O74" s="73"/>
      <c r="P74" s="73"/>
      <c r="Q74" s="73"/>
      <c r="R74" s="73"/>
      <c r="S74" s="73"/>
      <c r="T74" s="73"/>
      <c r="U74" s="73"/>
      <c r="V74" s="73"/>
      <c r="W74" s="73"/>
    </row>
    <row r="75" spans="1:23" ht="15.75" customHeight="1" x14ac:dyDescent="0.25">
      <c r="B75" s="31"/>
      <c r="C75" s="29"/>
      <c r="D75" s="29"/>
      <c r="E75" s="29"/>
      <c r="F75" s="29"/>
      <c r="G75" s="29"/>
      <c r="H75" s="29"/>
      <c r="I75" s="29"/>
      <c r="J75" s="29"/>
      <c r="K75" s="29"/>
      <c r="L75" s="29"/>
      <c r="M75" s="29"/>
    </row>
    <row r="76" spans="1:23" ht="15.75" customHeight="1" x14ac:dyDescent="0.25">
      <c r="B76" s="32" t="s">
        <v>95</v>
      </c>
      <c r="C76" s="33"/>
      <c r="D76" s="33" t="s">
        <v>11</v>
      </c>
      <c r="E76" s="33" t="s">
        <v>12</v>
      </c>
      <c r="F76" s="33" t="s">
        <v>13</v>
      </c>
      <c r="G76" s="33" t="s">
        <v>14</v>
      </c>
      <c r="H76" s="33" t="s">
        <v>15</v>
      </c>
      <c r="I76" s="33" t="s">
        <v>16</v>
      </c>
      <c r="J76" s="33" t="s">
        <v>17</v>
      </c>
      <c r="K76" s="33" t="s">
        <v>18</v>
      </c>
      <c r="L76" s="33" t="s">
        <v>19</v>
      </c>
      <c r="M76" s="33" t="s">
        <v>20</v>
      </c>
      <c r="O76" s="74" t="s">
        <v>96</v>
      </c>
      <c r="P76" s="73"/>
      <c r="Q76" s="73"/>
      <c r="R76" s="73"/>
      <c r="S76" s="73"/>
      <c r="T76" s="73"/>
      <c r="U76" s="73"/>
      <c r="V76" s="73"/>
      <c r="W76" s="73"/>
    </row>
    <row r="77" spans="1:23" ht="15.75" customHeight="1" x14ac:dyDescent="0.25">
      <c r="A77" s="34"/>
      <c r="B77" s="31" t="s">
        <v>97</v>
      </c>
      <c r="C77" s="29"/>
      <c r="D77" s="29">
        <f t="shared" ref="D77:M77" si="37">D46*D40</f>
        <v>9825.478000000001</v>
      </c>
      <c r="E77" s="29">
        <f t="shared" si="37"/>
        <v>10415.00668</v>
      </c>
      <c r="F77" s="29">
        <f t="shared" si="37"/>
        <v>10935.757014000001</v>
      </c>
      <c r="G77" s="29">
        <f t="shared" si="37"/>
        <v>11482.544864700001</v>
      </c>
      <c r="H77" s="29">
        <f t="shared" si="37"/>
        <v>12056.672107935003</v>
      </c>
      <c r="I77" s="29">
        <f t="shared" si="37"/>
        <v>12659.505713331753</v>
      </c>
      <c r="J77" s="29">
        <f t="shared" si="37"/>
        <v>13292.480998998341</v>
      </c>
      <c r="K77" s="29">
        <f t="shared" si="37"/>
        <v>13957.105048948259</v>
      </c>
      <c r="L77" s="29">
        <f t="shared" si="37"/>
        <v>14654.960301395673</v>
      </c>
      <c r="M77" s="29">
        <f t="shared" si="37"/>
        <v>15116.12</v>
      </c>
      <c r="O77" s="73"/>
      <c r="P77" s="73"/>
      <c r="Q77" s="73"/>
      <c r="R77" s="73"/>
      <c r="S77" s="73"/>
      <c r="T77" s="73"/>
      <c r="U77" s="73"/>
      <c r="V77" s="73"/>
      <c r="W77" s="73"/>
    </row>
    <row r="78" spans="1:23" ht="15.75" customHeight="1" x14ac:dyDescent="0.25">
      <c r="B78" s="35" t="s">
        <v>98</v>
      </c>
      <c r="C78" s="36"/>
      <c r="D78" s="36">
        <v>0</v>
      </c>
      <c r="E78" s="36">
        <v>22483</v>
      </c>
      <c r="F78" s="36">
        <v>69671</v>
      </c>
      <c r="G78" s="36">
        <v>122125</v>
      </c>
      <c r="H78" s="36">
        <v>179900</v>
      </c>
      <c r="I78" s="36">
        <v>195103</v>
      </c>
      <c r="J78" s="36">
        <v>234858</v>
      </c>
      <c r="K78" s="36">
        <v>279608</v>
      </c>
      <c r="L78" s="36">
        <v>329244</v>
      </c>
      <c r="M78" s="36">
        <v>380620</v>
      </c>
      <c r="O78" s="73"/>
      <c r="P78" s="73"/>
      <c r="Q78" s="73"/>
      <c r="R78" s="73"/>
      <c r="S78" s="73"/>
      <c r="T78" s="73"/>
      <c r="U78" s="73"/>
      <c r="V78" s="73"/>
      <c r="W78" s="73"/>
    </row>
    <row r="79" spans="1:23" ht="15.75" customHeight="1" x14ac:dyDescent="0.25">
      <c r="B79" s="31" t="s">
        <v>99</v>
      </c>
      <c r="C79" s="29"/>
      <c r="D79" s="29">
        <f t="shared" ref="D79:M79" si="38">$D$29*(D46/365)</f>
        <v>17497.426575342466</v>
      </c>
      <c r="E79" s="29">
        <f t="shared" si="38"/>
        <v>18547.272169863016</v>
      </c>
      <c r="F79" s="29">
        <f t="shared" si="38"/>
        <v>19474.635778356165</v>
      </c>
      <c r="G79" s="29">
        <f t="shared" si="38"/>
        <v>20448.367567273974</v>
      </c>
      <c r="H79" s="29">
        <f t="shared" si="38"/>
        <v>21470.785945637679</v>
      </c>
      <c r="I79" s="29">
        <f t="shared" si="38"/>
        <v>22544.32524291956</v>
      </c>
      <c r="J79" s="29">
        <f t="shared" si="38"/>
        <v>23671.541505065539</v>
      </c>
      <c r="K79" s="29">
        <f t="shared" si="38"/>
        <v>24855.118580318816</v>
      </c>
      <c r="L79" s="29">
        <f t="shared" si="38"/>
        <v>26097.874509334761</v>
      </c>
      <c r="M79" s="29">
        <f t="shared" si="38"/>
        <v>26919.117808219176</v>
      </c>
      <c r="O79" s="73"/>
      <c r="P79" s="73"/>
      <c r="Q79" s="73"/>
      <c r="R79" s="73"/>
      <c r="S79" s="73"/>
      <c r="T79" s="73"/>
      <c r="U79" s="73"/>
      <c r="V79" s="73"/>
      <c r="W79" s="73"/>
    </row>
    <row r="80" spans="1:23" ht="15.75" customHeight="1" x14ac:dyDescent="0.25">
      <c r="B80" s="31" t="s">
        <v>100</v>
      </c>
      <c r="C80" s="29"/>
      <c r="D80" s="29">
        <f t="shared" ref="D80:M80" si="39">$D$31*(D52/365)</f>
        <v>6056.8015068493141</v>
      </c>
      <c r="E80" s="29">
        <f t="shared" si="39"/>
        <v>6420.2095972602747</v>
      </c>
      <c r="F80" s="29">
        <f t="shared" si="39"/>
        <v>6741.2200771232883</v>
      </c>
      <c r="G80" s="29">
        <f t="shared" si="39"/>
        <v>7078.2810809794528</v>
      </c>
      <c r="H80" s="29">
        <f t="shared" si="39"/>
        <v>7432.1951350284271</v>
      </c>
      <c r="I80" s="29">
        <f t="shared" si="39"/>
        <v>7803.8048917798478</v>
      </c>
      <c r="J80" s="29">
        <f t="shared" si="39"/>
        <v>8193.9951363688397</v>
      </c>
      <c r="K80" s="29">
        <f t="shared" si="39"/>
        <v>8603.694893187283</v>
      </c>
      <c r="L80" s="29">
        <f t="shared" si="39"/>
        <v>9033.8796378466486</v>
      </c>
      <c r="M80" s="29">
        <f t="shared" si="39"/>
        <v>9318.1561643835612</v>
      </c>
      <c r="O80" s="73"/>
      <c r="P80" s="73"/>
      <c r="Q80" s="73"/>
      <c r="R80" s="73"/>
      <c r="S80" s="73"/>
      <c r="T80" s="73"/>
      <c r="U80" s="73"/>
      <c r="V80" s="73"/>
      <c r="W80" s="73"/>
    </row>
    <row r="81" spans="2:23" ht="15.75" customHeight="1" x14ac:dyDescent="0.25">
      <c r="B81" s="29" t="s">
        <v>101</v>
      </c>
      <c r="C81" s="29"/>
      <c r="D81" s="29">
        <f t="shared" ref="D81:M81" si="40">SUM(D77:D80)</f>
        <v>33379.706082191777</v>
      </c>
      <c r="E81" s="29">
        <f t="shared" si="40"/>
        <v>57865.488447123287</v>
      </c>
      <c r="F81" s="29">
        <f t="shared" si="40"/>
        <v>106822.61286947946</v>
      </c>
      <c r="G81" s="29">
        <f t="shared" si="40"/>
        <v>161134.19351295341</v>
      </c>
      <c r="H81" s="29">
        <f t="shared" si="40"/>
        <v>220859.65318860111</v>
      </c>
      <c r="I81" s="29">
        <f t="shared" si="40"/>
        <v>238110.63584803115</v>
      </c>
      <c r="J81" s="29">
        <f t="shared" si="40"/>
        <v>280016.01764043269</v>
      </c>
      <c r="K81" s="29">
        <f t="shared" si="40"/>
        <v>327023.91852245433</v>
      </c>
      <c r="L81" s="29">
        <f t="shared" si="40"/>
        <v>379030.71444857708</v>
      </c>
      <c r="M81" s="29">
        <f t="shared" si="40"/>
        <v>431973.39397260273</v>
      </c>
      <c r="O81" s="73"/>
      <c r="P81" s="73"/>
      <c r="Q81" s="73"/>
      <c r="R81" s="73"/>
      <c r="S81" s="73"/>
      <c r="T81" s="73"/>
      <c r="U81" s="73"/>
      <c r="V81" s="73"/>
      <c r="W81" s="73"/>
    </row>
    <row r="82" spans="2:23" ht="15.75" customHeight="1" x14ac:dyDescent="0.25">
      <c r="B82" s="31"/>
      <c r="C82" s="29"/>
      <c r="D82" s="29"/>
      <c r="E82" s="29"/>
      <c r="F82" s="29"/>
      <c r="G82" s="29"/>
      <c r="H82" s="29"/>
      <c r="I82" s="29"/>
      <c r="J82" s="29"/>
      <c r="K82" s="29"/>
      <c r="L82" s="29"/>
      <c r="M82" s="29"/>
      <c r="O82" s="73"/>
      <c r="P82" s="73"/>
      <c r="Q82" s="73"/>
      <c r="R82" s="73"/>
      <c r="S82" s="73"/>
      <c r="T82" s="73"/>
      <c r="U82" s="73"/>
      <c r="V82" s="73"/>
      <c r="W82" s="73"/>
    </row>
    <row r="83" spans="2:23" ht="15.75" customHeight="1" x14ac:dyDescent="0.25">
      <c r="B83" s="31" t="s">
        <v>102</v>
      </c>
      <c r="C83" s="29"/>
      <c r="D83" s="29">
        <v>45000</v>
      </c>
      <c r="E83" s="29">
        <f t="shared" ref="E83:M83" si="41">$D$83</f>
        <v>45000</v>
      </c>
      <c r="F83" s="29">
        <f t="shared" si="41"/>
        <v>45000</v>
      </c>
      <c r="G83" s="29">
        <f t="shared" si="41"/>
        <v>45000</v>
      </c>
      <c r="H83" s="29">
        <f t="shared" si="41"/>
        <v>45000</v>
      </c>
      <c r="I83" s="29">
        <f t="shared" si="41"/>
        <v>45000</v>
      </c>
      <c r="J83" s="29">
        <f t="shared" si="41"/>
        <v>45000</v>
      </c>
      <c r="K83" s="29">
        <f t="shared" si="41"/>
        <v>45000</v>
      </c>
      <c r="L83" s="29">
        <f t="shared" si="41"/>
        <v>45000</v>
      </c>
      <c r="M83" s="29">
        <f t="shared" si="41"/>
        <v>45000</v>
      </c>
      <c r="O83" s="73"/>
      <c r="P83" s="73"/>
      <c r="Q83" s="73"/>
      <c r="R83" s="73"/>
      <c r="S83" s="73"/>
      <c r="T83" s="73"/>
      <c r="U83" s="73"/>
      <c r="V83" s="73"/>
      <c r="W83" s="73"/>
    </row>
    <row r="84" spans="2:23" ht="15.75" customHeight="1" x14ac:dyDescent="0.25">
      <c r="B84" s="31" t="s">
        <v>103</v>
      </c>
      <c r="C84" s="29"/>
      <c r="D84" s="29">
        <v>220000</v>
      </c>
      <c r="E84" s="29">
        <f t="shared" ref="E84:M84" si="42">D84</f>
        <v>220000</v>
      </c>
      <c r="F84" s="29">
        <f t="shared" si="42"/>
        <v>220000</v>
      </c>
      <c r="G84" s="29">
        <f t="shared" si="42"/>
        <v>220000</v>
      </c>
      <c r="H84" s="29">
        <f t="shared" si="42"/>
        <v>220000</v>
      </c>
      <c r="I84" s="29">
        <f t="shared" si="42"/>
        <v>220000</v>
      </c>
      <c r="J84" s="29">
        <f t="shared" si="42"/>
        <v>220000</v>
      </c>
      <c r="K84" s="29">
        <f t="shared" si="42"/>
        <v>220000</v>
      </c>
      <c r="L84" s="29">
        <f t="shared" si="42"/>
        <v>220000</v>
      </c>
      <c r="M84" s="29">
        <f t="shared" si="42"/>
        <v>220000</v>
      </c>
      <c r="O84" s="73"/>
      <c r="P84" s="73"/>
      <c r="Q84" s="73"/>
      <c r="R84" s="73"/>
      <c r="S84" s="73"/>
      <c r="T84" s="73"/>
      <c r="U84" s="73"/>
      <c r="V84" s="73"/>
      <c r="W84" s="73"/>
    </row>
    <row r="85" spans="2:23" ht="15.75" customHeight="1" x14ac:dyDescent="0.25">
      <c r="B85" s="29" t="s">
        <v>104</v>
      </c>
      <c r="C85" s="29"/>
      <c r="D85" s="29">
        <f t="shared" ref="D85:M85" si="43">D18</f>
        <v>39000</v>
      </c>
      <c r="E85" s="29">
        <f t="shared" si="43"/>
        <v>39000</v>
      </c>
      <c r="F85" s="29">
        <f t="shared" si="43"/>
        <v>39000</v>
      </c>
      <c r="G85" s="29">
        <f t="shared" si="43"/>
        <v>39000</v>
      </c>
      <c r="H85" s="29">
        <f t="shared" si="43"/>
        <v>39000</v>
      </c>
      <c r="I85" s="29">
        <f t="shared" si="43"/>
        <v>58500</v>
      </c>
      <c r="J85" s="29">
        <f t="shared" si="43"/>
        <v>58500</v>
      </c>
      <c r="K85" s="29">
        <f t="shared" si="43"/>
        <v>58500</v>
      </c>
      <c r="L85" s="29">
        <f t="shared" si="43"/>
        <v>58500</v>
      </c>
      <c r="M85" s="29">
        <f t="shared" si="43"/>
        <v>58500</v>
      </c>
      <c r="O85" s="73"/>
      <c r="P85" s="73"/>
      <c r="Q85" s="73"/>
      <c r="R85" s="73"/>
      <c r="S85" s="73"/>
      <c r="T85" s="73"/>
      <c r="U85" s="73"/>
      <c r="V85" s="73"/>
      <c r="W85" s="73"/>
    </row>
    <row r="86" spans="2:23" ht="15.75" customHeight="1" x14ac:dyDescent="0.25">
      <c r="B86" s="33" t="s">
        <v>105</v>
      </c>
      <c r="C86" s="33"/>
      <c r="D86" s="37">
        <f>D84/$D$21</f>
        <v>8000</v>
      </c>
      <c r="E86" s="37">
        <f t="shared" ref="E86:M86" si="44">D86+E63</f>
        <v>16727.272727272728</v>
      </c>
      <c r="F86" s="37">
        <f t="shared" si="44"/>
        <v>25454.545454545456</v>
      </c>
      <c r="G86" s="37">
        <f t="shared" si="44"/>
        <v>34181.818181818184</v>
      </c>
      <c r="H86" s="37">
        <f t="shared" si="44"/>
        <v>42909.090909090912</v>
      </c>
      <c r="I86" s="37">
        <f t="shared" si="44"/>
        <v>51636.36363636364</v>
      </c>
      <c r="J86" s="37">
        <f t="shared" si="44"/>
        <v>60363.636363636368</v>
      </c>
      <c r="K86" s="37">
        <f t="shared" si="44"/>
        <v>69090.909090909088</v>
      </c>
      <c r="L86" s="37">
        <f t="shared" si="44"/>
        <v>77818.181818181823</v>
      </c>
      <c r="M86" s="37">
        <f t="shared" si="44"/>
        <v>86545.454545454559</v>
      </c>
      <c r="O86" s="73"/>
      <c r="P86" s="73"/>
      <c r="Q86" s="73"/>
      <c r="R86" s="73"/>
      <c r="S86" s="73"/>
      <c r="T86" s="73"/>
      <c r="U86" s="73"/>
      <c r="V86" s="73"/>
      <c r="W86" s="73"/>
    </row>
    <row r="87" spans="2:23" ht="15.75" customHeight="1" x14ac:dyDescent="0.25">
      <c r="B87" s="37" t="s">
        <v>106</v>
      </c>
      <c r="C87" s="33"/>
      <c r="D87" s="37">
        <f>D85/$D$22</f>
        <v>3900</v>
      </c>
      <c r="E87" s="37">
        <f t="shared" ref="E87:M87" si="45">D87+E64</f>
        <v>7800</v>
      </c>
      <c r="F87" s="37">
        <f t="shared" si="45"/>
        <v>11700</v>
      </c>
      <c r="G87" s="37">
        <f t="shared" si="45"/>
        <v>15600</v>
      </c>
      <c r="H87" s="37">
        <f t="shared" si="45"/>
        <v>19500</v>
      </c>
      <c r="I87" s="37">
        <f t="shared" si="45"/>
        <v>25350</v>
      </c>
      <c r="J87" s="37">
        <f t="shared" si="45"/>
        <v>31200</v>
      </c>
      <c r="K87" s="37">
        <f t="shared" si="45"/>
        <v>37050</v>
      </c>
      <c r="L87" s="37">
        <f t="shared" si="45"/>
        <v>42900</v>
      </c>
      <c r="M87" s="37">
        <f t="shared" si="45"/>
        <v>48750</v>
      </c>
      <c r="O87" s="73"/>
      <c r="P87" s="73"/>
      <c r="Q87" s="73"/>
      <c r="R87" s="73"/>
      <c r="S87" s="73"/>
      <c r="T87" s="73"/>
      <c r="U87" s="73"/>
      <c r="V87" s="73"/>
      <c r="W87" s="73"/>
    </row>
    <row r="88" spans="2:23" ht="15.75" customHeight="1" x14ac:dyDescent="0.25">
      <c r="B88" s="31" t="s">
        <v>107</v>
      </c>
      <c r="C88" s="29"/>
      <c r="D88" s="29">
        <f t="shared" ref="D88:M88" si="46">SUM(D83:D85)-SUM(D86:D87)</f>
        <v>292100</v>
      </c>
      <c r="E88" s="29">
        <f t="shared" si="46"/>
        <v>279472.72727272729</v>
      </c>
      <c r="F88" s="29">
        <f t="shared" si="46"/>
        <v>266845.45454545453</v>
      </c>
      <c r="G88" s="29">
        <f t="shared" si="46"/>
        <v>254218.18181818182</v>
      </c>
      <c r="H88" s="29">
        <f t="shared" si="46"/>
        <v>241590.90909090909</v>
      </c>
      <c r="I88" s="29">
        <f t="shared" si="46"/>
        <v>246513.63636363635</v>
      </c>
      <c r="J88" s="29">
        <f t="shared" si="46"/>
        <v>231936.36363636365</v>
      </c>
      <c r="K88" s="29">
        <f t="shared" si="46"/>
        <v>217359.09090909091</v>
      </c>
      <c r="L88" s="29">
        <f t="shared" si="46"/>
        <v>202781.81818181818</v>
      </c>
      <c r="M88" s="29">
        <f t="shared" si="46"/>
        <v>188204.54545454544</v>
      </c>
      <c r="O88" s="73"/>
      <c r="P88" s="73"/>
      <c r="Q88" s="73"/>
      <c r="R88" s="73"/>
      <c r="S88" s="73"/>
      <c r="T88" s="73"/>
      <c r="U88" s="73"/>
      <c r="V88" s="73"/>
      <c r="W88" s="73"/>
    </row>
    <row r="89" spans="2:23" ht="15.75" customHeight="1" x14ac:dyDescent="0.25">
      <c r="B89" s="31"/>
      <c r="C89" s="29"/>
      <c r="D89" s="29"/>
      <c r="E89" s="29"/>
      <c r="F89" s="29"/>
      <c r="G89" s="29"/>
      <c r="H89" s="29"/>
      <c r="I89" s="29"/>
      <c r="J89" s="29"/>
      <c r="K89" s="29"/>
      <c r="L89" s="29"/>
      <c r="M89" s="29"/>
      <c r="O89" s="73"/>
      <c r="P89" s="73"/>
      <c r="Q89" s="73"/>
      <c r="R89" s="73"/>
      <c r="S89" s="73"/>
      <c r="T89" s="73"/>
      <c r="U89" s="73"/>
      <c r="V89" s="73"/>
      <c r="W89" s="73"/>
    </row>
    <row r="90" spans="2:23" ht="15.75" customHeight="1" x14ac:dyDescent="0.25">
      <c r="B90" s="32" t="s">
        <v>108</v>
      </c>
      <c r="C90" s="29"/>
      <c r="D90" s="29">
        <f t="shared" ref="D90:M90" si="47">D81+D88</f>
        <v>325479.70608219178</v>
      </c>
      <c r="E90" s="29">
        <f t="shared" si="47"/>
        <v>337338.21571985056</v>
      </c>
      <c r="F90" s="29">
        <f t="shared" si="47"/>
        <v>373668.06741493399</v>
      </c>
      <c r="G90" s="29">
        <f t="shared" si="47"/>
        <v>415352.37533113523</v>
      </c>
      <c r="H90" s="29">
        <f t="shared" si="47"/>
        <v>462450.5622795102</v>
      </c>
      <c r="I90" s="29">
        <f t="shared" si="47"/>
        <v>484624.2722116675</v>
      </c>
      <c r="J90" s="29">
        <f t="shared" si="47"/>
        <v>511952.38127679634</v>
      </c>
      <c r="K90" s="29">
        <f t="shared" si="47"/>
        <v>544383.00943154527</v>
      </c>
      <c r="L90" s="29">
        <f t="shared" si="47"/>
        <v>581812.53263039526</v>
      </c>
      <c r="M90" s="29">
        <f t="shared" si="47"/>
        <v>620177.9394271482</v>
      </c>
      <c r="O90" s="73"/>
      <c r="P90" s="73"/>
      <c r="Q90" s="73"/>
      <c r="R90" s="73"/>
      <c r="S90" s="73"/>
      <c r="T90" s="73"/>
      <c r="U90" s="73"/>
      <c r="V90" s="73"/>
      <c r="W90" s="73"/>
    </row>
    <row r="91" spans="2:23" ht="15.75" customHeight="1" x14ac:dyDescent="0.25">
      <c r="B91" s="31"/>
      <c r="C91" s="29"/>
      <c r="D91" s="29"/>
      <c r="E91" s="29"/>
      <c r="F91" s="29"/>
      <c r="G91" s="29"/>
      <c r="H91" s="29"/>
      <c r="I91" s="29"/>
      <c r="J91" s="29"/>
      <c r="K91" s="29"/>
      <c r="L91" s="29"/>
      <c r="M91" s="29"/>
    </row>
    <row r="92" spans="2:23" ht="15.75" customHeight="1" x14ac:dyDescent="0.25">
      <c r="B92" s="32" t="s">
        <v>109</v>
      </c>
      <c r="C92" s="29"/>
      <c r="D92" s="29"/>
      <c r="E92" s="29"/>
      <c r="F92" s="29"/>
      <c r="G92" s="29"/>
      <c r="H92" s="29"/>
      <c r="I92" s="29"/>
      <c r="J92" s="29"/>
      <c r="K92" s="29"/>
      <c r="L92" s="29"/>
      <c r="M92" s="29"/>
      <c r="O92" s="74" t="s">
        <v>110</v>
      </c>
      <c r="P92" s="73"/>
      <c r="Q92" s="73"/>
      <c r="R92" s="73"/>
      <c r="S92" s="73"/>
      <c r="T92" s="73"/>
      <c r="U92" s="73"/>
      <c r="V92" s="73"/>
      <c r="W92" s="73"/>
    </row>
    <row r="93" spans="2:23" ht="15.75" customHeight="1" x14ac:dyDescent="0.25">
      <c r="B93" s="31" t="s">
        <v>111</v>
      </c>
      <c r="C93" s="29"/>
      <c r="D93" s="29">
        <f t="shared" ref="D93:M93" si="48">(D52/365)*$D$30</f>
        <v>6056.8015068493141</v>
      </c>
      <c r="E93" s="29">
        <f t="shared" si="48"/>
        <v>6420.2095972602747</v>
      </c>
      <c r="F93" s="29">
        <f t="shared" si="48"/>
        <v>6741.2200771232883</v>
      </c>
      <c r="G93" s="29">
        <f t="shared" si="48"/>
        <v>7078.2810809794528</v>
      </c>
      <c r="H93" s="29">
        <f t="shared" si="48"/>
        <v>7432.1951350284271</v>
      </c>
      <c r="I93" s="29">
        <f t="shared" si="48"/>
        <v>7803.8048917798478</v>
      </c>
      <c r="J93" s="29">
        <f t="shared" si="48"/>
        <v>8193.9951363688397</v>
      </c>
      <c r="K93" s="29">
        <f t="shared" si="48"/>
        <v>8603.694893187283</v>
      </c>
      <c r="L93" s="29">
        <f t="shared" si="48"/>
        <v>9033.8796378466486</v>
      </c>
      <c r="M93" s="29">
        <f t="shared" si="48"/>
        <v>9318.1561643835612</v>
      </c>
      <c r="O93" s="73"/>
      <c r="P93" s="73"/>
      <c r="Q93" s="73"/>
      <c r="R93" s="73"/>
      <c r="S93" s="73"/>
      <c r="T93" s="73"/>
      <c r="U93" s="73"/>
      <c r="V93" s="73"/>
      <c r="W93" s="73"/>
    </row>
    <row r="94" spans="2:23" ht="15.75" customHeight="1" x14ac:dyDescent="0.25">
      <c r="B94" s="31" t="s">
        <v>112</v>
      </c>
      <c r="C94" s="29"/>
      <c r="D94" s="29">
        <f>D69</f>
        <v>3600.658596912815</v>
      </c>
      <c r="E94" s="29">
        <f t="shared" ref="E94:M94" si="49">D94+E69</f>
        <v>9147.5477161419694</v>
      </c>
      <c r="F94" s="29">
        <f t="shared" si="49"/>
        <v>15844.636649442506</v>
      </c>
      <c r="G94" s="29">
        <f t="shared" si="49"/>
        <v>23712.137306504632</v>
      </c>
      <c r="H94" s="29">
        <f t="shared" si="49"/>
        <v>32765.131855115338</v>
      </c>
      <c r="I94" s="29">
        <f t="shared" si="49"/>
        <v>36634.926349790978</v>
      </c>
      <c r="J94" s="29">
        <f t="shared" si="49"/>
        <v>41640.779197163196</v>
      </c>
      <c r="K94" s="29">
        <f t="shared" si="49"/>
        <v>47774.551860954343</v>
      </c>
      <c r="L94" s="29">
        <f t="shared" si="49"/>
        <v>55017.511109920699</v>
      </c>
      <c r="M94" s="29">
        <f t="shared" si="49"/>
        <v>62554.108427508851</v>
      </c>
      <c r="O94" s="73"/>
      <c r="P94" s="73"/>
      <c r="Q94" s="73"/>
      <c r="R94" s="73"/>
      <c r="S94" s="73"/>
      <c r="T94" s="73"/>
      <c r="U94" s="73"/>
      <c r="V94" s="73"/>
      <c r="W94" s="73"/>
    </row>
    <row r="95" spans="2:23" ht="15.75" customHeight="1" x14ac:dyDescent="0.25">
      <c r="B95" s="31"/>
      <c r="C95" s="29"/>
      <c r="D95" s="29"/>
      <c r="E95" s="29"/>
      <c r="F95" s="29"/>
      <c r="G95" s="29"/>
      <c r="H95" s="29"/>
      <c r="I95" s="29"/>
      <c r="J95" s="29"/>
      <c r="K95" s="29"/>
      <c r="L95" s="29"/>
      <c r="M95" s="29"/>
      <c r="O95" s="73"/>
      <c r="P95" s="73"/>
      <c r="Q95" s="73"/>
      <c r="R95" s="73"/>
      <c r="S95" s="73"/>
      <c r="T95" s="73"/>
      <c r="U95" s="73"/>
      <c r="V95" s="73"/>
      <c r="W95" s="73"/>
    </row>
    <row r="96" spans="2:23" ht="15.75" customHeight="1" x14ac:dyDescent="0.25">
      <c r="B96" s="31" t="s">
        <v>113</v>
      </c>
      <c r="C96" s="29"/>
      <c r="D96" s="29">
        <f>Mortgage!F15</f>
        <v>235828.90205371435</v>
      </c>
      <c r="E96" s="29">
        <f>Mortgage!F30</f>
        <v>231444.40282024615</v>
      </c>
      <c r="F96" s="29">
        <f>Mortgage!F45</f>
        <v>226835.5842847327</v>
      </c>
      <c r="G96" s="29">
        <f>Mortgage!F60</f>
        <v>221990.96984594982</v>
      </c>
      <c r="H96" s="29">
        <f>Mortgage!F75</f>
        <v>216898.4957379736</v>
      </c>
      <c r="I96" s="29">
        <f>Mortgage!F90</f>
        <v>211545.48098971974</v>
      </c>
      <c r="J96" s="29">
        <f>Mortgage!F105</f>
        <v>205918.59584755628</v>
      </c>
      <c r="K96" s="29">
        <f>Mortgage!F120</f>
        <v>200003.82858235721</v>
      </c>
      <c r="L96" s="29">
        <f>Mortgage!F135</f>
        <v>193786.45059834182</v>
      </c>
      <c r="M96" s="29">
        <f>Mortgage!F150</f>
        <v>187250.97975681609</v>
      </c>
      <c r="N96" s="31">
        <f t="shared" ref="N96:N97" si="50">AVERAGE(D96:M96)</f>
        <v>213150.3690517408</v>
      </c>
      <c r="O96" s="73"/>
      <c r="P96" s="73"/>
      <c r="Q96" s="73"/>
      <c r="R96" s="73"/>
      <c r="S96" s="73"/>
      <c r="T96" s="73"/>
      <c r="U96" s="73"/>
      <c r="V96" s="73"/>
      <c r="W96" s="73"/>
    </row>
    <row r="97" spans="1:23" ht="15.75" customHeight="1" x14ac:dyDescent="0.25">
      <c r="B97" s="35" t="s">
        <v>114</v>
      </c>
      <c r="C97" s="36"/>
      <c r="D97" s="36">
        <f>17721+1417+114+9+1</f>
        <v>19262</v>
      </c>
      <c r="E97" s="36">
        <v>0</v>
      </c>
      <c r="F97" s="36">
        <v>0</v>
      </c>
      <c r="G97" s="36">
        <v>0</v>
      </c>
      <c r="H97" s="36">
        <v>0</v>
      </c>
      <c r="I97" s="36">
        <v>0</v>
      </c>
      <c r="J97" s="36">
        <v>0</v>
      </c>
      <c r="K97" s="36">
        <v>0</v>
      </c>
      <c r="L97" s="36">
        <v>0</v>
      </c>
      <c r="M97" s="36">
        <v>0</v>
      </c>
      <c r="N97" s="31">
        <f t="shared" si="50"/>
        <v>1926.2</v>
      </c>
      <c r="O97" s="73"/>
      <c r="P97" s="73"/>
      <c r="Q97" s="73"/>
      <c r="R97" s="73"/>
      <c r="S97" s="73"/>
      <c r="T97" s="73"/>
      <c r="U97" s="73"/>
      <c r="V97" s="73"/>
      <c r="W97" s="73"/>
    </row>
    <row r="98" spans="1:23" ht="15.75" customHeight="1" x14ac:dyDescent="0.25">
      <c r="B98" s="31"/>
      <c r="C98" s="29"/>
      <c r="D98" s="29"/>
      <c r="E98" s="29"/>
      <c r="F98" s="29"/>
      <c r="G98" s="29"/>
      <c r="H98" s="29"/>
      <c r="I98" s="29"/>
      <c r="J98" s="29"/>
      <c r="K98" s="29"/>
      <c r="L98" s="29"/>
      <c r="M98" s="29"/>
      <c r="N98" s="38">
        <f>SUM(N96:N97)</f>
        <v>215076.56905174081</v>
      </c>
      <c r="O98" s="73"/>
      <c r="P98" s="73"/>
      <c r="Q98" s="73"/>
      <c r="R98" s="73"/>
      <c r="S98" s="73"/>
      <c r="T98" s="73"/>
      <c r="U98" s="73"/>
      <c r="V98" s="73"/>
      <c r="W98" s="73"/>
    </row>
    <row r="99" spans="1:23" ht="15.75" customHeight="1" x14ac:dyDescent="0.25">
      <c r="B99" s="29" t="s">
        <v>115</v>
      </c>
      <c r="C99" s="29"/>
      <c r="D99" s="29">
        <f t="shared" ref="D99:M99" si="51">SUM(D93:D97)</f>
        <v>264748.36215747648</v>
      </c>
      <c r="E99" s="29">
        <f t="shared" si="51"/>
        <v>247012.1601336484</v>
      </c>
      <c r="F99" s="29">
        <f t="shared" si="51"/>
        <v>249421.44101129851</v>
      </c>
      <c r="G99" s="29">
        <f t="shared" si="51"/>
        <v>252781.38823343391</v>
      </c>
      <c r="H99" s="29">
        <f t="shared" si="51"/>
        <v>257095.82272811737</v>
      </c>
      <c r="I99" s="29">
        <f t="shared" si="51"/>
        <v>255984.21223129058</v>
      </c>
      <c r="J99" s="29">
        <f t="shared" si="51"/>
        <v>255753.37018108831</v>
      </c>
      <c r="K99" s="29">
        <f t="shared" si="51"/>
        <v>256382.07533649885</v>
      </c>
      <c r="L99" s="29">
        <f t="shared" si="51"/>
        <v>257837.84134610917</v>
      </c>
      <c r="M99" s="29">
        <f t="shared" si="51"/>
        <v>259123.24434870848</v>
      </c>
      <c r="O99" s="73"/>
      <c r="P99" s="73"/>
      <c r="Q99" s="73"/>
      <c r="R99" s="73"/>
      <c r="S99" s="73"/>
      <c r="T99" s="73"/>
      <c r="U99" s="73"/>
      <c r="V99" s="73"/>
      <c r="W99" s="73"/>
    </row>
    <row r="100" spans="1:23" ht="15.75" customHeight="1" x14ac:dyDescent="0.25">
      <c r="B100" s="31"/>
      <c r="C100" s="29"/>
      <c r="D100" s="29"/>
      <c r="E100" s="29"/>
      <c r="F100" s="29"/>
      <c r="G100" s="29"/>
      <c r="H100" s="29"/>
      <c r="I100" s="29"/>
      <c r="J100" s="29"/>
      <c r="K100" s="29"/>
      <c r="L100" s="29"/>
      <c r="M100" s="29"/>
      <c r="O100" s="73"/>
      <c r="P100" s="73"/>
      <c r="Q100" s="73"/>
      <c r="R100" s="73"/>
      <c r="S100" s="73"/>
      <c r="T100" s="73"/>
      <c r="U100" s="73"/>
      <c r="V100" s="73"/>
      <c r="W100" s="73"/>
    </row>
    <row r="101" spans="1:23" ht="15.75" customHeight="1" x14ac:dyDescent="0.25">
      <c r="B101" s="31" t="s">
        <v>116</v>
      </c>
      <c r="C101" s="29"/>
      <c r="D101" s="29">
        <v>40000</v>
      </c>
      <c r="E101" s="29">
        <v>40000</v>
      </c>
      <c r="F101" s="29">
        <v>40000</v>
      </c>
      <c r="G101" s="29">
        <v>40000</v>
      </c>
      <c r="H101" s="29">
        <v>40000</v>
      </c>
      <c r="I101" s="29">
        <v>40000</v>
      </c>
      <c r="J101" s="29">
        <v>40000</v>
      </c>
      <c r="K101" s="29">
        <v>40000</v>
      </c>
      <c r="L101" s="29">
        <v>40000</v>
      </c>
      <c r="M101" s="29">
        <v>40000</v>
      </c>
      <c r="N101" s="31">
        <f t="shared" ref="N101:N102" si="52">AVERAGE(D101:M101)</f>
        <v>40000</v>
      </c>
      <c r="O101" s="73"/>
      <c r="P101" s="73"/>
      <c r="Q101" s="73"/>
      <c r="R101" s="73"/>
      <c r="S101" s="73"/>
      <c r="T101" s="73"/>
      <c r="U101" s="73"/>
      <c r="V101" s="73"/>
      <c r="W101" s="73"/>
    </row>
    <row r="102" spans="1:23" ht="15.75" customHeight="1" x14ac:dyDescent="0.25">
      <c r="B102" s="31" t="s">
        <v>117</v>
      </c>
      <c r="C102" s="29"/>
      <c r="D102" s="29">
        <f>0+D71</f>
        <v>20731.647448992368</v>
      </c>
      <c r="E102" s="29">
        <f t="shared" ref="E102:M102" si="53">D102+E71</f>
        <v>50325.788767650956</v>
      </c>
      <c r="F102" s="29">
        <f t="shared" si="53"/>
        <v>84246.872244006663</v>
      </c>
      <c r="G102" s="29">
        <f t="shared" si="53"/>
        <v>122570.93315737025</v>
      </c>
      <c r="H102" s="29">
        <f t="shared" si="53"/>
        <v>165354.70918655946</v>
      </c>
      <c r="I102" s="29">
        <f t="shared" si="53"/>
        <v>188639.7802509453</v>
      </c>
      <c r="J102" s="29">
        <f t="shared" si="53"/>
        <v>216198.5946421421</v>
      </c>
      <c r="K102" s="29">
        <f t="shared" si="53"/>
        <v>248000.535961772</v>
      </c>
      <c r="L102" s="29">
        <f t="shared" si="53"/>
        <v>283975.13157801342</v>
      </c>
      <c r="M102" s="29">
        <f t="shared" si="53"/>
        <v>321054.36564287968</v>
      </c>
      <c r="N102" s="31">
        <f t="shared" si="52"/>
        <v>170109.83588803321</v>
      </c>
      <c r="O102" s="73"/>
      <c r="P102" s="73"/>
      <c r="Q102" s="73"/>
      <c r="R102" s="73"/>
      <c r="S102" s="73"/>
      <c r="T102" s="73"/>
      <c r="U102" s="73"/>
      <c r="V102" s="73"/>
      <c r="W102" s="73"/>
    </row>
    <row r="103" spans="1:23" ht="15.75" customHeight="1" x14ac:dyDescent="0.25">
      <c r="B103" s="31"/>
      <c r="C103" s="29"/>
      <c r="D103" s="29"/>
      <c r="E103" s="29"/>
      <c r="F103" s="29"/>
      <c r="G103" s="29"/>
      <c r="H103" s="29"/>
      <c r="I103" s="29"/>
      <c r="J103" s="29"/>
      <c r="K103" s="29"/>
      <c r="L103" s="29"/>
      <c r="M103" s="29"/>
      <c r="N103" s="38">
        <f>SUM(N101:N102)</f>
        <v>210109.83588803321</v>
      </c>
      <c r="O103" s="73"/>
      <c r="P103" s="73"/>
      <c r="Q103" s="73"/>
      <c r="R103" s="73"/>
      <c r="S103" s="73"/>
      <c r="T103" s="73"/>
      <c r="U103" s="73"/>
      <c r="V103" s="73"/>
      <c r="W103" s="73"/>
    </row>
    <row r="104" spans="1:23" ht="15.75" customHeight="1" x14ac:dyDescent="0.25">
      <c r="B104" s="32" t="s">
        <v>118</v>
      </c>
      <c r="C104" s="29"/>
      <c r="D104" s="29">
        <f t="shared" ref="D104:M104" si="54">D99+D102+D101</f>
        <v>325480.00960646884</v>
      </c>
      <c r="E104" s="29">
        <f t="shared" si="54"/>
        <v>337337.94890129939</v>
      </c>
      <c r="F104" s="29">
        <f t="shared" si="54"/>
        <v>373668.31325530517</v>
      </c>
      <c r="G104" s="29">
        <f t="shared" si="54"/>
        <v>415352.32139080414</v>
      </c>
      <c r="H104" s="29">
        <f t="shared" si="54"/>
        <v>462450.53191467683</v>
      </c>
      <c r="I104" s="29">
        <f t="shared" si="54"/>
        <v>484623.99248223589</v>
      </c>
      <c r="J104" s="29">
        <f t="shared" si="54"/>
        <v>511951.9648232304</v>
      </c>
      <c r="K104" s="29">
        <f t="shared" si="54"/>
        <v>544382.61129827087</v>
      </c>
      <c r="L104" s="29">
        <f t="shared" si="54"/>
        <v>581812.97292412259</v>
      </c>
      <c r="M104" s="29">
        <f t="shared" si="54"/>
        <v>620177.60999158816</v>
      </c>
      <c r="O104" s="73"/>
      <c r="P104" s="73"/>
      <c r="Q104" s="73"/>
      <c r="R104" s="73"/>
      <c r="S104" s="73"/>
      <c r="T104" s="73"/>
      <c r="U104" s="73"/>
      <c r="V104" s="73"/>
      <c r="W104" s="73"/>
    </row>
    <row r="105" spans="1:23" ht="15.75" customHeight="1" x14ac:dyDescent="0.25">
      <c r="B105" s="31"/>
      <c r="C105" s="29"/>
      <c r="D105" s="29"/>
      <c r="E105" s="29"/>
      <c r="F105" s="29"/>
      <c r="G105" s="29"/>
      <c r="H105" s="29"/>
      <c r="I105" s="29"/>
      <c r="J105" s="29"/>
      <c r="K105" s="29"/>
      <c r="L105" s="29"/>
      <c r="M105" s="29"/>
      <c r="O105" s="73"/>
      <c r="P105" s="73"/>
      <c r="Q105" s="73"/>
      <c r="R105" s="73"/>
      <c r="S105" s="73"/>
      <c r="T105" s="73"/>
      <c r="U105" s="73"/>
      <c r="V105" s="73"/>
      <c r="W105" s="73"/>
    </row>
    <row r="106" spans="1:23" ht="15.75" customHeight="1" x14ac:dyDescent="0.25">
      <c r="B106" s="39" t="s">
        <v>119</v>
      </c>
      <c r="C106" s="39"/>
      <c r="D106" s="39">
        <f t="shared" ref="D106:M106" si="55">D90-D104</f>
        <v>-0.30352427705656737</v>
      </c>
      <c r="E106" s="39">
        <f t="shared" si="55"/>
        <v>0.26681855117203668</v>
      </c>
      <c r="F106" s="39">
        <f t="shared" si="55"/>
        <v>-0.24584037117892876</v>
      </c>
      <c r="G106" s="39">
        <f t="shared" si="55"/>
        <v>5.3940331097692251E-2</v>
      </c>
      <c r="H106" s="39">
        <f t="shared" si="55"/>
        <v>3.0364833364728838E-2</v>
      </c>
      <c r="I106" s="39">
        <f t="shared" si="55"/>
        <v>0.27972943161148578</v>
      </c>
      <c r="J106" s="39">
        <f t="shared" si="55"/>
        <v>0.4164535659365356</v>
      </c>
      <c r="K106" s="39">
        <f t="shared" si="55"/>
        <v>0.39813327440060675</v>
      </c>
      <c r="L106" s="39">
        <f t="shared" si="55"/>
        <v>-0.44029372732620686</v>
      </c>
      <c r="M106" s="39">
        <f t="shared" si="55"/>
        <v>0.32943556003738195</v>
      </c>
    </row>
    <row r="107" spans="1:23" ht="15.75" customHeight="1" x14ac:dyDescent="0.25">
      <c r="C107" s="9"/>
      <c r="D107" s="9"/>
      <c r="E107" s="9"/>
      <c r="F107" s="9"/>
      <c r="G107" s="9"/>
      <c r="H107" s="9"/>
      <c r="I107" s="9"/>
      <c r="J107" s="9"/>
      <c r="K107" s="9"/>
      <c r="L107" s="9"/>
      <c r="M107" s="9"/>
    </row>
    <row r="108" spans="1:23" ht="15.75" customHeight="1" x14ac:dyDescent="0.25">
      <c r="A108" s="76" t="s">
        <v>120</v>
      </c>
      <c r="B108" s="73"/>
      <c r="C108" s="73"/>
      <c r="D108" s="73"/>
      <c r="E108" s="9"/>
      <c r="F108" s="9"/>
      <c r="G108" s="9"/>
      <c r="H108" s="9"/>
      <c r="I108" s="9"/>
      <c r="J108" s="9"/>
      <c r="K108" s="9"/>
      <c r="L108" s="9"/>
      <c r="M108" s="9"/>
    </row>
    <row r="109" spans="1:23" ht="15.75" customHeight="1" x14ac:dyDescent="0.25">
      <c r="C109" s="9" t="s">
        <v>121</v>
      </c>
      <c r="D109" s="9" t="s">
        <v>11</v>
      </c>
      <c r="E109" s="9" t="s">
        <v>12</v>
      </c>
      <c r="F109" s="9" t="s">
        <v>13</v>
      </c>
      <c r="G109" s="9" t="s">
        <v>14</v>
      </c>
      <c r="H109" s="9" t="s">
        <v>15</v>
      </c>
      <c r="I109" s="9" t="s">
        <v>16</v>
      </c>
      <c r="J109" s="9" t="s">
        <v>17</v>
      </c>
      <c r="K109" s="9" t="s">
        <v>18</v>
      </c>
      <c r="L109" s="9" t="s">
        <v>19</v>
      </c>
      <c r="M109" s="9" t="s">
        <v>20</v>
      </c>
      <c r="N109" s="9"/>
      <c r="O109" s="9"/>
      <c r="P109" s="9"/>
    </row>
    <row r="110" spans="1:23" ht="15.75" customHeight="1" x14ac:dyDescent="0.25">
      <c r="A110" s="9" t="s">
        <v>122</v>
      </c>
      <c r="B110" s="9"/>
      <c r="C110" s="29"/>
      <c r="D110" s="29"/>
      <c r="E110" s="29"/>
      <c r="F110" s="29"/>
      <c r="G110" s="29"/>
      <c r="H110" s="29"/>
      <c r="I110" s="29"/>
      <c r="J110" s="29"/>
      <c r="K110" s="29"/>
      <c r="L110" s="29"/>
      <c r="M110" s="29"/>
    </row>
    <row r="111" spans="1:23" ht="15.75" customHeight="1" x14ac:dyDescent="0.25">
      <c r="B111" s="9" t="s">
        <v>86</v>
      </c>
      <c r="C111" s="29">
        <f t="shared" ref="C111:M111" si="56">C61</f>
        <v>0</v>
      </c>
      <c r="D111" s="29">
        <f t="shared" si="56"/>
        <v>41678.539499999984</v>
      </c>
      <c r="E111" s="29">
        <f t="shared" si="56"/>
        <v>50732.90260479998</v>
      </c>
      <c r="F111" s="29">
        <f t="shared" si="56"/>
        <v>55985.725274523225</v>
      </c>
      <c r="G111" s="29">
        <f t="shared" si="56"/>
        <v>61323.318532023317</v>
      </c>
      <c r="H111" s="29">
        <f t="shared" si="56"/>
        <v>66720.667870204139</v>
      </c>
      <c r="I111" s="29">
        <f t="shared" si="56"/>
        <v>43728.222211188084</v>
      </c>
      <c r="J111" s="29">
        <f t="shared" si="56"/>
        <v>48864.153496786021</v>
      </c>
      <c r="K111" s="29">
        <f t="shared" si="56"/>
        <v>53947.318118602445</v>
      </c>
      <c r="L111" s="29">
        <f t="shared" si="56"/>
        <v>58926.548281572817</v>
      </c>
      <c r="M111" s="29">
        <f t="shared" si="56"/>
        <v>60006.731941309146</v>
      </c>
    </row>
    <row r="112" spans="1:23" ht="15.75" customHeight="1" x14ac:dyDescent="0.25">
      <c r="B112" s="9" t="s">
        <v>123</v>
      </c>
      <c r="C112" s="29">
        <f>C64</f>
        <v>0</v>
      </c>
      <c r="D112" s="29">
        <f t="shared" ref="D112:M112" si="57">D64+D63</f>
        <v>12627.272727272728</v>
      </c>
      <c r="E112" s="29">
        <f t="shared" si="57"/>
        <v>12627.272727272728</v>
      </c>
      <c r="F112" s="29">
        <f t="shared" si="57"/>
        <v>12627.272727272728</v>
      </c>
      <c r="G112" s="29">
        <f t="shared" si="57"/>
        <v>12627.272727272728</v>
      </c>
      <c r="H112" s="29">
        <f t="shared" si="57"/>
        <v>12627.272727272728</v>
      </c>
      <c r="I112" s="29">
        <f t="shared" si="57"/>
        <v>14577.272727272728</v>
      </c>
      <c r="J112" s="29">
        <f t="shared" si="57"/>
        <v>14577.272727272728</v>
      </c>
      <c r="K112" s="29">
        <f t="shared" si="57"/>
        <v>14577.272727272728</v>
      </c>
      <c r="L112" s="29">
        <f t="shared" si="57"/>
        <v>14577.272727272728</v>
      </c>
      <c r="M112" s="29">
        <f t="shared" si="57"/>
        <v>14577.272727272728</v>
      </c>
    </row>
    <row r="113" spans="1:35" ht="15.75" customHeight="1" x14ac:dyDescent="0.25">
      <c r="B113" t="s">
        <v>124</v>
      </c>
      <c r="C113" s="31"/>
      <c r="D113" s="31">
        <f t="shared" ref="D113:M113" si="58">D111-D112</f>
        <v>29051.266772727256</v>
      </c>
      <c r="E113" s="31">
        <f t="shared" si="58"/>
        <v>38105.629877527252</v>
      </c>
      <c r="F113" s="31">
        <f t="shared" si="58"/>
        <v>43358.452547250497</v>
      </c>
      <c r="G113" s="31">
        <f t="shared" si="58"/>
        <v>48696.045804750589</v>
      </c>
      <c r="H113" s="31">
        <f t="shared" si="58"/>
        <v>54093.395142931411</v>
      </c>
      <c r="I113" s="31">
        <f t="shared" si="58"/>
        <v>29150.949483915356</v>
      </c>
      <c r="J113" s="31">
        <f t="shared" si="58"/>
        <v>34286.880769513293</v>
      </c>
      <c r="K113" s="31">
        <f t="shared" si="58"/>
        <v>39370.045391329717</v>
      </c>
      <c r="L113" s="31">
        <f t="shared" si="58"/>
        <v>44349.275554300089</v>
      </c>
      <c r="M113" s="31">
        <f t="shared" si="58"/>
        <v>45429.459214036418</v>
      </c>
    </row>
    <row r="114" spans="1:35" ht="15.75" customHeight="1" x14ac:dyDescent="0.25">
      <c r="B114" t="s">
        <v>125</v>
      </c>
      <c r="C114" s="31"/>
      <c r="D114" s="31">
        <f t="shared" ref="D114:M114" si="59">D113*$D$38</f>
        <v>6100.7660222727236</v>
      </c>
      <c r="E114" s="31">
        <f t="shared" si="59"/>
        <v>8002.1822742807226</v>
      </c>
      <c r="F114" s="31">
        <f t="shared" si="59"/>
        <v>9105.2750349226044</v>
      </c>
      <c r="G114" s="31">
        <f t="shared" si="59"/>
        <v>10226.169618997623</v>
      </c>
      <c r="H114" s="31">
        <f t="shared" si="59"/>
        <v>11359.612980015596</v>
      </c>
      <c r="I114" s="31">
        <f t="shared" si="59"/>
        <v>6121.6993916222245</v>
      </c>
      <c r="J114" s="31">
        <f t="shared" si="59"/>
        <v>7200.2449615977912</v>
      </c>
      <c r="K114" s="31">
        <f t="shared" si="59"/>
        <v>8267.7095321792403</v>
      </c>
      <c r="L114" s="31">
        <f t="shared" si="59"/>
        <v>9313.347866403019</v>
      </c>
      <c r="M114" s="31">
        <f t="shared" si="59"/>
        <v>9540.1864349476473</v>
      </c>
      <c r="S114" s="11" t="s">
        <v>126</v>
      </c>
      <c r="T114" s="23">
        <f>E38</f>
        <v>0.21</v>
      </c>
    </row>
    <row r="115" spans="1:35" ht="15.75" customHeight="1" x14ac:dyDescent="0.25">
      <c r="B115" t="s">
        <v>127</v>
      </c>
      <c r="C115" s="38"/>
      <c r="D115" s="38">
        <f t="shared" ref="D115:M115" si="60">D111-D114</f>
        <v>35577.773477727264</v>
      </c>
      <c r="E115" s="38">
        <f t="shared" si="60"/>
        <v>42730.72033051926</v>
      </c>
      <c r="F115" s="38">
        <f t="shared" si="60"/>
        <v>46880.450239600621</v>
      </c>
      <c r="G115" s="38">
        <f t="shared" si="60"/>
        <v>51097.148913025696</v>
      </c>
      <c r="H115" s="38">
        <f t="shared" si="60"/>
        <v>55361.054890188541</v>
      </c>
      <c r="I115" s="38">
        <f t="shared" si="60"/>
        <v>37606.522819565856</v>
      </c>
      <c r="J115" s="38">
        <f t="shared" si="60"/>
        <v>41663.908535188231</v>
      </c>
      <c r="K115" s="38">
        <f t="shared" si="60"/>
        <v>45679.608586423201</v>
      </c>
      <c r="L115" s="38">
        <f t="shared" si="60"/>
        <v>49613.200415169798</v>
      </c>
      <c r="M115" s="38">
        <f t="shared" si="60"/>
        <v>50466.545506361501</v>
      </c>
    </row>
    <row r="116" spans="1:35" ht="15.75" customHeight="1" x14ac:dyDescent="0.25">
      <c r="C116" s="31"/>
      <c r="D116" s="31"/>
      <c r="E116" s="31"/>
      <c r="F116" s="31"/>
      <c r="G116" s="31"/>
      <c r="H116" s="31"/>
      <c r="I116" s="31"/>
      <c r="J116" s="31"/>
      <c r="K116" s="31"/>
      <c r="L116" s="31"/>
      <c r="M116" s="31"/>
    </row>
    <row r="117" spans="1:35" ht="15.75" customHeight="1" x14ac:dyDescent="0.25">
      <c r="A117" t="s">
        <v>128</v>
      </c>
      <c r="C117" s="31"/>
      <c r="D117" s="31"/>
      <c r="E117" s="31"/>
      <c r="F117" s="31"/>
      <c r="G117" s="31"/>
      <c r="H117" s="31"/>
      <c r="I117" s="31"/>
      <c r="J117" s="31"/>
      <c r="K117" s="31"/>
      <c r="L117" s="31"/>
      <c r="M117" s="31"/>
      <c r="P117" s="11" t="s">
        <v>129</v>
      </c>
      <c r="Q117" s="11" t="s">
        <v>130</v>
      </c>
      <c r="R117" s="11" t="s">
        <v>131</v>
      </c>
      <c r="S117" s="11" t="s">
        <v>132</v>
      </c>
      <c r="T117" s="11" t="s">
        <v>133</v>
      </c>
      <c r="U117" s="11" t="s">
        <v>134</v>
      </c>
      <c r="W117" s="11" t="s">
        <v>129</v>
      </c>
    </row>
    <row r="118" spans="1:35" ht="15.75" customHeight="1" x14ac:dyDescent="0.25">
      <c r="A118" t="s">
        <v>135</v>
      </c>
      <c r="C118" s="31"/>
      <c r="D118" s="31"/>
      <c r="E118" s="31"/>
      <c r="F118" s="31"/>
      <c r="G118" s="31"/>
      <c r="H118" s="31"/>
      <c r="I118" s="31"/>
      <c r="J118" s="31"/>
      <c r="K118" s="31"/>
      <c r="L118" s="31"/>
      <c r="M118" s="31"/>
      <c r="P118" s="31" t="str">
        <f>B96</f>
        <v>Mortgage Loan on Buildings</v>
      </c>
      <c r="Q118" s="40">
        <f>N96</f>
        <v>213150.3690517408</v>
      </c>
      <c r="R118" s="41">
        <f>Q118/$Q$124</f>
        <v>0.50131040544895289</v>
      </c>
      <c r="S118" s="41">
        <f>Mortgage!I3</f>
        <v>0.05</v>
      </c>
      <c r="T118" s="41">
        <f>S118*(1-$T$114)</f>
        <v>3.9500000000000007E-2</v>
      </c>
      <c r="U118" s="42">
        <f>R118*T118</f>
        <v>1.9801761015233642E-2</v>
      </c>
      <c r="W118" s="11" t="s">
        <v>136</v>
      </c>
      <c r="X118" s="43">
        <v>0.9</v>
      </c>
    </row>
    <row r="119" spans="1:35" ht="15.75" customHeight="1" x14ac:dyDescent="0.25">
      <c r="A119" s="11" t="s">
        <v>137</v>
      </c>
      <c r="B119" t="s">
        <v>138</v>
      </c>
      <c r="C119" s="31">
        <f t="shared" ref="C119:M119" si="61">-(D77-C77)</f>
        <v>-9825.478000000001</v>
      </c>
      <c r="D119" s="31">
        <f t="shared" si="61"/>
        <v>-589.52867999999944</v>
      </c>
      <c r="E119" s="31">
        <f t="shared" si="61"/>
        <v>-520.75033400000029</v>
      </c>
      <c r="F119" s="31">
        <f t="shared" si="61"/>
        <v>-546.78785070000049</v>
      </c>
      <c r="G119" s="31">
        <f t="shared" si="61"/>
        <v>-574.12724323500152</v>
      </c>
      <c r="H119" s="31">
        <f t="shared" si="61"/>
        <v>-602.8336053967505</v>
      </c>
      <c r="I119" s="31">
        <f t="shared" si="61"/>
        <v>-632.9752856665873</v>
      </c>
      <c r="J119" s="31">
        <f t="shared" si="61"/>
        <v>-664.62404994991812</v>
      </c>
      <c r="K119" s="31">
        <f t="shared" si="61"/>
        <v>-697.85525244741439</v>
      </c>
      <c r="L119" s="31">
        <f t="shared" si="61"/>
        <v>-461.15969860432779</v>
      </c>
      <c r="M119" s="31">
        <f t="shared" si="61"/>
        <v>15116.12</v>
      </c>
      <c r="O119" t="s">
        <v>139</v>
      </c>
      <c r="P119" s="11"/>
      <c r="Q119" s="41"/>
      <c r="R119" s="41"/>
      <c r="S119" s="41"/>
      <c r="T119" s="41"/>
      <c r="U119" s="41"/>
      <c r="W119" s="11" t="s">
        <v>140</v>
      </c>
      <c r="X119" s="43">
        <f>X118*(1+(1-D38)*((R118+R120)/R122))</f>
        <v>1.6278071488156218</v>
      </c>
    </row>
    <row r="120" spans="1:35" ht="15.75" customHeight="1" x14ac:dyDescent="0.25">
      <c r="A120" s="11" t="s">
        <v>137</v>
      </c>
      <c r="B120" t="s">
        <v>98</v>
      </c>
      <c r="C120" s="31">
        <f t="shared" ref="C120:M120" si="62">-(D78-C78)</f>
        <v>0</v>
      </c>
      <c r="D120" s="31">
        <f t="shared" si="62"/>
        <v>-22483</v>
      </c>
      <c r="E120" s="31">
        <f t="shared" si="62"/>
        <v>-47188</v>
      </c>
      <c r="F120" s="31">
        <f t="shared" si="62"/>
        <v>-52454</v>
      </c>
      <c r="G120" s="31">
        <f t="shared" si="62"/>
        <v>-57775</v>
      </c>
      <c r="H120" s="31">
        <f t="shared" si="62"/>
        <v>-15203</v>
      </c>
      <c r="I120" s="31">
        <f t="shared" si="62"/>
        <v>-39755</v>
      </c>
      <c r="J120" s="31">
        <f t="shared" si="62"/>
        <v>-44750</v>
      </c>
      <c r="K120" s="31">
        <f t="shared" si="62"/>
        <v>-49636</v>
      </c>
      <c r="L120" s="31">
        <f t="shared" si="62"/>
        <v>-51376</v>
      </c>
      <c r="M120" s="31">
        <f t="shared" si="62"/>
        <v>380620</v>
      </c>
      <c r="O120" t="s">
        <v>139</v>
      </c>
      <c r="P120" s="11" t="s">
        <v>114</v>
      </c>
      <c r="Q120" s="40">
        <f>N97</f>
        <v>1926.2</v>
      </c>
      <c r="R120" s="41">
        <f>Q120/$Q$124</f>
        <v>4.5302483278430285E-3</v>
      </c>
      <c r="S120" s="41">
        <v>0.08</v>
      </c>
      <c r="T120" s="41">
        <f>S120*(1-$T$114)</f>
        <v>6.3200000000000006E-2</v>
      </c>
      <c r="U120" s="44">
        <f>T120*R120</f>
        <v>2.8631169431967942E-4</v>
      </c>
      <c r="W120" s="11" t="s">
        <v>141</v>
      </c>
      <c r="X120" s="41">
        <v>2.9600000000000001E-2</v>
      </c>
    </row>
    <row r="121" spans="1:35" ht="15.75" customHeight="1" x14ac:dyDescent="0.25">
      <c r="A121" s="11" t="s">
        <v>137</v>
      </c>
      <c r="B121" t="s">
        <v>99</v>
      </c>
      <c r="C121" s="31">
        <f t="shared" ref="C121:M121" si="63">-(D79-C79)</f>
        <v>-17497.426575342466</v>
      </c>
      <c r="D121" s="31">
        <f t="shared" si="63"/>
        <v>-1049.8455945205496</v>
      </c>
      <c r="E121" s="31">
        <f t="shared" si="63"/>
        <v>-927.36360849314951</v>
      </c>
      <c r="F121" s="31">
        <f t="shared" si="63"/>
        <v>-973.73178891780844</v>
      </c>
      <c r="G121" s="31">
        <f t="shared" si="63"/>
        <v>-1022.4183783637054</v>
      </c>
      <c r="H121" s="31">
        <f t="shared" si="63"/>
        <v>-1073.5392972818809</v>
      </c>
      <c r="I121" s="31">
        <f t="shared" si="63"/>
        <v>-1127.2162621459793</v>
      </c>
      <c r="J121" s="31">
        <f t="shared" si="63"/>
        <v>-1183.5770752532771</v>
      </c>
      <c r="K121" s="31">
        <f t="shared" si="63"/>
        <v>-1242.7559290159443</v>
      </c>
      <c r="L121" s="31">
        <f t="shared" si="63"/>
        <v>-821.24329888441571</v>
      </c>
      <c r="M121" s="31">
        <f t="shared" si="63"/>
        <v>26919.117808219176</v>
      </c>
      <c r="O121" t="s">
        <v>139</v>
      </c>
      <c r="P121" s="11"/>
      <c r="Q121" s="41"/>
      <c r="R121" s="41"/>
      <c r="S121" s="41"/>
      <c r="T121" s="41"/>
      <c r="U121" s="41"/>
      <c r="W121" s="11" t="s">
        <v>142</v>
      </c>
      <c r="X121" s="41">
        <v>0.11840000000000001</v>
      </c>
    </row>
    <row r="122" spans="1:35" ht="15.75" customHeight="1" x14ac:dyDescent="0.25">
      <c r="A122" s="11" t="s">
        <v>137</v>
      </c>
      <c r="B122" t="s">
        <v>100</v>
      </c>
      <c r="C122" s="31">
        <f t="shared" ref="C122:M122" si="64">-(D80-C80)</f>
        <v>-6056.8015068493141</v>
      </c>
      <c r="D122" s="31">
        <f t="shared" si="64"/>
        <v>-363.40809041096054</v>
      </c>
      <c r="E122" s="31">
        <f t="shared" si="64"/>
        <v>-321.01047986301364</v>
      </c>
      <c r="F122" s="31">
        <f t="shared" si="64"/>
        <v>-337.06100385616446</v>
      </c>
      <c r="G122" s="31">
        <f t="shared" si="64"/>
        <v>-353.91405404897432</v>
      </c>
      <c r="H122" s="31">
        <f t="shared" si="64"/>
        <v>-371.60975675142072</v>
      </c>
      <c r="I122" s="31">
        <f t="shared" si="64"/>
        <v>-390.19024458899185</v>
      </c>
      <c r="J122" s="31">
        <f t="shared" si="64"/>
        <v>-409.69975681844335</v>
      </c>
      <c r="K122" s="31">
        <f t="shared" si="64"/>
        <v>-430.18474465936561</v>
      </c>
      <c r="L122" s="31">
        <f t="shared" si="64"/>
        <v>-284.27652653691257</v>
      </c>
      <c r="M122" s="31">
        <f t="shared" si="64"/>
        <v>9318.1561643835612</v>
      </c>
      <c r="O122" t="s">
        <v>139</v>
      </c>
      <c r="P122" s="11" t="s">
        <v>143</v>
      </c>
      <c r="Q122" s="40">
        <f>N103</f>
        <v>210109.83588803321</v>
      </c>
      <c r="R122" s="41">
        <f>Q122/$Q$124</f>
        <v>0.49415934622320401</v>
      </c>
      <c r="S122" s="41">
        <f>X123</f>
        <v>0.13605858753254169</v>
      </c>
      <c r="T122" s="41">
        <f>S122</f>
        <v>0.13605858753254169</v>
      </c>
      <c r="U122" s="41">
        <f>T122*R122</f>
        <v>6.7234622663133375E-2</v>
      </c>
      <c r="W122" s="11" t="s">
        <v>144</v>
      </c>
      <c r="X122" s="41">
        <v>9.5000000000000001E-2</v>
      </c>
    </row>
    <row r="123" spans="1:35" ht="15.75" customHeight="1" x14ac:dyDescent="0.25">
      <c r="A123" s="11" t="s">
        <v>145</v>
      </c>
      <c r="B123" t="s">
        <v>146</v>
      </c>
      <c r="C123" s="31">
        <f t="shared" ref="C123:M123" si="65">(D93-C93)</f>
        <v>6056.8015068493141</v>
      </c>
      <c r="D123" s="31">
        <f t="shared" si="65"/>
        <v>363.40809041096054</v>
      </c>
      <c r="E123" s="31">
        <f t="shared" si="65"/>
        <v>321.01047986301364</v>
      </c>
      <c r="F123" s="31">
        <f t="shared" si="65"/>
        <v>337.06100385616446</v>
      </c>
      <c r="G123" s="31">
        <f t="shared" si="65"/>
        <v>353.91405404897432</v>
      </c>
      <c r="H123" s="31">
        <f t="shared" si="65"/>
        <v>371.60975675142072</v>
      </c>
      <c r="I123" s="31">
        <f t="shared" si="65"/>
        <v>390.19024458899185</v>
      </c>
      <c r="J123" s="31">
        <f t="shared" si="65"/>
        <v>409.69975681844335</v>
      </c>
      <c r="K123" s="31">
        <f t="shared" si="65"/>
        <v>430.18474465936561</v>
      </c>
      <c r="L123" s="31">
        <f t="shared" si="65"/>
        <v>284.27652653691257</v>
      </c>
      <c r="M123" s="31">
        <f t="shared" si="65"/>
        <v>-9318.1561643835612</v>
      </c>
      <c r="O123" t="s">
        <v>139</v>
      </c>
      <c r="Q123" s="41"/>
      <c r="R123" s="41"/>
      <c r="U123" s="41"/>
      <c r="V123" s="11"/>
      <c r="W123" s="11" t="s">
        <v>147</v>
      </c>
      <c r="X123" s="45">
        <f>X120+X119*(X122-X120)</f>
        <v>0.13605858753254169</v>
      </c>
    </row>
    <row r="124" spans="1:35" ht="15.75" customHeight="1" x14ac:dyDescent="0.25">
      <c r="A124" s="11" t="s">
        <v>145</v>
      </c>
      <c r="B124" t="s">
        <v>112</v>
      </c>
      <c r="C124" s="31">
        <f t="shared" ref="C124:M124" si="66">(D114-C114)</f>
        <v>6100.7660222727236</v>
      </c>
      <c r="D124" s="31">
        <f t="shared" si="66"/>
        <v>1901.416252007999</v>
      </c>
      <c r="E124" s="31">
        <f t="shared" si="66"/>
        <v>1103.0927606418818</v>
      </c>
      <c r="F124" s="31">
        <f t="shared" si="66"/>
        <v>1120.8945840750184</v>
      </c>
      <c r="G124" s="31">
        <f t="shared" si="66"/>
        <v>1133.4433610179731</v>
      </c>
      <c r="H124" s="31">
        <f t="shared" si="66"/>
        <v>-5237.9135883933714</v>
      </c>
      <c r="I124" s="31">
        <f t="shared" si="66"/>
        <v>1078.5455699755667</v>
      </c>
      <c r="J124" s="31">
        <f t="shared" si="66"/>
        <v>1067.4645705814492</v>
      </c>
      <c r="K124" s="31">
        <f t="shared" si="66"/>
        <v>1045.6383342237787</v>
      </c>
      <c r="L124" s="31">
        <f t="shared" si="66"/>
        <v>226.83856854462829</v>
      </c>
      <c r="M124" s="31">
        <f t="shared" si="66"/>
        <v>-9540.1864349476473</v>
      </c>
      <c r="O124" t="s">
        <v>139</v>
      </c>
      <c r="P124" s="11" t="s">
        <v>148</v>
      </c>
      <c r="Q124" s="17">
        <f>SUM(Q118:Q123)</f>
        <v>425186.40493977402</v>
      </c>
      <c r="R124" s="41">
        <f>Q124/$Q$124</f>
        <v>1</v>
      </c>
      <c r="T124" s="11" t="s">
        <v>142</v>
      </c>
      <c r="U124" s="45">
        <f>SUM(U118:U122)</f>
        <v>8.7322695372686693E-2</v>
      </c>
      <c r="V124" s="11"/>
    </row>
    <row r="125" spans="1:35" ht="15.75" customHeight="1" x14ac:dyDescent="0.25">
      <c r="C125" s="31"/>
      <c r="D125" s="31"/>
      <c r="E125" s="31"/>
      <c r="F125" s="31"/>
      <c r="G125" s="31"/>
      <c r="H125" s="31"/>
      <c r="I125" s="31"/>
      <c r="J125" s="31"/>
      <c r="K125" s="31"/>
      <c r="L125" s="31"/>
      <c r="M125" s="31"/>
    </row>
    <row r="126" spans="1:35" ht="15.75" customHeight="1" x14ac:dyDescent="0.25">
      <c r="A126" t="s">
        <v>149</v>
      </c>
      <c r="C126" s="31"/>
      <c r="D126" s="31"/>
      <c r="E126" s="31"/>
      <c r="F126" s="31"/>
      <c r="G126" s="31"/>
      <c r="H126" s="31"/>
      <c r="I126" s="31"/>
      <c r="J126" s="31"/>
      <c r="K126" s="31"/>
      <c r="L126" s="31"/>
      <c r="M126" s="31"/>
      <c r="AI126" s="11"/>
    </row>
    <row r="127" spans="1:35" ht="15.75" customHeight="1" x14ac:dyDescent="0.25">
      <c r="B127" t="s">
        <v>150</v>
      </c>
      <c r="C127" s="31">
        <f t="shared" ref="C127:M127" si="67">-(D83-C83)</f>
        <v>-45000</v>
      </c>
      <c r="D127" s="31">
        <f t="shared" si="67"/>
        <v>0</v>
      </c>
      <c r="E127" s="31">
        <f t="shared" si="67"/>
        <v>0</v>
      </c>
      <c r="F127" s="31">
        <f t="shared" si="67"/>
        <v>0</v>
      </c>
      <c r="G127" s="31">
        <f t="shared" si="67"/>
        <v>0</v>
      </c>
      <c r="H127" s="31">
        <f t="shared" si="67"/>
        <v>0</v>
      </c>
      <c r="I127" s="31">
        <f t="shared" si="67"/>
        <v>0</v>
      </c>
      <c r="J127" s="31">
        <f t="shared" si="67"/>
        <v>0</v>
      </c>
      <c r="K127" s="31">
        <f t="shared" si="67"/>
        <v>0</v>
      </c>
      <c r="L127" s="31">
        <f t="shared" si="67"/>
        <v>0</v>
      </c>
      <c r="M127" s="31">
        <f t="shared" si="67"/>
        <v>45000</v>
      </c>
      <c r="R127" s="74" t="s">
        <v>151</v>
      </c>
      <c r="S127" s="73"/>
      <c r="T127" s="73"/>
      <c r="U127" s="73"/>
      <c r="V127" s="73"/>
      <c r="W127" s="73"/>
      <c r="X127" s="73"/>
      <c r="Y127" s="73"/>
      <c r="Z127" s="73"/>
    </row>
    <row r="128" spans="1:35" ht="15.75" customHeight="1" x14ac:dyDescent="0.25">
      <c r="B128" t="s">
        <v>152</v>
      </c>
      <c r="C128" s="31"/>
      <c r="D128" s="31"/>
      <c r="E128" s="31"/>
      <c r="F128" s="31"/>
      <c r="G128" s="31"/>
      <c r="H128" s="31"/>
      <c r="I128" s="31"/>
      <c r="J128" s="31"/>
      <c r="K128" s="31"/>
      <c r="L128" s="31"/>
      <c r="M128" s="46">
        <v>3000</v>
      </c>
      <c r="N128" s="17"/>
      <c r="O128" s="17" t="s">
        <v>153</v>
      </c>
      <c r="P128" s="17">
        <f>M83</f>
        <v>45000</v>
      </c>
      <c r="R128" s="73"/>
      <c r="S128" s="73"/>
      <c r="T128" s="73"/>
      <c r="U128" s="73"/>
      <c r="V128" s="73"/>
      <c r="W128" s="73"/>
      <c r="X128" s="73"/>
      <c r="Y128" s="73"/>
      <c r="Z128" s="73"/>
    </row>
    <row r="129" spans="1:26" ht="15.75" customHeight="1" x14ac:dyDescent="0.25">
      <c r="B129" t="s">
        <v>154</v>
      </c>
      <c r="C129" s="31"/>
      <c r="D129" s="31"/>
      <c r="E129" s="31"/>
      <c r="F129" s="31"/>
      <c r="G129" s="31"/>
      <c r="H129" s="31"/>
      <c r="I129" s="31"/>
      <c r="J129" s="31"/>
      <c r="K129" s="31"/>
      <c r="L129" s="31"/>
      <c r="M129" s="31">
        <f>-(P129*M38)</f>
        <v>-630</v>
      </c>
      <c r="N129" s="17"/>
      <c r="O129" s="17" t="s">
        <v>155</v>
      </c>
      <c r="P129" s="17">
        <f>M127+M128-P128</f>
        <v>3000</v>
      </c>
      <c r="R129" s="73"/>
      <c r="S129" s="73"/>
      <c r="T129" s="73"/>
      <c r="U129" s="73"/>
      <c r="V129" s="73"/>
      <c r="W129" s="73"/>
      <c r="X129" s="73"/>
      <c r="Y129" s="73"/>
      <c r="Z129" s="73"/>
    </row>
    <row r="130" spans="1:26" ht="15.75" customHeight="1" x14ac:dyDescent="0.25">
      <c r="C130" s="31"/>
      <c r="D130" s="31"/>
      <c r="E130" s="31"/>
      <c r="F130" s="31"/>
      <c r="G130" s="31"/>
      <c r="H130" s="31"/>
      <c r="I130" s="31"/>
      <c r="J130" s="31"/>
      <c r="K130" s="31"/>
      <c r="L130" s="31"/>
      <c r="M130" s="31"/>
      <c r="N130" s="17"/>
      <c r="O130" s="17"/>
      <c r="P130" s="17"/>
      <c r="R130" s="73"/>
      <c r="S130" s="73"/>
      <c r="T130" s="73"/>
      <c r="U130" s="73"/>
      <c r="V130" s="73"/>
      <c r="W130" s="73"/>
      <c r="X130" s="73"/>
      <c r="Y130" s="73"/>
      <c r="Z130" s="73"/>
    </row>
    <row r="131" spans="1:26" ht="15.75" customHeight="1" x14ac:dyDescent="0.25">
      <c r="B131" t="s">
        <v>156</v>
      </c>
      <c r="C131" s="31">
        <f t="shared" ref="C131:M131" si="68">-(D84-C84)</f>
        <v>-220000</v>
      </c>
      <c r="D131" s="31">
        <f t="shared" si="68"/>
        <v>0</v>
      </c>
      <c r="E131" s="31">
        <f t="shared" si="68"/>
        <v>0</v>
      </c>
      <c r="F131" s="31">
        <f t="shared" si="68"/>
        <v>0</v>
      </c>
      <c r="G131" s="31">
        <f t="shared" si="68"/>
        <v>0</v>
      </c>
      <c r="H131" s="31">
        <f t="shared" si="68"/>
        <v>0</v>
      </c>
      <c r="I131" s="31">
        <f t="shared" si="68"/>
        <v>0</v>
      </c>
      <c r="J131" s="31">
        <f t="shared" si="68"/>
        <v>0</v>
      </c>
      <c r="K131" s="31">
        <f t="shared" si="68"/>
        <v>0</v>
      </c>
      <c r="L131" s="31">
        <f t="shared" si="68"/>
        <v>0</v>
      </c>
      <c r="M131" s="31">
        <f t="shared" si="68"/>
        <v>220000</v>
      </c>
      <c r="N131" s="17"/>
      <c r="O131" s="17"/>
      <c r="P131" s="17"/>
      <c r="R131" s="73"/>
      <c r="S131" s="73"/>
      <c r="T131" s="73"/>
      <c r="U131" s="73"/>
      <c r="V131" s="73"/>
      <c r="W131" s="73"/>
      <c r="X131" s="73"/>
      <c r="Y131" s="73"/>
      <c r="Z131" s="73"/>
    </row>
    <row r="132" spans="1:26" ht="15.75" customHeight="1" x14ac:dyDescent="0.25">
      <c r="B132" t="s">
        <v>152</v>
      </c>
      <c r="C132" s="31"/>
      <c r="D132" s="31"/>
      <c r="E132" s="31"/>
      <c r="F132" s="31"/>
      <c r="G132" s="31"/>
      <c r="H132" s="31"/>
      <c r="I132" s="31"/>
      <c r="J132" s="31"/>
      <c r="K132" s="31"/>
      <c r="L132" s="31"/>
      <c r="M132" s="46">
        <v>15000</v>
      </c>
      <c r="N132" s="17"/>
      <c r="O132" s="17" t="s">
        <v>153</v>
      </c>
      <c r="P132" s="17">
        <f>M84-M86</f>
        <v>133454.54545454544</v>
      </c>
      <c r="R132" s="73"/>
      <c r="S132" s="73"/>
      <c r="T132" s="73"/>
      <c r="U132" s="73"/>
      <c r="V132" s="73"/>
      <c r="W132" s="73"/>
      <c r="X132" s="73"/>
      <c r="Y132" s="73"/>
      <c r="Z132" s="73"/>
    </row>
    <row r="133" spans="1:26" ht="15.75" customHeight="1" x14ac:dyDescent="0.25">
      <c r="B133" t="s">
        <v>154</v>
      </c>
      <c r="C133" s="31"/>
      <c r="D133" s="31"/>
      <c r="E133" s="31"/>
      <c r="F133" s="31"/>
      <c r="G133" s="31"/>
      <c r="H133" s="31"/>
      <c r="I133" s="31"/>
      <c r="J133" s="31"/>
      <c r="K133" s="31"/>
      <c r="L133" s="31"/>
      <c r="M133" s="31">
        <f>-(P133*M38)</f>
        <v>-21324.545454545456</v>
      </c>
      <c r="N133" s="17"/>
      <c r="O133" s="17" t="s">
        <v>155</v>
      </c>
      <c r="P133" s="17">
        <f>M131+M132-P132</f>
        <v>101545.45454545456</v>
      </c>
      <c r="R133" s="73"/>
      <c r="S133" s="73"/>
      <c r="T133" s="73"/>
      <c r="U133" s="73"/>
      <c r="V133" s="73"/>
      <c r="W133" s="73"/>
      <c r="X133" s="73"/>
      <c r="Y133" s="73"/>
      <c r="Z133" s="73"/>
    </row>
    <row r="134" spans="1:26" ht="15.75" customHeight="1" x14ac:dyDescent="0.25">
      <c r="C134" s="31"/>
      <c r="D134" s="31"/>
      <c r="E134" s="31"/>
      <c r="F134" s="31"/>
      <c r="G134" s="31"/>
      <c r="H134" s="31"/>
      <c r="I134" s="31"/>
      <c r="J134" s="31"/>
      <c r="K134" s="31"/>
      <c r="L134" s="31"/>
      <c r="M134" s="31"/>
      <c r="R134" s="73"/>
      <c r="S134" s="73"/>
      <c r="T134" s="73"/>
      <c r="U134" s="73"/>
      <c r="V134" s="73"/>
      <c r="W134" s="73"/>
      <c r="X134" s="73"/>
      <c r="Y134" s="73"/>
      <c r="Z134" s="73"/>
    </row>
    <row r="135" spans="1:26" ht="15.75" customHeight="1" x14ac:dyDescent="0.25">
      <c r="B135" s="11" t="s">
        <v>104</v>
      </c>
      <c r="C135" s="31">
        <f t="shared" ref="C135:M135" si="69">-(D85-C85)</f>
        <v>-39000</v>
      </c>
      <c r="D135" s="31">
        <f t="shared" si="69"/>
        <v>0</v>
      </c>
      <c r="E135" s="31">
        <f t="shared" si="69"/>
        <v>0</v>
      </c>
      <c r="F135" s="31">
        <f t="shared" si="69"/>
        <v>0</v>
      </c>
      <c r="G135" s="31">
        <f t="shared" si="69"/>
        <v>0</v>
      </c>
      <c r="H135" s="31">
        <f t="shared" si="69"/>
        <v>-19500</v>
      </c>
      <c r="I135" s="31">
        <f t="shared" si="69"/>
        <v>0</v>
      </c>
      <c r="J135" s="31">
        <f t="shared" si="69"/>
        <v>0</v>
      </c>
      <c r="K135" s="31">
        <f t="shared" si="69"/>
        <v>0</v>
      </c>
      <c r="L135" s="31">
        <f t="shared" si="69"/>
        <v>0</v>
      </c>
      <c r="M135" s="31">
        <f t="shared" si="69"/>
        <v>58500</v>
      </c>
      <c r="N135" s="17"/>
      <c r="O135" s="17"/>
      <c r="P135" s="17"/>
      <c r="R135" s="73"/>
      <c r="S135" s="73"/>
      <c r="T135" s="73"/>
      <c r="U135" s="73"/>
      <c r="V135" s="73"/>
      <c r="W135" s="73"/>
      <c r="X135" s="73"/>
      <c r="Y135" s="73"/>
      <c r="Z135" s="73"/>
    </row>
    <row r="136" spans="1:26" ht="15.75" customHeight="1" x14ac:dyDescent="0.25">
      <c r="B136" t="s">
        <v>152</v>
      </c>
      <c r="C136" s="31"/>
      <c r="D136" s="31"/>
      <c r="E136" s="31"/>
      <c r="F136" s="31"/>
      <c r="G136" s="31"/>
      <c r="H136" s="31"/>
      <c r="I136" s="31"/>
      <c r="J136" s="31"/>
      <c r="K136" s="31"/>
      <c r="L136" s="31"/>
      <c r="M136" s="46">
        <v>-2500</v>
      </c>
      <c r="N136" s="17"/>
      <c r="O136" s="17" t="s">
        <v>153</v>
      </c>
      <c r="P136" s="17">
        <f>M85-M87</f>
        <v>9750</v>
      </c>
      <c r="R136" s="73"/>
      <c r="S136" s="73"/>
      <c r="T136" s="73"/>
      <c r="U136" s="73"/>
      <c r="V136" s="73"/>
      <c r="W136" s="73"/>
      <c r="X136" s="73"/>
      <c r="Y136" s="73"/>
      <c r="Z136" s="73"/>
    </row>
    <row r="137" spans="1:26" ht="15.75" customHeight="1" x14ac:dyDescent="0.25">
      <c r="B137" t="s">
        <v>154</v>
      </c>
      <c r="C137" s="31"/>
      <c r="D137" s="31"/>
      <c r="E137" s="31"/>
      <c r="F137" s="31"/>
      <c r="G137" s="31"/>
      <c r="H137" s="31"/>
      <c r="I137" s="31"/>
      <c r="J137" s="31"/>
      <c r="K137" s="31"/>
      <c r="L137" s="31"/>
      <c r="M137" s="31">
        <f>-(P137*M38)</f>
        <v>-9712.5</v>
      </c>
      <c r="N137" s="17"/>
      <c r="O137" s="17" t="s">
        <v>155</v>
      </c>
      <c r="P137" s="17">
        <f>M135+M136-P136</f>
        <v>46250</v>
      </c>
      <c r="R137" s="73"/>
      <c r="S137" s="73"/>
      <c r="T137" s="73"/>
      <c r="U137" s="73"/>
      <c r="V137" s="73"/>
      <c r="W137" s="73"/>
      <c r="X137" s="73"/>
      <c r="Y137" s="73"/>
      <c r="Z137" s="73"/>
    </row>
    <row r="138" spans="1:26" ht="15.75" customHeight="1" x14ac:dyDescent="0.25">
      <c r="C138" s="31"/>
      <c r="D138" s="31"/>
      <c r="E138" s="31"/>
      <c r="F138" s="31"/>
      <c r="G138" s="31"/>
      <c r="H138" s="31"/>
      <c r="I138" s="31"/>
      <c r="J138" s="31"/>
      <c r="K138" s="31"/>
      <c r="L138" s="31"/>
      <c r="M138" s="31"/>
      <c r="R138" s="73"/>
      <c r="S138" s="73"/>
      <c r="T138" s="73"/>
      <c r="U138" s="73"/>
      <c r="V138" s="73"/>
      <c r="W138" s="73"/>
      <c r="X138" s="73"/>
      <c r="Y138" s="73"/>
      <c r="Z138" s="73"/>
    </row>
    <row r="139" spans="1:26" ht="15.75" customHeight="1" x14ac:dyDescent="0.25">
      <c r="A139" t="s">
        <v>157</v>
      </c>
      <c r="C139" s="31">
        <v>-5718.65</v>
      </c>
      <c r="D139" s="31"/>
      <c r="E139" s="31"/>
      <c r="F139" s="31"/>
      <c r="G139" s="31"/>
      <c r="H139" s="31"/>
      <c r="I139" s="31"/>
      <c r="J139" s="31"/>
      <c r="K139" s="31"/>
      <c r="L139" s="31"/>
      <c r="M139" s="31"/>
      <c r="R139" s="73"/>
      <c r="S139" s="73"/>
      <c r="T139" s="73"/>
      <c r="U139" s="73"/>
      <c r="V139" s="73"/>
      <c r="W139" s="73"/>
      <c r="X139" s="73"/>
      <c r="Y139" s="73"/>
      <c r="Z139" s="73"/>
    </row>
    <row r="140" spans="1:26" ht="15.75" customHeight="1" x14ac:dyDescent="0.25">
      <c r="C140" s="31"/>
      <c r="D140" s="31"/>
      <c r="E140" s="31"/>
      <c r="F140" s="31"/>
      <c r="G140" s="31"/>
      <c r="H140" s="31"/>
      <c r="I140" s="31"/>
      <c r="J140" s="31"/>
      <c r="K140" s="31"/>
      <c r="L140" s="31"/>
      <c r="M140" s="31"/>
      <c r="R140" s="73"/>
      <c r="S140" s="73"/>
      <c r="T140" s="73"/>
      <c r="U140" s="73"/>
      <c r="V140" s="73"/>
      <c r="W140" s="73"/>
      <c r="X140" s="73"/>
      <c r="Y140" s="73"/>
      <c r="Z140" s="73"/>
    </row>
    <row r="141" spans="1:26" ht="15.75" customHeight="1" x14ac:dyDescent="0.25">
      <c r="A141" t="s">
        <v>158</v>
      </c>
      <c r="C141" s="31">
        <f t="shared" ref="C141:M141" si="70">SUM(C115:C140)</f>
        <v>-330940.78855306975</v>
      </c>
      <c r="D141" s="31">
        <f t="shared" si="70"/>
        <v>13356.815455214717</v>
      </c>
      <c r="E141" s="31">
        <f t="shared" si="70"/>
        <v>-4802.3008513320119</v>
      </c>
      <c r="F141" s="31">
        <f t="shared" si="70"/>
        <v>-5973.1748159421677</v>
      </c>
      <c r="G141" s="31">
        <f t="shared" si="70"/>
        <v>-7140.9533475550379</v>
      </c>
      <c r="H141" s="31">
        <f t="shared" si="70"/>
        <v>13743.76839911654</v>
      </c>
      <c r="I141" s="31">
        <f t="shared" si="70"/>
        <v>-2830.1231582711434</v>
      </c>
      <c r="J141" s="31">
        <f t="shared" si="70"/>
        <v>-3866.8280194335148</v>
      </c>
      <c r="K141" s="31">
        <f t="shared" si="70"/>
        <v>-4851.3642608163791</v>
      </c>
      <c r="L141" s="31">
        <f t="shared" si="70"/>
        <v>-2818.3640137743187</v>
      </c>
      <c r="M141" s="31">
        <f t="shared" si="70"/>
        <v>770914.55142508761</v>
      </c>
    </row>
    <row r="142" spans="1:26" ht="15.75" customHeight="1" x14ac:dyDescent="0.25">
      <c r="A142" t="s">
        <v>142</v>
      </c>
      <c r="C142" s="47">
        <f>U124</f>
        <v>8.7322695372686693E-2</v>
      </c>
      <c r="R142" s="74" t="s">
        <v>159</v>
      </c>
      <c r="S142" s="73"/>
      <c r="T142" s="73"/>
      <c r="U142" s="73"/>
      <c r="V142" s="73"/>
      <c r="W142" s="73"/>
      <c r="X142" s="73"/>
      <c r="Y142" s="73"/>
      <c r="Z142" s="73"/>
    </row>
    <row r="143" spans="1:26" ht="15.75" customHeight="1" x14ac:dyDescent="0.25">
      <c r="A143" t="s">
        <v>22</v>
      </c>
      <c r="C143" s="47">
        <f>IRR(C141:M141)</f>
        <v>8.8199302404176061E-2</v>
      </c>
      <c r="R143" s="73"/>
      <c r="S143" s="73"/>
      <c r="T143" s="73"/>
      <c r="U143" s="73"/>
      <c r="V143" s="73"/>
      <c r="W143" s="73"/>
      <c r="X143" s="73"/>
      <c r="Y143" s="73"/>
      <c r="Z143" s="73"/>
    </row>
    <row r="144" spans="1:26" ht="15.75" customHeight="1" x14ac:dyDescent="0.25">
      <c r="A144" t="s">
        <v>46</v>
      </c>
      <c r="C144" s="48">
        <f t="array" ref="C144">NPV(C142,D141:M141)+C141</f>
        <v>2644.9705938894767</v>
      </c>
      <c r="R144" s="73"/>
      <c r="S144" s="73"/>
      <c r="T144" s="73"/>
      <c r="U144" s="73"/>
      <c r="V144" s="73"/>
      <c r="W144" s="73"/>
      <c r="X144" s="73"/>
      <c r="Y144" s="73"/>
      <c r="Z144" s="73"/>
    </row>
    <row r="145" spans="1:26" ht="15.75" customHeight="1" x14ac:dyDescent="0.25">
      <c r="R145" s="73"/>
      <c r="S145" s="73"/>
      <c r="T145" s="73"/>
      <c r="U145" s="73"/>
      <c r="V145" s="73"/>
      <c r="W145" s="73"/>
      <c r="X145" s="73"/>
      <c r="Y145" s="73"/>
      <c r="Z145" s="73"/>
    </row>
    <row r="146" spans="1:26" ht="15.75" customHeight="1" x14ac:dyDescent="0.25">
      <c r="A146" s="77" t="s">
        <v>163</v>
      </c>
      <c r="B146" s="73"/>
      <c r="R146" s="73"/>
      <c r="S146" s="73"/>
      <c r="T146" s="73"/>
      <c r="U146" s="73"/>
      <c r="V146" s="73"/>
      <c r="W146" s="73"/>
      <c r="X146" s="73"/>
      <c r="Y146" s="73"/>
      <c r="Z146" s="73"/>
    </row>
    <row r="147" spans="1:26" ht="15.75" customHeight="1" x14ac:dyDescent="0.25">
      <c r="A147" s="73"/>
      <c r="B147" s="73"/>
      <c r="R147" s="73"/>
      <c r="S147" s="73"/>
      <c r="T147" s="73"/>
      <c r="U147" s="73"/>
      <c r="V147" s="73"/>
      <c r="W147" s="73"/>
      <c r="X147" s="73"/>
      <c r="Y147" s="73"/>
      <c r="Z147" s="73"/>
    </row>
    <row r="148" spans="1:26" ht="15.75" customHeight="1" x14ac:dyDescent="0.25">
      <c r="C148" s="50">
        <v>0</v>
      </c>
      <c r="D148" s="50">
        <v>1</v>
      </c>
      <c r="E148" s="50">
        <v>2</v>
      </c>
      <c r="F148" s="50">
        <v>3</v>
      </c>
      <c r="G148" s="51">
        <v>4</v>
      </c>
      <c r="H148" s="50">
        <v>5</v>
      </c>
      <c r="I148" s="50">
        <v>6</v>
      </c>
      <c r="J148" s="50">
        <v>7</v>
      </c>
      <c r="K148" s="50">
        <v>8</v>
      </c>
      <c r="L148" s="50">
        <v>9</v>
      </c>
      <c r="M148" s="50">
        <v>10</v>
      </c>
      <c r="R148" s="73"/>
      <c r="S148" s="73"/>
      <c r="T148" s="73"/>
      <c r="U148" s="73"/>
      <c r="V148" s="73"/>
      <c r="W148" s="73"/>
      <c r="X148" s="73"/>
      <c r="Y148" s="73"/>
      <c r="Z148" s="73"/>
    </row>
    <row r="149" spans="1:26" ht="15.75" customHeight="1" x14ac:dyDescent="0.25">
      <c r="B149" t="s">
        <v>158</v>
      </c>
      <c r="C149" s="31">
        <v>-330940.78855306975</v>
      </c>
      <c r="D149" s="31">
        <v>13356.815455214717</v>
      </c>
      <c r="E149" s="31">
        <v>-4802.3008513320119</v>
      </c>
      <c r="F149" s="31">
        <v>-5973.1748159421677</v>
      </c>
      <c r="G149" s="31">
        <v>-7140.9533475550379</v>
      </c>
      <c r="H149" s="31">
        <v>13743.76839911654</v>
      </c>
      <c r="I149" s="31">
        <v>-2830.1231582711434</v>
      </c>
      <c r="J149" s="31">
        <v>-3866.8280194335148</v>
      </c>
      <c r="K149" s="31">
        <v>-4851.3642608163791</v>
      </c>
      <c r="L149" s="31">
        <v>-2818.3640137743187</v>
      </c>
      <c r="M149" s="31">
        <v>770914.55142508761</v>
      </c>
      <c r="R149" s="73"/>
      <c r="S149" s="73"/>
      <c r="T149" s="73"/>
      <c r="U149" s="73"/>
      <c r="V149" s="73"/>
      <c r="W149" s="73"/>
      <c r="X149" s="73"/>
      <c r="Y149" s="73"/>
      <c r="Z149" s="73"/>
    </row>
    <row r="150" spans="1:26" ht="15.75" customHeight="1" x14ac:dyDescent="0.25">
      <c r="R150" s="73"/>
      <c r="S150" s="73"/>
      <c r="T150" s="73"/>
      <c r="U150" s="73"/>
      <c r="V150" s="73"/>
      <c r="W150" s="73"/>
      <c r="X150" s="73"/>
      <c r="Y150" s="73"/>
      <c r="Z150" s="73"/>
    </row>
    <row r="151" spans="1:26" ht="15.75" customHeight="1" x14ac:dyDescent="0.25">
      <c r="B151" s="11" t="s">
        <v>165</v>
      </c>
      <c r="G151" s="31">
        <v>-125000</v>
      </c>
      <c r="H151" s="31">
        <v>30000</v>
      </c>
      <c r="I151" s="31">
        <v>30000</v>
      </c>
      <c r="J151" s="31">
        <v>25000</v>
      </c>
      <c r="K151" s="31">
        <v>25000</v>
      </c>
      <c r="L151" s="31">
        <v>25000</v>
      </c>
      <c r="M151" s="31">
        <v>25000</v>
      </c>
      <c r="R151" s="73"/>
      <c r="S151" s="73"/>
      <c r="T151" s="73"/>
      <c r="U151" s="73"/>
      <c r="V151" s="73"/>
      <c r="W151" s="73"/>
      <c r="X151" s="73"/>
      <c r="Y151" s="73"/>
      <c r="Z151" s="73"/>
    </row>
    <row r="152" spans="1:26" ht="15.75" customHeight="1" x14ac:dyDescent="0.25">
      <c r="B152" s="11" t="s">
        <v>148</v>
      </c>
      <c r="C152" s="31">
        <f t="shared" ref="C152:K152" si="71">SUM(C149:C151)</f>
        <v>-330940.78855306975</v>
      </c>
      <c r="D152" s="31">
        <f t="shared" si="71"/>
        <v>13356.815455214717</v>
      </c>
      <c r="E152" s="31">
        <f>SUM(E149:E151)</f>
        <v>-4802.3008513320119</v>
      </c>
      <c r="F152" s="31">
        <f>SUM(F149:F151)</f>
        <v>-5973.1748159421677</v>
      </c>
      <c r="G152" s="31">
        <f t="shared" si="71"/>
        <v>-132140.95334755504</v>
      </c>
      <c r="H152" s="31">
        <f t="shared" si="71"/>
        <v>43743.76839911654</v>
      </c>
      <c r="I152" s="31">
        <f t="shared" si="71"/>
        <v>27169.876841728856</v>
      </c>
      <c r="J152" s="31">
        <f t="shared" si="71"/>
        <v>21133.171980566483</v>
      </c>
      <c r="K152" s="31">
        <f t="shared" si="71"/>
        <v>20148.635739183621</v>
      </c>
      <c r="L152" s="31">
        <f>SUM(L149:L151)</f>
        <v>22181.63598622568</v>
      </c>
      <c r="M152" s="31">
        <f>SUM(M149:M151)</f>
        <v>795914.55142508761</v>
      </c>
      <c r="R152" s="73"/>
      <c r="S152" s="73"/>
      <c r="T152" s="73"/>
      <c r="U152" s="73"/>
      <c r="V152" s="73"/>
      <c r="W152" s="73"/>
      <c r="X152" s="73"/>
      <c r="Y152" s="73"/>
      <c r="Z152" s="73"/>
    </row>
    <row r="153" spans="1:26" ht="15.75" customHeight="1" x14ac:dyDescent="0.25">
      <c r="A153" s="45"/>
      <c r="B153" s="11" t="s">
        <v>46</v>
      </c>
      <c r="C153" s="49">
        <f t="array" ref="C153">NPV(C142,D152:M152)+C152</f>
        <v>410.28573649114696</v>
      </c>
      <c r="R153" s="73"/>
      <c r="S153" s="73"/>
      <c r="T153" s="73"/>
      <c r="U153" s="73"/>
      <c r="V153" s="73"/>
      <c r="W153" s="73"/>
      <c r="X153" s="73"/>
      <c r="Y153" s="73"/>
      <c r="Z153" s="73"/>
    </row>
    <row r="154" spans="1:26" ht="15.75" customHeight="1" x14ac:dyDescent="0.25">
      <c r="B154" s="11" t="s">
        <v>166</v>
      </c>
      <c r="C154" s="45">
        <f>65%*50%</f>
        <v>0.32500000000000001</v>
      </c>
      <c r="R154" s="73"/>
      <c r="S154" s="73"/>
      <c r="T154" s="73"/>
      <c r="U154" s="73"/>
      <c r="V154" s="73"/>
      <c r="W154" s="73"/>
      <c r="X154" s="73"/>
      <c r="Y154" s="73"/>
      <c r="Z154" s="73"/>
    </row>
    <row r="155" spans="1:26" ht="15.75" customHeight="1" x14ac:dyDescent="0.25">
      <c r="B155" s="11" t="s">
        <v>167</v>
      </c>
      <c r="C155" s="31">
        <f>C153*C154</f>
        <v>133.34286435962278</v>
      </c>
      <c r="R155" s="73"/>
      <c r="S155" s="73"/>
      <c r="T155" s="73"/>
      <c r="U155" s="73"/>
      <c r="V155" s="73"/>
      <c r="W155" s="73"/>
      <c r="X155" s="73"/>
      <c r="Y155" s="73"/>
      <c r="Z155" s="73"/>
    </row>
    <row r="156" spans="1:26" ht="15.75" customHeight="1" x14ac:dyDescent="0.25">
      <c r="B156" s="11"/>
      <c r="R156" s="73"/>
      <c r="S156" s="73"/>
      <c r="T156" s="73"/>
      <c r="U156" s="73"/>
      <c r="V156" s="73"/>
      <c r="W156" s="73"/>
      <c r="X156" s="73"/>
      <c r="Y156" s="73"/>
      <c r="Z156" s="73"/>
    </row>
    <row r="157" spans="1:26" ht="15.75" customHeight="1" x14ac:dyDescent="0.25">
      <c r="B157" s="11"/>
      <c r="C157" s="50">
        <v>0</v>
      </c>
      <c r="D157" s="50">
        <v>1</v>
      </c>
      <c r="E157" s="50">
        <v>2</v>
      </c>
      <c r="F157" s="50">
        <v>3</v>
      </c>
      <c r="G157" s="51">
        <v>4</v>
      </c>
      <c r="H157" s="50">
        <v>5</v>
      </c>
      <c r="I157" s="50">
        <v>6</v>
      </c>
      <c r="J157" s="50">
        <v>7</v>
      </c>
      <c r="K157" s="50">
        <v>8</v>
      </c>
      <c r="L157" s="50">
        <v>9</v>
      </c>
      <c r="M157" s="50">
        <v>10</v>
      </c>
      <c r="R157" s="73"/>
      <c r="S157" s="73"/>
      <c r="T157" s="73"/>
      <c r="U157" s="73"/>
      <c r="V157" s="73"/>
      <c r="W157" s="73"/>
      <c r="X157" s="73"/>
      <c r="Y157" s="73"/>
      <c r="Z157" s="73"/>
    </row>
    <row r="158" spans="1:26" ht="15.75" customHeight="1" x14ac:dyDescent="0.25">
      <c r="B158" s="11"/>
      <c r="C158" s="31">
        <v>-330940.78855306975</v>
      </c>
      <c r="D158" s="31">
        <v>13356.815455214717</v>
      </c>
      <c r="E158" s="31">
        <v>-4802.3008513320119</v>
      </c>
      <c r="F158" s="31">
        <v>-5973.1748159421677</v>
      </c>
      <c r="G158" s="31">
        <v>-7140.9533475550379</v>
      </c>
      <c r="H158" s="31">
        <v>13743.76839911654</v>
      </c>
      <c r="I158" s="31">
        <v>-2830.1231582711434</v>
      </c>
      <c r="J158" s="31">
        <v>-3866.8280194335148</v>
      </c>
      <c r="K158" s="31">
        <v>-4851.3642608163791</v>
      </c>
      <c r="L158" s="31">
        <v>-2818.3640137743187</v>
      </c>
      <c r="M158" s="31">
        <v>770914.55142508761</v>
      </c>
      <c r="R158" s="73"/>
      <c r="S158" s="73"/>
      <c r="T158" s="73"/>
      <c r="U158" s="73"/>
      <c r="V158" s="73"/>
      <c r="W158" s="73"/>
      <c r="X158" s="73"/>
      <c r="Y158" s="73"/>
      <c r="Z158" s="73"/>
    </row>
    <row r="159" spans="1:26" ht="15.75" customHeight="1" x14ac:dyDescent="0.25">
      <c r="B159" s="11"/>
      <c r="G159" s="31"/>
      <c r="H159" s="31"/>
      <c r="I159" s="31"/>
      <c r="J159" s="31"/>
      <c r="K159" s="31"/>
      <c r="L159" s="31"/>
      <c r="M159" s="31"/>
      <c r="R159" s="73"/>
      <c r="S159" s="73"/>
      <c r="T159" s="73"/>
      <c r="U159" s="73"/>
      <c r="V159" s="73"/>
      <c r="W159" s="73"/>
      <c r="X159" s="73"/>
      <c r="Y159" s="73"/>
      <c r="Z159" s="73"/>
    </row>
    <row r="160" spans="1:26" ht="15.75" customHeight="1" x14ac:dyDescent="0.25">
      <c r="B160" s="11" t="s">
        <v>169</v>
      </c>
      <c r="G160" s="31">
        <v>-125000</v>
      </c>
      <c r="H160" s="31">
        <v>8000</v>
      </c>
      <c r="I160" s="31">
        <v>5000</v>
      </c>
      <c r="J160" s="31">
        <v>1200</v>
      </c>
      <c r="K160" s="31">
        <v>750</v>
      </c>
      <c r="L160" s="31">
        <v>750</v>
      </c>
      <c r="M160" s="31">
        <v>750</v>
      </c>
      <c r="R160" s="73"/>
      <c r="S160" s="73"/>
      <c r="T160" s="73"/>
      <c r="U160" s="73"/>
      <c r="V160" s="73"/>
      <c r="W160" s="73"/>
      <c r="X160" s="73"/>
      <c r="Y160" s="73"/>
      <c r="Z160" s="73"/>
    </row>
    <row r="161" spans="1:26" ht="15.75" customHeight="1" x14ac:dyDescent="0.25">
      <c r="B161" s="11" t="s">
        <v>148</v>
      </c>
      <c r="C161" s="31">
        <f t="shared" ref="C161:K161" si="72">SUM(C158:C160)</f>
        <v>-330940.78855306975</v>
      </c>
      <c r="D161" s="31">
        <f t="shared" si="72"/>
        <v>13356.815455214717</v>
      </c>
      <c r="E161" s="31">
        <f>SUM(E158:E160)</f>
        <v>-4802.3008513320119</v>
      </c>
      <c r="F161" s="31">
        <f>SUM(F158:F160)</f>
        <v>-5973.1748159421677</v>
      </c>
      <c r="G161" s="31">
        <f t="shared" si="72"/>
        <v>-132140.95334755504</v>
      </c>
      <c r="H161" s="31">
        <f t="shared" si="72"/>
        <v>21743.76839911654</v>
      </c>
      <c r="I161" s="31">
        <f t="shared" si="72"/>
        <v>2169.8768417288566</v>
      </c>
      <c r="J161" s="31">
        <f t="shared" si="72"/>
        <v>-2666.8280194335148</v>
      </c>
      <c r="K161" s="31">
        <f t="shared" si="72"/>
        <v>-4101.3642608163791</v>
      </c>
      <c r="L161" s="31">
        <f>SUM(L158:L160)</f>
        <v>-2068.3640137743187</v>
      </c>
      <c r="M161" s="31">
        <f>SUM(M158:M160)</f>
        <v>771664.55142508761</v>
      </c>
      <c r="R161" s="73"/>
      <c r="S161" s="73"/>
      <c r="T161" s="73"/>
      <c r="U161" s="73"/>
      <c r="V161" s="73"/>
      <c r="W161" s="73"/>
      <c r="X161" s="73"/>
      <c r="Y161" s="73"/>
      <c r="Z161" s="73"/>
    </row>
    <row r="162" spans="1:26" ht="15.75" customHeight="1" x14ac:dyDescent="0.25">
      <c r="B162" s="11" t="s">
        <v>46</v>
      </c>
      <c r="C162" s="31">
        <f t="array" ref="C162">NPV(C142,D161:M161)+C161</f>
        <v>-76764.684922490473</v>
      </c>
      <c r="D162" s="31"/>
      <c r="E162" s="31"/>
      <c r="F162" s="31"/>
      <c r="G162" s="31"/>
      <c r="H162" s="31"/>
      <c r="I162" s="31"/>
      <c r="J162" s="31"/>
      <c r="K162" s="31"/>
      <c r="L162" s="31"/>
      <c r="M162" s="31"/>
    </row>
    <row r="163" spans="1:26" ht="15.75" customHeight="1" x14ac:dyDescent="0.25">
      <c r="B163" s="11" t="s">
        <v>166</v>
      </c>
      <c r="C163" s="45">
        <f>35%*50%</f>
        <v>0.17499999999999999</v>
      </c>
      <c r="D163" s="57"/>
      <c r="E163" s="57"/>
      <c r="F163" s="57"/>
      <c r="G163" s="57"/>
      <c r="H163" s="57"/>
      <c r="I163" s="57"/>
      <c r="J163" s="57"/>
      <c r="K163" s="57"/>
      <c r="L163" s="57"/>
      <c r="M163" s="57"/>
    </row>
    <row r="164" spans="1:26" ht="15.75" customHeight="1" x14ac:dyDescent="0.25">
      <c r="B164" s="11" t="s">
        <v>167</v>
      </c>
      <c r="C164" s="31">
        <f>C162*C163</f>
        <v>-13433.819861435832</v>
      </c>
      <c r="D164" s="57"/>
      <c r="E164" s="57"/>
      <c r="F164" s="57"/>
      <c r="G164" s="57"/>
      <c r="H164" s="57"/>
      <c r="I164" s="57"/>
      <c r="J164" s="57"/>
      <c r="K164" s="57"/>
      <c r="L164" s="57"/>
      <c r="M164" s="57"/>
    </row>
    <row r="165" spans="1:26" ht="15.75" customHeight="1" x14ac:dyDescent="0.25"/>
    <row r="166" spans="1:26" ht="15.75" customHeight="1" x14ac:dyDescent="0.25">
      <c r="C166" s="50">
        <v>0</v>
      </c>
      <c r="D166" s="50">
        <v>1</v>
      </c>
      <c r="E166" s="50">
        <v>2</v>
      </c>
      <c r="F166" s="50">
        <v>3</v>
      </c>
      <c r="G166" s="51">
        <v>4</v>
      </c>
      <c r="H166" s="50">
        <v>5</v>
      </c>
      <c r="I166" s="50">
        <v>6</v>
      </c>
      <c r="J166" s="50">
        <v>7</v>
      </c>
      <c r="K166" s="50">
        <v>8</v>
      </c>
      <c r="L166" s="50">
        <v>9</v>
      </c>
      <c r="M166" s="50">
        <v>10</v>
      </c>
    </row>
    <row r="167" spans="1:26" ht="15.75" customHeight="1" x14ac:dyDescent="0.25">
      <c r="B167" s="11" t="s">
        <v>170</v>
      </c>
      <c r="C167" s="31">
        <v>-330940.78855306975</v>
      </c>
      <c r="D167" s="31">
        <v>13356.815455214717</v>
      </c>
      <c r="E167" s="31">
        <v>-4802.3008513320119</v>
      </c>
      <c r="F167" s="31">
        <v>-5973.1748159421677</v>
      </c>
      <c r="G167" s="31">
        <f>-7140.95+(-C167*2.3)</f>
        <v>754022.86367206043</v>
      </c>
      <c r="H167" s="49"/>
    </row>
    <row r="168" spans="1:26" ht="15.75" customHeight="1" x14ac:dyDescent="0.25"/>
    <row r="169" spans="1:26" ht="15.75" customHeight="1" x14ac:dyDescent="0.25">
      <c r="G169" s="31"/>
      <c r="H169" s="31"/>
      <c r="I169" s="31"/>
      <c r="J169" s="31"/>
      <c r="K169" s="31"/>
      <c r="L169" s="31"/>
      <c r="M169" s="31"/>
    </row>
    <row r="170" spans="1:26" ht="15.75" customHeight="1" x14ac:dyDescent="0.25">
      <c r="B170" s="11" t="s">
        <v>148</v>
      </c>
      <c r="C170" s="31">
        <f t="shared" ref="C170:G170" si="73">C167</f>
        <v>-330940.78855306975</v>
      </c>
      <c r="D170" s="31">
        <f t="shared" si="73"/>
        <v>13356.815455214717</v>
      </c>
      <c r="E170" s="31">
        <f t="shared" si="73"/>
        <v>-4802.3008513320119</v>
      </c>
      <c r="F170" s="31">
        <f t="shared" si="73"/>
        <v>-5973.1748159421677</v>
      </c>
      <c r="G170" s="31">
        <f t="shared" si="73"/>
        <v>754022.86367206043</v>
      </c>
    </row>
    <row r="171" spans="1:26" ht="15.75" customHeight="1" x14ac:dyDescent="0.25">
      <c r="B171" s="11" t="s">
        <v>46</v>
      </c>
      <c r="C171" s="17">
        <f t="array" ref="C171">NPV(C142,D170:M170)+C170</f>
        <v>212084.2567076225</v>
      </c>
    </row>
    <row r="172" spans="1:26" ht="15.75" customHeight="1" x14ac:dyDescent="0.25">
      <c r="B172" s="11" t="s">
        <v>166</v>
      </c>
      <c r="C172" s="45">
        <f>100%-C154-C163</f>
        <v>0.5</v>
      </c>
    </row>
    <row r="173" spans="1:26" ht="15.75" customHeight="1" x14ac:dyDescent="0.25">
      <c r="B173" s="11" t="s">
        <v>167</v>
      </c>
      <c r="C173" s="17">
        <f>C171*C172</f>
        <v>106042.12835381125</v>
      </c>
    </row>
    <row r="174" spans="1:26" ht="15.75" customHeight="1" x14ac:dyDescent="0.25"/>
    <row r="175" spans="1:26" ht="15.75" customHeight="1" x14ac:dyDescent="0.25">
      <c r="A175" s="12"/>
      <c r="B175" s="26"/>
      <c r="C175" s="27"/>
      <c r="D175" s="12"/>
      <c r="E175" s="12"/>
      <c r="F175" s="2"/>
      <c r="G175" s="2"/>
      <c r="H175" s="2"/>
      <c r="I175" s="2"/>
      <c r="J175" s="2"/>
      <c r="K175" s="2"/>
      <c r="L175" s="2"/>
      <c r="M175" s="2"/>
    </row>
    <row r="176" spans="1:26" ht="15.75" customHeight="1" x14ac:dyDescent="0.25">
      <c r="A176" s="2"/>
      <c r="B176" s="18"/>
      <c r="C176" s="18"/>
      <c r="D176" s="2"/>
      <c r="E176" s="2"/>
      <c r="F176" s="2"/>
      <c r="G176" s="2"/>
      <c r="H176" s="2"/>
      <c r="I176" s="2"/>
      <c r="J176" s="2"/>
      <c r="K176" s="2"/>
      <c r="L176" s="2"/>
      <c r="M176" s="2"/>
    </row>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10">
    <mergeCell ref="B42:M42"/>
    <mergeCell ref="R142:Z161"/>
    <mergeCell ref="O60:W74"/>
    <mergeCell ref="B74:M74"/>
    <mergeCell ref="A108:D108"/>
    <mergeCell ref="A146:B147"/>
    <mergeCell ref="O44:W58"/>
    <mergeCell ref="O76:W90"/>
    <mergeCell ref="O92:W105"/>
    <mergeCell ref="R127:Z14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89"/>
  <sheetViews>
    <sheetView topLeftCell="A148" zoomScale="90" zoomScaleNormal="90" workbookViewId="0">
      <selection activeCell="H172" sqref="H172"/>
    </sheetView>
  </sheetViews>
  <sheetFormatPr defaultColWidth="11.25" defaultRowHeight="15" customHeight="1" x14ac:dyDescent="0.25"/>
  <cols>
    <col min="1" max="1" width="14.125" customWidth="1"/>
    <col min="2" max="2" width="33.75" customWidth="1"/>
    <col min="3" max="4" width="10.25" customWidth="1"/>
    <col min="5" max="5" width="11.375" bestFit="1" customWidth="1"/>
    <col min="6" max="6" width="10.375" customWidth="1"/>
    <col min="7" max="7" width="11.375" bestFit="1" customWidth="1"/>
    <col min="8" max="8" width="11" customWidth="1"/>
    <col min="9" max="22" width="10.375" customWidth="1"/>
    <col min="23" max="23" width="14.875" customWidth="1"/>
    <col min="24" max="28" width="10.375" customWidth="1"/>
    <col min="29" max="29" width="20.375" customWidth="1"/>
    <col min="30" max="35" width="10.375" customWidth="1"/>
    <col min="36" max="36" width="17.875" customWidth="1"/>
    <col min="37" max="38" width="11.125" customWidth="1"/>
  </cols>
  <sheetData>
    <row r="1" spans="2:15" ht="15.75" customHeight="1" x14ac:dyDescent="0.25">
      <c r="B1" s="1" t="s">
        <v>0</v>
      </c>
      <c r="C1" s="1"/>
      <c r="D1" s="1" t="s">
        <v>1</v>
      </c>
      <c r="E1" s="1" t="s">
        <v>2</v>
      </c>
      <c r="F1" s="1" t="s">
        <v>3</v>
      </c>
      <c r="G1" s="1" t="s">
        <v>4</v>
      </c>
      <c r="H1" s="1" t="s">
        <v>5</v>
      </c>
      <c r="I1" s="1" t="s">
        <v>6</v>
      </c>
      <c r="J1" s="1" t="s">
        <v>7</v>
      </c>
      <c r="L1" s="1" t="s">
        <v>8</v>
      </c>
    </row>
    <row r="2" spans="2:15" ht="15.75" customHeight="1" x14ac:dyDescent="0.25">
      <c r="B2" s="1" t="s">
        <v>9</v>
      </c>
      <c r="C2" s="4"/>
      <c r="D2" s="4">
        <v>47093</v>
      </c>
      <c r="E2" s="4">
        <v>65021</v>
      </c>
      <c r="F2" s="4">
        <v>78557</v>
      </c>
      <c r="G2" s="4">
        <v>83826</v>
      </c>
      <c r="H2" s="4">
        <v>28406</v>
      </c>
      <c r="I2" s="1">
        <v>75000</v>
      </c>
      <c r="J2" s="6">
        <f>SUM(D2:I2)</f>
        <v>377903</v>
      </c>
      <c r="L2" s="7">
        <f>D46/J2</f>
        <v>0.65</v>
      </c>
    </row>
    <row r="3" spans="2:15" ht="15.75" customHeight="1" x14ac:dyDescent="0.25"/>
    <row r="4" spans="2:15" ht="15.75" customHeight="1" x14ac:dyDescent="0.25">
      <c r="B4" s="8" t="s">
        <v>10</v>
      </c>
      <c r="D4" t="s">
        <v>11</v>
      </c>
      <c r="E4" t="s">
        <v>12</v>
      </c>
      <c r="F4" t="s">
        <v>13</v>
      </c>
      <c r="G4" t="s">
        <v>14</v>
      </c>
      <c r="H4" t="s">
        <v>15</v>
      </c>
      <c r="I4" t="s">
        <v>16</v>
      </c>
      <c r="J4" t="s">
        <v>17</v>
      </c>
      <c r="K4" t="s">
        <v>18</v>
      </c>
      <c r="L4" t="s">
        <v>19</v>
      </c>
      <c r="M4" t="s">
        <v>20</v>
      </c>
    </row>
    <row r="5" spans="2:15" ht="15.75" customHeight="1" x14ac:dyDescent="0.25">
      <c r="B5" s="1" t="s">
        <v>21</v>
      </c>
      <c r="C5" s="9"/>
      <c r="D5" s="9">
        <f t="shared" ref="D5:M5" si="0">$J$2</f>
        <v>377903</v>
      </c>
      <c r="E5" s="9">
        <f t="shared" si="0"/>
        <v>377903</v>
      </c>
      <c r="F5" s="9">
        <f t="shared" si="0"/>
        <v>377903</v>
      </c>
      <c r="G5" s="9">
        <f t="shared" si="0"/>
        <v>377903</v>
      </c>
      <c r="H5" s="9">
        <f t="shared" si="0"/>
        <v>377903</v>
      </c>
      <c r="I5" s="9">
        <f t="shared" si="0"/>
        <v>377903</v>
      </c>
      <c r="J5" s="9">
        <f t="shared" si="0"/>
        <v>377903</v>
      </c>
      <c r="K5" s="9">
        <f t="shared" si="0"/>
        <v>377903</v>
      </c>
      <c r="L5" s="9">
        <f t="shared" si="0"/>
        <v>377903</v>
      </c>
      <c r="M5" s="9">
        <f t="shared" si="0"/>
        <v>377903</v>
      </c>
    </row>
    <row r="6" spans="2:15" ht="15.75" customHeight="1" x14ac:dyDescent="0.25">
      <c r="B6" s="1" t="s">
        <v>23</v>
      </c>
      <c r="C6" s="9"/>
      <c r="D6" s="9">
        <v>249672</v>
      </c>
      <c r="E6" s="9">
        <v>249672</v>
      </c>
      <c r="F6" s="9">
        <v>249672</v>
      </c>
      <c r="G6" s="9">
        <v>249672</v>
      </c>
      <c r="H6" s="9">
        <v>249672</v>
      </c>
      <c r="I6" s="9">
        <v>249672</v>
      </c>
      <c r="J6" s="9">
        <v>249672</v>
      </c>
      <c r="K6" s="9">
        <v>249672</v>
      </c>
      <c r="L6" s="9">
        <v>249672</v>
      </c>
      <c r="M6" s="9">
        <v>249672</v>
      </c>
    </row>
    <row r="7" spans="2:15" ht="15.75" customHeight="1" x14ac:dyDescent="0.25">
      <c r="B7" s="1" t="s">
        <v>24</v>
      </c>
      <c r="C7" s="7"/>
      <c r="D7" s="7">
        <f t="shared" ref="D7:L7" si="1">D46/D5</f>
        <v>0.65</v>
      </c>
      <c r="E7" s="7">
        <f t="shared" si="1"/>
        <v>0.68900000000000006</v>
      </c>
      <c r="F7" s="7">
        <f t="shared" si="1"/>
        <v>0.72345000000000004</v>
      </c>
      <c r="G7" s="7">
        <f t="shared" si="1"/>
        <v>0.75962250000000009</v>
      </c>
      <c r="H7" s="7">
        <f t="shared" si="1"/>
        <v>0.79760362500000015</v>
      </c>
      <c r="I7" s="7">
        <f t="shared" si="1"/>
        <v>0.83748380625000018</v>
      </c>
      <c r="J7" s="7">
        <f t="shared" si="1"/>
        <v>0.87935799656250013</v>
      </c>
      <c r="K7" s="7">
        <f t="shared" si="1"/>
        <v>0.92332589639062523</v>
      </c>
      <c r="L7" s="7">
        <f t="shared" si="1"/>
        <v>0.96949219121015662</v>
      </c>
      <c r="M7" s="7">
        <v>1</v>
      </c>
    </row>
    <row r="8" spans="2:15" ht="15.75" customHeight="1" x14ac:dyDescent="0.25">
      <c r="B8" s="1" t="s">
        <v>25</v>
      </c>
      <c r="C8" s="7"/>
      <c r="D8" s="7">
        <f t="shared" ref="D8:L8" si="2">D25</f>
        <v>0.65</v>
      </c>
      <c r="E8" s="7">
        <f t="shared" si="2"/>
        <v>0.68900000000000006</v>
      </c>
      <c r="F8" s="7">
        <f t="shared" si="2"/>
        <v>0.72345000000000004</v>
      </c>
      <c r="G8" s="7">
        <f t="shared" si="2"/>
        <v>0.75962250000000009</v>
      </c>
      <c r="H8" s="7">
        <f t="shared" si="2"/>
        <v>0.79760362500000015</v>
      </c>
      <c r="I8" s="7">
        <f t="shared" si="2"/>
        <v>0.83748380625000018</v>
      </c>
      <c r="J8" s="7">
        <f t="shared" si="2"/>
        <v>0.87935799656250024</v>
      </c>
      <c r="K8" s="7">
        <f t="shared" si="2"/>
        <v>0.92332589639062534</v>
      </c>
      <c r="L8" s="7">
        <f t="shared" si="2"/>
        <v>0.96949219121015662</v>
      </c>
      <c r="M8" s="7">
        <v>1</v>
      </c>
      <c r="N8" s="1">
        <v>7.0000000000000007E-2</v>
      </c>
    </row>
    <row r="9" spans="2:15" ht="15.75" customHeight="1" x14ac:dyDescent="0.25">
      <c r="B9" s="1" t="s">
        <v>27</v>
      </c>
      <c r="C9" s="9"/>
      <c r="D9" s="9">
        <f t="shared" ref="D9:M9" si="3">D8*D5</f>
        <v>245636.95</v>
      </c>
      <c r="E9" s="9">
        <f t="shared" si="3"/>
        <v>260375.16700000002</v>
      </c>
      <c r="F9" s="9">
        <f t="shared" si="3"/>
        <v>273393.92535000003</v>
      </c>
      <c r="G9" s="9">
        <f t="shared" si="3"/>
        <v>287063.62161750003</v>
      </c>
      <c r="H9" s="9">
        <f t="shared" si="3"/>
        <v>301416.80269837508</v>
      </c>
      <c r="I9" s="9">
        <f t="shared" si="3"/>
        <v>316487.64283329382</v>
      </c>
      <c r="J9" s="9">
        <f t="shared" si="3"/>
        <v>332312.02497495851</v>
      </c>
      <c r="K9" s="9">
        <f t="shared" si="3"/>
        <v>348927.62622370647</v>
      </c>
      <c r="L9" s="9">
        <f t="shared" si="3"/>
        <v>366374.00753489183</v>
      </c>
      <c r="M9" s="9">
        <f t="shared" si="3"/>
        <v>377903</v>
      </c>
    </row>
    <row r="10" spans="2:15" ht="15.75" customHeight="1" x14ac:dyDescent="0.25"/>
    <row r="11" spans="2:15" ht="15.75" customHeight="1" x14ac:dyDescent="0.25">
      <c r="B11" s="11" t="s">
        <v>28</v>
      </c>
      <c r="C11" s="13"/>
      <c r="D11" s="13">
        <v>0.4</v>
      </c>
    </row>
    <row r="12" spans="2:15" ht="15.75" customHeight="1" x14ac:dyDescent="0.25">
      <c r="B12" s="11" t="s">
        <v>29</v>
      </c>
      <c r="C12" s="13"/>
      <c r="D12" s="13">
        <v>0.6</v>
      </c>
    </row>
    <row r="13" spans="2:15" ht="15.75" customHeight="1" x14ac:dyDescent="0.25">
      <c r="B13" s="1" t="s">
        <v>30</v>
      </c>
      <c r="C13" s="1"/>
      <c r="D13" s="1">
        <v>4</v>
      </c>
      <c r="E13">
        <f t="shared" ref="E13:H13" si="4">E16*2</f>
        <v>4</v>
      </c>
      <c r="F13">
        <f t="shared" si="4"/>
        <v>4</v>
      </c>
      <c r="G13">
        <f t="shared" si="4"/>
        <v>4</v>
      </c>
      <c r="H13">
        <f t="shared" si="4"/>
        <v>4</v>
      </c>
      <c r="I13">
        <v>5</v>
      </c>
      <c r="J13">
        <v>5</v>
      </c>
      <c r="K13">
        <v>5</v>
      </c>
      <c r="L13">
        <v>5</v>
      </c>
      <c r="M13">
        <v>5</v>
      </c>
    </row>
    <row r="14" spans="2:15" ht="15.75" customHeight="1" x14ac:dyDescent="0.25">
      <c r="B14" s="1" t="s">
        <v>31</v>
      </c>
      <c r="C14" s="9"/>
      <c r="D14" s="9">
        <v>13</v>
      </c>
      <c r="E14" s="9">
        <f t="shared" ref="E14:M14" si="5">D14*(1+$N$14)</f>
        <v>13.13</v>
      </c>
      <c r="F14" s="9">
        <f t="shared" si="5"/>
        <v>13.2613</v>
      </c>
      <c r="G14" s="9">
        <f t="shared" si="5"/>
        <v>13.393913000000001</v>
      </c>
      <c r="H14" s="9">
        <f t="shared" si="5"/>
        <v>13.527852130000001</v>
      </c>
      <c r="I14" s="9">
        <f t="shared" si="5"/>
        <v>13.663130651300001</v>
      </c>
      <c r="J14" s="9">
        <f t="shared" si="5"/>
        <v>13.799761957813001</v>
      </c>
      <c r="K14" s="9">
        <f t="shared" si="5"/>
        <v>13.93775957739113</v>
      </c>
      <c r="L14" s="9">
        <f t="shared" si="5"/>
        <v>14.077137173165042</v>
      </c>
      <c r="M14" s="9">
        <f t="shared" si="5"/>
        <v>14.217908544896693</v>
      </c>
      <c r="N14" s="1">
        <v>0.01</v>
      </c>
    </row>
    <row r="15" spans="2:15" ht="15.75" customHeight="1" x14ac:dyDescent="0.25">
      <c r="B15" s="1" t="s">
        <v>32</v>
      </c>
      <c r="C15" s="9"/>
      <c r="D15" s="9">
        <f t="shared" ref="D15:M15" si="6">D14*40*52</f>
        <v>27040</v>
      </c>
      <c r="E15" s="9">
        <f t="shared" si="6"/>
        <v>27310.400000000001</v>
      </c>
      <c r="F15" s="9">
        <f t="shared" si="6"/>
        <v>27583.504000000001</v>
      </c>
      <c r="G15" s="9">
        <f t="shared" si="6"/>
        <v>27859.339040000003</v>
      </c>
      <c r="H15" s="9">
        <f t="shared" si="6"/>
        <v>28137.932430400004</v>
      </c>
      <c r="I15" s="9">
        <f t="shared" si="6"/>
        <v>28419.311754704006</v>
      </c>
      <c r="J15" s="9">
        <f t="shared" si="6"/>
        <v>28703.504872251044</v>
      </c>
      <c r="K15" s="9">
        <f t="shared" si="6"/>
        <v>28990.539920973551</v>
      </c>
      <c r="L15" s="9">
        <f t="shared" si="6"/>
        <v>29280.445320183288</v>
      </c>
      <c r="M15" s="9">
        <f t="shared" si="6"/>
        <v>29573.24977338512</v>
      </c>
    </row>
    <row r="16" spans="2:15" ht="15.75" customHeight="1" x14ac:dyDescent="0.25">
      <c r="B16" s="1" t="s">
        <v>33</v>
      </c>
      <c r="C16" s="1"/>
      <c r="D16" s="1">
        <v>2</v>
      </c>
      <c r="E16" s="1">
        <v>2</v>
      </c>
      <c r="F16" s="1">
        <v>2</v>
      </c>
      <c r="G16" s="1">
        <v>2</v>
      </c>
      <c r="H16" s="1">
        <v>2</v>
      </c>
      <c r="I16" s="1">
        <v>3</v>
      </c>
      <c r="J16" s="1">
        <v>3</v>
      </c>
      <c r="K16" s="1">
        <v>3</v>
      </c>
      <c r="L16" s="1">
        <v>3</v>
      </c>
      <c r="M16" s="1">
        <v>3</v>
      </c>
      <c r="N16" s="1"/>
      <c r="O16" s="1"/>
    </row>
    <row r="17" spans="2:13" ht="15.75" customHeight="1" x14ac:dyDescent="0.25">
      <c r="B17" s="1" t="s">
        <v>34</v>
      </c>
      <c r="C17" s="9"/>
      <c r="D17" s="9">
        <v>19500</v>
      </c>
      <c r="E17" s="9">
        <v>19500</v>
      </c>
      <c r="F17" s="9">
        <v>19500</v>
      </c>
      <c r="G17" s="9">
        <v>19500</v>
      </c>
      <c r="H17" s="9">
        <v>19500</v>
      </c>
      <c r="I17" s="9">
        <v>19500</v>
      </c>
      <c r="J17" s="9">
        <v>19500</v>
      </c>
      <c r="K17" s="9">
        <v>19500</v>
      </c>
      <c r="L17" s="9">
        <v>19500</v>
      </c>
      <c r="M17" s="9">
        <v>19500</v>
      </c>
    </row>
    <row r="18" spans="2:13" ht="15.75" customHeight="1" x14ac:dyDescent="0.25">
      <c r="B18" s="1" t="s">
        <v>35</v>
      </c>
      <c r="C18" s="15"/>
      <c r="D18" s="15">
        <f t="shared" ref="D18:M18" si="7">D16*D17</f>
        <v>39000</v>
      </c>
      <c r="E18" s="15">
        <f t="shared" si="7"/>
        <v>39000</v>
      </c>
      <c r="F18" s="15">
        <f t="shared" si="7"/>
        <v>39000</v>
      </c>
      <c r="G18" s="15">
        <f t="shared" si="7"/>
        <v>39000</v>
      </c>
      <c r="H18" s="15">
        <f t="shared" si="7"/>
        <v>39000</v>
      </c>
      <c r="I18" s="15">
        <f t="shared" si="7"/>
        <v>58500</v>
      </c>
      <c r="J18" s="15">
        <f t="shared" si="7"/>
        <v>58500</v>
      </c>
      <c r="K18" s="15">
        <f t="shared" si="7"/>
        <v>58500</v>
      </c>
      <c r="L18" s="15">
        <f t="shared" si="7"/>
        <v>58500</v>
      </c>
      <c r="M18" s="15">
        <f t="shared" si="7"/>
        <v>58500</v>
      </c>
    </row>
    <row r="19" spans="2:13" ht="15.75" customHeight="1" x14ac:dyDescent="0.25">
      <c r="B19" s="1" t="s">
        <v>37</v>
      </c>
      <c r="C19" s="15"/>
      <c r="D19" s="15">
        <v>240000</v>
      </c>
      <c r="E19" s="17"/>
      <c r="F19" s="17"/>
      <c r="G19" s="17"/>
      <c r="H19" s="17"/>
      <c r="I19" s="17"/>
      <c r="J19" s="17"/>
      <c r="K19" s="17"/>
      <c r="L19" s="17"/>
      <c r="M19" s="17"/>
    </row>
    <row r="20" spans="2:13" ht="15.75" customHeight="1" x14ac:dyDescent="0.25">
      <c r="B20" s="1" t="s">
        <v>39</v>
      </c>
      <c r="C20" s="15"/>
      <c r="D20" s="15">
        <v>60000</v>
      </c>
      <c r="E20" s="17"/>
      <c r="F20" s="17"/>
      <c r="G20" s="17"/>
      <c r="H20" s="17"/>
      <c r="I20" s="17"/>
      <c r="J20" s="17"/>
      <c r="K20" s="17"/>
      <c r="L20" s="17"/>
      <c r="M20" s="17"/>
    </row>
    <row r="21" spans="2:13" ht="15.75" customHeight="1" x14ac:dyDescent="0.25">
      <c r="B21" s="1" t="s">
        <v>40</v>
      </c>
      <c r="D21">
        <v>27.5</v>
      </c>
    </row>
    <row r="22" spans="2:13" ht="15.75" customHeight="1" x14ac:dyDescent="0.25">
      <c r="B22" s="1" t="s">
        <v>41</v>
      </c>
      <c r="C22" s="1"/>
      <c r="D22" s="1">
        <v>10</v>
      </c>
    </row>
    <row r="23" spans="2:13" ht="15.75" customHeight="1" x14ac:dyDescent="0.25">
      <c r="B23" s="1"/>
    </row>
    <row r="24" spans="2:13" ht="15.75" customHeight="1" x14ac:dyDescent="0.25">
      <c r="B24" s="19" t="s">
        <v>42</v>
      </c>
    </row>
    <row r="25" spans="2:13" ht="15.75" customHeight="1" x14ac:dyDescent="0.25">
      <c r="B25" s="1" t="s">
        <v>44</v>
      </c>
      <c r="C25" s="7"/>
      <c r="D25" s="7">
        <v>0.65</v>
      </c>
      <c r="E25" s="7">
        <f>D25*(1+0.06)</f>
        <v>0.68900000000000006</v>
      </c>
      <c r="F25" s="7">
        <f t="shared" ref="F25:M25" si="8">E25*(1+0.05)</f>
        <v>0.72345000000000004</v>
      </c>
      <c r="G25" s="7">
        <f t="shared" si="8"/>
        <v>0.75962250000000009</v>
      </c>
      <c r="H25" s="7">
        <f t="shared" si="8"/>
        <v>0.79760362500000015</v>
      </c>
      <c r="I25" s="7">
        <f t="shared" si="8"/>
        <v>0.83748380625000018</v>
      </c>
      <c r="J25" s="7">
        <f t="shared" si="8"/>
        <v>0.87935799656250024</v>
      </c>
      <c r="K25" s="7">
        <f t="shared" si="8"/>
        <v>0.92332589639062534</v>
      </c>
      <c r="L25" s="7">
        <f t="shared" si="8"/>
        <v>0.96949219121015662</v>
      </c>
      <c r="M25" s="7">
        <f t="shared" si="8"/>
        <v>1.0179668007706646</v>
      </c>
    </row>
    <row r="26" spans="2:13" ht="15.75" customHeight="1" x14ac:dyDescent="0.25">
      <c r="B26" s="1" t="s">
        <v>45</v>
      </c>
      <c r="C26" s="9"/>
      <c r="D26" s="9">
        <f t="shared" ref="D26:M26" si="9">D15*D13</f>
        <v>108160</v>
      </c>
      <c r="E26" s="9">
        <f t="shared" si="9"/>
        <v>109241.60000000001</v>
      </c>
      <c r="F26" s="9">
        <f t="shared" si="9"/>
        <v>110334.016</v>
      </c>
      <c r="G26" s="9">
        <f t="shared" si="9"/>
        <v>111437.35616000001</v>
      </c>
      <c r="H26" s="9">
        <f t="shared" si="9"/>
        <v>112551.72972160002</v>
      </c>
      <c r="I26" s="9">
        <f t="shared" si="9"/>
        <v>142096.55877352002</v>
      </c>
      <c r="J26" s="9">
        <f t="shared" si="9"/>
        <v>143517.52436125523</v>
      </c>
      <c r="K26" s="9">
        <f t="shared" si="9"/>
        <v>144952.69960486775</v>
      </c>
      <c r="L26" s="9">
        <f t="shared" si="9"/>
        <v>146402.22660091645</v>
      </c>
      <c r="M26" s="9">
        <f t="shared" si="9"/>
        <v>147866.2488669256</v>
      </c>
    </row>
    <row r="27" spans="2:13" ht="15.75" customHeight="1" x14ac:dyDescent="0.25">
      <c r="B27" s="1" t="s">
        <v>47</v>
      </c>
      <c r="C27" s="15"/>
      <c r="D27" s="15">
        <f t="shared" ref="D27:M27" si="10">D17*D16</f>
        <v>39000</v>
      </c>
      <c r="E27" s="15">
        <f t="shared" si="10"/>
        <v>39000</v>
      </c>
      <c r="F27" s="15">
        <f t="shared" si="10"/>
        <v>39000</v>
      </c>
      <c r="G27" s="15">
        <f t="shared" si="10"/>
        <v>39000</v>
      </c>
      <c r="H27" s="15">
        <f t="shared" si="10"/>
        <v>39000</v>
      </c>
      <c r="I27" s="15">
        <f t="shared" si="10"/>
        <v>58500</v>
      </c>
      <c r="J27" s="15">
        <f t="shared" si="10"/>
        <v>58500</v>
      </c>
      <c r="K27" s="15">
        <f t="shared" si="10"/>
        <v>58500</v>
      </c>
      <c r="L27" s="15">
        <f t="shared" si="10"/>
        <v>58500</v>
      </c>
      <c r="M27" s="15">
        <f t="shared" si="10"/>
        <v>58500</v>
      </c>
    </row>
    <row r="28" spans="2:13" ht="15.75" customHeight="1" x14ac:dyDescent="0.25">
      <c r="B28" s="1" t="s">
        <v>48</v>
      </c>
      <c r="C28" s="13"/>
      <c r="D28" s="13">
        <v>0.2</v>
      </c>
    </row>
    <row r="29" spans="2:13" ht="15.75" customHeight="1" x14ac:dyDescent="0.25">
      <c r="B29" s="1" t="s">
        <v>49</v>
      </c>
      <c r="C29" s="1"/>
      <c r="D29" s="1">
        <f>(D11*20)+(D12*30)</f>
        <v>26</v>
      </c>
    </row>
    <row r="30" spans="2:13" ht="15.75" customHeight="1" x14ac:dyDescent="0.25">
      <c r="B30" s="1" t="s">
        <v>50</v>
      </c>
      <c r="C30" s="1"/>
      <c r="D30" s="1">
        <v>45</v>
      </c>
    </row>
    <row r="31" spans="2:13" ht="15.75" customHeight="1" x14ac:dyDescent="0.25">
      <c r="B31" s="1" t="s">
        <v>51</v>
      </c>
      <c r="D31">
        <v>45</v>
      </c>
    </row>
    <row r="32" spans="2:13" ht="15.75" customHeight="1" x14ac:dyDescent="0.25">
      <c r="B32" s="1" t="s">
        <v>53</v>
      </c>
      <c r="C32" s="13"/>
      <c r="D32" s="13">
        <v>0.08</v>
      </c>
      <c r="E32" s="13">
        <v>0.08</v>
      </c>
      <c r="F32" s="13">
        <v>0.08</v>
      </c>
      <c r="G32" s="13">
        <v>0.08</v>
      </c>
      <c r="H32" s="13">
        <v>0.08</v>
      </c>
      <c r="I32" s="13">
        <v>0.08</v>
      </c>
      <c r="J32" s="13">
        <v>0.08</v>
      </c>
      <c r="K32" s="13">
        <v>0.08</v>
      </c>
      <c r="L32" s="13">
        <v>0.08</v>
      </c>
      <c r="M32" s="13">
        <v>0.08</v>
      </c>
    </row>
    <row r="33" spans="2:23" ht="15.75" customHeight="1" x14ac:dyDescent="0.25">
      <c r="B33" s="1" t="s">
        <v>55</v>
      </c>
      <c r="C33" s="23"/>
      <c r="D33" s="23">
        <f t="shared" ref="D33:M33" si="11">1.2/10</f>
        <v>0.12</v>
      </c>
      <c r="E33" s="23">
        <f t="shared" si="11"/>
        <v>0.12</v>
      </c>
      <c r="F33" s="23">
        <f t="shared" si="11"/>
        <v>0.12</v>
      </c>
      <c r="G33" s="23">
        <f t="shared" si="11"/>
        <v>0.12</v>
      </c>
      <c r="H33" s="23">
        <f t="shared" si="11"/>
        <v>0.12</v>
      </c>
      <c r="I33" s="23">
        <f t="shared" si="11"/>
        <v>0.12</v>
      </c>
      <c r="J33" s="23">
        <f t="shared" si="11"/>
        <v>0.12</v>
      </c>
      <c r="K33" s="23">
        <f t="shared" si="11"/>
        <v>0.12</v>
      </c>
      <c r="L33" s="23">
        <f t="shared" si="11"/>
        <v>0.12</v>
      </c>
      <c r="M33" s="23">
        <f t="shared" si="11"/>
        <v>0.12</v>
      </c>
    </row>
    <row r="34" spans="2:23" ht="15.75" customHeight="1" x14ac:dyDescent="0.25">
      <c r="B34" s="1" t="s">
        <v>60</v>
      </c>
      <c r="C34" s="24"/>
      <c r="D34" s="24">
        <f>0.7/10</f>
        <v>6.9999999999999993E-2</v>
      </c>
      <c r="E34" s="24">
        <f t="shared" ref="E34:M34" si="12">D34*1+(0.01)</f>
        <v>7.9999999999999988E-2</v>
      </c>
      <c r="F34" s="24">
        <f t="shared" si="12"/>
        <v>8.9999999999999983E-2</v>
      </c>
      <c r="G34" s="24">
        <f t="shared" si="12"/>
        <v>9.9999999999999978E-2</v>
      </c>
      <c r="H34" s="24">
        <f t="shared" si="12"/>
        <v>0.10999999999999997</v>
      </c>
      <c r="I34" s="24">
        <f t="shared" si="12"/>
        <v>0.11999999999999997</v>
      </c>
      <c r="J34" s="24">
        <f t="shared" si="12"/>
        <v>0.12999999999999998</v>
      </c>
      <c r="K34" s="24">
        <f t="shared" si="12"/>
        <v>0.13999999999999999</v>
      </c>
      <c r="L34" s="24">
        <f t="shared" si="12"/>
        <v>0.15</v>
      </c>
      <c r="M34" s="24">
        <f t="shared" si="12"/>
        <v>0.16</v>
      </c>
    </row>
    <row r="35" spans="2:23" ht="15.75" customHeight="1" x14ac:dyDescent="0.25">
      <c r="B35" s="1" t="s">
        <v>61</v>
      </c>
      <c r="C35" s="24"/>
      <c r="D35" s="24">
        <f>12%</f>
        <v>0.12</v>
      </c>
      <c r="E35" s="24">
        <f t="shared" ref="E35:M35" si="13">1.1/10</f>
        <v>0.11000000000000001</v>
      </c>
      <c r="F35" s="24">
        <f t="shared" si="13"/>
        <v>0.11000000000000001</v>
      </c>
      <c r="G35" s="24">
        <f t="shared" si="13"/>
        <v>0.11000000000000001</v>
      </c>
      <c r="H35" s="24">
        <f t="shared" si="13"/>
        <v>0.11000000000000001</v>
      </c>
      <c r="I35" s="24">
        <f t="shared" si="13"/>
        <v>0.11000000000000001</v>
      </c>
      <c r="J35" s="24">
        <f t="shared" si="13"/>
        <v>0.11000000000000001</v>
      </c>
      <c r="K35" s="24">
        <f t="shared" si="13"/>
        <v>0.11000000000000001</v>
      </c>
      <c r="L35" s="24">
        <f t="shared" si="13"/>
        <v>0.11000000000000001</v>
      </c>
      <c r="M35" s="24">
        <f t="shared" si="13"/>
        <v>0.11000000000000001</v>
      </c>
    </row>
    <row r="36" spans="2:23" ht="15.75" customHeight="1" x14ac:dyDescent="0.25">
      <c r="B36" s="1" t="s">
        <v>62</v>
      </c>
      <c r="C36" s="24"/>
      <c r="D36" s="24">
        <f>0.7/10</f>
        <v>6.9999999999999993E-2</v>
      </c>
      <c r="E36" s="24">
        <f t="shared" ref="E36:M36" si="14">D36*(1+0.08)</f>
        <v>7.5600000000000001E-2</v>
      </c>
      <c r="F36" s="24">
        <f t="shared" si="14"/>
        <v>8.1648000000000012E-2</v>
      </c>
      <c r="G36" s="24">
        <f t="shared" si="14"/>
        <v>8.8179840000000023E-2</v>
      </c>
      <c r="H36" s="24">
        <f t="shared" si="14"/>
        <v>9.5234227200000035E-2</v>
      </c>
      <c r="I36" s="24">
        <f t="shared" si="14"/>
        <v>0.10285296537600004</v>
      </c>
      <c r="J36" s="24">
        <f t="shared" si="14"/>
        <v>0.11108120260608005</v>
      </c>
      <c r="K36" s="24">
        <f t="shared" si="14"/>
        <v>0.11996769881456647</v>
      </c>
      <c r="L36" s="24">
        <f t="shared" si="14"/>
        <v>0.12956511471973178</v>
      </c>
      <c r="M36" s="24">
        <f t="shared" si="14"/>
        <v>0.13993032389731033</v>
      </c>
    </row>
    <row r="37" spans="2:23" ht="15.75" customHeight="1" x14ac:dyDescent="0.25">
      <c r="B37" s="1" t="s">
        <v>63</v>
      </c>
      <c r="C37" s="24"/>
      <c r="D37" s="24">
        <f t="shared" ref="D37:M37" si="15">3/10</f>
        <v>0.3</v>
      </c>
      <c r="E37" s="24">
        <f t="shared" si="15"/>
        <v>0.3</v>
      </c>
      <c r="F37" s="24">
        <f t="shared" si="15"/>
        <v>0.3</v>
      </c>
      <c r="G37" s="24">
        <f t="shared" si="15"/>
        <v>0.3</v>
      </c>
      <c r="H37" s="24">
        <f t="shared" si="15"/>
        <v>0.3</v>
      </c>
      <c r="I37" s="24">
        <f t="shared" si="15"/>
        <v>0.3</v>
      </c>
      <c r="J37" s="24">
        <f t="shared" si="15"/>
        <v>0.3</v>
      </c>
      <c r="K37" s="24">
        <f t="shared" si="15"/>
        <v>0.3</v>
      </c>
      <c r="L37" s="24">
        <f t="shared" si="15"/>
        <v>0.3</v>
      </c>
      <c r="M37" s="24">
        <f t="shared" si="15"/>
        <v>0.3</v>
      </c>
    </row>
    <row r="38" spans="2:23" ht="15.75" customHeight="1" x14ac:dyDescent="0.25">
      <c r="B38" s="1" t="s">
        <v>64</v>
      </c>
      <c r="C38" s="24"/>
      <c r="D38" s="24">
        <v>0.21</v>
      </c>
      <c r="E38" s="24">
        <v>0.21</v>
      </c>
      <c r="F38" s="24">
        <v>0.21</v>
      </c>
      <c r="G38" s="24">
        <v>0.21</v>
      </c>
      <c r="H38" s="24">
        <v>0.21</v>
      </c>
      <c r="I38" s="24">
        <v>0.21</v>
      </c>
      <c r="J38" s="24">
        <v>0.21</v>
      </c>
      <c r="K38" s="24">
        <v>0.21</v>
      </c>
      <c r="L38" s="24">
        <v>0.21</v>
      </c>
      <c r="M38" s="24">
        <v>0.21</v>
      </c>
    </row>
    <row r="39" spans="2:23" ht="15.75" customHeight="1" x14ac:dyDescent="0.25">
      <c r="B39" s="1" t="s">
        <v>65</v>
      </c>
      <c r="C39" s="24"/>
      <c r="D39" s="24">
        <f t="shared" ref="D39:M39" si="16">8%</f>
        <v>0.08</v>
      </c>
      <c r="E39" s="24">
        <f t="shared" si="16"/>
        <v>0.08</v>
      </c>
      <c r="F39" s="24">
        <f t="shared" si="16"/>
        <v>0.08</v>
      </c>
      <c r="G39" s="24">
        <f t="shared" si="16"/>
        <v>0.08</v>
      </c>
      <c r="H39" s="24">
        <f t="shared" si="16"/>
        <v>0.08</v>
      </c>
      <c r="I39" s="24">
        <f t="shared" si="16"/>
        <v>0.08</v>
      </c>
      <c r="J39" s="24">
        <f t="shared" si="16"/>
        <v>0.08</v>
      </c>
      <c r="K39" s="24">
        <f t="shared" si="16"/>
        <v>0.08</v>
      </c>
      <c r="L39" s="24">
        <f t="shared" si="16"/>
        <v>0.08</v>
      </c>
      <c r="M39" s="24">
        <f t="shared" si="16"/>
        <v>0.08</v>
      </c>
    </row>
    <row r="40" spans="2:23" ht="15.75" customHeight="1" x14ac:dyDescent="0.25">
      <c r="B40" s="1" t="s">
        <v>66</v>
      </c>
      <c r="C40" s="24"/>
      <c r="D40" s="24">
        <f t="shared" ref="D40:M40" si="17">0.4/10</f>
        <v>0.04</v>
      </c>
      <c r="E40" s="24">
        <f t="shared" si="17"/>
        <v>0.04</v>
      </c>
      <c r="F40" s="24">
        <f t="shared" si="17"/>
        <v>0.04</v>
      </c>
      <c r="G40" s="24">
        <f t="shared" si="17"/>
        <v>0.04</v>
      </c>
      <c r="H40" s="24">
        <f t="shared" si="17"/>
        <v>0.04</v>
      </c>
      <c r="I40" s="24">
        <f t="shared" si="17"/>
        <v>0.04</v>
      </c>
      <c r="J40" s="24">
        <f t="shared" si="17"/>
        <v>0.04</v>
      </c>
      <c r="K40" s="24">
        <f t="shared" si="17"/>
        <v>0.04</v>
      </c>
      <c r="L40" s="24">
        <f t="shared" si="17"/>
        <v>0.04</v>
      </c>
      <c r="M40" s="24">
        <f t="shared" si="17"/>
        <v>0.04</v>
      </c>
    </row>
    <row r="41" spans="2:23" ht="15.75" customHeight="1" x14ac:dyDescent="0.25">
      <c r="B41" s="1" t="s">
        <v>67</v>
      </c>
      <c r="C41" s="24"/>
      <c r="D41" s="24">
        <v>0.08</v>
      </c>
      <c r="E41" s="23"/>
      <c r="F41" s="23"/>
      <c r="G41" s="23"/>
      <c r="H41" s="23"/>
      <c r="I41" s="23"/>
      <c r="J41" s="23"/>
      <c r="K41" s="23"/>
      <c r="L41" s="23"/>
      <c r="M41" s="23"/>
    </row>
    <row r="42" spans="2:23" ht="15.75" customHeight="1" x14ac:dyDescent="0.25">
      <c r="B42" s="72" t="s">
        <v>68</v>
      </c>
      <c r="C42" s="73"/>
      <c r="D42" s="73"/>
      <c r="E42" s="73"/>
      <c r="F42" s="73"/>
      <c r="G42" s="73"/>
      <c r="H42" s="73"/>
      <c r="I42" s="73"/>
      <c r="J42" s="73"/>
      <c r="K42" s="73"/>
      <c r="L42" s="73"/>
      <c r="M42" s="73"/>
    </row>
    <row r="43" spans="2:23" ht="15.75" customHeight="1" x14ac:dyDescent="0.25">
      <c r="B43" s="28" t="s">
        <v>69</v>
      </c>
      <c r="D43" t="s">
        <v>11</v>
      </c>
      <c r="E43" t="s">
        <v>12</v>
      </c>
      <c r="F43" t="s">
        <v>13</v>
      </c>
      <c r="G43" t="s">
        <v>14</v>
      </c>
      <c r="H43" t="s">
        <v>15</v>
      </c>
      <c r="I43" t="s">
        <v>16</v>
      </c>
      <c r="J43" t="s">
        <v>17</v>
      </c>
      <c r="K43" t="s">
        <v>18</v>
      </c>
      <c r="L43" t="s">
        <v>19</v>
      </c>
      <c r="M43" t="s">
        <v>20</v>
      </c>
    </row>
    <row r="44" spans="2:23" ht="15.75" customHeight="1" x14ac:dyDescent="0.25">
      <c r="B44" s="29" t="s">
        <v>70</v>
      </c>
      <c r="C44" s="29"/>
      <c r="D44" s="29">
        <f t="shared" ref="D44:M44" si="18">D46*$D$12</f>
        <v>147382.17000000001</v>
      </c>
      <c r="E44" s="29">
        <f t="shared" si="18"/>
        <v>156225.10020000002</v>
      </c>
      <c r="F44" s="29">
        <f t="shared" si="18"/>
        <v>164036.35521000001</v>
      </c>
      <c r="G44" s="29">
        <f t="shared" si="18"/>
        <v>172238.17297050002</v>
      </c>
      <c r="H44" s="29">
        <f t="shared" si="18"/>
        <v>180850.08161902503</v>
      </c>
      <c r="I44" s="29">
        <f t="shared" si="18"/>
        <v>189892.58569997628</v>
      </c>
      <c r="J44" s="29">
        <f t="shared" si="18"/>
        <v>199387.21498497509</v>
      </c>
      <c r="K44" s="29">
        <f t="shared" si="18"/>
        <v>209356.57573422388</v>
      </c>
      <c r="L44" s="29">
        <f t="shared" si="18"/>
        <v>219824.40452093509</v>
      </c>
      <c r="M44" s="29">
        <f t="shared" si="18"/>
        <v>226741.8</v>
      </c>
      <c r="O44" s="74" t="s">
        <v>71</v>
      </c>
      <c r="P44" s="73"/>
      <c r="Q44" s="73"/>
      <c r="R44" s="73"/>
      <c r="S44" s="73"/>
      <c r="T44" s="73"/>
      <c r="U44" s="73"/>
      <c r="V44" s="73"/>
      <c r="W44" s="73"/>
    </row>
    <row r="45" spans="2:23" ht="15.75" customHeight="1" x14ac:dyDescent="0.25">
      <c r="B45" s="29" t="s">
        <v>72</v>
      </c>
      <c r="C45" s="29"/>
      <c r="D45" s="29">
        <f t="shared" ref="D45:M45" si="19">D46*$D$11</f>
        <v>98254.780000000013</v>
      </c>
      <c r="E45" s="29">
        <f t="shared" si="19"/>
        <v>104150.06680000002</v>
      </c>
      <c r="F45" s="29">
        <f t="shared" si="19"/>
        <v>109357.57014000003</v>
      </c>
      <c r="G45" s="29">
        <f t="shared" si="19"/>
        <v>114825.44864700001</v>
      </c>
      <c r="H45" s="29">
        <f t="shared" si="19"/>
        <v>120566.72107935004</v>
      </c>
      <c r="I45" s="29">
        <f t="shared" si="19"/>
        <v>126595.05713331753</v>
      </c>
      <c r="J45" s="29">
        <f t="shared" si="19"/>
        <v>132924.80998998342</v>
      </c>
      <c r="K45" s="29">
        <f t="shared" si="19"/>
        <v>139571.05048948259</v>
      </c>
      <c r="L45" s="29">
        <f t="shared" si="19"/>
        <v>146549.60301395674</v>
      </c>
      <c r="M45" s="29">
        <f t="shared" si="19"/>
        <v>151161.20000000001</v>
      </c>
      <c r="N45" s="9"/>
      <c r="O45" s="73"/>
      <c r="P45" s="73"/>
      <c r="Q45" s="73"/>
      <c r="R45" s="73"/>
      <c r="S45" s="73"/>
      <c r="T45" s="73"/>
      <c r="U45" s="73"/>
      <c r="V45" s="73"/>
      <c r="W45" s="73"/>
    </row>
    <row r="46" spans="2:23" ht="15.75" customHeight="1" x14ac:dyDescent="0.25">
      <c r="B46" s="30" t="s">
        <v>73</v>
      </c>
      <c r="C46" s="29"/>
      <c r="D46" s="29">
        <f t="shared" ref="D46:M46" si="20">D8*D5</f>
        <v>245636.95</v>
      </c>
      <c r="E46" s="29">
        <f t="shared" si="20"/>
        <v>260375.16700000002</v>
      </c>
      <c r="F46" s="29">
        <f t="shared" si="20"/>
        <v>273393.92535000003</v>
      </c>
      <c r="G46" s="29">
        <f t="shared" si="20"/>
        <v>287063.62161750003</v>
      </c>
      <c r="H46" s="29">
        <f t="shared" si="20"/>
        <v>301416.80269837508</v>
      </c>
      <c r="I46" s="29">
        <f t="shared" si="20"/>
        <v>316487.64283329382</v>
      </c>
      <c r="J46" s="29">
        <f t="shared" si="20"/>
        <v>332312.02497495851</v>
      </c>
      <c r="K46" s="29">
        <f t="shared" si="20"/>
        <v>348927.62622370647</v>
      </c>
      <c r="L46" s="29">
        <f t="shared" si="20"/>
        <v>366374.00753489183</v>
      </c>
      <c r="M46" s="29">
        <f t="shared" si="20"/>
        <v>377903</v>
      </c>
      <c r="O46" s="73"/>
      <c r="P46" s="73"/>
      <c r="Q46" s="73"/>
      <c r="R46" s="73"/>
      <c r="S46" s="73"/>
      <c r="T46" s="73"/>
      <c r="U46" s="73"/>
      <c r="V46" s="73"/>
      <c r="W46" s="73"/>
    </row>
    <row r="47" spans="2:23" ht="15.75" customHeight="1" x14ac:dyDescent="0.25">
      <c r="B47" s="30"/>
      <c r="C47" s="29"/>
      <c r="D47" s="29"/>
      <c r="E47" s="29"/>
      <c r="F47" s="29"/>
      <c r="G47" s="29"/>
      <c r="H47" s="29"/>
      <c r="I47" s="29"/>
      <c r="J47" s="29"/>
      <c r="K47" s="29"/>
      <c r="L47" s="29"/>
      <c r="M47" s="29"/>
      <c r="O47" s="73"/>
      <c r="P47" s="73"/>
      <c r="Q47" s="73"/>
      <c r="R47" s="73"/>
      <c r="S47" s="73"/>
      <c r="T47" s="73"/>
      <c r="U47" s="73"/>
      <c r="V47" s="73"/>
      <c r="W47" s="73"/>
    </row>
    <row r="48" spans="2:23" ht="15.75" customHeight="1" x14ac:dyDescent="0.25">
      <c r="B48" s="30" t="s">
        <v>74</v>
      </c>
      <c r="C48" s="29"/>
      <c r="D48" s="29"/>
      <c r="E48" s="29"/>
      <c r="F48" s="29"/>
      <c r="G48" s="29"/>
      <c r="H48" s="29"/>
      <c r="I48" s="29"/>
      <c r="J48" s="29"/>
      <c r="K48" s="29"/>
      <c r="L48" s="29"/>
      <c r="M48" s="29"/>
      <c r="O48" s="73"/>
      <c r="P48" s="73"/>
      <c r="Q48" s="73"/>
      <c r="R48" s="73"/>
      <c r="S48" s="73"/>
      <c r="T48" s="73"/>
      <c r="U48" s="73"/>
      <c r="V48" s="73"/>
      <c r="W48" s="73"/>
    </row>
    <row r="49" spans="2:23" ht="15.75" customHeight="1" x14ac:dyDescent="0.25">
      <c r="B49" s="29" t="s">
        <v>75</v>
      </c>
      <c r="C49" s="29"/>
      <c r="D49" s="29">
        <f t="shared" ref="D49:M49" si="21">D32*D46</f>
        <v>19650.956000000002</v>
      </c>
      <c r="E49" s="29">
        <f t="shared" si="21"/>
        <v>20830.013360000001</v>
      </c>
      <c r="F49" s="29">
        <f t="shared" si="21"/>
        <v>21871.514028000001</v>
      </c>
      <c r="G49" s="29">
        <f t="shared" si="21"/>
        <v>22965.089729400002</v>
      </c>
      <c r="H49" s="29">
        <f t="shared" si="21"/>
        <v>24113.344215870005</v>
      </c>
      <c r="I49" s="29">
        <f t="shared" si="21"/>
        <v>25319.011426663506</v>
      </c>
      <c r="J49" s="29">
        <f t="shared" si="21"/>
        <v>26584.961997996681</v>
      </c>
      <c r="K49" s="29">
        <f t="shared" si="21"/>
        <v>27914.210097896517</v>
      </c>
      <c r="L49" s="29">
        <f t="shared" si="21"/>
        <v>29309.920602791346</v>
      </c>
      <c r="M49" s="29">
        <f t="shared" si="21"/>
        <v>30232.240000000002</v>
      </c>
      <c r="O49" s="73"/>
      <c r="P49" s="73"/>
      <c r="Q49" s="73"/>
      <c r="R49" s="73"/>
      <c r="S49" s="73"/>
      <c r="T49" s="73"/>
      <c r="U49" s="73"/>
      <c r="V49" s="73"/>
      <c r="W49" s="73"/>
    </row>
    <row r="50" spans="2:23" ht="15.75" customHeight="1" x14ac:dyDescent="0.25">
      <c r="B50" s="29" t="s">
        <v>76</v>
      </c>
      <c r="C50" s="29"/>
      <c r="D50" s="29">
        <f t="shared" ref="D50:M50" si="22">D33*D46</f>
        <v>29476.434000000001</v>
      </c>
      <c r="E50" s="29">
        <f t="shared" si="22"/>
        <v>31245.020039999999</v>
      </c>
      <c r="F50" s="29">
        <f t="shared" si="22"/>
        <v>32807.271042</v>
      </c>
      <c r="G50" s="29">
        <f t="shared" si="22"/>
        <v>34447.634594100004</v>
      </c>
      <c r="H50" s="29">
        <f t="shared" si="22"/>
        <v>36170.016323805008</v>
      </c>
      <c r="I50" s="29">
        <f t="shared" si="22"/>
        <v>37978.51713999526</v>
      </c>
      <c r="J50" s="29">
        <f t="shared" si="22"/>
        <v>39877.442996995022</v>
      </c>
      <c r="K50" s="29">
        <f t="shared" si="22"/>
        <v>41871.315146844776</v>
      </c>
      <c r="L50" s="29">
        <f t="shared" si="22"/>
        <v>43964.880904187019</v>
      </c>
      <c r="M50" s="29">
        <f t="shared" si="22"/>
        <v>45348.36</v>
      </c>
      <c r="O50" s="73"/>
      <c r="P50" s="73"/>
      <c r="Q50" s="73"/>
      <c r="R50" s="73"/>
      <c r="S50" s="73"/>
      <c r="T50" s="73"/>
      <c r="U50" s="73"/>
      <c r="V50" s="73"/>
      <c r="W50" s="73"/>
    </row>
    <row r="51" spans="2:23" ht="15.75" customHeight="1" x14ac:dyDescent="0.25">
      <c r="B51" s="31" t="s">
        <v>77</v>
      </c>
      <c r="C51" s="29"/>
      <c r="D51" s="29">
        <f t="shared" ref="D51:M51" si="23">D46*D34</f>
        <v>17194.586499999998</v>
      </c>
      <c r="E51" s="29">
        <f t="shared" si="23"/>
        <v>20830.013359999997</v>
      </c>
      <c r="F51" s="29">
        <f t="shared" si="23"/>
        <v>24605.453281499998</v>
      </c>
      <c r="G51" s="29">
        <f t="shared" si="23"/>
        <v>28706.362161749996</v>
      </c>
      <c r="H51" s="29">
        <f t="shared" si="23"/>
        <v>33155.848296821248</v>
      </c>
      <c r="I51" s="29">
        <f t="shared" si="23"/>
        <v>37978.517139995245</v>
      </c>
      <c r="J51" s="29">
        <f t="shared" si="23"/>
        <v>43200.563246744598</v>
      </c>
      <c r="K51" s="29">
        <f t="shared" si="23"/>
        <v>48849.867671318898</v>
      </c>
      <c r="L51" s="29">
        <f t="shared" si="23"/>
        <v>54956.101130233772</v>
      </c>
      <c r="M51" s="29">
        <f t="shared" si="23"/>
        <v>60464.480000000003</v>
      </c>
      <c r="O51" s="73"/>
      <c r="P51" s="73"/>
      <c r="Q51" s="73"/>
      <c r="R51" s="73"/>
      <c r="S51" s="73"/>
      <c r="T51" s="73"/>
      <c r="U51" s="73"/>
      <c r="V51" s="73"/>
      <c r="W51" s="73"/>
    </row>
    <row r="52" spans="2:23" ht="15.75" customHeight="1" x14ac:dyDescent="0.25">
      <c r="B52" s="31" t="s">
        <v>78</v>
      </c>
      <c r="C52" s="29"/>
      <c r="D52" s="29">
        <f t="shared" ref="D52:M52" si="24">SUM(D49:D50)</f>
        <v>49127.39</v>
      </c>
      <c r="E52" s="29">
        <f t="shared" si="24"/>
        <v>52075.0334</v>
      </c>
      <c r="F52" s="29">
        <f t="shared" si="24"/>
        <v>54678.785069999998</v>
      </c>
      <c r="G52" s="29">
        <f t="shared" si="24"/>
        <v>57412.724323500006</v>
      </c>
      <c r="H52" s="29">
        <f t="shared" si="24"/>
        <v>60283.360539675014</v>
      </c>
      <c r="I52" s="29">
        <f t="shared" si="24"/>
        <v>63297.528566658766</v>
      </c>
      <c r="J52" s="29">
        <f t="shared" si="24"/>
        <v>66462.404994991695</v>
      </c>
      <c r="K52" s="29">
        <f t="shared" si="24"/>
        <v>69785.525244741293</v>
      </c>
      <c r="L52" s="29">
        <f t="shared" si="24"/>
        <v>73274.801506978372</v>
      </c>
      <c r="M52" s="29">
        <f t="shared" si="24"/>
        <v>75580.600000000006</v>
      </c>
      <c r="O52" s="73"/>
      <c r="P52" s="73"/>
      <c r="Q52" s="73"/>
      <c r="R52" s="73"/>
      <c r="S52" s="73"/>
      <c r="T52" s="73"/>
      <c r="U52" s="73"/>
      <c r="V52" s="73"/>
      <c r="W52" s="73"/>
    </row>
    <row r="53" spans="2:23" ht="15.75" customHeight="1" x14ac:dyDescent="0.25">
      <c r="B53" s="31" t="s">
        <v>79</v>
      </c>
      <c r="C53" s="29"/>
      <c r="D53" s="29">
        <f t="shared" ref="D53:M53" si="25">D46-D52</f>
        <v>196509.56</v>
      </c>
      <c r="E53" s="29">
        <f t="shared" si="25"/>
        <v>208300.1336</v>
      </c>
      <c r="F53" s="29">
        <f t="shared" si="25"/>
        <v>218715.14028000005</v>
      </c>
      <c r="G53" s="29">
        <f t="shared" si="25"/>
        <v>229650.89729400002</v>
      </c>
      <c r="H53" s="29">
        <f t="shared" si="25"/>
        <v>241133.44215870005</v>
      </c>
      <c r="I53" s="29">
        <f t="shared" si="25"/>
        <v>253190.11426663506</v>
      </c>
      <c r="J53" s="29">
        <f t="shared" si="25"/>
        <v>265849.61997996678</v>
      </c>
      <c r="K53" s="29">
        <f t="shared" si="25"/>
        <v>279142.10097896517</v>
      </c>
      <c r="L53" s="29">
        <f t="shared" si="25"/>
        <v>293099.20602791349</v>
      </c>
      <c r="M53" s="29">
        <f t="shared" si="25"/>
        <v>302322.40000000002</v>
      </c>
      <c r="O53" s="73"/>
      <c r="P53" s="73"/>
      <c r="Q53" s="73"/>
      <c r="R53" s="73"/>
      <c r="S53" s="73"/>
      <c r="T53" s="73"/>
      <c r="U53" s="73"/>
      <c r="V53" s="73"/>
      <c r="W53" s="73"/>
    </row>
    <row r="54" spans="2:23" ht="15.75" customHeight="1" x14ac:dyDescent="0.25">
      <c r="B54" s="31"/>
      <c r="C54" s="31"/>
      <c r="D54" s="31"/>
      <c r="E54" s="31"/>
      <c r="F54" s="29"/>
      <c r="G54" s="29"/>
      <c r="H54" s="29"/>
      <c r="I54" s="29"/>
      <c r="J54" s="29"/>
      <c r="K54" s="29"/>
      <c r="L54" s="29"/>
      <c r="M54" s="31"/>
      <c r="O54" s="73"/>
      <c r="P54" s="73"/>
      <c r="Q54" s="73"/>
      <c r="R54" s="73"/>
      <c r="S54" s="73"/>
      <c r="T54" s="73"/>
      <c r="U54" s="73"/>
      <c r="V54" s="73"/>
      <c r="W54" s="73"/>
    </row>
    <row r="55" spans="2:23" ht="15.75" customHeight="1" x14ac:dyDescent="0.25">
      <c r="B55" s="30" t="s">
        <v>80</v>
      </c>
      <c r="C55" s="29"/>
      <c r="D55" s="29"/>
      <c r="E55" s="29"/>
      <c r="F55" s="29"/>
      <c r="G55" s="29"/>
      <c r="H55" s="29"/>
      <c r="I55" s="29"/>
      <c r="J55" s="29"/>
      <c r="K55" s="29"/>
      <c r="L55" s="29"/>
      <c r="M55" s="29"/>
      <c r="O55" s="73"/>
      <c r="P55" s="73"/>
      <c r="Q55" s="73"/>
      <c r="R55" s="73"/>
      <c r="S55" s="73"/>
      <c r="T55" s="73"/>
      <c r="U55" s="73"/>
      <c r="V55" s="73"/>
      <c r="W55" s="73"/>
    </row>
    <row r="56" spans="2:23" ht="15.75" customHeight="1" x14ac:dyDescent="0.25">
      <c r="B56" s="31" t="s">
        <v>81</v>
      </c>
      <c r="C56" s="29"/>
      <c r="D56" s="29">
        <f t="shared" ref="D56:M56" si="26">D35*D46</f>
        <v>29476.434000000001</v>
      </c>
      <c r="E56" s="29">
        <f t="shared" si="26"/>
        <v>28641.268370000005</v>
      </c>
      <c r="F56" s="29">
        <f t="shared" si="26"/>
        <v>30073.331788500007</v>
      </c>
      <c r="G56" s="29">
        <f t="shared" si="26"/>
        <v>31576.998377925007</v>
      </c>
      <c r="H56" s="29">
        <f t="shared" si="26"/>
        <v>33155.848296821263</v>
      </c>
      <c r="I56" s="29">
        <f t="shared" si="26"/>
        <v>34813.640711662323</v>
      </c>
      <c r="J56" s="29">
        <f t="shared" si="26"/>
        <v>36554.322747245438</v>
      </c>
      <c r="K56" s="29">
        <f t="shared" si="26"/>
        <v>38382.038884607719</v>
      </c>
      <c r="L56" s="29">
        <f t="shared" si="26"/>
        <v>40301.140828838106</v>
      </c>
      <c r="M56" s="29">
        <f t="shared" si="26"/>
        <v>41569.330000000009</v>
      </c>
      <c r="O56" s="73"/>
      <c r="P56" s="73"/>
      <c r="Q56" s="73"/>
      <c r="R56" s="73"/>
      <c r="S56" s="73"/>
      <c r="T56" s="73"/>
      <c r="U56" s="73"/>
      <c r="V56" s="73"/>
      <c r="W56" s="73"/>
    </row>
    <row r="57" spans="2:23" ht="15.75" customHeight="1" x14ac:dyDescent="0.25">
      <c r="B57" s="29" t="s">
        <v>82</v>
      </c>
      <c r="C57" s="29"/>
      <c r="D57" s="29">
        <f t="shared" ref="D57:M57" si="27">D26</f>
        <v>108160</v>
      </c>
      <c r="E57" s="29">
        <f t="shared" si="27"/>
        <v>109241.60000000001</v>
      </c>
      <c r="F57" s="29">
        <f t="shared" si="27"/>
        <v>110334.016</v>
      </c>
      <c r="G57" s="29">
        <f t="shared" si="27"/>
        <v>111437.35616000001</v>
      </c>
      <c r="H57" s="29">
        <f t="shared" si="27"/>
        <v>112551.72972160002</v>
      </c>
      <c r="I57" s="29">
        <f t="shared" si="27"/>
        <v>142096.55877352002</v>
      </c>
      <c r="J57" s="29">
        <f t="shared" si="27"/>
        <v>143517.52436125523</v>
      </c>
      <c r="K57" s="29">
        <f t="shared" si="27"/>
        <v>144952.69960486775</v>
      </c>
      <c r="L57" s="29">
        <f t="shared" si="27"/>
        <v>146402.22660091645</v>
      </c>
      <c r="M57" s="29">
        <f t="shared" si="27"/>
        <v>147866.2488669256</v>
      </c>
      <c r="O57" s="73"/>
      <c r="P57" s="73"/>
      <c r="Q57" s="73"/>
      <c r="R57" s="73"/>
      <c r="S57" s="73"/>
      <c r="T57" s="73"/>
      <c r="U57" s="73"/>
      <c r="V57" s="73"/>
      <c r="W57" s="73"/>
    </row>
    <row r="58" spans="2:23" ht="15.75" customHeight="1" x14ac:dyDescent="0.25">
      <c r="B58" s="31" t="s">
        <v>83</v>
      </c>
      <c r="C58" s="29"/>
      <c r="D58" s="29">
        <f t="shared" ref="D58:M58" si="28">D46*D36</f>
        <v>17194.586499999998</v>
      </c>
      <c r="E58" s="29">
        <f t="shared" si="28"/>
        <v>19684.362625200003</v>
      </c>
      <c r="F58" s="29">
        <f t="shared" si="28"/>
        <v>22322.067216976808</v>
      </c>
      <c r="G58" s="29">
        <f t="shared" si="28"/>
        <v>25313.224224051701</v>
      </c>
      <c r="H58" s="29">
        <f t="shared" si="28"/>
        <v>28705.196270074637</v>
      </c>
      <c r="I58" s="29">
        <f t="shared" si="28"/>
        <v>32551.692570264637</v>
      </c>
      <c r="J58" s="29">
        <f t="shared" si="28"/>
        <v>36913.6193746801</v>
      </c>
      <c r="K58" s="29">
        <f t="shared" si="28"/>
        <v>41860.044370887241</v>
      </c>
      <c r="L58" s="29">
        <f t="shared" si="28"/>
        <v>47469.290316586135</v>
      </c>
      <c r="M58" s="29">
        <f t="shared" si="28"/>
        <v>52880.08919176527</v>
      </c>
      <c r="O58" s="73"/>
      <c r="P58" s="73"/>
      <c r="Q58" s="73"/>
      <c r="R58" s="73"/>
      <c r="S58" s="73"/>
      <c r="T58" s="73"/>
      <c r="U58" s="73"/>
      <c r="V58" s="73"/>
      <c r="W58" s="73"/>
    </row>
    <row r="59" spans="2:23" ht="15.75" customHeight="1" x14ac:dyDescent="0.25">
      <c r="B59" s="31"/>
      <c r="C59" s="29"/>
      <c r="D59" s="29"/>
      <c r="E59" s="29"/>
      <c r="F59" s="29"/>
      <c r="G59" s="29"/>
      <c r="H59" s="29"/>
      <c r="I59" s="29"/>
      <c r="J59" s="29"/>
      <c r="K59" s="29"/>
      <c r="L59" s="29"/>
      <c r="M59" s="29"/>
    </row>
    <row r="60" spans="2:23" ht="15.75" customHeight="1" x14ac:dyDescent="0.25">
      <c r="B60" s="30" t="s">
        <v>84</v>
      </c>
      <c r="C60" s="29"/>
      <c r="D60" s="29">
        <f t="shared" ref="D60:M60" si="29">SUM(D56:D59)</f>
        <v>154831.02050000001</v>
      </c>
      <c r="E60" s="29">
        <f t="shared" si="29"/>
        <v>157567.23099520002</v>
      </c>
      <c r="F60" s="29">
        <f t="shared" si="29"/>
        <v>162729.41500547683</v>
      </c>
      <c r="G60" s="29">
        <f t="shared" si="29"/>
        <v>168327.57876197671</v>
      </c>
      <c r="H60" s="29">
        <f t="shared" si="29"/>
        <v>174412.77428849592</v>
      </c>
      <c r="I60" s="29">
        <f t="shared" si="29"/>
        <v>209461.89205544698</v>
      </c>
      <c r="J60" s="29">
        <f t="shared" si="29"/>
        <v>216985.46648318076</v>
      </c>
      <c r="K60" s="29">
        <f t="shared" si="29"/>
        <v>225194.78286036273</v>
      </c>
      <c r="L60" s="29">
        <f t="shared" si="29"/>
        <v>234172.65774634067</v>
      </c>
      <c r="M60" s="29">
        <f t="shared" si="29"/>
        <v>242315.66805869088</v>
      </c>
      <c r="O60" s="74" t="s">
        <v>85</v>
      </c>
      <c r="P60" s="73"/>
      <c r="Q60" s="73"/>
      <c r="R60" s="73"/>
      <c r="S60" s="73"/>
      <c r="T60" s="73"/>
      <c r="U60" s="73"/>
      <c r="V60" s="73"/>
      <c r="W60" s="73"/>
    </row>
    <row r="61" spans="2:23" ht="15.75" customHeight="1" x14ac:dyDescent="0.25">
      <c r="B61" s="31" t="s">
        <v>86</v>
      </c>
      <c r="C61" s="29"/>
      <c r="D61" s="29">
        <f t="shared" ref="D61:M61" si="30">D53-D60</f>
        <v>41678.539499999984</v>
      </c>
      <c r="E61" s="29">
        <f t="shared" si="30"/>
        <v>50732.90260479998</v>
      </c>
      <c r="F61" s="29">
        <f t="shared" si="30"/>
        <v>55985.725274523225</v>
      </c>
      <c r="G61" s="29">
        <f t="shared" si="30"/>
        <v>61323.318532023317</v>
      </c>
      <c r="H61" s="29">
        <f t="shared" si="30"/>
        <v>66720.667870204139</v>
      </c>
      <c r="I61" s="29">
        <f t="shared" si="30"/>
        <v>43728.222211188084</v>
      </c>
      <c r="J61" s="29">
        <f t="shared" si="30"/>
        <v>48864.153496786021</v>
      </c>
      <c r="K61" s="29">
        <f t="shared" si="30"/>
        <v>53947.318118602445</v>
      </c>
      <c r="L61" s="29">
        <f t="shared" si="30"/>
        <v>58926.548281572817</v>
      </c>
      <c r="M61" s="29">
        <f t="shared" si="30"/>
        <v>60006.731941309146</v>
      </c>
      <c r="O61" s="73"/>
      <c r="P61" s="73"/>
      <c r="Q61" s="73"/>
      <c r="R61" s="73"/>
      <c r="S61" s="73"/>
      <c r="T61" s="73"/>
      <c r="U61" s="73"/>
      <c r="V61" s="73"/>
      <c r="W61" s="73"/>
    </row>
    <row r="62" spans="2:23" ht="15.75" customHeight="1" x14ac:dyDescent="0.25">
      <c r="B62" s="31"/>
      <c r="C62" s="31"/>
      <c r="D62" s="31"/>
      <c r="E62" s="31"/>
      <c r="F62" s="29"/>
      <c r="G62" s="29"/>
      <c r="H62" s="29"/>
      <c r="I62" s="29"/>
      <c r="J62" s="29"/>
      <c r="K62" s="29"/>
      <c r="L62" s="29"/>
      <c r="M62" s="31"/>
      <c r="O62" s="73"/>
      <c r="P62" s="73"/>
      <c r="Q62" s="73"/>
      <c r="R62" s="73"/>
      <c r="S62" s="73"/>
      <c r="T62" s="73"/>
      <c r="U62" s="73"/>
      <c r="V62" s="73"/>
      <c r="W62" s="73"/>
    </row>
    <row r="63" spans="2:23" ht="15.75" customHeight="1" x14ac:dyDescent="0.25">
      <c r="B63" s="31" t="s">
        <v>87</v>
      </c>
      <c r="C63" s="29"/>
      <c r="D63" s="29">
        <f t="shared" ref="D63:M63" si="31">$D$19/$D$21</f>
        <v>8727.2727272727279</v>
      </c>
      <c r="E63" s="29">
        <f t="shared" si="31"/>
        <v>8727.2727272727279</v>
      </c>
      <c r="F63" s="29">
        <f t="shared" si="31"/>
        <v>8727.2727272727279</v>
      </c>
      <c r="G63" s="29">
        <f t="shared" si="31"/>
        <v>8727.2727272727279</v>
      </c>
      <c r="H63" s="29">
        <f t="shared" si="31"/>
        <v>8727.2727272727279</v>
      </c>
      <c r="I63" s="29">
        <f t="shared" si="31"/>
        <v>8727.2727272727279</v>
      </c>
      <c r="J63" s="29">
        <f t="shared" si="31"/>
        <v>8727.2727272727279</v>
      </c>
      <c r="K63" s="29">
        <f t="shared" si="31"/>
        <v>8727.2727272727279</v>
      </c>
      <c r="L63" s="29">
        <f t="shared" si="31"/>
        <v>8727.2727272727279</v>
      </c>
      <c r="M63" s="29">
        <f t="shared" si="31"/>
        <v>8727.2727272727279</v>
      </c>
      <c r="O63" s="73"/>
      <c r="P63" s="73"/>
      <c r="Q63" s="73"/>
      <c r="R63" s="73"/>
      <c r="S63" s="73"/>
      <c r="T63" s="73"/>
      <c r="U63" s="73"/>
      <c r="V63" s="73"/>
      <c r="W63" s="73"/>
    </row>
    <row r="64" spans="2:23" ht="15.75" customHeight="1" x14ac:dyDescent="0.25">
      <c r="B64" s="31" t="s">
        <v>88</v>
      </c>
      <c r="C64" s="29"/>
      <c r="D64" s="29">
        <f t="shared" ref="D64:M64" si="32">D18/$D$22</f>
        <v>3900</v>
      </c>
      <c r="E64" s="29">
        <f t="shared" si="32"/>
        <v>3900</v>
      </c>
      <c r="F64" s="29">
        <f t="shared" si="32"/>
        <v>3900</v>
      </c>
      <c r="G64" s="29">
        <f t="shared" si="32"/>
        <v>3900</v>
      </c>
      <c r="H64" s="29">
        <f t="shared" si="32"/>
        <v>3900</v>
      </c>
      <c r="I64" s="29">
        <f t="shared" si="32"/>
        <v>5850</v>
      </c>
      <c r="J64" s="29">
        <f t="shared" si="32"/>
        <v>5850</v>
      </c>
      <c r="K64" s="29">
        <f t="shared" si="32"/>
        <v>5850</v>
      </c>
      <c r="L64" s="29">
        <f t="shared" si="32"/>
        <v>5850</v>
      </c>
      <c r="M64" s="29">
        <f t="shared" si="32"/>
        <v>5850</v>
      </c>
      <c r="O64" s="73"/>
      <c r="P64" s="73"/>
      <c r="Q64" s="73"/>
      <c r="R64" s="73"/>
      <c r="S64" s="73"/>
      <c r="T64" s="73"/>
      <c r="U64" s="73"/>
      <c r="V64" s="73"/>
      <c r="W64" s="73"/>
    </row>
    <row r="65" spans="1:23" ht="15.75" customHeight="1" x14ac:dyDescent="0.25">
      <c r="B65" s="31" t="s">
        <v>89</v>
      </c>
      <c r="C65" s="29"/>
      <c r="D65" s="29">
        <f>Mortgage!D16</f>
        <v>11905.273454094804</v>
      </c>
      <c r="E65" s="29">
        <f>Mortgage!D31</f>
        <v>11691.872166912231</v>
      </c>
      <c r="F65" s="29">
        <f>Mortgage!D46</f>
        <v>11467.55286486699</v>
      </c>
      <c r="G65" s="29">
        <f>Mortgage!D61</f>
        <v>11231.756961597614</v>
      </c>
      <c r="H65" s="29">
        <f>Mortgage!D76</f>
        <v>10983.897292404234</v>
      </c>
      <c r="I65" s="29">
        <f>Mortgage!D91</f>
        <v>10723.356652126586</v>
      </c>
      <c r="J65" s="29">
        <f>Mortgage!D106</f>
        <v>10449.48625821701</v>
      </c>
      <c r="K65" s="29">
        <f>Mortgage!D121</f>
        <v>10161.604135181402</v>
      </c>
      <c r="L65" s="29">
        <f>Mortgage!D136</f>
        <v>9858.9934163650669</v>
      </c>
      <c r="M65" s="29">
        <f>Mortgage!D151</f>
        <v>9540.9005588547352</v>
      </c>
      <c r="O65" s="73"/>
      <c r="P65" s="73"/>
      <c r="Q65" s="73"/>
      <c r="R65" s="73"/>
      <c r="S65" s="73"/>
      <c r="T65" s="73"/>
      <c r="U65" s="73"/>
      <c r="V65" s="73"/>
      <c r="W65" s="73"/>
    </row>
    <row r="66" spans="1:23" ht="15.75" customHeight="1" x14ac:dyDescent="0.25">
      <c r="B66" s="29" t="s">
        <v>90</v>
      </c>
      <c r="C66" s="29"/>
      <c r="D66" s="29">
        <f t="shared" ref="D66:M66" si="33">$D$41*D97</f>
        <v>1540.96</v>
      </c>
      <c r="E66" s="29">
        <f t="shared" si="33"/>
        <v>0</v>
      </c>
      <c r="F66" s="29">
        <f t="shared" si="33"/>
        <v>0</v>
      </c>
      <c r="G66" s="29">
        <f t="shared" si="33"/>
        <v>0</v>
      </c>
      <c r="H66" s="29">
        <f t="shared" si="33"/>
        <v>0</v>
      </c>
      <c r="I66" s="29">
        <f t="shared" si="33"/>
        <v>0</v>
      </c>
      <c r="J66" s="29">
        <f t="shared" si="33"/>
        <v>0</v>
      </c>
      <c r="K66" s="29">
        <f t="shared" si="33"/>
        <v>0</v>
      </c>
      <c r="L66" s="29">
        <f t="shared" si="33"/>
        <v>0</v>
      </c>
      <c r="M66" s="29">
        <f t="shared" si="33"/>
        <v>0</v>
      </c>
      <c r="O66" s="73"/>
      <c r="P66" s="73"/>
      <c r="Q66" s="73"/>
      <c r="R66" s="73"/>
      <c r="S66" s="73"/>
      <c r="T66" s="73"/>
      <c r="U66" s="73"/>
      <c r="V66" s="73"/>
      <c r="W66" s="73"/>
    </row>
    <row r="67" spans="1:23" ht="15.75" customHeight="1" x14ac:dyDescent="0.25">
      <c r="B67" s="31"/>
      <c r="C67" s="29"/>
      <c r="D67" s="29"/>
      <c r="E67" s="29"/>
      <c r="F67" s="29"/>
      <c r="G67" s="29"/>
      <c r="H67" s="29"/>
      <c r="I67" s="29"/>
      <c r="J67" s="29"/>
      <c r="K67" s="29"/>
      <c r="L67" s="29"/>
      <c r="M67" s="29"/>
      <c r="O67" s="73"/>
      <c r="P67" s="73"/>
      <c r="Q67" s="73"/>
      <c r="R67" s="73"/>
      <c r="S67" s="73"/>
      <c r="T67" s="73"/>
      <c r="U67" s="73"/>
      <c r="V67" s="73"/>
      <c r="W67" s="73"/>
    </row>
    <row r="68" spans="1:23" ht="15.75" customHeight="1" x14ac:dyDescent="0.25">
      <c r="B68" s="31" t="s">
        <v>91</v>
      </c>
      <c r="C68" s="29"/>
      <c r="D68" s="29">
        <f t="shared" ref="D68:M68" si="34">D61-D64-D65-D63</f>
        <v>17145.993318632452</v>
      </c>
      <c r="E68" s="29">
        <f t="shared" si="34"/>
        <v>26413.75771061502</v>
      </c>
      <c r="F68" s="29">
        <f t="shared" si="34"/>
        <v>31890.899682383511</v>
      </c>
      <c r="G68" s="29">
        <f t="shared" si="34"/>
        <v>37464.288843152979</v>
      </c>
      <c r="H68" s="29">
        <f t="shared" si="34"/>
        <v>43109.497850527179</v>
      </c>
      <c r="I68" s="29">
        <f t="shared" si="34"/>
        <v>18427.59283178877</v>
      </c>
      <c r="J68" s="29">
        <f t="shared" si="34"/>
        <v>23837.394511296283</v>
      </c>
      <c r="K68" s="29">
        <f t="shared" si="34"/>
        <v>29208.441256148311</v>
      </c>
      <c r="L68" s="29">
        <f t="shared" si="34"/>
        <v>34490.282137935021</v>
      </c>
      <c r="M68" s="29">
        <f t="shared" si="34"/>
        <v>35888.558655181681</v>
      </c>
      <c r="O68" s="73"/>
      <c r="P68" s="73"/>
      <c r="Q68" s="73"/>
      <c r="R68" s="73"/>
      <c r="S68" s="73"/>
      <c r="T68" s="73"/>
      <c r="U68" s="73"/>
      <c r="V68" s="73"/>
      <c r="W68" s="73"/>
    </row>
    <row r="69" spans="1:23" ht="15.75" customHeight="1" x14ac:dyDescent="0.25">
      <c r="B69" s="31" t="s">
        <v>92</v>
      </c>
      <c r="C69" s="29"/>
      <c r="D69" s="29">
        <f t="shared" ref="D69:M69" si="35">IF(D68&gt;0,D68*D38,0)</f>
        <v>3600.658596912815</v>
      </c>
      <c r="E69" s="29">
        <f t="shared" si="35"/>
        <v>5546.8891192291539</v>
      </c>
      <c r="F69" s="29">
        <f t="shared" si="35"/>
        <v>6697.0889333005371</v>
      </c>
      <c r="G69" s="29">
        <f t="shared" si="35"/>
        <v>7867.5006570621254</v>
      </c>
      <c r="H69" s="29">
        <f t="shared" si="35"/>
        <v>9052.9945486107081</v>
      </c>
      <c r="I69" s="29">
        <f t="shared" si="35"/>
        <v>3869.7944946756415</v>
      </c>
      <c r="J69" s="29">
        <f t="shared" si="35"/>
        <v>5005.852847372219</v>
      </c>
      <c r="K69" s="29">
        <f t="shared" si="35"/>
        <v>6133.7726637911455</v>
      </c>
      <c r="L69" s="29">
        <f t="shared" si="35"/>
        <v>7242.9592489663537</v>
      </c>
      <c r="M69" s="29">
        <f t="shared" si="35"/>
        <v>7536.5973175881527</v>
      </c>
      <c r="O69" s="73"/>
      <c r="P69" s="73"/>
      <c r="Q69" s="73"/>
      <c r="R69" s="73"/>
      <c r="S69" s="73"/>
      <c r="T69" s="73"/>
      <c r="U69" s="73"/>
      <c r="V69" s="73"/>
      <c r="W69" s="73"/>
    </row>
    <row r="70" spans="1:23" ht="15.75" customHeight="1" x14ac:dyDescent="0.25">
      <c r="B70" s="31"/>
      <c r="C70" s="29"/>
      <c r="D70" s="29"/>
      <c r="E70" s="29"/>
      <c r="F70" s="29"/>
      <c r="G70" s="29"/>
      <c r="H70" s="29"/>
      <c r="I70" s="29"/>
      <c r="J70" s="29"/>
      <c r="K70" s="29"/>
      <c r="L70" s="29"/>
      <c r="M70" s="29"/>
      <c r="O70" s="73"/>
      <c r="P70" s="73"/>
      <c r="Q70" s="73"/>
      <c r="R70" s="73"/>
      <c r="S70" s="73"/>
      <c r="T70" s="73"/>
      <c r="U70" s="73"/>
      <c r="V70" s="73"/>
      <c r="W70" s="73"/>
    </row>
    <row r="71" spans="1:23" ht="15.75" customHeight="1" x14ac:dyDescent="0.25">
      <c r="B71" s="32" t="s">
        <v>93</v>
      </c>
      <c r="C71" s="29"/>
      <c r="D71" s="29">
        <f t="shared" ref="D71:M71" si="36">D46-D52-D60-D64-D65-D66-D69</f>
        <v>20731.647448992368</v>
      </c>
      <c r="E71" s="29">
        <f t="shared" si="36"/>
        <v>29594.141318658592</v>
      </c>
      <c r="F71" s="29">
        <f t="shared" si="36"/>
        <v>33921.0834763557</v>
      </c>
      <c r="G71" s="29">
        <f t="shared" si="36"/>
        <v>38324.060913363581</v>
      </c>
      <c r="H71" s="29">
        <f t="shared" si="36"/>
        <v>42783.776029189197</v>
      </c>
      <c r="I71" s="29">
        <f t="shared" si="36"/>
        <v>23285.071064385855</v>
      </c>
      <c r="J71" s="29">
        <f t="shared" si="36"/>
        <v>27558.814391196793</v>
      </c>
      <c r="K71" s="29">
        <f t="shared" si="36"/>
        <v>31801.941319629892</v>
      </c>
      <c r="L71" s="29">
        <f t="shared" si="36"/>
        <v>35974.595616241393</v>
      </c>
      <c r="M71" s="29">
        <f t="shared" si="36"/>
        <v>37079.234064866258</v>
      </c>
      <c r="O71" s="73"/>
      <c r="P71" s="73"/>
      <c r="Q71" s="73"/>
      <c r="R71" s="73"/>
      <c r="S71" s="73"/>
      <c r="T71" s="73"/>
      <c r="U71" s="73"/>
      <c r="V71" s="73"/>
      <c r="W71" s="73"/>
    </row>
    <row r="72" spans="1:23" ht="15.75" customHeight="1" x14ac:dyDescent="0.25">
      <c r="B72" s="31"/>
      <c r="C72" s="29"/>
      <c r="D72" s="29"/>
      <c r="E72" s="29"/>
      <c r="F72" s="29"/>
      <c r="G72" s="29"/>
      <c r="H72" s="29"/>
      <c r="I72" s="29"/>
      <c r="J72" s="29"/>
      <c r="K72" s="29"/>
      <c r="L72" s="29"/>
      <c r="M72" s="29"/>
      <c r="O72" s="73"/>
      <c r="P72" s="73"/>
      <c r="Q72" s="73"/>
      <c r="R72" s="73"/>
      <c r="S72" s="73"/>
      <c r="T72" s="73"/>
      <c r="U72" s="73"/>
      <c r="V72" s="73"/>
      <c r="W72" s="73"/>
    </row>
    <row r="73" spans="1:23" ht="15.75" customHeight="1" x14ac:dyDescent="0.25">
      <c r="B73" s="31"/>
      <c r="C73" s="29"/>
      <c r="D73" s="29"/>
      <c r="E73" s="29"/>
      <c r="F73" s="29"/>
      <c r="G73" s="29"/>
      <c r="H73" s="29"/>
      <c r="I73" s="29"/>
      <c r="J73" s="29"/>
      <c r="K73" s="29"/>
      <c r="L73" s="29"/>
      <c r="M73" s="29"/>
      <c r="O73" s="73"/>
      <c r="P73" s="73"/>
      <c r="Q73" s="73"/>
      <c r="R73" s="73"/>
      <c r="S73" s="73"/>
      <c r="T73" s="73"/>
      <c r="U73" s="73"/>
      <c r="V73" s="73"/>
      <c r="W73" s="73"/>
    </row>
    <row r="74" spans="1:23" ht="15.75" customHeight="1" x14ac:dyDescent="0.25">
      <c r="B74" s="75" t="s">
        <v>94</v>
      </c>
      <c r="C74" s="73"/>
      <c r="D74" s="73"/>
      <c r="E74" s="73"/>
      <c r="F74" s="73"/>
      <c r="G74" s="73"/>
      <c r="H74" s="73"/>
      <c r="I74" s="73"/>
      <c r="J74" s="73"/>
      <c r="K74" s="73"/>
      <c r="L74" s="73"/>
      <c r="M74" s="73"/>
      <c r="O74" s="73"/>
      <c r="P74" s="73"/>
      <c r="Q74" s="73"/>
      <c r="R74" s="73"/>
      <c r="S74" s="73"/>
      <c r="T74" s="73"/>
      <c r="U74" s="73"/>
      <c r="V74" s="73"/>
      <c r="W74" s="73"/>
    </row>
    <row r="75" spans="1:23" ht="15.75" customHeight="1" x14ac:dyDescent="0.25">
      <c r="B75" s="31"/>
      <c r="C75" s="29"/>
      <c r="D75" s="29"/>
      <c r="E75" s="29"/>
      <c r="F75" s="29"/>
      <c r="G75" s="29"/>
      <c r="H75" s="29"/>
      <c r="I75" s="29"/>
      <c r="J75" s="29"/>
      <c r="K75" s="29"/>
      <c r="L75" s="29"/>
      <c r="M75" s="29"/>
    </row>
    <row r="76" spans="1:23" ht="15.75" customHeight="1" x14ac:dyDescent="0.25">
      <c r="B76" s="32" t="s">
        <v>95</v>
      </c>
      <c r="C76" s="33"/>
      <c r="D76" s="33" t="s">
        <v>11</v>
      </c>
      <c r="E76" s="33" t="s">
        <v>12</v>
      </c>
      <c r="F76" s="33" t="s">
        <v>13</v>
      </c>
      <c r="G76" s="33" t="s">
        <v>14</v>
      </c>
      <c r="H76" s="33" t="s">
        <v>15</v>
      </c>
      <c r="I76" s="33" t="s">
        <v>16</v>
      </c>
      <c r="J76" s="33" t="s">
        <v>17</v>
      </c>
      <c r="K76" s="33" t="s">
        <v>18</v>
      </c>
      <c r="L76" s="33" t="s">
        <v>19</v>
      </c>
      <c r="M76" s="33" t="s">
        <v>20</v>
      </c>
      <c r="O76" s="74" t="s">
        <v>96</v>
      </c>
      <c r="P76" s="73"/>
      <c r="Q76" s="73"/>
      <c r="R76" s="73"/>
      <c r="S76" s="73"/>
      <c r="T76" s="73"/>
      <c r="U76" s="73"/>
      <c r="V76" s="73"/>
      <c r="W76" s="73"/>
    </row>
    <row r="77" spans="1:23" ht="15.75" customHeight="1" x14ac:dyDescent="0.25">
      <c r="A77" s="34"/>
      <c r="B77" s="31" t="s">
        <v>97</v>
      </c>
      <c r="C77" s="29"/>
      <c r="D77" s="29">
        <f t="shared" ref="D77:M77" si="37">D46*D40</f>
        <v>9825.478000000001</v>
      </c>
      <c r="E77" s="29">
        <f t="shared" si="37"/>
        <v>10415.00668</v>
      </c>
      <c r="F77" s="29">
        <f t="shared" si="37"/>
        <v>10935.757014000001</v>
      </c>
      <c r="G77" s="29">
        <f t="shared" si="37"/>
        <v>11482.544864700001</v>
      </c>
      <c r="H77" s="29">
        <f t="shared" si="37"/>
        <v>12056.672107935003</v>
      </c>
      <c r="I77" s="29">
        <f t="shared" si="37"/>
        <v>12659.505713331753</v>
      </c>
      <c r="J77" s="29">
        <f t="shared" si="37"/>
        <v>13292.480998998341</v>
      </c>
      <c r="K77" s="29">
        <f t="shared" si="37"/>
        <v>13957.105048948259</v>
      </c>
      <c r="L77" s="29">
        <f t="shared" si="37"/>
        <v>14654.960301395673</v>
      </c>
      <c r="M77" s="29">
        <f t="shared" si="37"/>
        <v>15116.12</v>
      </c>
      <c r="O77" s="73"/>
      <c r="P77" s="73"/>
      <c r="Q77" s="73"/>
      <c r="R77" s="73"/>
      <c r="S77" s="73"/>
      <c r="T77" s="73"/>
      <c r="U77" s="73"/>
      <c r="V77" s="73"/>
      <c r="W77" s="73"/>
    </row>
    <row r="78" spans="1:23" ht="15.75" customHeight="1" x14ac:dyDescent="0.25">
      <c r="B78" s="35" t="s">
        <v>98</v>
      </c>
      <c r="C78" s="36"/>
      <c r="D78" s="36">
        <v>0</v>
      </c>
      <c r="E78" s="36">
        <v>22483</v>
      </c>
      <c r="F78" s="36">
        <v>69671</v>
      </c>
      <c r="G78" s="36">
        <v>122125</v>
      </c>
      <c r="H78" s="36">
        <v>179900</v>
      </c>
      <c r="I78" s="36">
        <v>195103</v>
      </c>
      <c r="J78" s="36">
        <v>234858</v>
      </c>
      <c r="K78" s="36">
        <v>279608</v>
      </c>
      <c r="L78" s="36">
        <v>329244</v>
      </c>
      <c r="M78" s="36">
        <v>380620</v>
      </c>
      <c r="O78" s="73"/>
      <c r="P78" s="73"/>
      <c r="Q78" s="73"/>
      <c r="R78" s="73"/>
      <c r="S78" s="73"/>
      <c r="T78" s="73"/>
      <c r="U78" s="73"/>
      <c r="V78" s="73"/>
      <c r="W78" s="73"/>
    </row>
    <row r="79" spans="1:23" ht="15.75" customHeight="1" x14ac:dyDescent="0.25">
      <c r="B79" s="31" t="s">
        <v>99</v>
      </c>
      <c r="C79" s="29"/>
      <c r="D79" s="29">
        <f t="shared" ref="D79:M79" si="38">$D$29*(D46/365)</f>
        <v>17497.426575342466</v>
      </c>
      <c r="E79" s="29">
        <f t="shared" si="38"/>
        <v>18547.272169863016</v>
      </c>
      <c r="F79" s="29">
        <f t="shared" si="38"/>
        <v>19474.635778356165</v>
      </c>
      <c r="G79" s="29">
        <f t="shared" si="38"/>
        <v>20448.367567273974</v>
      </c>
      <c r="H79" s="29">
        <f t="shared" si="38"/>
        <v>21470.785945637679</v>
      </c>
      <c r="I79" s="29">
        <f t="shared" si="38"/>
        <v>22544.32524291956</v>
      </c>
      <c r="J79" s="29">
        <f t="shared" si="38"/>
        <v>23671.541505065539</v>
      </c>
      <c r="K79" s="29">
        <f t="shared" si="38"/>
        <v>24855.118580318816</v>
      </c>
      <c r="L79" s="29">
        <f t="shared" si="38"/>
        <v>26097.874509334761</v>
      </c>
      <c r="M79" s="29">
        <f t="shared" si="38"/>
        <v>26919.117808219176</v>
      </c>
      <c r="O79" s="73"/>
      <c r="P79" s="73"/>
      <c r="Q79" s="73"/>
      <c r="R79" s="73"/>
      <c r="S79" s="73"/>
      <c r="T79" s="73"/>
      <c r="U79" s="73"/>
      <c r="V79" s="73"/>
      <c r="W79" s="73"/>
    </row>
    <row r="80" spans="1:23" ht="15.75" customHeight="1" x14ac:dyDescent="0.25">
      <c r="B80" s="31" t="s">
        <v>100</v>
      </c>
      <c r="C80" s="29"/>
      <c r="D80" s="29">
        <f t="shared" ref="D80:M80" si="39">$D$31*(D52/365)</f>
        <v>6056.8015068493141</v>
      </c>
      <c r="E80" s="29">
        <f t="shared" si="39"/>
        <v>6420.2095972602747</v>
      </c>
      <c r="F80" s="29">
        <f t="shared" si="39"/>
        <v>6741.2200771232883</v>
      </c>
      <c r="G80" s="29">
        <f t="shared" si="39"/>
        <v>7078.2810809794528</v>
      </c>
      <c r="H80" s="29">
        <f t="shared" si="39"/>
        <v>7432.1951350284271</v>
      </c>
      <c r="I80" s="29">
        <f t="shared" si="39"/>
        <v>7803.8048917798478</v>
      </c>
      <c r="J80" s="29">
        <f t="shared" si="39"/>
        <v>8193.9951363688397</v>
      </c>
      <c r="K80" s="29">
        <f t="shared" si="39"/>
        <v>8603.694893187283</v>
      </c>
      <c r="L80" s="29">
        <f t="shared" si="39"/>
        <v>9033.8796378466486</v>
      </c>
      <c r="M80" s="29">
        <f t="shared" si="39"/>
        <v>9318.1561643835612</v>
      </c>
      <c r="O80" s="73"/>
      <c r="P80" s="73"/>
      <c r="Q80" s="73"/>
      <c r="R80" s="73"/>
      <c r="S80" s="73"/>
      <c r="T80" s="73"/>
      <c r="U80" s="73"/>
      <c r="V80" s="73"/>
      <c r="W80" s="73"/>
    </row>
    <row r="81" spans="2:23" ht="15.75" customHeight="1" x14ac:dyDescent="0.25">
      <c r="B81" s="29" t="s">
        <v>101</v>
      </c>
      <c r="C81" s="29"/>
      <c r="D81" s="29">
        <f t="shared" ref="D81:M81" si="40">SUM(D77:D80)</f>
        <v>33379.706082191777</v>
      </c>
      <c r="E81" s="29">
        <f t="shared" si="40"/>
        <v>57865.488447123287</v>
      </c>
      <c r="F81" s="29">
        <f t="shared" si="40"/>
        <v>106822.61286947946</v>
      </c>
      <c r="G81" s="29">
        <f t="shared" si="40"/>
        <v>161134.19351295341</v>
      </c>
      <c r="H81" s="29">
        <f t="shared" si="40"/>
        <v>220859.65318860111</v>
      </c>
      <c r="I81" s="29">
        <f t="shared" si="40"/>
        <v>238110.63584803115</v>
      </c>
      <c r="J81" s="29">
        <f t="shared" si="40"/>
        <v>280016.01764043269</v>
      </c>
      <c r="K81" s="29">
        <f t="shared" si="40"/>
        <v>327023.91852245433</v>
      </c>
      <c r="L81" s="29">
        <f t="shared" si="40"/>
        <v>379030.71444857708</v>
      </c>
      <c r="M81" s="29">
        <f t="shared" si="40"/>
        <v>431973.39397260273</v>
      </c>
      <c r="O81" s="73"/>
      <c r="P81" s="73"/>
      <c r="Q81" s="73"/>
      <c r="R81" s="73"/>
      <c r="S81" s="73"/>
      <c r="T81" s="73"/>
      <c r="U81" s="73"/>
      <c r="V81" s="73"/>
      <c r="W81" s="73"/>
    </row>
    <row r="82" spans="2:23" ht="15.75" customHeight="1" x14ac:dyDescent="0.25">
      <c r="B82" s="31"/>
      <c r="C82" s="29"/>
      <c r="D82" s="29"/>
      <c r="E82" s="29"/>
      <c r="F82" s="29"/>
      <c r="G82" s="29"/>
      <c r="H82" s="29"/>
      <c r="I82" s="29"/>
      <c r="J82" s="29"/>
      <c r="K82" s="29"/>
      <c r="L82" s="29"/>
      <c r="M82" s="29"/>
      <c r="O82" s="73"/>
      <c r="P82" s="73"/>
      <c r="Q82" s="73"/>
      <c r="R82" s="73"/>
      <c r="S82" s="73"/>
      <c r="T82" s="73"/>
      <c r="U82" s="73"/>
      <c r="V82" s="73"/>
      <c r="W82" s="73"/>
    </row>
    <row r="83" spans="2:23" ht="15.75" customHeight="1" x14ac:dyDescent="0.25">
      <c r="B83" s="31" t="s">
        <v>102</v>
      </c>
      <c r="C83" s="29"/>
      <c r="D83" s="29">
        <v>45000</v>
      </c>
      <c r="E83" s="29">
        <f t="shared" ref="E83:M83" si="41">$D$83</f>
        <v>45000</v>
      </c>
      <c r="F83" s="29">
        <f t="shared" si="41"/>
        <v>45000</v>
      </c>
      <c r="G83" s="29">
        <f t="shared" si="41"/>
        <v>45000</v>
      </c>
      <c r="H83" s="29">
        <f t="shared" si="41"/>
        <v>45000</v>
      </c>
      <c r="I83" s="29">
        <f t="shared" si="41"/>
        <v>45000</v>
      </c>
      <c r="J83" s="29">
        <f t="shared" si="41"/>
        <v>45000</v>
      </c>
      <c r="K83" s="29">
        <f t="shared" si="41"/>
        <v>45000</v>
      </c>
      <c r="L83" s="29">
        <f t="shared" si="41"/>
        <v>45000</v>
      </c>
      <c r="M83" s="29">
        <f t="shared" si="41"/>
        <v>45000</v>
      </c>
      <c r="O83" s="73"/>
      <c r="P83" s="73"/>
      <c r="Q83" s="73"/>
      <c r="R83" s="73"/>
      <c r="S83" s="73"/>
      <c r="T83" s="73"/>
      <c r="U83" s="73"/>
      <c r="V83" s="73"/>
      <c r="W83" s="73"/>
    </row>
    <row r="84" spans="2:23" ht="15.75" customHeight="1" x14ac:dyDescent="0.25">
      <c r="B84" s="31" t="s">
        <v>103</v>
      </c>
      <c r="C84" s="29"/>
      <c r="D84" s="29">
        <v>220000</v>
      </c>
      <c r="E84" s="29">
        <f t="shared" ref="E84:M84" si="42">D84</f>
        <v>220000</v>
      </c>
      <c r="F84" s="29">
        <f t="shared" si="42"/>
        <v>220000</v>
      </c>
      <c r="G84" s="29">
        <f t="shared" si="42"/>
        <v>220000</v>
      </c>
      <c r="H84" s="29">
        <f t="shared" si="42"/>
        <v>220000</v>
      </c>
      <c r="I84" s="29">
        <f t="shared" si="42"/>
        <v>220000</v>
      </c>
      <c r="J84" s="29">
        <f t="shared" si="42"/>
        <v>220000</v>
      </c>
      <c r="K84" s="29">
        <f t="shared" si="42"/>
        <v>220000</v>
      </c>
      <c r="L84" s="29">
        <f t="shared" si="42"/>
        <v>220000</v>
      </c>
      <c r="M84" s="29">
        <f t="shared" si="42"/>
        <v>220000</v>
      </c>
      <c r="O84" s="73"/>
      <c r="P84" s="73"/>
      <c r="Q84" s="73"/>
      <c r="R84" s="73"/>
      <c r="S84" s="73"/>
      <c r="T84" s="73"/>
      <c r="U84" s="73"/>
      <c r="V84" s="73"/>
      <c r="W84" s="73"/>
    </row>
    <row r="85" spans="2:23" ht="15.75" customHeight="1" x14ac:dyDescent="0.25">
      <c r="B85" s="29" t="s">
        <v>104</v>
      </c>
      <c r="C85" s="29"/>
      <c r="D85" s="29">
        <f t="shared" ref="D85:M85" si="43">D18</f>
        <v>39000</v>
      </c>
      <c r="E85" s="29">
        <f t="shared" si="43"/>
        <v>39000</v>
      </c>
      <c r="F85" s="29">
        <f t="shared" si="43"/>
        <v>39000</v>
      </c>
      <c r="G85" s="29">
        <f t="shared" si="43"/>
        <v>39000</v>
      </c>
      <c r="H85" s="29">
        <f t="shared" si="43"/>
        <v>39000</v>
      </c>
      <c r="I85" s="29">
        <f t="shared" si="43"/>
        <v>58500</v>
      </c>
      <c r="J85" s="29">
        <f t="shared" si="43"/>
        <v>58500</v>
      </c>
      <c r="K85" s="29">
        <f t="shared" si="43"/>
        <v>58500</v>
      </c>
      <c r="L85" s="29">
        <f t="shared" si="43"/>
        <v>58500</v>
      </c>
      <c r="M85" s="29">
        <f t="shared" si="43"/>
        <v>58500</v>
      </c>
      <c r="O85" s="73"/>
      <c r="P85" s="73"/>
      <c r="Q85" s="73"/>
      <c r="R85" s="73"/>
      <c r="S85" s="73"/>
      <c r="T85" s="73"/>
      <c r="U85" s="73"/>
      <c r="V85" s="73"/>
      <c r="W85" s="73"/>
    </row>
    <row r="86" spans="2:23" ht="15.75" customHeight="1" x14ac:dyDescent="0.25">
      <c r="B86" s="33" t="s">
        <v>105</v>
      </c>
      <c r="C86" s="33"/>
      <c r="D86" s="37">
        <f>D84/$D$21</f>
        <v>8000</v>
      </c>
      <c r="E86" s="37">
        <f t="shared" ref="E86:M86" si="44">D86+E63</f>
        <v>16727.272727272728</v>
      </c>
      <c r="F86" s="37">
        <f t="shared" si="44"/>
        <v>25454.545454545456</v>
      </c>
      <c r="G86" s="37">
        <f t="shared" si="44"/>
        <v>34181.818181818184</v>
      </c>
      <c r="H86" s="37">
        <f t="shared" si="44"/>
        <v>42909.090909090912</v>
      </c>
      <c r="I86" s="37">
        <f t="shared" si="44"/>
        <v>51636.36363636364</v>
      </c>
      <c r="J86" s="37">
        <f t="shared" si="44"/>
        <v>60363.636363636368</v>
      </c>
      <c r="K86" s="37">
        <f t="shared" si="44"/>
        <v>69090.909090909088</v>
      </c>
      <c r="L86" s="37">
        <f t="shared" si="44"/>
        <v>77818.181818181823</v>
      </c>
      <c r="M86" s="37">
        <f t="shared" si="44"/>
        <v>86545.454545454559</v>
      </c>
      <c r="O86" s="73"/>
      <c r="P86" s="73"/>
      <c r="Q86" s="73"/>
      <c r="R86" s="73"/>
      <c r="S86" s="73"/>
      <c r="T86" s="73"/>
      <c r="U86" s="73"/>
      <c r="V86" s="73"/>
      <c r="W86" s="73"/>
    </row>
    <row r="87" spans="2:23" ht="15.75" customHeight="1" x14ac:dyDescent="0.25">
      <c r="B87" s="37" t="s">
        <v>106</v>
      </c>
      <c r="C87" s="33"/>
      <c r="D87" s="37">
        <f>D85/$D$22</f>
        <v>3900</v>
      </c>
      <c r="E87" s="37">
        <f t="shared" ref="E87:M87" si="45">D87+E64</f>
        <v>7800</v>
      </c>
      <c r="F87" s="37">
        <f t="shared" si="45"/>
        <v>11700</v>
      </c>
      <c r="G87" s="37">
        <f t="shared" si="45"/>
        <v>15600</v>
      </c>
      <c r="H87" s="37">
        <f t="shared" si="45"/>
        <v>19500</v>
      </c>
      <c r="I87" s="37">
        <f t="shared" si="45"/>
        <v>25350</v>
      </c>
      <c r="J87" s="37">
        <f t="shared" si="45"/>
        <v>31200</v>
      </c>
      <c r="K87" s="37">
        <f t="shared" si="45"/>
        <v>37050</v>
      </c>
      <c r="L87" s="37">
        <f t="shared" si="45"/>
        <v>42900</v>
      </c>
      <c r="M87" s="37">
        <f t="shared" si="45"/>
        <v>48750</v>
      </c>
      <c r="O87" s="73"/>
      <c r="P87" s="73"/>
      <c r="Q87" s="73"/>
      <c r="R87" s="73"/>
      <c r="S87" s="73"/>
      <c r="T87" s="73"/>
      <c r="U87" s="73"/>
      <c r="V87" s="73"/>
      <c r="W87" s="73"/>
    </row>
    <row r="88" spans="2:23" ht="15.75" customHeight="1" x14ac:dyDescent="0.25">
      <c r="B88" s="31" t="s">
        <v>107</v>
      </c>
      <c r="C88" s="29"/>
      <c r="D88" s="29">
        <f t="shared" ref="D88:M88" si="46">SUM(D83:D85)-SUM(D86:D87)</f>
        <v>292100</v>
      </c>
      <c r="E88" s="29">
        <f t="shared" si="46"/>
        <v>279472.72727272729</v>
      </c>
      <c r="F88" s="29">
        <f t="shared" si="46"/>
        <v>266845.45454545453</v>
      </c>
      <c r="G88" s="29">
        <f t="shared" si="46"/>
        <v>254218.18181818182</v>
      </c>
      <c r="H88" s="29">
        <f t="shared" si="46"/>
        <v>241590.90909090909</v>
      </c>
      <c r="I88" s="29">
        <f t="shared" si="46"/>
        <v>246513.63636363635</v>
      </c>
      <c r="J88" s="29">
        <f t="shared" si="46"/>
        <v>231936.36363636365</v>
      </c>
      <c r="K88" s="29">
        <f t="shared" si="46"/>
        <v>217359.09090909091</v>
      </c>
      <c r="L88" s="29">
        <f t="shared" si="46"/>
        <v>202781.81818181818</v>
      </c>
      <c r="M88" s="29">
        <f t="shared" si="46"/>
        <v>188204.54545454544</v>
      </c>
      <c r="O88" s="73"/>
      <c r="P88" s="73"/>
      <c r="Q88" s="73"/>
      <c r="R88" s="73"/>
      <c r="S88" s="73"/>
      <c r="T88" s="73"/>
      <c r="U88" s="73"/>
      <c r="V88" s="73"/>
      <c r="W88" s="73"/>
    </row>
    <row r="89" spans="2:23" ht="15.75" customHeight="1" x14ac:dyDescent="0.25">
      <c r="B89" s="31"/>
      <c r="C89" s="29"/>
      <c r="D89" s="29"/>
      <c r="E89" s="29"/>
      <c r="F89" s="29"/>
      <c r="G89" s="29"/>
      <c r="H89" s="29"/>
      <c r="I89" s="29"/>
      <c r="J89" s="29"/>
      <c r="K89" s="29"/>
      <c r="L89" s="29"/>
      <c r="M89" s="29"/>
      <c r="O89" s="73"/>
      <c r="P89" s="73"/>
      <c r="Q89" s="73"/>
      <c r="R89" s="73"/>
      <c r="S89" s="73"/>
      <c r="T89" s="73"/>
      <c r="U89" s="73"/>
      <c r="V89" s="73"/>
      <c r="W89" s="73"/>
    </row>
    <row r="90" spans="2:23" ht="15.75" customHeight="1" x14ac:dyDescent="0.25">
      <c r="B90" s="32" t="s">
        <v>108</v>
      </c>
      <c r="C90" s="29"/>
      <c r="D90" s="29">
        <f t="shared" ref="D90:M90" si="47">D81+D88</f>
        <v>325479.70608219178</v>
      </c>
      <c r="E90" s="29">
        <f t="shared" si="47"/>
        <v>337338.21571985056</v>
      </c>
      <c r="F90" s="29">
        <f t="shared" si="47"/>
        <v>373668.06741493399</v>
      </c>
      <c r="G90" s="29">
        <f t="shared" si="47"/>
        <v>415352.37533113523</v>
      </c>
      <c r="H90" s="29">
        <f t="shared" si="47"/>
        <v>462450.5622795102</v>
      </c>
      <c r="I90" s="29">
        <f t="shared" si="47"/>
        <v>484624.2722116675</v>
      </c>
      <c r="J90" s="29">
        <f t="shared" si="47"/>
        <v>511952.38127679634</v>
      </c>
      <c r="K90" s="29">
        <f t="shared" si="47"/>
        <v>544383.00943154527</v>
      </c>
      <c r="L90" s="29">
        <f t="shared" si="47"/>
        <v>581812.53263039526</v>
      </c>
      <c r="M90" s="29">
        <f t="shared" si="47"/>
        <v>620177.9394271482</v>
      </c>
      <c r="O90" s="73"/>
      <c r="P90" s="73"/>
      <c r="Q90" s="73"/>
      <c r="R90" s="73"/>
      <c r="S90" s="73"/>
      <c r="T90" s="73"/>
      <c r="U90" s="73"/>
      <c r="V90" s="73"/>
      <c r="W90" s="73"/>
    </row>
    <row r="91" spans="2:23" ht="15.75" customHeight="1" x14ac:dyDescent="0.25">
      <c r="B91" s="31"/>
      <c r="C91" s="29"/>
      <c r="D91" s="29"/>
      <c r="E91" s="29"/>
      <c r="F91" s="29"/>
      <c r="G91" s="29"/>
      <c r="H91" s="29"/>
      <c r="I91" s="29"/>
      <c r="J91" s="29"/>
      <c r="K91" s="29"/>
      <c r="L91" s="29"/>
      <c r="M91" s="29"/>
    </row>
    <row r="92" spans="2:23" ht="15.75" customHeight="1" x14ac:dyDescent="0.25">
      <c r="B92" s="32" t="s">
        <v>109</v>
      </c>
      <c r="C92" s="29"/>
      <c r="D92" s="29"/>
      <c r="E92" s="29"/>
      <c r="F92" s="29"/>
      <c r="G92" s="29"/>
      <c r="H92" s="29"/>
      <c r="I92" s="29"/>
      <c r="J92" s="29"/>
      <c r="K92" s="29"/>
      <c r="L92" s="29"/>
      <c r="M92" s="29"/>
      <c r="O92" s="74" t="s">
        <v>110</v>
      </c>
      <c r="P92" s="73"/>
      <c r="Q92" s="73"/>
      <c r="R92" s="73"/>
      <c r="S92" s="73"/>
      <c r="T92" s="73"/>
      <c r="U92" s="73"/>
      <c r="V92" s="73"/>
      <c r="W92" s="73"/>
    </row>
    <row r="93" spans="2:23" ht="15.75" customHeight="1" x14ac:dyDescent="0.25">
      <c r="B93" s="31" t="s">
        <v>111</v>
      </c>
      <c r="C93" s="29"/>
      <c r="D93" s="29">
        <f t="shared" ref="D93:M93" si="48">(D52/365)*$D$30</f>
        <v>6056.8015068493141</v>
      </c>
      <c r="E93" s="29">
        <f t="shared" si="48"/>
        <v>6420.2095972602747</v>
      </c>
      <c r="F93" s="29">
        <f t="shared" si="48"/>
        <v>6741.2200771232883</v>
      </c>
      <c r="G93" s="29">
        <f t="shared" si="48"/>
        <v>7078.2810809794528</v>
      </c>
      <c r="H93" s="29">
        <f t="shared" si="48"/>
        <v>7432.1951350284271</v>
      </c>
      <c r="I93" s="29">
        <f t="shared" si="48"/>
        <v>7803.8048917798478</v>
      </c>
      <c r="J93" s="29">
        <f t="shared" si="48"/>
        <v>8193.9951363688397</v>
      </c>
      <c r="K93" s="29">
        <f t="shared" si="48"/>
        <v>8603.694893187283</v>
      </c>
      <c r="L93" s="29">
        <f t="shared" si="48"/>
        <v>9033.8796378466486</v>
      </c>
      <c r="M93" s="29">
        <f t="shared" si="48"/>
        <v>9318.1561643835612</v>
      </c>
      <c r="O93" s="73"/>
      <c r="P93" s="73"/>
      <c r="Q93" s="73"/>
      <c r="R93" s="73"/>
      <c r="S93" s="73"/>
      <c r="T93" s="73"/>
      <c r="U93" s="73"/>
      <c r="V93" s="73"/>
      <c r="W93" s="73"/>
    </row>
    <row r="94" spans="2:23" ht="15.75" customHeight="1" x14ac:dyDescent="0.25">
      <c r="B94" s="31" t="s">
        <v>112</v>
      </c>
      <c r="C94" s="29"/>
      <c r="D94" s="29">
        <f>D69</f>
        <v>3600.658596912815</v>
      </c>
      <c r="E94" s="29">
        <f t="shared" ref="E94:M94" si="49">D94+E69</f>
        <v>9147.5477161419694</v>
      </c>
      <c r="F94" s="29">
        <f t="shared" si="49"/>
        <v>15844.636649442506</v>
      </c>
      <c r="G94" s="29">
        <f t="shared" si="49"/>
        <v>23712.137306504632</v>
      </c>
      <c r="H94" s="29">
        <f t="shared" si="49"/>
        <v>32765.131855115338</v>
      </c>
      <c r="I94" s="29">
        <f t="shared" si="49"/>
        <v>36634.926349790978</v>
      </c>
      <c r="J94" s="29">
        <f t="shared" si="49"/>
        <v>41640.779197163196</v>
      </c>
      <c r="K94" s="29">
        <f t="shared" si="49"/>
        <v>47774.551860954343</v>
      </c>
      <c r="L94" s="29">
        <f t="shared" si="49"/>
        <v>55017.511109920699</v>
      </c>
      <c r="M94" s="29">
        <f t="shared" si="49"/>
        <v>62554.108427508851</v>
      </c>
      <c r="O94" s="73"/>
      <c r="P94" s="73"/>
      <c r="Q94" s="73"/>
      <c r="R94" s="73"/>
      <c r="S94" s="73"/>
      <c r="T94" s="73"/>
      <c r="U94" s="73"/>
      <c r="V94" s="73"/>
      <c r="W94" s="73"/>
    </row>
    <row r="95" spans="2:23" ht="15.75" customHeight="1" x14ac:dyDescent="0.25">
      <c r="B95" s="31"/>
      <c r="C95" s="29"/>
      <c r="D95" s="29"/>
      <c r="E95" s="29"/>
      <c r="F95" s="29"/>
      <c r="G95" s="29"/>
      <c r="H95" s="29"/>
      <c r="I95" s="29"/>
      <c r="J95" s="29"/>
      <c r="K95" s="29"/>
      <c r="L95" s="29"/>
      <c r="M95" s="29"/>
      <c r="O95" s="73"/>
      <c r="P95" s="73"/>
      <c r="Q95" s="73"/>
      <c r="R95" s="73"/>
      <c r="S95" s="73"/>
      <c r="T95" s="73"/>
      <c r="U95" s="73"/>
      <c r="V95" s="73"/>
      <c r="W95" s="73"/>
    </row>
    <row r="96" spans="2:23" ht="15.75" customHeight="1" x14ac:dyDescent="0.25">
      <c r="B96" s="31" t="s">
        <v>113</v>
      </c>
      <c r="C96" s="29"/>
      <c r="D96" s="29">
        <f>Mortgage!F15</f>
        <v>235828.90205371435</v>
      </c>
      <c r="E96" s="29">
        <f>Mortgage!F30</f>
        <v>231444.40282024615</v>
      </c>
      <c r="F96" s="29">
        <f>Mortgage!F45</f>
        <v>226835.5842847327</v>
      </c>
      <c r="G96" s="29">
        <f>Mortgage!F60</f>
        <v>221990.96984594982</v>
      </c>
      <c r="H96" s="29">
        <f>Mortgage!F75</f>
        <v>216898.4957379736</v>
      </c>
      <c r="I96" s="29">
        <f>Mortgage!F90</f>
        <v>211545.48098971974</v>
      </c>
      <c r="J96" s="29">
        <f>Mortgage!F105</f>
        <v>205918.59584755628</v>
      </c>
      <c r="K96" s="29">
        <f>Mortgage!F120</f>
        <v>200003.82858235721</v>
      </c>
      <c r="L96" s="29">
        <f>Mortgage!F135</f>
        <v>193786.45059834182</v>
      </c>
      <c r="M96" s="29">
        <f>Mortgage!F150</f>
        <v>187250.97975681609</v>
      </c>
      <c r="N96" s="31">
        <f t="shared" ref="N96:N97" si="50">AVERAGE(D96:M96)</f>
        <v>213150.3690517408</v>
      </c>
      <c r="O96" s="73"/>
      <c r="P96" s="73"/>
      <c r="Q96" s="73"/>
      <c r="R96" s="73"/>
      <c r="S96" s="73"/>
      <c r="T96" s="73"/>
      <c r="U96" s="73"/>
      <c r="V96" s="73"/>
      <c r="W96" s="73"/>
    </row>
    <row r="97" spans="1:23" ht="15.75" customHeight="1" x14ac:dyDescent="0.25">
      <c r="B97" s="35" t="s">
        <v>114</v>
      </c>
      <c r="C97" s="36"/>
      <c r="D97" s="36">
        <f>17721+1417+114+9+1</f>
        <v>19262</v>
      </c>
      <c r="E97" s="36">
        <v>0</v>
      </c>
      <c r="F97" s="36">
        <v>0</v>
      </c>
      <c r="G97" s="36">
        <v>0</v>
      </c>
      <c r="H97" s="36">
        <v>0</v>
      </c>
      <c r="I97" s="36">
        <v>0</v>
      </c>
      <c r="J97" s="36">
        <v>0</v>
      </c>
      <c r="K97" s="36">
        <v>0</v>
      </c>
      <c r="L97" s="36">
        <v>0</v>
      </c>
      <c r="M97" s="36">
        <v>0</v>
      </c>
      <c r="N97" s="31">
        <f t="shared" si="50"/>
        <v>1926.2</v>
      </c>
      <c r="O97" s="73"/>
      <c r="P97" s="73"/>
      <c r="Q97" s="73"/>
      <c r="R97" s="73"/>
      <c r="S97" s="73"/>
      <c r="T97" s="73"/>
      <c r="U97" s="73"/>
      <c r="V97" s="73"/>
      <c r="W97" s="73"/>
    </row>
    <row r="98" spans="1:23" ht="15.75" customHeight="1" x14ac:dyDescent="0.25">
      <c r="B98" s="31"/>
      <c r="C98" s="29"/>
      <c r="D98" s="29"/>
      <c r="E98" s="29"/>
      <c r="F98" s="29"/>
      <c r="G98" s="29"/>
      <c r="H98" s="29"/>
      <c r="I98" s="29"/>
      <c r="J98" s="29"/>
      <c r="K98" s="29"/>
      <c r="L98" s="29"/>
      <c r="M98" s="29"/>
      <c r="N98" s="38">
        <f>SUM(N96:N97)</f>
        <v>215076.56905174081</v>
      </c>
      <c r="O98" s="73"/>
      <c r="P98" s="73"/>
      <c r="Q98" s="73"/>
      <c r="R98" s="73"/>
      <c r="S98" s="73"/>
      <c r="T98" s="73"/>
      <c r="U98" s="73"/>
      <c r="V98" s="73"/>
      <c r="W98" s="73"/>
    </row>
    <row r="99" spans="1:23" ht="15.75" customHeight="1" x14ac:dyDescent="0.25">
      <c r="B99" s="29" t="s">
        <v>115</v>
      </c>
      <c r="C99" s="29"/>
      <c r="D99" s="29">
        <f t="shared" ref="D99:M99" si="51">SUM(D93:D97)</f>
        <v>264748.36215747648</v>
      </c>
      <c r="E99" s="29">
        <f t="shared" si="51"/>
        <v>247012.1601336484</v>
      </c>
      <c r="F99" s="29">
        <f t="shared" si="51"/>
        <v>249421.44101129851</v>
      </c>
      <c r="G99" s="29">
        <f t="shared" si="51"/>
        <v>252781.38823343391</v>
      </c>
      <c r="H99" s="29">
        <f t="shared" si="51"/>
        <v>257095.82272811737</v>
      </c>
      <c r="I99" s="29">
        <f t="shared" si="51"/>
        <v>255984.21223129058</v>
      </c>
      <c r="J99" s="29">
        <f t="shared" si="51"/>
        <v>255753.37018108831</v>
      </c>
      <c r="K99" s="29">
        <f t="shared" si="51"/>
        <v>256382.07533649885</v>
      </c>
      <c r="L99" s="29">
        <f t="shared" si="51"/>
        <v>257837.84134610917</v>
      </c>
      <c r="M99" s="29">
        <f t="shared" si="51"/>
        <v>259123.24434870848</v>
      </c>
      <c r="O99" s="73"/>
      <c r="P99" s="73"/>
      <c r="Q99" s="73"/>
      <c r="R99" s="73"/>
      <c r="S99" s="73"/>
      <c r="T99" s="73"/>
      <c r="U99" s="73"/>
      <c r="V99" s="73"/>
      <c r="W99" s="73"/>
    </row>
    <row r="100" spans="1:23" ht="15.75" customHeight="1" x14ac:dyDescent="0.25">
      <c r="B100" s="31"/>
      <c r="C100" s="29"/>
      <c r="D100" s="29"/>
      <c r="E100" s="29"/>
      <c r="F100" s="29"/>
      <c r="G100" s="29"/>
      <c r="H100" s="29"/>
      <c r="I100" s="29"/>
      <c r="J100" s="29"/>
      <c r="K100" s="29"/>
      <c r="L100" s="29"/>
      <c r="M100" s="29"/>
      <c r="O100" s="73"/>
      <c r="P100" s="73"/>
      <c r="Q100" s="73"/>
      <c r="R100" s="73"/>
      <c r="S100" s="73"/>
      <c r="T100" s="73"/>
      <c r="U100" s="73"/>
      <c r="V100" s="73"/>
      <c r="W100" s="73"/>
    </row>
    <row r="101" spans="1:23" ht="15.75" customHeight="1" x14ac:dyDescent="0.25">
      <c r="B101" s="31" t="s">
        <v>116</v>
      </c>
      <c r="C101" s="29"/>
      <c r="D101" s="29">
        <v>40000</v>
      </c>
      <c r="E101" s="29">
        <v>40000</v>
      </c>
      <c r="F101" s="29">
        <v>40000</v>
      </c>
      <c r="G101" s="29">
        <v>40000</v>
      </c>
      <c r="H101" s="29">
        <v>40000</v>
      </c>
      <c r="I101" s="29">
        <v>40000</v>
      </c>
      <c r="J101" s="29">
        <v>40000</v>
      </c>
      <c r="K101" s="29">
        <v>40000</v>
      </c>
      <c r="L101" s="29">
        <v>40000</v>
      </c>
      <c r="M101" s="29">
        <v>40000</v>
      </c>
      <c r="N101" s="31">
        <f t="shared" ref="N101:N102" si="52">AVERAGE(D101:M101)</f>
        <v>40000</v>
      </c>
      <c r="O101" s="73"/>
      <c r="P101" s="73"/>
      <c r="Q101" s="73"/>
      <c r="R101" s="73"/>
      <c r="S101" s="73"/>
      <c r="T101" s="73"/>
      <c r="U101" s="73"/>
      <c r="V101" s="73"/>
      <c r="W101" s="73"/>
    </row>
    <row r="102" spans="1:23" ht="15.75" customHeight="1" x14ac:dyDescent="0.25">
      <c r="B102" s="31" t="s">
        <v>117</v>
      </c>
      <c r="C102" s="29"/>
      <c r="D102" s="29">
        <f>0+D71</f>
        <v>20731.647448992368</v>
      </c>
      <c r="E102" s="29">
        <f t="shared" ref="E102:M102" si="53">D102+E71</f>
        <v>50325.788767650956</v>
      </c>
      <c r="F102" s="29">
        <f t="shared" si="53"/>
        <v>84246.872244006663</v>
      </c>
      <c r="G102" s="29">
        <f t="shared" si="53"/>
        <v>122570.93315737025</v>
      </c>
      <c r="H102" s="29">
        <f t="shared" si="53"/>
        <v>165354.70918655946</v>
      </c>
      <c r="I102" s="29">
        <f t="shared" si="53"/>
        <v>188639.7802509453</v>
      </c>
      <c r="J102" s="29">
        <f t="shared" si="53"/>
        <v>216198.5946421421</v>
      </c>
      <c r="K102" s="29">
        <f t="shared" si="53"/>
        <v>248000.535961772</v>
      </c>
      <c r="L102" s="29">
        <f t="shared" si="53"/>
        <v>283975.13157801342</v>
      </c>
      <c r="M102" s="29">
        <f t="shared" si="53"/>
        <v>321054.36564287968</v>
      </c>
      <c r="N102" s="31">
        <f t="shared" si="52"/>
        <v>170109.83588803321</v>
      </c>
      <c r="O102" s="73"/>
      <c r="P102" s="73"/>
      <c r="Q102" s="73"/>
      <c r="R102" s="73"/>
      <c r="S102" s="73"/>
      <c r="T102" s="73"/>
      <c r="U102" s="73"/>
      <c r="V102" s="73"/>
      <c r="W102" s="73"/>
    </row>
    <row r="103" spans="1:23" ht="15.75" customHeight="1" x14ac:dyDescent="0.25">
      <c r="B103" s="31"/>
      <c r="C103" s="29"/>
      <c r="D103" s="29"/>
      <c r="E103" s="29"/>
      <c r="F103" s="29"/>
      <c r="G103" s="29"/>
      <c r="H103" s="29"/>
      <c r="I103" s="29"/>
      <c r="J103" s="29"/>
      <c r="K103" s="29"/>
      <c r="L103" s="29"/>
      <c r="M103" s="29"/>
      <c r="N103" s="38">
        <f>SUM(N101:N102)</f>
        <v>210109.83588803321</v>
      </c>
      <c r="O103" s="73"/>
      <c r="P103" s="73"/>
      <c r="Q103" s="73"/>
      <c r="R103" s="73"/>
      <c r="S103" s="73"/>
      <c r="T103" s="73"/>
      <c r="U103" s="73"/>
      <c r="V103" s="73"/>
      <c r="W103" s="73"/>
    </row>
    <row r="104" spans="1:23" ht="15.75" customHeight="1" x14ac:dyDescent="0.25">
      <c r="B104" s="32" t="s">
        <v>118</v>
      </c>
      <c r="C104" s="29"/>
      <c r="D104" s="29">
        <f t="shared" ref="D104:M104" si="54">D99+D102+D101</f>
        <v>325480.00960646884</v>
      </c>
      <c r="E104" s="29">
        <f t="shared" si="54"/>
        <v>337337.94890129939</v>
      </c>
      <c r="F104" s="29">
        <f t="shared" si="54"/>
        <v>373668.31325530517</v>
      </c>
      <c r="G104" s="29">
        <f t="shared" si="54"/>
        <v>415352.32139080414</v>
      </c>
      <c r="H104" s="29">
        <f t="shared" si="54"/>
        <v>462450.53191467683</v>
      </c>
      <c r="I104" s="29">
        <f t="shared" si="54"/>
        <v>484623.99248223589</v>
      </c>
      <c r="J104" s="29">
        <f t="shared" si="54"/>
        <v>511951.9648232304</v>
      </c>
      <c r="K104" s="29">
        <f t="shared" si="54"/>
        <v>544382.61129827087</v>
      </c>
      <c r="L104" s="29">
        <f t="shared" si="54"/>
        <v>581812.97292412259</v>
      </c>
      <c r="M104" s="29">
        <f t="shared" si="54"/>
        <v>620177.60999158816</v>
      </c>
      <c r="O104" s="73"/>
      <c r="P104" s="73"/>
      <c r="Q104" s="73"/>
      <c r="R104" s="73"/>
      <c r="S104" s="73"/>
      <c r="T104" s="73"/>
      <c r="U104" s="73"/>
      <c r="V104" s="73"/>
      <c r="W104" s="73"/>
    </row>
    <row r="105" spans="1:23" ht="15.75" customHeight="1" x14ac:dyDescent="0.25">
      <c r="B105" s="31"/>
      <c r="C105" s="29"/>
      <c r="D105" s="29"/>
      <c r="E105" s="29"/>
      <c r="F105" s="29"/>
      <c r="G105" s="29"/>
      <c r="H105" s="29"/>
      <c r="I105" s="29"/>
      <c r="J105" s="29"/>
      <c r="K105" s="29"/>
      <c r="L105" s="29"/>
      <c r="M105" s="29"/>
      <c r="O105" s="73"/>
      <c r="P105" s="73"/>
      <c r="Q105" s="73"/>
      <c r="R105" s="73"/>
      <c r="S105" s="73"/>
      <c r="T105" s="73"/>
      <c r="U105" s="73"/>
      <c r="V105" s="73"/>
      <c r="W105" s="73"/>
    </row>
    <row r="106" spans="1:23" ht="15.75" customHeight="1" x14ac:dyDescent="0.25">
      <c r="B106" s="39" t="s">
        <v>119</v>
      </c>
      <c r="C106" s="39"/>
      <c r="D106" s="39">
        <f t="shared" ref="D106:M106" si="55">D90-D104</f>
        <v>-0.30352427705656737</v>
      </c>
      <c r="E106" s="39">
        <f t="shared" si="55"/>
        <v>0.26681855117203668</v>
      </c>
      <c r="F106" s="39">
        <f t="shared" si="55"/>
        <v>-0.24584037117892876</v>
      </c>
      <c r="G106" s="39">
        <f t="shared" si="55"/>
        <v>5.3940331097692251E-2</v>
      </c>
      <c r="H106" s="39">
        <f t="shared" si="55"/>
        <v>3.0364833364728838E-2</v>
      </c>
      <c r="I106" s="39">
        <f t="shared" si="55"/>
        <v>0.27972943161148578</v>
      </c>
      <c r="J106" s="39">
        <f t="shared" si="55"/>
        <v>0.4164535659365356</v>
      </c>
      <c r="K106" s="39">
        <f t="shared" si="55"/>
        <v>0.39813327440060675</v>
      </c>
      <c r="L106" s="39">
        <f t="shared" si="55"/>
        <v>-0.44029372732620686</v>
      </c>
      <c r="M106" s="39">
        <f t="shared" si="55"/>
        <v>0.32943556003738195</v>
      </c>
    </row>
    <row r="107" spans="1:23" ht="15.75" customHeight="1" x14ac:dyDescent="0.25">
      <c r="C107" s="9"/>
      <c r="D107" s="9"/>
      <c r="E107" s="9"/>
      <c r="F107" s="9"/>
      <c r="G107" s="9"/>
      <c r="H107" s="9"/>
      <c r="I107" s="9"/>
      <c r="J107" s="9"/>
      <c r="K107" s="9"/>
      <c r="L107" s="9"/>
      <c r="M107" s="9"/>
    </row>
    <row r="108" spans="1:23" ht="15.75" customHeight="1" x14ac:dyDescent="0.25">
      <c r="A108" s="76" t="s">
        <v>120</v>
      </c>
      <c r="B108" s="73"/>
      <c r="C108" s="73"/>
      <c r="D108" s="73"/>
      <c r="E108" s="9"/>
      <c r="F108" s="9"/>
      <c r="G108" s="9"/>
      <c r="H108" s="9"/>
      <c r="I108" s="9"/>
      <c r="J108" s="9"/>
      <c r="K108" s="9"/>
      <c r="L108" s="9"/>
      <c r="M108" s="9"/>
    </row>
    <row r="109" spans="1:23" ht="15.75" customHeight="1" x14ac:dyDescent="0.25">
      <c r="C109" s="9" t="s">
        <v>121</v>
      </c>
      <c r="D109" s="9" t="s">
        <v>11</v>
      </c>
      <c r="E109" s="9" t="s">
        <v>12</v>
      </c>
      <c r="F109" s="9" t="s">
        <v>13</v>
      </c>
      <c r="G109" s="9" t="s">
        <v>14</v>
      </c>
      <c r="H109" s="9" t="s">
        <v>15</v>
      </c>
      <c r="I109" s="9" t="s">
        <v>16</v>
      </c>
      <c r="J109" s="9" t="s">
        <v>17</v>
      </c>
      <c r="K109" s="9" t="s">
        <v>18</v>
      </c>
      <c r="L109" s="9" t="s">
        <v>19</v>
      </c>
      <c r="M109" s="9" t="s">
        <v>20</v>
      </c>
      <c r="N109" s="9"/>
      <c r="O109" s="9"/>
      <c r="P109" s="9"/>
    </row>
    <row r="110" spans="1:23" ht="15.75" customHeight="1" x14ac:dyDescent="0.25">
      <c r="A110" s="9" t="s">
        <v>122</v>
      </c>
      <c r="B110" s="9"/>
      <c r="C110" s="29"/>
      <c r="D110" s="29"/>
      <c r="E110" s="29"/>
      <c r="F110" s="29"/>
      <c r="G110" s="29"/>
      <c r="H110" s="29"/>
      <c r="I110" s="29"/>
      <c r="J110" s="29"/>
      <c r="K110" s="29"/>
      <c r="L110" s="29"/>
      <c r="M110" s="29"/>
    </row>
    <row r="111" spans="1:23" ht="15.75" customHeight="1" x14ac:dyDescent="0.25">
      <c r="B111" s="9" t="s">
        <v>86</v>
      </c>
      <c r="C111" s="29">
        <f t="shared" ref="C111:M111" si="56">C61</f>
        <v>0</v>
      </c>
      <c r="D111" s="29">
        <f t="shared" si="56"/>
        <v>41678.539499999984</v>
      </c>
      <c r="E111" s="29">
        <f t="shared" si="56"/>
        <v>50732.90260479998</v>
      </c>
      <c r="F111" s="29">
        <f t="shared" si="56"/>
        <v>55985.725274523225</v>
      </c>
      <c r="G111" s="29">
        <f t="shared" si="56"/>
        <v>61323.318532023317</v>
      </c>
      <c r="H111" s="29">
        <f t="shared" si="56"/>
        <v>66720.667870204139</v>
      </c>
      <c r="I111" s="29">
        <f t="shared" si="56"/>
        <v>43728.222211188084</v>
      </c>
      <c r="J111" s="29">
        <f t="shared" si="56"/>
        <v>48864.153496786021</v>
      </c>
      <c r="K111" s="29">
        <f t="shared" si="56"/>
        <v>53947.318118602445</v>
      </c>
      <c r="L111" s="29">
        <f t="shared" si="56"/>
        <v>58926.548281572817</v>
      </c>
      <c r="M111" s="29">
        <f t="shared" si="56"/>
        <v>60006.731941309146</v>
      </c>
    </row>
    <row r="112" spans="1:23" ht="15.75" customHeight="1" x14ac:dyDescent="0.25">
      <c r="B112" s="9" t="s">
        <v>123</v>
      </c>
      <c r="C112" s="29">
        <f>C64</f>
        <v>0</v>
      </c>
      <c r="D112" s="29">
        <f t="shared" ref="D112:M112" si="57">D64+D63</f>
        <v>12627.272727272728</v>
      </c>
      <c r="E112" s="29">
        <f t="shared" si="57"/>
        <v>12627.272727272728</v>
      </c>
      <c r="F112" s="29">
        <f t="shared" si="57"/>
        <v>12627.272727272728</v>
      </c>
      <c r="G112" s="29">
        <f t="shared" si="57"/>
        <v>12627.272727272728</v>
      </c>
      <c r="H112" s="29">
        <f t="shared" si="57"/>
        <v>12627.272727272728</v>
      </c>
      <c r="I112" s="29">
        <f t="shared" si="57"/>
        <v>14577.272727272728</v>
      </c>
      <c r="J112" s="29">
        <f t="shared" si="57"/>
        <v>14577.272727272728</v>
      </c>
      <c r="K112" s="29">
        <f t="shared" si="57"/>
        <v>14577.272727272728</v>
      </c>
      <c r="L112" s="29">
        <f t="shared" si="57"/>
        <v>14577.272727272728</v>
      </c>
      <c r="M112" s="29">
        <f t="shared" si="57"/>
        <v>14577.272727272728</v>
      </c>
    </row>
    <row r="113" spans="1:35" ht="15.75" customHeight="1" x14ac:dyDescent="0.25">
      <c r="B113" t="s">
        <v>124</v>
      </c>
      <c r="C113" s="31"/>
      <c r="D113" s="31">
        <f t="shared" ref="D113:M113" si="58">D111-D112</f>
        <v>29051.266772727256</v>
      </c>
      <c r="E113" s="31">
        <f t="shared" si="58"/>
        <v>38105.629877527252</v>
      </c>
      <c r="F113" s="31">
        <f t="shared" si="58"/>
        <v>43358.452547250497</v>
      </c>
      <c r="G113" s="31">
        <f t="shared" si="58"/>
        <v>48696.045804750589</v>
      </c>
      <c r="H113" s="31">
        <f t="shared" si="58"/>
        <v>54093.395142931411</v>
      </c>
      <c r="I113" s="31">
        <f t="shared" si="58"/>
        <v>29150.949483915356</v>
      </c>
      <c r="J113" s="31">
        <f t="shared" si="58"/>
        <v>34286.880769513293</v>
      </c>
      <c r="K113" s="31">
        <f t="shared" si="58"/>
        <v>39370.045391329717</v>
      </c>
      <c r="L113" s="31">
        <f t="shared" si="58"/>
        <v>44349.275554300089</v>
      </c>
      <c r="M113" s="31">
        <f t="shared" si="58"/>
        <v>45429.459214036418</v>
      </c>
    </row>
    <row r="114" spans="1:35" ht="15.75" customHeight="1" x14ac:dyDescent="0.25">
      <c r="B114" t="s">
        <v>125</v>
      </c>
      <c r="C114" s="31"/>
      <c r="D114" s="31">
        <f t="shared" ref="D114:M114" si="59">D113*$D$38</f>
        <v>6100.7660222727236</v>
      </c>
      <c r="E114" s="31">
        <f t="shared" si="59"/>
        <v>8002.1822742807226</v>
      </c>
      <c r="F114" s="31">
        <f t="shared" si="59"/>
        <v>9105.2750349226044</v>
      </c>
      <c r="G114" s="31">
        <f t="shared" si="59"/>
        <v>10226.169618997623</v>
      </c>
      <c r="H114" s="31">
        <f t="shared" si="59"/>
        <v>11359.612980015596</v>
      </c>
      <c r="I114" s="31">
        <f t="shared" si="59"/>
        <v>6121.6993916222245</v>
      </c>
      <c r="J114" s="31">
        <f t="shared" si="59"/>
        <v>7200.2449615977912</v>
      </c>
      <c r="K114" s="31">
        <f t="shared" si="59"/>
        <v>8267.7095321792403</v>
      </c>
      <c r="L114" s="31">
        <f t="shared" si="59"/>
        <v>9313.347866403019</v>
      </c>
      <c r="M114" s="31">
        <f t="shared" si="59"/>
        <v>9540.1864349476473</v>
      </c>
      <c r="S114" s="11" t="s">
        <v>126</v>
      </c>
      <c r="T114" s="23">
        <f>E38</f>
        <v>0.21</v>
      </c>
    </row>
    <row r="115" spans="1:35" ht="15.75" customHeight="1" x14ac:dyDescent="0.25">
      <c r="B115" t="s">
        <v>127</v>
      </c>
      <c r="C115" s="38"/>
      <c r="D115" s="38">
        <f t="shared" ref="D115:M115" si="60">D111-D114</f>
        <v>35577.773477727264</v>
      </c>
      <c r="E115" s="38">
        <f t="shared" si="60"/>
        <v>42730.72033051926</v>
      </c>
      <c r="F115" s="38">
        <f t="shared" si="60"/>
        <v>46880.450239600621</v>
      </c>
      <c r="G115" s="38">
        <f t="shared" si="60"/>
        <v>51097.148913025696</v>
      </c>
      <c r="H115" s="38">
        <f t="shared" si="60"/>
        <v>55361.054890188541</v>
      </c>
      <c r="I115" s="38">
        <f t="shared" si="60"/>
        <v>37606.522819565856</v>
      </c>
      <c r="J115" s="38">
        <f t="shared" si="60"/>
        <v>41663.908535188231</v>
      </c>
      <c r="K115" s="38">
        <f t="shared" si="60"/>
        <v>45679.608586423201</v>
      </c>
      <c r="L115" s="38">
        <f t="shared" si="60"/>
        <v>49613.200415169798</v>
      </c>
      <c r="M115" s="38">
        <f t="shared" si="60"/>
        <v>50466.545506361501</v>
      </c>
    </row>
    <row r="116" spans="1:35" ht="15.75" customHeight="1" x14ac:dyDescent="0.25">
      <c r="C116" s="31"/>
      <c r="D116" s="31"/>
      <c r="E116" s="31"/>
      <c r="F116" s="31"/>
      <c r="G116" s="31"/>
      <c r="H116" s="31"/>
      <c r="I116" s="31"/>
      <c r="J116" s="31"/>
      <c r="K116" s="31"/>
      <c r="L116" s="31"/>
      <c r="M116" s="31"/>
    </row>
    <row r="117" spans="1:35" ht="15.75" customHeight="1" x14ac:dyDescent="0.25">
      <c r="A117" t="s">
        <v>128</v>
      </c>
      <c r="C117" s="31"/>
      <c r="D117" s="31"/>
      <c r="E117" s="31"/>
      <c r="F117" s="31"/>
      <c r="G117" s="31"/>
      <c r="H117" s="31"/>
      <c r="I117" s="31"/>
      <c r="J117" s="31"/>
      <c r="K117" s="31"/>
      <c r="L117" s="31"/>
      <c r="M117" s="31"/>
      <c r="P117" s="11" t="s">
        <v>129</v>
      </c>
      <c r="Q117" s="11" t="s">
        <v>130</v>
      </c>
      <c r="R117" s="11" t="s">
        <v>131</v>
      </c>
      <c r="S117" s="11" t="s">
        <v>132</v>
      </c>
      <c r="T117" s="11" t="s">
        <v>133</v>
      </c>
      <c r="U117" s="11" t="s">
        <v>134</v>
      </c>
      <c r="W117" s="11" t="s">
        <v>129</v>
      </c>
    </row>
    <row r="118" spans="1:35" ht="15.75" customHeight="1" x14ac:dyDescent="0.25">
      <c r="A118" t="s">
        <v>135</v>
      </c>
      <c r="C118" s="31"/>
      <c r="D118" s="31"/>
      <c r="E118" s="31"/>
      <c r="F118" s="31"/>
      <c r="G118" s="31"/>
      <c r="H118" s="31"/>
      <c r="I118" s="31"/>
      <c r="J118" s="31"/>
      <c r="K118" s="31"/>
      <c r="L118" s="31"/>
      <c r="M118" s="31"/>
      <c r="P118" s="31" t="str">
        <f>B96</f>
        <v>Mortgage Loan on Buildings</v>
      </c>
      <c r="Q118" s="40">
        <f>N96</f>
        <v>213150.3690517408</v>
      </c>
      <c r="R118" s="41">
        <f>Q118/$Q$124</f>
        <v>0.50131040544895289</v>
      </c>
      <c r="S118" s="41">
        <f>Mortgage!I3</f>
        <v>0.05</v>
      </c>
      <c r="T118" s="41">
        <f>S118*(1-$T$114)</f>
        <v>3.9500000000000007E-2</v>
      </c>
      <c r="U118" s="42">
        <f>R118*T118</f>
        <v>1.9801761015233642E-2</v>
      </c>
      <c r="W118" s="11" t="s">
        <v>136</v>
      </c>
      <c r="X118" s="43">
        <v>0.9</v>
      </c>
    </row>
    <row r="119" spans="1:35" ht="15.75" customHeight="1" x14ac:dyDescent="0.25">
      <c r="A119" s="11" t="s">
        <v>137</v>
      </c>
      <c r="B119" t="s">
        <v>138</v>
      </c>
      <c r="C119" s="31">
        <f t="shared" ref="C119:M119" si="61">-(D77-C77)</f>
        <v>-9825.478000000001</v>
      </c>
      <c r="D119" s="31">
        <f t="shared" si="61"/>
        <v>-589.52867999999944</v>
      </c>
      <c r="E119" s="31">
        <f t="shared" si="61"/>
        <v>-520.75033400000029</v>
      </c>
      <c r="F119" s="31">
        <f t="shared" si="61"/>
        <v>-546.78785070000049</v>
      </c>
      <c r="G119" s="31">
        <f t="shared" si="61"/>
        <v>-574.12724323500152</v>
      </c>
      <c r="H119" s="31">
        <f t="shared" si="61"/>
        <v>-602.8336053967505</v>
      </c>
      <c r="I119" s="31">
        <f t="shared" si="61"/>
        <v>-632.9752856665873</v>
      </c>
      <c r="J119" s="31">
        <f t="shared" si="61"/>
        <v>-664.62404994991812</v>
      </c>
      <c r="K119" s="31">
        <f t="shared" si="61"/>
        <v>-697.85525244741439</v>
      </c>
      <c r="L119" s="31">
        <f t="shared" si="61"/>
        <v>-461.15969860432779</v>
      </c>
      <c r="M119" s="31">
        <f t="shared" si="61"/>
        <v>15116.12</v>
      </c>
      <c r="O119" t="s">
        <v>139</v>
      </c>
      <c r="P119" s="11"/>
      <c r="Q119" s="41"/>
      <c r="R119" s="41"/>
      <c r="S119" s="41"/>
      <c r="T119" s="41"/>
      <c r="U119" s="41"/>
      <c r="W119" s="11" t="s">
        <v>140</v>
      </c>
      <c r="X119" s="43">
        <f>X118*(1+(1-D38)*((R118+R120)/R122))</f>
        <v>1.6278071488156218</v>
      </c>
    </row>
    <row r="120" spans="1:35" ht="15.75" customHeight="1" x14ac:dyDescent="0.25">
      <c r="A120" s="11" t="s">
        <v>137</v>
      </c>
      <c r="B120" t="s">
        <v>98</v>
      </c>
      <c r="C120" s="31">
        <f t="shared" ref="C120:M120" si="62">-(D78-C78)</f>
        <v>0</v>
      </c>
      <c r="D120" s="31">
        <f t="shared" si="62"/>
        <v>-22483</v>
      </c>
      <c r="E120" s="31">
        <f t="shared" si="62"/>
        <v>-47188</v>
      </c>
      <c r="F120" s="31">
        <f t="shared" si="62"/>
        <v>-52454</v>
      </c>
      <c r="G120" s="31">
        <f t="shared" si="62"/>
        <v>-57775</v>
      </c>
      <c r="H120" s="31">
        <f t="shared" si="62"/>
        <v>-15203</v>
      </c>
      <c r="I120" s="31">
        <f t="shared" si="62"/>
        <v>-39755</v>
      </c>
      <c r="J120" s="31">
        <f t="shared" si="62"/>
        <v>-44750</v>
      </c>
      <c r="K120" s="31">
        <f t="shared" si="62"/>
        <v>-49636</v>
      </c>
      <c r="L120" s="31">
        <f t="shared" si="62"/>
        <v>-51376</v>
      </c>
      <c r="M120" s="31">
        <f t="shared" si="62"/>
        <v>380620</v>
      </c>
      <c r="O120" t="s">
        <v>139</v>
      </c>
      <c r="P120" s="11" t="s">
        <v>114</v>
      </c>
      <c r="Q120" s="40">
        <f>N97</f>
        <v>1926.2</v>
      </c>
      <c r="R120" s="41">
        <f>Q120/$Q$124</f>
        <v>4.5302483278430285E-3</v>
      </c>
      <c r="S120" s="41">
        <v>0.08</v>
      </c>
      <c r="T120" s="41">
        <f>S120*(1-$T$114)</f>
        <v>6.3200000000000006E-2</v>
      </c>
      <c r="U120" s="44">
        <f>T120*R120</f>
        <v>2.8631169431967942E-4</v>
      </c>
      <c r="W120" s="11" t="s">
        <v>141</v>
      </c>
      <c r="X120" s="41">
        <v>2.9600000000000001E-2</v>
      </c>
    </row>
    <row r="121" spans="1:35" ht="15.75" customHeight="1" x14ac:dyDescent="0.25">
      <c r="A121" s="11" t="s">
        <v>137</v>
      </c>
      <c r="B121" t="s">
        <v>99</v>
      </c>
      <c r="C121" s="31">
        <f t="shared" ref="C121:M121" si="63">-(D79-C79)</f>
        <v>-17497.426575342466</v>
      </c>
      <c r="D121" s="31">
        <f t="shared" si="63"/>
        <v>-1049.8455945205496</v>
      </c>
      <c r="E121" s="31">
        <f t="shared" si="63"/>
        <v>-927.36360849314951</v>
      </c>
      <c r="F121" s="31">
        <f t="shared" si="63"/>
        <v>-973.73178891780844</v>
      </c>
      <c r="G121" s="31">
        <f t="shared" si="63"/>
        <v>-1022.4183783637054</v>
      </c>
      <c r="H121" s="31">
        <f t="shared" si="63"/>
        <v>-1073.5392972818809</v>
      </c>
      <c r="I121" s="31">
        <f t="shared" si="63"/>
        <v>-1127.2162621459793</v>
      </c>
      <c r="J121" s="31">
        <f t="shared" si="63"/>
        <v>-1183.5770752532771</v>
      </c>
      <c r="K121" s="31">
        <f t="shared" si="63"/>
        <v>-1242.7559290159443</v>
      </c>
      <c r="L121" s="31">
        <f t="shared" si="63"/>
        <v>-821.24329888441571</v>
      </c>
      <c r="M121" s="31">
        <f t="shared" si="63"/>
        <v>26919.117808219176</v>
      </c>
      <c r="O121" t="s">
        <v>139</v>
      </c>
      <c r="P121" s="11"/>
      <c r="Q121" s="41"/>
      <c r="R121" s="41"/>
      <c r="S121" s="41"/>
      <c r="T121" s="41"/>
      <c r="U121" s="41"/>
      <c r="W121" s="11" t="s">
        <v>142</v>
      </c>
      <c r="X121" s="41">
        <v>0.11840000000000001</v>
      </c>
    </row>
    <row r="122" spans="1:35" ht="15.75" customHeight="1" x14ac:dyDescent="0.25">
      <c r="A122" s="11" t="s">
        <v>137</v>
      </c>
      <c r="B122" t="s">
        <v>100</v>
      </c>
      <c r="C122" s="31">
        <f t="shared" ref="C122:M122" si="64">-(D80-C80)</f>
        <v>-6056.8015068493141</v>
      </c>
      <c r="D122" s="31">
        <f t="shared" si="64"/>
        <v>-363.40809041096054</v>
      </c>
      <c r="E122" s="31">
        <f t="shared" si="64"/>
        <v>-321.01047986301364</v>
      </c>
      <c r="F122" s="31">
        <f t="shared" si="64"/>
        <v>-337.06100385616446</v>
      </c>
      <c r="G122" s="31">
        <f t="shared" si="64"/>
        <v>-353.91405404897432</v>
      </c>
      <c r="H122" s="31">
        <f t="shared" si="64"/>
        <v>-371.60975675142072</v>
      </c>
      <c r="I122" s="31">
        <f t="shared" si="64"/>
        <v>-390.19024458899185</v>
      </c>
      <c r="J122" s="31">
        <f t="shared" si="64"/>
        <v>-409.69975681844335</v>
      </c>
      <c r="K122" s="31">
        <f t="shared" si="64"/>
        <v>-430.18474465936561</v>
      </c>
      <c r="L122" s="31">
        <f t="shared" si="64"/>
        <v>-284.27652653691257</v>
      </c>
      <c r="M122" s="31">
        <f t="shared" si="64"/>
        <v>9318.1561643835612</v>
      </c>
      <c r="O122" t="s">
        <v>139</v>
      </c>
      <c r="P122" s="11" t="s">
        <v>143</v>
      </c>
      <c r="Q122" s="40">
        <f>N103</f>
        <v>210109.83588803321</v>
      </c>
      <c r="R122" s="41">
        <f>Q122/$Q$124</f>
        <v>0.49415934622320401</v>
      </c>
      <c r="S122" s="41">
        <f>X123</f>
        <v>0.13605858753254169</v>
      </c>
      <c r="T122" s="41">
        <f>S122</f>
        <v>0.13605858753254169</v>
      </c>
      <c r="U122" s="41">
        <f>T122*R122</f>
        <v>6.7234622663133375E-2</v>
      </c>
      <c r="W122" s="11" t="s">
        <v>144</v>
      </c>
      <c r="X122" s="41">
        <v>9.5000000000000001E-2</v>
      </c>
    </row>
    <row r="123" spans="1:35" ht="15.75" customHeight="1" x14ac:dyDescent="0.25">
      <c r="A123" s="11" t="s">
        <v>145</v>
      </c>
      <c r="B123" t="s">
        <v>146</v>
      </c>
      <c r="C123" s="31">
        <f t="shared" ref="C123:M123" si="65">(D93-C93)</f>
        <v>6056.8015068493141</v>
      </c>
      <c r="D123" s="31">
        <f t="shared" si="65"/>
        <v>363.40809041096054</v>
      </c>
      <c r="E123" s="31">
        <f t="shared" si="65"/>
        <v>321.01047986301364</v>
      </c>
      <c r="F123" s="31">
        <f t="shared" si="65"/>
        <v>337.06100385616446</v>
      </c>
      <c r="G123" s="31">
        <f t="shared" si="65"/>
        <v>353.91405404897432</v>
      </c>
      <c r="H123" s="31">
        <f t="shared" si="65"/>
        <v>371.60975675142072</v>
      </c>
      <c r="I123" s="31">
        <f t="shared" si="65"/>
        <v>390.19024458899185</v>
      </c>
      <c r="J123" s="31">
        <f t="shared" si="65"/>
        <v>409.69975681844335</v>
      </c>
      <c r="K123" s="31">
        <f t="shared" si="65"/>
        <v>430.18474465936561</v>
      </c>
      <c r="L123" s="31">
        <f t="shared" si="65"/>
        <v>284.27652653691257</v>
      </c>
      <c r="M123" s="31">
        <f t="shared" si="65"/>
        <v>-9318.1561643835612</v>
      </c>
      <c r="O123" t="s">
        <v>139</v>
      </c>
      <c r="Q123" s="41"/>
      <c r="R123" s="41"/>
      <c r="U123" s="41"/>
      <c r="V123" s="11"/>
      <c r="W123" s="11" t="s">
        <v>147</v>
      </c>
      <c r="X123" s="45">
        <f>X120+X119*(X122-X120)</f>
        <v>0.13605858753254169</v>
      </c>
    </row>
    <row r="124" spans="1:35" ht="15.75" customHeight="1" x14ac:dyDescent="0.25">
      <c r="A124" s="11" t="s">
        <v>145</v>
      </c>
      <c r="B124" t="s">
        <v>112</v>
      </c>
      <c r="C124" s="31">
        <f t="shared" ref="C124:M124" si="66">(D114-C114)</f>
        <v>6100.7660222727236</v>
      </c>
      <c r="D124" s="31">
        <f t="shared" si="66"/>
        <v>1901.416252007999</v>
      </c>
      <c r="E124" s="31">
        <f t="shared" si="66"/>
        <v>1103.0927606418818</v>
      </c>
      <c r="F124" s="31">
        <f t="shared" si="66"/>
        <v>1120.8945840750184</v>
      </c>
      <c r="G124" s="31">
        <f t="shared" si="66"/>
        <v>1133.4433610179731</v>
      </c>
      <c r="H124" s="31">
        <f t="shared" si="66"/>
        <v>-5237.9135883933714</v>
      </c>
      <c r="I124" s="31">
        <f t="shared" si="66"/>
        <v>1078.5455699755667</v>
      </c>
      <c r="J124" s="31">
        <f t="shared" si="66"/>
        <v>1067.4645705814492</v>
      </c>
      <c r="K124" s="31">
        <f t="shared" si="66"/>
        <v>1045.6383342237787</v>
      </c>
      <c r="L124" s="31">
        <f t="shared" si="66"/>
        <v>226.83856854462829</v>
      </c>
      <c r="M124" s="31">
        <f t="shared" si="66"/>
        <v>-9540.1864349476473</v>
      </c>
      <c r="O124" t="s">
        <v>139</v>
      </c>
      <c r="P124" s="11" t="s">
        <v>148</v>
      </c>
      <c r="Q124" s="17">
        <f>SUM(Q118:Q123)</f>
        <v>425186.40493977402</v>
      </c>
      <c r="R124" s="41">
        <f>Q124/$Q$124</f>
        <v>1</v>
      </c>
      <c r="T124" s="11" t="s">
        <v>142</v>
      </c>
      <c r="U124" s="45">
        <f>SUM(U118:U122)</f>
        <v>8.7322695372686693E-2</v>
      </c>
      <c r="V124" s="11"/>
    </row>
    <row r="125" spans="1:35" ht="15.75" customHeight="1" x14ac:dyDescent="0.25">
      <c r="C125" s="31"/>
      <c r="D125" s="31"/>
      <c r="E125" s="31"/>
      <c r="F125" s="31"/>
      <c r="G125" s="31"/>
      <c r="H125" s="31"/>
      <c r="I125" s="31"/>
      <c r="J125" s="31"/>
      <c r="K125" s="31"/>
      <c r="L125" s="31"/>
      <c r="M125" s="31"/>
    </row>
    <row r="126" spans="1:35" ht="15.75" customHeight="1" x14ac:dyDescent="0.25">
      <c r="A126" t="s">
        <v>149</v>
      </c>
      <c r="C126" s="31"/>
      <c r="D126" s="31"/>
      <c r="E126" s="31"/>
      <c r="F126" s="31"/>
      <c r="G126" s="31"/>
      <c r="H126" s="31"/>
      <c r="I126" s="31"/>
      <c r="J126" s="31"/>
      <c r="K126" s="31"/>
      <c r="L126" s="31"/>
      <c r="M126" s="31"/>
      <c r="AI126" s="11"/>
    </row>
    <row r="127" spans="1:35" ht="15.75" customHeight="1" x14ac:dyDescent="0.25">
      <c r="B127" t="s">
        <v>150</v>
      </c>
      <c r="C127" s="31">
        <f t="shared" ref="C127:M127" si="67">-(D83-C83)</f>
        <v>-45000</v>
      </c>
      <c r="D127" s="31">
        <f t="shared" si="67"/>
        <v>0</v>
      </c>
      <c r="E127" s="31">
        <f t="shared" si="67"/>
        <v>0</v>
      </c>
      <c r="F127" s="31">
        <f t="shared" si="67"/>
        <v>0</v>
      </c>
      <c r="G127" s="31">
        <f t="shared" si="67"/>
        <v>0</v>
      </c>
      <c r="H127" s="31">
        <f t="shared" si="67"/>
        <v>0</v>
      </c>
      <c r="I127" s="31">
        <f t="shared" si="67"/>
        <v>0</v>
      </c>
      <c r="J127" s="31">
        <f t="shared" si="67"/>
        <v>0</v>
      </c>
      <c r="K127" s="31">
        <f t="shared" si="67"/>
        <v>0</v>
      </c>
      <c r="L127" s="31">
        <f t="shared" si="67"/>
        <v>0</v>
      </c>
      <c r="M127" s="31">
        <f t="shared" si="67"/>
        <v>45000</v>
      </c>
      <c r="R127" s="74" t="s">
        <v>151</v>
      </c>
      <c r="S127" s="73"/>
      <c r="T127" s="73"/>
      <c r="U127" s="73"/>
      <c r="V127" s="73"/>
      <c r="W127" s="73"/>
      <c r="X127" s="73"/>
      <c r="Y127" s="73"/>
      <c r="Z127" s="73"/>
    </row>
    <row r="128" spans="1:35" ht="15.75" customHeight="1" x14ac:dyDescent="0.25">
      <c r="B128" t="s">
        <v>152</v>
      </c>
      <c r="C128" s="31"/>
      <c r="D128" s="31"/>
      <c r="E128" s="31"/>
      <c r="F128" s="31"/>
      <c r="G128" s="31"/>
      <c r="H128" s="31"/>
      <c r="I128" s="31"/>
      <c r="J128" s="31"/>
      <c r="K128" s="31"/>
      <c r="L128" s="31"/>
      <c r="M128" s="46">
        <v>3000</v>
      </c>
      <c r="N128" s="17"/>
      <c r="O128" s="17" t="s">
        <v>153</v>
      </c>
      <c r="P128" s="17">
        <f>M83</f>
        <v>45000</v>
      </c>
      <c r="R128" s="73"/>
      <c r="S128" s="73"/>
      <c r="T128" s="73"/>
      <c r="U128" s="73"/>
      <c r="V128" s="73"/>
      <c r="W128" s="73"/>
      <c r="X128" s="73"/>
      <c r="Y128" s="73"/>
      <c r="Z128" s="73"/>
    </row>
    <row r="129" spans="1:26" ht="15.75" customHeight="1" x14ac:dyDescent="0.25">
      <c r="B129" t="s">
        <v>154</v>
      </c>
      <c r="C129" s="31"/>
      <c r="D129" s="31"/>
      <c r="E129" s="31"/>
      <c r="F129" s="31"/>
      <c r="G129" s="31"/>
      <c r="H129" s="31"/>
      <c r="I129" s="31"/>
      <c r="J129" s="31"/>
      <c r="K129" s="31"/>
      <c r="L129" s="31"/>
      <c r="M129" s="31">
        <f>-(P129*M38)</f>
        <v>-630</v>
      </c>
      <c r="N129" s="17"/>
      <c r="O129" s="17" t="s">
        <v>155</v>
      </c>
      <c r="P129" s="17">
        <f>M127+M128-P128</f>
        <v>3000</v>
      </c>
      <c r="R129" s="73"/>
      <c r="S129" s="73"/>
      <c r="T129" s="73"/>
      <c r="U129" s="73"/>
      <c r="V129" s="73"/>
      <c r="W129" s="73"/>
      <c r="X129" s="73"/>
      <c r="Y129" s="73"/>
      <c r="Z129" s="73"/>
    </row>
    <row r="130" spans="1:26" ht="15.75" customHeight="1" x14ac:dyDescent="0.25">
      <c r="C130" s="31"/>
      <c r="D130" s="31"/>
      <c r="E130" s="31"/>
      <c r="F130" s="31"/>
      <c r="G130" s="31"/>
      <c r="H130" s="31"/>
      <c r="I130" s="31"/>
      <c r="J130" s="31"/>
      <c r="K130" s="31"/>
      <c r="L130" s="31"/>
      <c r="M130" s="31"/>
      <c r="N130" s="17"/>
      <c r="O130" s="17"/>
      <c r="P130" s="17"/>
      <c r="R130" s="73"/>
      <c r="S130" s="73"/>
      <c r="T130" s="73"/>
      <c r="U130" s="73"/>
      <c r="V130" s="73"/>
      <c r="W130" s="73"/>
      <c r="X130" s="73"/>
      <c r="Y130" s="73"/>
      <c r="Z130" s="73"/>
    </row>
    <row r="131" spans="1:26" ht="15.75" customHeight="1" x14ac:dyDescent="0.25">
      <c r="B131" t="s">
        <v>156</v>
      </c>
      <c r="C131" s="31">
        <f t="shared" ref="C131:M131" si="68">-(D84-C84)</f>
        <v>-220000</v>
      </c>
      <c r="D131" s="31">
        <f t="shared" si="68"/>
        <v>0</v>
      </c>
      <c r="E131" s="31">
        <f t="shared" si="68"/>
        <v>0</v>
      </c>
      <c r="F131" s="31">
        <f t="shared" si="68"/>
        <v>0</v>
      </c>
      <c r="G131" s="31">
        <f t="shared" si="68"/>
        <v>0</v>
      </c>
      <c r="H131" s="31">
        <f t="shared" si="68"/>
        <v>0</v>
      </c>
      <c r="I131" s="31">
        <f t="shared" si="68"/>
        <v>0</v>
      </c>
      <c r="J131" s="31">
        <f t="shared" si="68"/>
        <v>0</v>
      </c>
      <c r="K131" s="31">
        <f t="shared" si="68"/>
        <v>0</v>
      </c>
      <c r="L131" s="31">
        <f t="shared" si="68"/>
        <v>0</v>
      </c>
      <c r="M131" s="31">
        <f t="shared" si="68"/>
        <v>220000</v>
      </c>
      <c r="N131" s="17"/>
      <c r="O131" s="17"/>
      <c r="P131" s="17"/>
      <c r="R131" s="73"/>
      <c r="S131" s="73"/>
      <c r="T131" s="73"/>
      <c r="U131" s="73"/>
      <c r="V131" s="73"/>
      <c r="W131" s="73"/>
      <c r="X131" s="73"/>
      <c r="Y131" s="73"/>
      <c r="Z131" s="73"/>
    </row>
    <row r="132" spans="1:26" ht="15.75" customHeight="1" x14ac:dyDescent="0.25">
      <c r="B132" t="s">
        <v>152</v>
      </c>
      <c r="C132" s="31"/>
      <c r="D132" s="31"/>
      <c r="E132" s="31"/>
      <c r="F132" s="31"/>
      <c r="G132" s="31"/>
      <c r="H132" s="31"/>
      <c r="I132" s="31"/>
      <c r="J132" s="31"/>
      <c r="K132" s="31"/>
      <c r="L132" s="31"/>
      <c r="M132" s="46">
        <v>15000</v>
      </c>
      <c r="N132" s="17"/>
      <c r="O132" s="17" t="s">
        <v>153</v>
      </c>
      <c r="P132" s="17">
        <f>M84-M86</f>
        <v>133454.54545454544</v>
      </c>
      <c r="R132" s="73"/>
      <c r="S132" s="73"/>
      <c r="T132" s="73"/>
      <c r="U132" s="73"/>
      <c r="V132" s="73"/>
      <c r="W132" s="73"/>
      <c r="X132" s="73"/>
      <c r="Y132" s="73"/>
      <c r="Z132" s="73"/>
    </row>
    <row r="133" spans="1:26" ht="15.75" customHeight="1" x14ac:dyDescent="0.25">
      <c r="B133" t="s">
        <v>154</v>
      </c>
      <c r="C133" s="31"/>
      <c r="D133" s="31"/>
      <c r="E133" s="31"/>
      <c r="F133" s="31"/>
      <c r="G133" s="31"/>
      <c r="H133" s="31"/>
      <c r="I133" s="31"/>
      <c r="J133" s="31"/>
      <c r="K133" s="31"/>
      <c r="L133" s="31"/>
      <c r="M133" s="31">
        <f>-(P133*M38)</f>
        <v>-21324.545454545456</v>
      </c>
      <c r="N133" s="17"/>
      <c r="O133" s="17" t="s">
        <v>155</v>
      </c>
      <c r="P133" s="17">
        <f>M131+M132-P132</f>
        <v>101545.45454545456</v>
      </c>
      <c r="R133" s="73"/>
      <c r="S133" s="73"/>
      <c r="T133" s="73"/>
      <c r="U133" s="73"/>
      <c r="V133" s="73"/>
      <c r="W133" s="73"/>
      <c r="X133" s="73"/>
      <c r="Y133" s="73"/>
      <c r="Z133" s="73"/>
    </row>
    <row r="134" spans="1:26" ht="15.75" customHeight="1" x14ac:dyDescent="0.25">
      <c r="C134" s="31"/>
      <c r="D134" s="31"/>
      <c r="E134" s="31"/>
      <c r="F134" s="31"/>
      <c r="G134" s="31"/>
      <c r="H134" s="31"/>
      <c r="I134" s="31"/>
      <c r="J134" s="31"/>
      <c r="K134" s="31"/>
      <c r="L134" s="31"/>
      <c r="M134" s="31"/>
      <c r="R134" s="73"/>
      <c r="S134" s="73"/>
      <c r="T134" s="73"/>
      <c r="U134" s="73"/>
      <c r="V134" s="73"/>
      <c r="W134" s="73"/>
      <c r="X134" s="73"/>
      <c r="Y134" s="73"/>
      <c r="Z134" s="73"/>
    </row>
    <row r="135" spans="1:26" ht="15.75" customHeight="1" x14ac:dyDescent="0.25">
      <c r="B135" s="11" t="s">
        <v>104</v>
      </c>
      <c r="C135" s="31">
        <f t="shared" ref="C135:M135" si="69">-(D85-C85)</f>
        <v>-39000</v>
      </c>
      <c r="D135" s="31">
        <f t="shared" si="69"/>
        <v>0</v>
      </c>
      <c r="E135" s="31">
        <f t="shared" si="69"/>
        <v>0</v>
      </c>
      <c r="F135" s="31">
        <f t="shared" si="69"/>
        <v>0</v>
      </c>
      <c r="G135" s="31">
        <f t="shared" si="69"/>
        <v>0</v>
      </c>
      <c r="H135" s="31">
        <f t="shared" si="69"/>
        <v>-19500</v>
      </c>
      <c r="I135" s="31">
        <f t="shared" si="69"/>
        <v>0</v>
      </c>
      <c r="J135" s="31">
        <f t="shared" si="69"/>
        <v>0</v>
      </c>
      <c r="K135" s="31">
        <f t="shared" si="69"/>
        <v>0</v>
      </c>
      <c r="L135" s="31">
        <f t="shared" si="69"/>
        <v>0</v>
      </c>
      <c r="M135" s="31">
        <f t="shared" si="69"/>
        <v>58500</v>
      </c>
      <c r="N135" s="17"/>
      <c r="O135" s="17"/>
      <c r="P135" s="17"/>
      <c r="R135" s="73"/>
      <c r="S135" s="73"/>
      <c r="T135" s="73"/>
      <c r="U135" s="73"/>
      <c r="V135" s="73"/>
      <c r="W135" s="73"/>
      <c r="X135" s="73"/>
      <c r="Y135" s="73"/>
      <c r="Z135" s="73"/>
    </row>
    <row r="136" spans="1:26" ht="15.75" customHeight="1" x14ac:dyDescent="0.25">
      <c r="B136" t="s">
        <v>152</v>
      </c>
      <c r="C136" s="31"/>
      <c r="D136" s="31"/>
      <c r="E136" s="31"/>
      <c r="F136" s="31"/>
      <c r="G136" s="31"/>
      <c r="H136" s="31"/>
      <c r="I136" s="31"/>
      <c r="J136" s="31"/>
      <c r="K136" s="31"/>
      <c r="L136" s="31"/>
      <c r="M136" s="46">
        <v>-2500</v>
      </c>
      <c r="N136" s="17"/>
      <c r="O136" s="17" t="s">
        <v>153</v>
      </c>
      <c r="P136" s="17">
        <f>M85-M87</f>
        <v>9750</v>
      </c>
      <c r="R136" s="73"/>
      <c r="S136" s="73"/>
      <c r="T136" s="73"/>
      <c r="U136" s="73"/>
      <c r="V136" s="73"/>
      <c r="W136" s="73"/>
      <c r="X136" s="73"/>
      <c r="Y136" s="73"/>
      <c r="Z136" s="73"/>
    </row>
    <row r="137" spans="1:26" ht="15.75" customHeight="1" x14ac:dyDescent="0.25">
      <c r="B137" t="s">
        <v>154</v>
      </c>
      <c r="C137" s="31"/>
      <c r="D137" s="31"/>
      <c r="E137" s="31"/>
      <c r="F137" s="31"/>
      <c r="G137" s="31"/>
      <c r="H137" s="31"/>
      <c r="I137" s="31"/>
      <c r="J137" s="31"/>
      <c r="K137" s="31"/>
      <c r="L137" s="31"/>
      <c r="M137" s="31">
        <f>-(P137*M38)</f>
        <v>-9712.5</v>
      </c>
      <c r="N137" s="17"/>
      <c r="O137" s="17" t="s">
        <v>155</v>
      </c>
      <c r="P137" s="17">
        <f>M135+M136-P136</f>
        <v>46250</v>
      </c>
      <c r="R137" s="73"/>
      <c r="S137" s="73"/>
      <c r="T137" s="73"/>
      <c r="U137" s="73"/>
      <c r="V137" s="73"/>
      <c r="W137" s="73"/>
      <c r="X137" s="73"/>
      <c r="Y137" s="73"/>
      <c r="Z137" s="73"/>
    </row>
    <row r="138" spans="1:26" ht="15.75" customHeight="1" x14ac:dyDescent="0.25">
      <c r="C138" s="31"/>
      <c r="D138" s="31"/>
      <c r="E138" s="31"/>
      <c r="F138" s="31"/>
      <c r="G138" s="31"/>
      <c r="H138" s="31"/>
      <c r="I138" s="31"/>
      <c r="J138" s="31"/>
      <c r="K138" s="31"/>
      <c r="L138" s="31"/>
      <c r="M138" s="31"/>
      <c r="R138" s="73"/>
      <c r="S138" s="73"/>
      <c r="T138" s="73"/>
      <c r="U138" s="73"/>
      <c r="V138" s="73"/>
      <c r="W138" s="73"/>
      <c r="X138" s="73"/>
      <c r="Y138" s="73"/>
      <c r="Z138" s="73"/>
    </row>
    <row r="139" spans="1:26" ht="15.75" customHeight="1" x14ac:dyDescent="0.25">
      <c r="A139" t="s">
        <v>157</v>
      </c>
      <c r="C139" s="31">
        <v>-5718.65</v>
      </c>
      <c r="D139" s="31"/>
      <c r="E139" s="31"/>
      <c r="F139" s="31"/>
      <c r="G139" s="31"/>
      <c r="H139" s="31"/>
      <c r="I139" s="31"/>
      <c r="J139" s="31"/>
      <c r="K139" s="31"/>
      <c r="L139" s="31"/>
      <c r="M139" s="31"/>
      <c r="R139" s="73"/>
      <c r="S139" s="73"/>
      <c r="T139" s="73"/>
      <c r="U139" s="73"/>
      <c r="V139" s="73"/>
      <c r="W139" s="73"/>
      <c r="X139" s="73"/>
      <c r="Y139" s="73"/>
      <c r="Z139" s="73"/>
    </row>
    <row r="140" spans="1:26" ht="15.75" customHeight="1" x14ac:dyDescent="0.25">
      <c r="C140" s="31"/>
      <c r="D140" s="31"/>
      <c r="E140" s="31"/>
      <c r="F140" s="31"/>
      <c r="G140" s="31"/>
      <c r="H140" s="31"/>
      <c r="I140" s="31"/>
      <c r="J140" s="31"/>
      <c r="K140" s="31"/>
      <c r="L140" s="31"/>
      <c r="M140" s="31"/>
      <c r="R140" s="73"/>
      <c r="S140" s="73"/>
      <c r="T140" s="73"/>
      <c r="U140" s="73"/>
      <c r="V140" s="73"/>
      <c r="W140" s="73"/>
      <c r="X140" s="73"/>
      <c r="Y140" s="73"/>
      <c r="Z140" s="73"/>
    </row>
    <row r="141" spans="1:26" ht="15.75" customHeight="1" x14ac:dyDescent="0.25">
      <c r="A141" t="s">
        <v>158</v>
      </c>
      <c r="C141" s="31">
        <f t="shared" ref="C141:M141" si="70">SUM(C115:C140)</f>
        <v>-330940.78855306975</v>
      </c>
      <c r="D141" s="31">
        <f t="shared" si="70"/>
        <v>13356.815455214717</v>
      </c>
      <c r="E141" s="31">
        <f t="shared" si="70"/>
        <v>-4802.3008513320119</v>
      </c>
      <c r="F141" s="31">
        <f t="shared" si="70"/>
        <v>-5973.1748159421677</v>
      </c>
      <c r="G141" s="31">
        <f t="shared" si="70"/>
        <v>-7140.9533475550379</v>
      </c>
      <c r="H141" s="31">
        <f t="shared" si="70"/>
        <v>13743.76839911654</v>
      </c>
      <c r="I141" s="31">
        <f t="shared" si="70"/>
        <v>-2830.1231582711434</v>
      </c>
      <c r="J141" s="31">
        <f t="shared" si="70"/>
        <v>-3866.8280194335148</v>
      </c>
      <c r="K141" s="31">
        <f t="shared" si="70"/>
        <v>-4851.3642608163791</v>
      </c>
      <c r="L141" s="31">
        <f t="shared" si="70"/>
        <v>-2818.3640137743187</v>
      </c>
      <c r="M141" s="31">
        <f t="shared" si="70"/>
        <v>770914.55142508761</v>
      </c>
    </row>
    <row r="142" spans="1:26" ht="15.75" customHeight="1" x14ac:dyDescent="0.25">
      <c r="A142" t="s">
        <v>142</v>
      </c>
      <c r="C142" s="47">
        <f>U124</f>
        <v>8.7322695372686693E-2</v>
      </c>
      <c r="R142" s="74" t="s">
        <v>159</v>
      </c>
      <c r="S142" s="73"/>
      <c r="T142" s="73"/>
      <c r="U142" s="73"/>
      <c r="V142" s="73"/>
      <c r="W142" s="73"/>
      <c r="X142" s="73"/>
      <c r="Y142" s="73"/>
      <c r="Z142" s="73"/>
    </row>
    <row r="143" spans="1:26" ht="15.75" customHeight="1" x14ac:dyDescent="0.25">
      <c r="A143" t="s">
        <v>22</v>
      </c>
      <c r="C143" s="47">
        <f>IRR(C141:M141)</f>
        <v>8.8199302404176061E-2</v>
      </c>
      <c r="R143" s="73"/>
      <c r="S143" s="73"/>
      <c r="T143" s="73"/>
      <c r="U143" s="73"/>
      <c r="V143" s="73"/>
      <c r="W143" s="73"/>
      <c r="X143" s="73"/>
      <c r="Y143" s="73"/>
      <c r="Z143" s="73"/>
    </row>
    <row r="144" spans="1:26" ht="15.75" customHeight="1" x14ac:dyDescent="0.25">
      <c r="A144" t="s">
        <v>46</v>
      </c>
      <c r="C144" s="48">
        <f t="array" ref="C144">NPV(C142,D141:M141)+C141</f>
        <v>2644.9705938894767</v>
      </c>
      <c r="R144" s="73"/>
      <c r="S144" s="73"/>
      <c r="T144" s="73"/>
      <c r="U144" s="73"/>
      <c r="V144" s="73"/>
      <c r="W144" s="73"/>
      <c r="X144" s="73"/>
      <c r="Y144" s="73"/>
      <c r="Z144" s="73"/>
    </row>
    <row r="145" spans="1:26" ht="15.75" customHeight="1" x14ac:dyDescent="0.25">
      <c r="R145" s="73"/>
      <c r="S145" s="73"/>
      <c r="T145" s="73"/>
      <c r="U145" s="73"/>
      <c r="V145" s="73"/>
      <c r="W145" s="73"/>
      <c r="X145" s="73"/>
      <c r="Y145" s="73"/>
      <c r="Z145" s="73"/>
    </row>
    <row r="146" spans="1:26" ht="15.75" customHeight="1" x14ac:dyDescent="0.25"/>
    <row r="147" spans="1:26" ht="15.75" customHeight="1" x14ac:dyDescent="0.25">
      <c r="A147" s="77" t="s">
        <v>160</v>
      </c>
      <c r="B147" s="73"/>
    </row>
    <row r="148" spans="1:26" ht="15.75" customHeight="1" x14ac:dyDescent="0.25">
      <c r="A148" s="73"/>
      <c r="B148" s="73"/>
    </row>
    <row r="149" spans="1:26" ht="15.75" customHeight="1" x14ac:dyDescent="0.25"/>
    <row r="150" spans="1:26" ht="15.75" customHeight="1" x14ac:dyDescent="0.25">
      <c r="C150" s="11">
        <v>0</v>
      </c>
      <c r="D150" s="11">
        <v>1</v>
      </c>
      <c r="E150" s="11">
        <v>2</v>
      </c>
      <c r="F150" s="11">
        <v>3</v>
      </c>
      <c r="G150" s="11">
        <v>4</v>
      </c>
      <c r="H150" s="11">
        <v>5</v>
      </c>
      <c r="I150" s="11">
        <v>6</v>
      </c>
      <c r="J150" s="11">
        <v>7</v>
      </c>
      <c r="K150" s="11">
        <v>8</v>
      </c>
      <c r="L150" s="11">
        <v>9</v>
      </c>
      <c r="M150" s="11">
        <v>10</v>
      </c>
    </row>
    <row r="151" spans="1:26" ht="15.75" customHeight="1" x14ac:dyDescent="0.25">
      <c r="B151" t="s">
        <v>158</v>
      </c>
      <c r="C151" s="31">
        <v>-330940.78855306975</v>
      </c>
      <c r="D151" s="31">
        <v>13356.815455214717</v>
      </c>
      <c r="E151" s="31">
        <v>-4802.3008513320119</v>
      </c>
      <c r="F151" s="31">
        <v>-5973.1748159421677</v>
      </c>
      <c r="G151" s="31">
        <v>-7140.9533475550379</v>
      </c>
      <c r="H151" s="31">
        <v>13743.76839911654</v>
      </c>
      <c r="I151" s="31">
        <v>-2830.1231582711434</v>
      </c>
      <c r="J151" s="31">
        <v>-3866.8280194335148</v>
      </c>
      <c r="K151" s="31">
        <v>-4851.3642608163791</v>
      </c>
      <c r="L151" s="31">
        <v>-2818.3640137743187</v>
      </c>
      <c r="M151" s="31">
        <v>770914.55142508761</v>
      </c>
    </row>
    <row r="152" spans="1:26" ht="15.75" customHeight="1" x14ac:dyDescent="0.25">
      <c r="B152" s="11" t="s">
        <v>22</v>
      </c>
      <c r="C152" s="45">
        <f>C143</f>
        <v>8.8199302404176061E-2</v>
      </c>
    </row>
    <row r="153" spans="1:26" ht="15.75" customHeight="1" x14ac:dyDescent="0.25">
      <c r="B153" s="11" t="s">
        <v>161</v>
      </c>
      <c r="C153" s="45">
        <f>C142</f>
        <v>8.7322695372686693E-2</v>
      </c>
    </row>
    <row r="154" spans="1:26" ht="15.75" customHeight="1" x14ac:dyDescent="0.25">
      <c r="B154" s="11" t="s">
        <v>26</v>
      </c>
      <c r="C154" s="49">
        <f>C144</f>
        <v>2644.9705938894767</v>
      </c>
    </row>
    <row r="155" spans="1:26" ht="15.75" customHeight="1" x14ac:dyDescent="0.25"/>
    <row r="156" spans="1:26" ht="15.75" customHeight="1" x14ac:dyDescent="0.25">
      <c r="B156" s="11" t="s">
        <v>162</v>
      </c>
      <c r="C156" s="45">
        <f>X120</f>
        <v>2.9600000000000001E-2</v>
      </c>
    </row>
    <row r="157" spans="1:26" ht="15.75" customHeight="1" x14ac:dyDescent="0.25">
      <c r="B157" s="11" t="s">
        <v>140</v>
      </c>
      <c r="C157" s="43">
        <f>X119</f>
        <v>1.6278071488156218</v>
      </c>
    </row>
    <row r="158" spans="1:26" ht="15.75" customHeight="1" x14ac:dyDescent="0.25"/>
    <row r="159" spans="1:26" ht="15.75" customHeight="1" x14ac:dyDescent="0.25">
      <c r="A159" s="52" t="s">
        <v>164</v>
      </c>
      <c r="B159" s="12"/>
      <c r="C159" s="12"/>
      <c r="D159" s="12"/>
      <c r="E159" s="12"/>
      <c r="F159" s="2"/>
      <c r="G159" s="2"/>
      <c r="H159" s="2"/>
      <c r="I159" s="2"/>
      <c r="J159" s="2"/>
      <c r="K159" s="2"/>
      <c r="L159" s="2"/>
      <c r="M159" s="2"/>
    </row>
    <row r="160" spans="1:26" ht="15.75" customHeight="1" x14ac:dyDescent="0.25">
      <c r="A160" s="2"/>
      <c r="B160" s="2"/>
      <c r="C160" s="2"/>
      <c r="D160" s="2"/>
      <c r="E160" s="2"/>
      <c r="F160" s="2"/>
      <c r="G160" s="2"/>
      <c r="H160" s="2"/>
      <c r="I160" s="2"/>
      <c r="J160" s="2"/>
      <c r="K160" s="2"/>
      <c r="L160" s="2"/>
      <c r="M160" s="2"/>
    </row>
    <row r="161" spans="1:15" ht="15.75" customHeight="1" x14ac:dyDescent="0.25">
      <c r="A161" s="2"/>
      <c r="B161" s="2"/>
      <c r="C161" s="5">
        <v>0</v>
      </c>
      <c r="D161" s="5">
        <v>1</v>
      </c>
      <c r="E161" s="5">
        <v>2</v>
      </c>
      <c r="F161" s="5">
        <v>3</v>
      </c>
      <c r="G161" s="5">
        <v>4</v>
      </c>
      <c r="H161" s="5">
        <v>5</v>
      </c>
      <c r="I161" s="5">
        <v>6</v>
      </c>
      <c r="J161" s="5">
        <v>7</v>
      </c>
      <c r="K161" s="5">
        <v>8</v>
      </c>
      <c r="L161" s="5">
        <v>9</v>
      </c>
      <c r="M161" s="5">
        <v>10</v>
      </c>
      <c r="N161" s="68">
        <v>11</v>
      </c>
      <c r="O161" s="68">
        <v>12</v>
      </c>
    </row>
    <row r="162" spans="1:15" ht="15.75" customHeight="1" x14ac:dyDescent="0.25">
      <c r="A162" s="2"/>
      <c r="B162" s="14"/>
      <c r="C162" s="5"/>
      <c r="D162" s="5"/>
      <c r="E162" s="5"/>
      <c r="F162" s="5"/>
      <c r="G162" s="5"/>
      <c r="H162" s="5"/>
      <c r="I162" s="5"/>
      <c r="J162" s="5"/>
      <c r="K162" s="5"/>
      <c r="L162" s="5"/>
      <c r="M162" s="5"/>
    </row>
    <row r="163" spans="1:15" ht="15.75" customHeight="1" x14ac:dyDescent="0.25">
      <c r="A163" t="s">
        <v>36</v>
      </c>
      <c r="B163" s="2"/>
      <c r="C163" s="2"/>
      <c r="D163" s="2"/>
      <c r="E163" s="69">
        <f>C151</f>
        <v>-330940.78855306975</v>
      </c>
      <c r="F163" s="2"/>
      <c r="H163" s="2"/>
      <c r="I163" s="2"/>
      <c r="J163" s="2"/>
      <c r="K163" s="2"/>
      <c r="L163" s="2"/>
      <c r="M163" s="2"/>
    </row>
    <row r="164" spans="1:15" ht="15.75" customHeight="1" x14ac:dyDescent="0.25">
      <c r="A164" s="16"/>
      <c r="B164" s="2"/>
      <c r="C164" s="18"/>
      <c r="D164" s="2"/>
      <c r="E164" s="18"/>
      <c r="F164" s="18"/>
      <c r="G164" s="18"/>
      <c r="H164" s="10"/>
      <c r="I164" s="10"/>
      <c r="J164" s="10"/>
      <c r="K164" s="10"/>
      <c r="L164" s="10"/>
      <c r="M164" s="10"/>
    </row>
    <row r="165" spans="1:15" ht="15.75" customHeight="1" x14ac:dyDescent="0.25">
      <c r="A165" s="12" t="s">
        <v>43</v>
      </c>
      <c r="B165" s="2"/>
      <c r="C165" s="20">
        <v>0</v>
      </c>
      <c r="D165" s="53">
        <v>0</v>
      </c>
      <c r="E165" s="20">
        <v>0</v>
      </c>
      <c r="F165" s="20">
        <f>D151</f>
        <v>13356.815455214717</v>
      </c>
      <c r="G165" s="20">
        <f t="shared" ref="G165:M165" si="71">E151</f>
        <v>-4802.3008513320119</v>
      </c>
      <c r="H165" s="20">
        <f t="shared" si="71"/>
        <v>-5973.1748159421677</v>
      </c>
      <c r="I165" s="20">
        <f t="shared" si="71"/>
        <v>-7140.9533475550379</v>
      </c>
      <c r="J165" s="20">
        <f t="shared" si="71"/>
        <v>13743.76839911654</v>
      </c>
      <c r="K165" s="20">
        <f t="shared" si="71"/>
        <v>-2830.1231582711434</v>
      </c>
      <c r="L165" s="20">
        <f t="shared" si="71"/>
        <v>-3866.8280194335148</v>
      </c>
      <c r="M165" s="20">
        <f t="shared" si="71"/>
        <v>-4851.3642608163791</v>
      </c>
      <c r="N165" s="20">
        <f>L151</f>
        <v>-2818.3640137743187</v>
      </c>
      <c r="O165" s="20">
        <f t="shared" ref="O165" si="72">M151</f>
        <v>770914.55142508761</v>
      </c>
    </row>
    <row r="166" spans="1:15" ht="15.75" customHeight="1" x14ac:dyDescent="0.25">
      <c r="A166" t="s">
        <v>46</v>
      </c>
      <c r="B166" s="2"/>
      <c r="C166" s="20">
        <f>NPV(C142,D165:O165)</f>
        <v>282156.84866732376</v>
      </c>
      <c r="D166" s="54"/>
      <c r="E166" s="54"/>
      <c r="F166" s="54"/>
      <c r="G166" s="54"/>
      <c r="H166" s="54"/>
      <c r="I166" s="54"/>
      <c r="J166" s="54"/>
      <c r="K166" s="54"/>
      <c r="L166" s="54"/>
      <c r="M166" s="54"/>
    </row>
    <row r="167" spans="1:15" ht="15.75" customHeight="1" x14ac:dyDescent="0.25">
      <c r="A167" s="16"/>
      <c r="B167" s="2"/>
      <c r="C167" s="10"/>
      <c r="D167" s="10"/>
      <c r="E167" s="10"/>
      <c r="F167" s="10"/>
      <c r="G167" s="10"/>
      <c r="H167" s="10"/>
      <c r="I167" s="10"/>
      <c r="J167" s="10"/>
      <c r="K167" s="10"/>
      <c r="L167" s="10"/>
      <c r="M167" s="10"/>
    </row>
    <row r="168" spans="1:15" ht="15.75" customHeight="1" x14ac:dyDescent="0.25">
      <c r="A168" s="2"/>
      <c r="B168" s="2"/>
      <c r="C168" s="2"/>
      <c r="D168" s="2"/>
      <c r="E168" s="2"/>
      <c r="F168" s="2"/>
      <c r="G168" s="2"/>
      <c r="H168" s="2"/>
      <c r="I168" s="2"/>
      <c r="J168" s="2"/>
      <c r="K168" s="2"/>
      <c r="L168" s="2"/>
      <c r="M168" s="2"/>
    </row>
    <row r="169" spans="1:15" ht="15.75" customHeight="1" x14ac:dyDescent="0.25">
      <c r="A169" s="55" t="s">
        <v>168</v>
      </c>
      <c r="B169" s="3"/>
      <c r="C169" s="3"/>
      <c r="D169" s="3"/>
      <c r="E169" s="3"/>
      <c r="F169" s="3"/>
      <c r="G169" s="2"/>
      <c r="H169" s="2"/>
      <c r="I169" s="2"/>
      <c r="J169" s="2"/>
      <c r="K169" s="2"/>
      <c r="L169" s="2"/>
      <c r="M169" s="2"/>
    </row>
    <row r="170" spans="1:15" ht="15.75" customHeight="1" x14ac:dyDescent="0.25">
      <c r="A170" s="21" t="s">
        <v>52</v>
      </c>
      <c r="B170" s="22" t="s">
        <v>54</v>
      </c>
      <c r="C170" s="22" t="s">
        <v>56</v>
      </c>
      <c r="D170" s="22" t="s">
        <v>57</v>
      </c>
      <c r="E170" s="22" t="s">
        <v>58</v>
      </c>
      <c r="F170" s="22" t="s">
        <v>59</v>
      </c>
      <c r="G170" s="2"/>
      <c r="H170" s="2"/>
      <c r="I170" s="2"/>
      <c r="J170" s="2"/>
      <c r="K170" s="2"/>
      <c r="L170" s="2"/>
      <c r="M170" s="2"/>
    </row>
    <row r="171" spans="1:15" ht="15.75" customHeight="1" x14ac:dyDescent="0.25">
      <c r="A171" s="71">
        <f>C166</f>
        <v>282156.84866732376</v>
      </c>
      <c r="B171" s="70">
        <f>-E163</f>
        <v>330940.78855306975</v>
      </c>
      <c r="C171" s="56">
        <v>2</v>
      </c>
      <c r="D171" s="25">
        <v>0.35</v>
      </c>
      <c r="E171" s="25">
        <f>C156</f>
        <v>2.9600000000000001E-2</v>
      </c>
      <c r="F171" s="67">
        <f>(A171*_xlfn.NORM.DIST((LN(A171/B171)+(E171+((D171^2)/2))*C171)/(D171*SQRT(C171)),0,1,TRUE))-((B171*EXP(-E171*C171))*_xlfn.NORM.DIST((LN(A171/B171)+(E171+((D171^2)/2))*C171)/(D171*SQRT(C171))-(D171*(SQRT(C171))),0,1,TRUE))</f>
        <v>44343.288997889147</v>
      </c>
      <c r="G171" s="2"/>
      <c r="H171" s="2"/>
      <c r="I171" s="2"/>
      <c r="J171" s="2"/>
      <c r="K171" s="2"/>
      <c r="L171" s="2"/>
      <c r="M171" s="2"/>
    </row>
    <row r="172" spans="1:15" ht="15.75" customHeight="1" x14ac:dyDescent="0.25">
      <c r="A172" s="2"/>
      <c r="B172" s="2"/>
      <c r="C172" s="2"/>
      <c r="D172" s="2"/>
      <c r="E172" s="2"/>
      <c r="F172" s="2"/>
      <c r="G172" s="2"/>
      <c r="H172" s="2"/>
      <c r="I172" s="2"/>
      <c r="J172" s="2"/>
      <c r="K172" s="2"/>
      <c r="L172" s="2"/>
      <c r="M172" s="2"/>
    </row>
    <row r="173" spans="1:15" ht="15.75" customHeight="1" x14ac:dyDescent="0.25">
      <c r="A173" s="12"/>
      <c r="B173" s="26"/>
      <c r="C173" s="27"/>
      <c r="D173" s="12"/>
      <c r="E173" s="12"/>
      <c r="F173" s="2"/>
      <c r="G173" s="2"/>
      <c r="H173" s="2"/>
      <c r="I173" s="2"/>
      <c r="J173" s="2"/>
      <c r="K173" s="2"/>
      <c r="L173" s="2"/>
      <c r="M173" s="2"/>
    </row>
    <row r="174" spans="1:15" ht="15.75" customHeight="1" x14ac:dyDescent="0.25">
      <c r="A174" s="2"/>
      <c r="B174" s="18"/>
      <c r="C174" s="18"/>
      <c r="D174" s="2"/>
      <c r="E174" s="2"/>
      <c r="F174" s="2"/>
      <c r="G174" s="2"/>
      <c r="H174" s="2"/>
      <c r="I174" s="2"/>
      <c r="J174" s="2"/>
      <c r="K174" s="2"/>
      <c r="L174" s="2"/>
      <c r="M174" s="2"/>
    </row>
    <row r="175" spans="1:15" ht="15.75" customHeight="1" x14ac:dyDescent="0.25"/>
    <row r="176" spans="1:15"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10">
    <mergeCell ref="B74:M74"/>
    <mergeCell ref="A147:B148"/>
    <mergeCell ref="A108:D108"/>
    <mergeCell ref="O44:W58"/>
    <mergeCell ref="B42:M42"/>
    <mergeCell ref="O60:W74"/>
    <mergeCell ref="O76:W90"/>
    <mergeCell ref="O92:W105"/>
    <mergeCell ref="R127:Z140"/>
    <mergeCell ref="R142:Z145"/>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workbookViewId="0">
      <selection activeCell="N20" sqref="N20"/>
    </sheetView>
  </sheetViews>
  <sheetFormatPr defaultColWidth="11.25" defaultRowHeight="15" customHeight="1" x14ac:dyDescent="0.25"/>
  <cols>
    <col min="1" max="1" width="8.125" bestFit="1" customWidth="1"/>
    <col min="2" max="2" width="12.125" bestFit="1" customWidth="1"/>
    <col min="3" max="3" width="10.125" bestFit="1" customWidth="1"/>
    <col min="4" max="4" width="11.125" bestFit="1" customWidth="1"/>
    <col min="5" max="5" width="10.125" bestFit="1" customWidth="1"/>
    <col min="6" max="6" width="12.125" bestFit="1" customWidth="1"/>
    <col min="7" max="7" width="10.375" customWidth="1"/>
    <col min="8" max="8" width="8" bestFit="1" customWidth="1"/>
    <col min="9" max="9" width="10.875" bestFit="1" customWidth="1"/>
    <col min="10" max="19" width="10.375" customWidth="1"/>
    <col min="20" max="26" width="11.125" customWidth="1"/>
  </cols>
  <sheetData>
    <row r="1" spans="1:9" ht="15.75" customHeight="1" x14ac:dyDescent="0.25"/>
    <row r="2" spans="1:9" ht="15.75" customHeight="1" x14ac:dyDescent="0.25">
      <c r="B2" s="78" t="s">
        <v>11</v>
      </c>
      <c r="C2" s="73"/>
      <c r="D2" s="73"/>
      <c r="E2" s="73"/>
      <c r="F2" s="73"/>
    </row>
    <row r="3" spans="1:9" ht="15.75" customHeight="1" x14ac:dyDescent="0.25">
      <c r="A3" s="58"/>
      <c r="B3" s="58" t="s">
        <v>171</v>
      </c>
      <c r="C3" s="58" t="s">
        <v>172</v>
      </c>
      <c r="D3" s="58" t="s">
        <v>173</v>
      </c>
      <c r="E3" s="58" t="s">
        <v>174</v>
      </c>
      <c r="F3" s="58" t="s">
        <v>175</v>
      </c>
      <c r="G3" s="58"/>
      <c r="H3" s="58" t="s">
        <v>132</v>
      </c>
      <c r="I3" s="59">
        <v>0.05</v>
      </c>
    </row>
    <row r="4" spans="1:9" ht="15.75" customHeight="1" x14ac:dyDescent="0.25">
      <c r="A4" s="60" t="s">
        <v>176</v>
      </c>
      <c r="B4" s="61">
        <f>+I9</f>
        <v>240000</v>
      </c>
      <c r="C4" s="61">
        <f t="shared" ref="C4:C15" si="0">+E4-D4</f>
        <v>339.69761669837249</v>
      </c>
      <c r="D4" s="61">
        <f t="shared" ref="D4:D15" si="1">B4*$I$4</f>
        <v>1000</v>
      </c>
      <c r="E4" s="61">
        <f t="shared" ref="E4:E15" si="2">-$I$11</f>
        <v>1339.6976166983725</v>
      </c>
      <c r="F4" s="61">
        <f t="shared" ref="F4:F15" si="3">+B4-C4</f>
        <v>239660.30238330163</v>
      </c>
      <c r="G4" s="58"/>
      <c r="H4" s="58" t="s">
        <v>177</v>
      </c>
      <c r="I4" s="59">
        <f>+I3/12</f>
        <v>4.1666666666666666E-3</v>
      </c>
    </row>
    <row r="5" spans="1:9" ht="15.75" customHeight="1" x14ac:dyDescent="0.25">
      <c r="A5" s="62" t="s">
        <v>178</v>
      </c>
      <c r="B5" s="61">
        <f t="shared" ref="B5:B15" si="4">+F4</f>
        <v>239660.30238330163</v>
      </c>
      <c r="C5" s="61">
        <f t="shared" si="0"/>
        <v>341.11302343461568</v>
      </c>
      <c r="D5" s="61">
        <f t="shared" si="1"/>
        <v>998.5845932637568</v>
      </c>
      <c r="E5" s="61">
        <f t="shared" si="2"/>
        <v>1339.6976166983725</v>
      </c>
      <c r="F5" s="61">
        <f t="shared" si="3"/>
        <v>239319.18935986701</v>
      </c>
      <c r="G5" s="58"/>
      <c r="H5" s="58" t="s">
        <v>179</v>
      </c>
      <c r="I5" s="63">
        <v>0</v>
      </c>
    </row>
    <row r="6" spans="1:9" ht="15.75" customHeight="1" x14ac:dyDescent="0.25">
      <c r="A6" s="62" t="s">
        <v>180</v>
      </c>
      <c r="B6" s="61">
        <f t="shared" si="4"/>
        <v>239319.18935986701</v>
      </c>
      <c r="C6" s="61">
        <f t="shared" si="0"/>
        <v>342.53432769892663</v>
      </c>
      <c r="D6" s="61">
        <f t="shared" si="1"/>
        <v>997.16328899944585</v>
      </c>
      <c r="E6" s="61">
        <f t="shared" si="2"/>
        <v>1339.6976166983725</v>
      </c>
      <c r="F6" s="61">
        <f t="shared" si="3"/>
        <v>238976.65503216808</v>
      </c>
      <c r="G6" s="58"/>
      <c r="H6" s="58" t="s">
        <v>181</v>
      </c>
      <c r="I6" s="58">
        <f>'Forecast Decision Tree'!D21</f>
        <v>27.5</v>
      </c>
    </row>
    <row r="7" spans="1:9" ht="15.75" customHeight="1" x14ac:dyDescent="0.25">
      <c r="A7" s="62" t="s">
        <v>182</v>
      </c>
      <c r="B7" s="61">
        <f t="shared" si="4"/>
        <v>238976.65503216808</v>
      </c>
      <c r="C7" s="61">
        <f t="shared" si="0"/>
        <v>343.96155406433877</v>
      </c>
      <c r="D7" s="61">
        <f t="shared" si="1"/>
        <v>995.73606263403371</v>
      </c>
      <c r="E7" s="61">
        <f t="shared" si="2"/>
        <v>1339.6976166983725</v>
      </c>
      <c r="F7" s="61">
        <f t="shared" si="3"/>
        <v>238632.69347810376</v>
      </c>
      <c r="G7" s="58"/>
      <c r="H7" s="58" t="s">
        <v>183</v>
      </c>
      <c r="I7" s="58">
        <f>I6*12</f>
        <v>330</v>
      </c>
    </row>
    <row r="8" spans="1:9" ht="15.75" customHeight="1" x14ac:dyDescent="0.25">
      <c r="A8" s="62" t="s">
        <v>184</v>
      </c>
      <c r="B8" s="61">
        <f t="shared" si="4"/>
        <v>238632.69347810376</v>
      </c>
      <c r="C8" s="61">
        <f t="shared" si="0"/>
        <v>345.3947272062735</v>
      </c>
      <c r="D8" s="61">
        <f t="shared" si="1"/>
        <v>994.30288949209898</v>
      </c>
      <c r="E8" s="61">
        <f t="shared" si="2"/>
        <v>1339.6976166983725</v>
      </c>
      <c r="F8" s="61">
        <f t="shared" si="3"/>
        <v>238287.29875089749</v>
      </c>
      <c r="G8" s="58"/>
      <c r="H8" s="58" t="s">
        <v>185</v>
      </c>
      <c r="I8" s="58">
        <v>0</v>
      </c>
    </row>
    <row r="9" spans="1:9" ht="15.75" customHeight="1" x14ac:dyDescent="0.25">
      <c r="A9" s="62" t="s">
        <v>186</v>
      </c>
      <c r="B9" s="61">
        <f t="shared" si="4"/>
        <v>238287.29875089749</v>
      </c>
      <c r="C9" s="61">
        <f t="shared" si="0"/>
        <v>346.83387190296628</v>
      </c>
      <c r="D9" s="61">
        <f t="shared" si="1"/>
        <v>992.86374479540621</v>
      </c>
      <c r="E9" s="61">
        <f t="shared" si="2"/>
        <v>1339.6976166983725</v>
      </c>
      <c r="F9" s="61">
        <f t="shared" si="3"/>
        <v>237940.46487899453</v>
      </c>
      <c r="G9" s="58"/>
      <c r="H9" s="58" t="s">
        <v>187</v>
      </c>
      <c r="I9" s="63">
        <f>'Forecast Decision Tree'!D19</f>
        <v>240000</v>
      </c>
    </row>
    <row r="10" spans="1:9" ht="15.75" customHeight="1" x14ac:dyDescent="0.25">
      <c r="A10" s="62" t="s">
        <v>188</v>
      </c>
      <c r="B10" s="61">
        <f t="shared" si="4"/>
        <v>237940.46487899453</v>
      </c>
      <c r="C10" s="61">
        <f t="shared" si="0"/>
        <v>348.27901303589522</v>
      </c>
      <c r="D10" s="61">
        <f t="shared" si="1"/>
        <v>991.41860366247727</v>
      </c>
      <c r="E10" s="61">
        <f t="shared" si="2"/>
        <v>1339.6976166983725</v>
      </c>
      <c r="F10" s="61">
        <f t="shared" si="3"/>
        <v>237592.18586595863</v>
      </c>
      <c r="G10" s="58"/>
      <c r="H10" s="58"/>
      <c r="I10" s="58"/>
    </row>
    <row r="11" spans="1:9" ht="15.75" customHeight="1" x14ac:dyDescent="0.25">
      <c r="A11" s="62" t="s">
        <v>189</v>
      </c>
      <c r="B11" s="61">
        <f t="shared" si="4"/>
        <v>237592.18586595863</v>
      </c>
      <c r="C11" s="61">
        <f t="shared" si="0"/>
        <v>349.7301755902115</v>
      </c>
      <c r="D11" s="61">
        <f t="shared" si="1"/>
        <v>989.96744110816098</v>
      </c>
      <c r="E11" s="61">
        <f t="shared" si="2"/>
        <v>1339.6976166983725</v>
      </c>
      <c r="F11" s="61">
        <f t="shared" si="3"/>
        <v>237242.45569036843</v>
      </c>
      <c r="G11" s="58"/>
      <c r="H11" s="58" t="s">
        <v>174</v>
      </c>
      <c r="I11" s="61">
        <f>PMT(I4,I7,I9,I5,I8)</f>
        <v>-1339.6976166983725</v>
      </c>
    </row>
    <row r="12" spans="1:9" ht="15.75" customHeight="1" x14ac:dyDescent="0.25">
      <c r="A12" s="62" t="s">
        <v>190</v>
      </c>
      <c r="B12" s="61">
        <f t="shared" si="4"/>
        <v>237242.45569036843</v>
      </c>
      <c r="C12" s="61">
        <f t="shared" si="0"/>
        <v>351.18738465517072</v>
      </c>
      <c r="D12" s="61">
        <f t="shared" si="1"/>
        <v>988.51023204320177</v>
      </c>
      <c r="E12" s="61">
        <f t="shared" si="2"/>
        <v>1339.6976166983725</v>
      </c>
      <c r="F12" s="61">
        <f t="shared" si="3"/>
        <v>236891.26830571325</v>
      </c>
      <c r="G12" s="58"/>
      <c r="H12" s="58"/>
      <c r="I12" s="58"/>
    </row>
    <row r="13" spans="1:9" ht="15.75" customHeight="1" x14ac:dyDescent="0.25">
      <c r="A13" s="62" t="s">
        <v>191</v>
      </c>
      <c r="B13" s="61">
        <f t="shared" si="4"/>
        <v>236891.26830571325</v>
      </c>
      <c r="C13" s="61">
        <f t="shared" si="0"/>
        <v>352.65066542456725</v>
      </c>
      <c r="D13" s="61">
        <f t="shared" si="1"/>
        <v>987.04695127380523</v>
      </c>
      <c r="E13" s="61">
        <f t="shared" si="2"/>
        <v>1339.6976166983725</v>
      </c>
      <c r="F13" s="61">
        <f t="shared" si="3"/>
        <v>236538.61764028869</v>
      </c>
      <c r="G13" s="58"/>
      <c r="H13" s="58"/>
      <c r="I13" s="58"/>
    </row>
    <row r="14" spans="1:9" ht="15.75" customHeight="1" x14ac:dyDescent="0.25">
      <c r="A14" s="62" t="s">
        <v>192</v>
      </c>
      <c r="B14" s="61">
        <f t="shared" si="4"/>
        <v>236538.61764028869</v>
      </c>
      <c r="C14" s="61">
        <f t="shared" si="0"/>
        <v>354.12004319716959</v>
      </c>
      <c r="D14" s="61">
        <f t="shared" si="1"/>
        <v>985.57757350120289</v>
      </c>
      <c r="E14" s="61">
        <f t="shared" si="2"/>
        <v>1339.6976166983725</v>
      </c>
      <c r="F14" s="61">
        <f t="shared" si="3"/>
        <v>236184.49759709151</v>
      </c>
      <c r="G14" s="58"/>
      <c r="H14" s="58"/>
      <c r="I14" s="58"/>
    </row>
    <row r="15" spans="1:9" ht="15.75" customHeight="1" x14ac:dyDescent="0.25">
      <c r="A15" s="62" t="s">
        <v>193</v>
      </c>
      <c r="B15" s="61">
        <f t="shared" si="4"/>
        <v>236184.49759709151</v>
      </c>
      <c r="C15" s="61">
        <f t="shared" si="0"/>
        <v>355.59554337715792</v>
      </c>
      <c r="D15" s="61">
        <f t="shared" si="1"/>
        <v>984.10207332121456</v>
      </c>
      <c r="E15" s="61">
        <f t="shared" si="2"/>
        <v>1339.6976166983725</v>
      </c>
      <c r="F15" s="61">
        <f t="shared" si="3"/>
        <v>235828.90205371435</v>
      </c>
      <c r="G15" s="58"/>
      <c r="H15" s="58"/>
      <c r="I15" s="58"/>
    </row>
    <row r="16" spans="1:9" ht="15.75" customHeight="1" x14ac:dyDescent="0.25">
      <c r="A16" s="64" t="s">
        <v>194</v>
      </c>
      <c r="B16" s="61"/>
      <c r="C16" s="61">
        <f t="shared" ref="C16:D16" si="5">SUM(C4:C15)</f>
        <v>4171.0979462856658</v>
      </c>
      <c r="D16" s="61">
        <f t="shared" si="5"/>
        <v>11905.273454094804</v>
      </c>
      <c r="E16" s="61"/>
      <c r="F16" s="61"/>
      <c r="G16" s="58"/>
      <c r="H16" s="58"/>
      <c r="I16" s="58"/>
    </row>
    <row r="17" spans="1:9" ht="15.75" customHeight="1" x14ac:dyDescent="0.25">
      <c r="A17" s="64"/>
      <c r="B17" s="61"/>
      <c r="C17" s="61"/>
      <c r="D17" s="61"/>
      <c r="E17" s="61"/>
      <c r="F17" s="61"/>
      <c r="G17" s="58"/>
      <c r="H17" s="58"/>
      <c r="I17" s="58"/>
    </row>
    <row r="18" spans="1:9" ht="15.75" customHeight="1" x14ac:dyDescent="0.25">
      <c r="A18" s="62"/>
      <c r="B18" s="78" t="s">
        <v>12</v>
      </c>
      <c r="C18" s="73"/>
      <c r="D18" s="73"/>
      <c r="E18" s="73"/>
      <c r="F18" s="73"/>
      <c r="G18" s="58"/>
      <c r="H18" s="58"/>
      <c r="I18" s="58"/>
    </row>
    <row r="19" spans="1:9" ht="15.75" customHeight="1" x14ac:dyDescent="0.25">
      <c r="A19" s="60" t="s">
        <v>176</v>
      </c>
      <c r="B19" s="61">
        <f>+F15</f>
        <v>235828.90205371435</v>
      </c>
      <c r="C19" s="61">
        <f t="shared" ref="C19:C30" si="6">+E19-D19</f>
        <v>357.07719147456271</v>
      </c>
      <c r="D19" s="61">
        <f t="shared" ref="D19:D30" si="7">B19*$I$4</f>
        <v>982.62042522380978</v>
      </c>
      <c r="E19" s="61">
        <f t="shared" ref="E19:E30" si="8">-$I$11</f>
        <v>1339.6976166983725</v>
      </c>
      <c r="F19" s="61">
        <f t="shared" ref="F19:F30" si="9">+B19-C19</f>
        <v>235471.8248622398</v>
      </c>
      <c r="G19" s="58"/>
      <c r="H19" s="58"/>
      <c r="I19" s="58"/>
    </row>
    <row r="20" spans="1:9" ht="15.75" customHeight="1" x14ac:dyDescent="0.25">
      <c r="A20" s="62" t="s">
        <v>178</v>
      </c>
      <c r="B20" s="61">
        <f t="shared" ref="B20:B30" si="10">+F19</f>
        <v>235471.8248622398</v>
      </c>
      <c r="C20" s="61">
        <f t="shared" si="6"/>
        <v>358.56501310570673</v>
      </c>
      <c r="D20" s="61">
        <f t="shared" si="7"/>
        <v>981.13260359266576</v>
      </c>
      <c r="E20" s="61">
        <f t="shared" si="8"/>
        <v>1339.6976166983725</v>
      </c>
      <c r="F20" s="61">
        <f t="shared" si="9"/>
        <v>235113.25984913408</v>
      </c>
      <c r="G20" s="58"/>
      <c r="H20" s="58"/>
      <c r="I20" s="58"/>
    </row>
    <row r="21" spans="1:9" ht="15.75" customHeight="1" x14ac:dyDescent="0.25">
      <c r="A21" s="62" t="s">
        <v>180</v>
      </c>
      <c r="B21" s="61">
        <f t="shared" si="10"/>
        <v>235113.25984913408</v>
      </c>
      <c r="C21" s="61">
        <f t="shared" si="6"/>
        <v>360.05903399364718</v>
      </c>
      <c r="D21" s="61">
        <f t="shared" si="7"/>
        <v>979.63858270472531</v>
      </c>
      <c r="E21" s="61">
        <f t="shared" si="8"/>
        <v>1339.6976166983725</v>
      </c>
      <c r="F21" s="61">
        <f t="shared" si="9"/>
        <v>234753.20081514042</v>
      </c>
      <c r="G21" s="58"/>
      <c r="H21" s="58"/>
      <c r="I21" s="58"/>
    </row>
    <row r="22" spans="1:9" ht="15.75" customHeight="1" x14ac:dyDescent="0.25">
      <c r="A22" s="62" t="s">
        <v>182</v>
      </c>
      <c r="B22" s="61">
        <f t="shared" si="10"/>
        <v>234753.20081514042</v>
      </c>
      <c r="C22" s="61">
        <f t="shared" si="6"/>
        <v>361.55927996862079</v>
      </c>
      <c r="D22" s="61">
        <f t="shared" si="7"/>
        <v>978.1383367297517</v>
      </c>
      <c r="E22" s="61">
        <f t="shared" si="8"/>
        <v>1339.6976166983725</v>
      </c>
      <c r="F22" s="61">
        <f t="shared" si="9"/>
        <v>234391.6415351718</v>
      </c>
      <c r="G22" s="58"/>
      <c r="H22" s="58"/>
      <c r="I22" s="58"/>
    </row>
    <row r="23" spans="1:9" ht="15.75" customHeight="1" x14ac:dyDescent="0.25">
      <c r="A23" s="62" t="s">
        <v>184</v>
      </c>
      <c r="B23" s="61">
        <f t="shared" si="10"/>
        <v>234391.6415351718</v>
      </c>
      <c r="C23" s="61">
        <f t="shared" si="6"/>
        <v>363.06577696849001</v>
      </c>
      <c r="D23" s="61">
        <f t="shared" si="7"/>
        <v>976.63183972988247</v>
      </c>
      <c r="E23" s="61">
        <f t="shared" si="8"/>
        <v>1339.6976166983725</v>
      </c>
      <c r="F23" s="61">
        <f t="shared" si="9"/>
        <v>234028.57575820331</v>
      </c>
      <c r="G23" s="58"/>
      <c r="H23" s="58"/>
      <c r="I23" s="58"/>
    </row>
    <row r="24" spans="1:9" ht="15.75" customHeight="1" x14ac:dyDescent="0.25">
      <c r="A24" s="62" t="s">
        <v>186</v>
      </c>
      <c r="B24" s="61">
        <f t="shared" si="10"/>
        <v>234028.57575820331</v>
      </c>
      <c r="C24" s="61">
        <f t="shared" si="6"/>
        <v>364.57855103919201</v>
      </c>
      <c r="D24" s="61">
        <f t="shared" si="7"/>
        <v>975.11906565918048</v>
      </c>
      <c r="E24" s="61">
        <f t="shared" si="8"/>
        <v>1339.6976166983725</v>
      </c>
      <c r="F24" s="61">
        <f t="shared" si="9"/>
        <v>233663.99720716412</v>
      </c>
      <c r="G24" s="58"/>
      <c r="H24" s="58"/>
      <c r="I24" s="58"/>
    </row>
    <row r="25" spans="1:9" ht="15.75" customHeight="1" x14ac:dyDescent="0.25">
      <c r="A25" s="62" t="s">
        <v>188</v>
      </c>
      <c r="B25" s="61">
        <f t="shared" si="10"/>
        <v>233663.99720716412</v>
      </c>
      <c r="C25" s="61">
        <f t="shared" si="6"/>
        <v>366.09762833518869</v>
      </c>
      <c r="D25" s="61">
        <f t="shared" si="7"/>
        <v>973.5999883631838</v>
      </c>
      <c r="E25" s="61">
        <f t="shared" si="8"/>
        <v>1339.6976166983725</v>
      </c>
      <c r="F25" s="61">
        <f t="shared" si="9"/>
        <v>233297.89957882895</v>
      </c>
      <c r="G25" s="58"/>
      <c r="H25" s="58"/>
      <c r="I25" s="58"/>
    </row>
    <row r="26" spans="1:9" ht="15.75" customHeight="1" x14ac:dyDescent="0.25">
      <c r="A26" s="62" t="s">
        <v>189</v>
      </c>
      <c r="B26" s="61">
        <f t="shared" si="10"/>
        <v>233297.89957882895</v>
      </c>
      <c r="C26" s="61">
        <f t="shared" si="6"/>
        <v>367.62303511991854</v>
      </c>
      <c r="D26" s="61">
        <f t="shared" si="7"/>
        <v>972.07458157845394</v>
      </c>
      <c r="E26" s="61">
        <f t="shared" si="8"/>
        <v>1339.6976166983725</v>
      </c>
      <c r="F26" s="61">
        <f t="shared" si="9"/>
        <v>232930.27654370904</v>
      </c>
      <c r="G26" s="58"/>
      <c r="H26" s="58"/>
      <c r="I26" s="58"/>
    </row>
    <row r="27" spans="1:9" ht="15.75" customHeight="1" x14ac:dyDescent="0.25">
      <c r="A27" s="62" t="s">
        <v>190</v>
      </c>
      <c r="B27" s="61">
        <f t="shared" si="10"/>
        <v>232930.27654370904</v>
      </c>
      <c r="C27" s="61">
        <f t="shared" si="6"/>
        <v>369.15479776625148</v>
      </c>
      <c r="D27" s="61">
        <f t="shared" si="7"/>
        <v>970.54281893212101</v>
      </c>
      <c r="E27" s="61">
        <f t="shared" si="8"/>
        <v>1339.6976166983725</v>
      </c>
      <c r="F27" s="61">
        <f t="shared" si="9"/>
        <v>232561.1217459428</v>
      </c>
      <c r="G27" s="58"/>
      <c r="H27" s="58"/>
      <c r="I27" s="58"/>
    </row>
    <row r="28" spans="1:9" ht="15.75" customHeight="1" x14ac:dyDescent="0.25">
      <c r="A28" s="62" t="s">
        <v>191</v>
      </c>
      <c r="B28" s="61">
        <f t="shared" si="10"/>
        <v>232561.1217459428</v>
      </c>
      <c r="C28" s="61">
        <f t="shared" si="6"/>
        <v>370.69294275694415</v>
      </c>
      <c r="D28" s="61">
        <f t="shared" si="7"/>
        <v>969.00467394142834</v>
      </c>
      <c r="E28" s="61">
        <f t="shared" si="8"/>
        <v>1339.6976166983725</v>
      </c>
      <c r="F28" s="61">
        <f t="shared" si="9"/>
        <v>232190.42880318585</v>
      </c>
      <c r="G28" s="58"/>
      <c r="H28" s="58"/>
      <c r="I28" s="58"/>
    </row>
    <row r="29" spans="1:9" ht="15.75" customHeight="1" x14ac:dyDescent="0.25">
      <c r="A29" s="62" t="s">
        <v>192</v>
      </c>
      <c r="B29" s="61">
        <f t="shared" si="10"/>
        <v>232190.42880318585</v>
      </c>
      <c r="C29" s="61">
        <f t="shared" si="6"/>
        <v>372.23749668509811</v>
      </c>
      <c r="D29" s="61">
        <f t="shared" si="7"/>
        <v>967.46012001327438</v>
      </c>
      <c r="E29" s="61">
        <f t="shared" si="8"/>
        <v>1339.6976166983725</v>
      </c>
      <c r="F29" s="61">
        <f t="shared" si="9"/>
        <v>231818.19130650075</v>
      </c>
      <c r="G29" s="58"/>
      <c r="H29" s="58"/>
      <c r="I29" s="58"/>
    </row>
    <row r="30" spans="1:9" ht="15.75" customHeight="1" x14ac:dyDescent="0.25">
      <c r="A30" s="62" t="s">
        <v>193</v>
      </c>
      <c r="B30" s="61">
        <f t="shared" si="10"/>
        <v>231818.19130650075</v>
      </c>
      <c r="C30" s="61">
        <f t="shared" si="6"/>
        <v>373.78848625461933</v>
      </c>
      <c r="D30" s="61">
        <f t="shared" si="7"/>
        <v>965.90913044375316</v>
      </c>
      <c r="E30" s="61">
        <f t="shared" si="8"/>
        <v>1339.6976166983725</v>
      </c>
      <c r="F30" s="61">
        <f t="shared" si="9"/>
        <v>231444.40282024615</v>
      </c>
      <c r="G30" s="58"/>
      <c r="H30" s="58"/>
      <c r="I30" s="58"/>
    </row>
    <row r="31" spans="1:9" ht="15.75" customHeight="1" x14ac:dyDescent="0.25">
      <c r="A31" s="64" t="s">
        <v>194</v>
      </c>
      <c r="B31" s="61"/>
      <c r="C31" s="61">
        <f t="shared" ref="C31:D31" si="11">SUM(C19:C30)</f>
        <v>4384.4992334682393</v>
      </c>
      <c r="D31" s="61">
        <f t="shared" si="11"/>
        <v>11691.872166912231</v>
      </c>
      <c r="E31" s="61"/>
      <c r="F31" s="61"/>
      <c r="G31" s="58"/>
      <c r="H31" s="58"/>
      <c r="I31" s="58"/>
    </row>
    <row r="32" spans="1:9" ht="15.75" customHeight="1" x14ac:dyDescent="0.25">
      <c r="A32" s="64"/>
      <c r="B32" s="61"/>
      <c r="C32" s="61"/>
      <c r="D32" s="61"/>
      <c r="E32" s="61"/>
      <c r="F32" s="61"/>
      <c r="G32" s="58"/>
      <c r="H32" s="58"/>
      <c r="I32" s="58"/>
    </row>
    <row r="33" spans="1:9" ht="15.75" customHeight="1" x14ac:dyDescent="0.25">
      <c r="A33" s="62"/>
      <c r="B33" s="78" t="s">
        <v>13</v>
      </c>
      <c r="C33" s="73"/>
      <c r="D33" s="73"/>
      <c r="E33" s="73"/>
      <c r="F33" s="73"/>
      <c r="G33" s="58"/>
      <c r="H33" s="58"/>
      <c r="I33" s="58"/>
    </row>
    <row r="34" spans="1:9" ht="15.75" customHeight="1" x14ac:dyDescent="0.25">
      <c r="A34" s="60" t="s">
        <v>176</v>
      </c>
      <c r="B34" s="61">
        <f>+F30</f>
        <v>231444.40282024615</v>
      </c>
      <c r="C34" s="61">
        <f t="shared" ref="C34:C45" si="12">+E34-D34</f>
        <v>375.34593828068023</v>
      </c>
      <c r="D34" s="61">
        <f t="shared" ref="D34:D45" si="13">B34*$I$4</f>
        <v>964.35167841769226</v>
      </c>
      <c r="E34" s="61">
        <f t="shared" ref="E34:E45" si="14">-$I$11</f>
        <v>1339.6976166983725</v>
      </c>
      <c r="F34" s="61">
        <f t="shared" ref="F34:F45" si="15">+B34-C34</f>
        <v>231069.05688196546</v>
      </c>
      <c r="G34" s="58"/>
      <c r="H34" s="58"/>
      <c r="I34" s="58"/>
    </row>
    <row r="35" spans="1:9" ht="15.75" customHeight="1" x14ac:dyDescent="0.25">
      <c r="A35" s="62" t="s">
        <v>178</v>
      </c>
      <c r="B35" s="61">
        <f t="shared" ref="B35:B45" si="16">+F34</f>
        <v>231069.05688196546</v>
      </c>
      <c r="C35" s="61">
        <f t="shared" si="12"/>
        <v>376.90987969018306</v>
      </c>
      <c r="D35" s="61">
        <f t="shared" si="13"/>
        <v>962.78773700818942</v>
      </c>
      <c r="E35" s="61">
        <f t="shared" si="14"/>
        <v>1339.6976166983725</v>
      </c>
      <c r="F35" s="61">
        <f t="shared" si="15"/>
        <v>230692.14700227528</v>
      </c>
      <c r="G35" s="58"/>
      <c r="H35" s="58"/>
      <c r="I35" s="58"/>
    </row>
    <row r="36" spans="1:9" ht="15.75" customHeight="1" x14ac:dyDescent="0.25">
      <c r="A36" s="62" t="s">
        <v>180</v>
      </c>
      <c r="B36" s="61">
        <f t="shared" si="16"/>
        <v>230692.14700227528</v>
      </c>
      <c r="C36" s="61">
        <f t="shared" si="12"/>
        <v>378.48033752222557</v>
      </c>
      <c r="D36" s="61">
        <f t="shared" si="13"/>
        <v>961.21727917614692</v>
      </c>
      <c r="E36" s="61">
        <f t="shared" si="14"/>
        <v>1339.6976166983725</v>
      </c>
      <c r="F36" s="61">
        <f t="shared" si="15"/>
        <v>230313.66666475305</v>
      </c>
      <c r="G36" s="58"/>
      <c r="H36" s="58"/>
      <c r="I36" s="58"/>
    </row>
    <row r="37" spans="1:9" ht="15.75" customHeight="1" x14ac:dyDescent="0.25">
      <c r="A37" s="62" t="s">
        <v>182</v>
      </c>
      <c r="B37" s="61">
        <f t="shared" si="16"/>
        <v>230313.66666475305</v>
      </c>
      <c r="C37" s="61">
        <f t="shared" si="12"/>
        <v>380.05733892856813</v>
      </c>
      <c r="D37" s="61">
        <f t="shared" si="13"/>
        <v>959.64027776980436</v>
      </c>
      <c r="E37" s="61">
        <f t="shared" si="14"/>
        <v>1339.6976166983725</v>
      </c>
      <c r="F37" s="61">
        <f t="shared" si="15"/>
        <v>229933.60932582448</v>
      </c>
      <c r="G37" s="58"/>
      <c r="H37" s="58"/>
      <c r="I37" s="58"/>
    </row>
    <row r="38" spans="1:9" ht="15.75" customHeight="1" x14ac:dyDescent="0.25">
      <c r="A38" s="62" t="s">
        <v>184</v>
      </c>
      <c r="B38" s="61">
        <f t="shared" si="16"/>
        <v>229933.60932582448</v>
      </c>
      <c r="C38" s="61">
        <f t="shared" si="12"/>
        <v>381.64091117410385</v>
      </c>
      <c r="D38" s="61">
        <f t="shared" si="13"/>
        <v>958.05670552426864</v>
      </c>
      <c r="E38" s="61">
        <f t="shared" si="14"/>
        <v>1339.6976166983725</v>
      </c>
      <c r="F38" s="61">
        <f t="shared" si="15"/>
        <v>229551.96841465039</v>
      </c>
      <c r="G38" s="58"/>
      <c r="H38" s="58"/>
      <c r="I38" s="58"/>
    </row>
    <row r="39" spans="1:9" ht="15.75" customHeight="1" x14ac:dyDescent="0.25">
      <c r="A39" s="62" t="s">
        <v>186</v>
      </c>
      <c r="B39" s="61">
        <f t="shared" si="16"/>
        <v>229551.96841465039</v>
      </c>
      <c r="C39" s="61">
        <f t="shared" si="12"/>
        <v>383.23108163732923</v>
      </c>
      <c r="D39" s="61">
        <f t="shared" si="13"/>
        <v>956.46653506104326</v>
      </c>
      <c r="E39" s="61">
        <f t="shared" si="14"/>
        <v>1339.6976166983725</v>
      </c>
      <c r="F39" s="61">
        <f t="shared" si="15"/>
        <v>229168.73733301306</v>
      </c>
      <c r="G39" s="58"/>
      <c r="H39" s="58"/>
      <c r="I39" s="58"/>
    </row>
    <row r="40" spans="1:9" ht="15.75" customHeight="1" x14ac:dyDescent="0.25">
      <c r="A40" s="62" t="s">
        <v>188</v>
      </c>
      <c r="B40" s="61">
        <f t="shared" si="16"/>
        <v>229168.73733301306</v>
      </c>
      <c r="C40" s="61">
        <f t="shared" si="12"/>
        <v>384.82787781081811</v>
      </c>
      <c r="D40" s="61">
        <f t="shared" si="13"/>
        <v>954.86973888755438</v>
      </c>
      <c r="E40" s="61">
        <f t="shared" si="14"/>
        <v>1339.6976166983725</v>
      </c>
      <c r="F40" s="61">
        <f t="shared" si="15"/>
        <v>228783.90945520226</v>
      </c>
      <c r="G40" s="58"/>
      <c r="H40" s="58"/>
      <c r="I40" s="58"/>
    </row>
    <row r="41" spans="1:9" ht="15.75" customHeight="1" x14ac:dyDescent="0.25">
      <c r="A41" s="62" t="s">
        <v>189</v>
      </c>
      <c r="B41" s="61">
        <f t="shared" si="16"/>
        <v>228783.90945520226</v>
      </c>
      <c r="C41" s="61">
        <f t="shared" si="12"/>
        <v>386.43132730169646</v>
      </c>
      <c r="D41" s="61">
        <f t="shared" si="13"/>
        <v>953.26628939667603</v>
      </c>
      <c r="E41" s="61">
        <f t="shared" si="14"/>
        <v>1339.6976166983725</v>
      </c>
      <c r="F41" s="61">
        <f t="shared" si="15"/>
        <v>228397.47812790057</v>
      </c>
      <c r="G41" s="58"/>
      <c r="H41" s="58"/>
      <c r="I41" s="58"/>
    </row>
    <row r="42" spans="1:9" ht="15.75" customHeight="1" x14ac:dyDescent="0.25">
      <c r="A42" s="62" t="s">
        <v>190</v>
      </c>
      <c r="B42" s="61">
        <f t="shared" si="16"/>
        <v>228397.47812790057</v>
      </c>
      <c r="C42" s="61">
        <f t="shared" si="12"/>
        <v>388.04145783212016</v>
      </c>
      <c r="D42" s="61">
        <f t="shared" si="13"/>
        <v>951.65615886625233</v>
      </c>
      <c r="E42" s="61">
        <f t="shared" si="14"/>
        <v>1339.6976166983725</v>
      </c>
      <c r="F42" s="61">
        <f t="shared" si="15"/>
        <v>228009.43667006845</v>
      </c>
      <c r="G42" s="58"/>
      <c r="H42" s="58"/>
      <c r="I42" s="58"/>
    </row>
    <row r="43" spans="1:9" ht="15.75" customHeight="1" x14ac:dyDescent="0.25">
      <c r="A43" s="62" t="s">
        <v>191</v>
      </c>
      <c r="B43" s="61">
        <f t="shared" si="16"/>
        <v>228009.43667006845</v>
      </c>
      <c r="C43" s="61">
        <f t="shared" si="12"/>
        <v>389.65829723975401</v>
      </c>
      <c r="D43" s="61">
        <f t="shared" si="13"/>
        <v>950.03931945861848</v>
      </c>
      <c r="E43" s="61">
        <f t="shared" si="14"/>
        <v>1339.6976166983725</v>
      </c>
      <c r="F43" s="61">
        <f t="shared" si="15"/>
        <v>227619.7783728287</v>
      </c>
      <c r="G43" s="58"/>
      <c r="H43" s="58"/>
      <c r="I43" s="58"/>
    </row>
    <row r="44" spans="1:9" ht="15.75" customHeight="1" x14ac:dyDescent="0.25">
      <c r="A44" s="62" t="s">
        <v>192</v>
      </c>
      <c r="B44" s="61">
        <f t="shared" si="16"/>
        <v>227619.7783728287</v>
      </c>
      <c r="C44" s="61">
        <f t="shared" si="12"/>
        <v>391.28187347825292</v>
      </c>
      <c r="D44" s="61">
        <f t="shared" si="13"/>
        <v>948.41574322011957</v>
      </c>
      <c r="E44" s="61">
        <f t="shared" si="14"/>
        <v>1339.6976166983725</v>
      </c>
      <c r="F44" s="61">
        <f t="shared" si="15"/>
        <v>227228.49649935044</v>
      </c>
      <c r="G44" s="58"/>
      <c r="H44" s="58"/>
      <c r="I44" s="58"/>
    </row>
    <row r="45" spans="1:9" ht="15.75" customHeight="1" x14ac:dyDescent="0.25">
      <c r="A45" s="62" t="s">
        <v>193</v>
      </c>
      <c r="B45" s="61">
        <f t="shared" si="16"/>
        <v>227228.49649935044</v>
      </c>
      <c r="C45" s="61">
        <f t="shared" si="12"/>
        <v>392.91221461774569</v>
      </c>
      <c r="D45" s="61">
        <f t="shared" si="13"/>
        <v>946.7854020806268</v>
      </c>
      <c r="E45" s="61">
        <f t="shared" si="14"/>
        <v>1339.6976166983725</v>
      </c>
      <c r="F45" s="61">
        <f t="shared" si="15"/>
        <v>226835.5842847327</v>
      </c>
      <c r="G45" s="58"/>
      <c r="H45" s="58"/>
      <c r="I45" s="58"/>
    </row>
    <row r="46" spans="1:9" ht="15.75" customHeight="1" x14ac:dyDescent="0.25">
      <c r="A46" s="64" t="s">
        <v>194</v>
      </c>
      <c r="B46" s="61"/>
      <c r="C46" s="61">
        <f t="shared" ref="C46:D46" si="17">SUM(C34:C45)</f>
        <v>4608.8185355134774</v>
      </c>
      <c r="D46" s="61">
        <f t="shared" si="17"/>
        <v>11467.55286486699</v>
      </c>
      <c r="E46" s="61"/>
      <c r="F46" s="61"/>
      <c r="G46" s="58"/>
      <c r="H46" s="58"/>
      <c r="I46" s="58"/>
    </row>
    <row r="47" spans="1:9" ht="15.75" customHeight="1" x14ac:dyDescent="0.25">
      <c r="A47" s="64"/>
      <c r="B47" s="61"/>
      <c r="C47" s="61"/>
      <c r="D47" s="61"/>
      <c r="E47" s="61"/>
      <c r="F47" s="61"/>
      <c r="G47" s="58"/>
      <c r="H47" s="58"/>
      <c r="I47" s="58"/>
    </row>
    <row r="48" spans="1:9" ht="15.75" customHeight="1" x14ac:dyDescent="0.25">
      <c r="A48" s="62"/>
      <c r="B48" s="78" t="s">
        <v>14</v>
      </c>
      <c r="C48" s="73"/>
      <c r="D48" s="73"/>
      <c r="E48" s="73"/>
      <c r="F48" s="73"/>
      <c r="G48" s="58"/>
      <c r="H48" s="58"/>
      <c r="I48" s="58"/>
    </row>
    <row r="49" spans="1:9" ht="15.75" customHeight="1" x14ac:dyDescent="0.25">
      <c r="A49" s="60" t="s">
        <v>176</v>
      </c>
      <c r="B49" s="61">
        <f>+F45</f>
        <v>226835.5842847327</v>
      </c>
      <c r="C49" s="61">
        <f t="shared" ref="C49:C60" si="18">+E49-D49</f>
        <v>394.54934884531963</v>
      </c>
      <c r="D49" s="61">
        <f t="shared" ref="D49:D60" si="19">B49*$I$4</f>
        <v>945.14826785305286</v>
      </c>
      <c r="E49" s="61">
        <f t="shared" ref="E49:E60" si="20">-$I$11</f>
        <v>1339.6976166983725</v>
      </c>
      <c r="F49" s="61">
        <f t="shared" ref="F49:F60" si="21">+B49-C49</f>
        <v>226441.03493588738</v>
      </c>
      <c r="G49" s="58"/>
      <c r="H49" s="58"/>
      <c r="I49" s="58"/>
    </row>
    <row r="50" spans="1:9" ht="15.75" customHeight="1" x14ac:dyDescent="0.25">
      <c r="A50" s="62" t="s">
        <v>178</v>
      </c>
      <c r="B50" s="61">
        <f t="shared" ref="B50:B60" si="22">+F49</f>
        <v>226441.03493588738</v>
      </c>
      <c r="C50" s="61">
        <f t="shared" si="18"/>
        <v>396.19330446550839</v>
      </c>
      <c r="D50" s="61">
        <f t="shared" si="19"/>
        <v>943.50431223286409</v>
      </c>
      <c r="E50" s="61">
        <f t="shared" si="20"/>
        <v>1339.6976166983725</v>
      </c>
      <c r="F50" s="61">
        <f t="shared" si="21"/>
        <v>226044.84163142188</v>
      </c>
      <c r="G50" s="58"/>
      <c r="H50" s="58"/>
      <c r="I50" s="58"/>
    </row>
    <row r="51" spans="1:9" ht="15.75" customHeight="1" x14ac:dyDescent="0.25">
      <c r="A51" s="62" t="s">
        <v>180</v>
      </c>
      <c r="B51" s="61">
        <f t="shared" si="22"/>
        <v>226044.84163142188</v>
      </c>
      <c r="C51" s="61">
        <f t="shared" si="18"/>
        <v>397.84410990078129</v>
      </c>
      <c r="D51" s="61">
        <f t="shared" si="19"/>
        <v>941.85350679759119</v>
      </c>
      <c r="E51" s="61">
        <f t="shared" si="20"/>
        <v>1339.6976166983725</v>
      </c>
      <c r="F51" s="61">
        <f t="shared" si="21"/>
        <v>225646.99752152109</v>
      </c>
      <c r="G51" s="58"/>
      <c r="H51" s="58"/>
      <c r="I51" s="58"/>
    </row>
    <row r="52" spans="1:9" ht="15.75" customHeight="1" x14ac:dyDescent="0.25">
      <c r="A52" s="62" t="s">
        <v>182</v>
      </c>
      <c r="B52" s="61">
        <f t="shared" si="22"/>
        <v>225646.99752152109</v>
      </c>
      <c r="C52" s="61">
        <f t="shared" si="18"/>
        <v>399.50179369203465</v>
      </c>
      <c r="D52" s="61">
        <f t="shared" si="19"/>
        <v>940.19582300633783</v>
      </c>
      <c r="E52" s="61">
        <f t="shared" si="20"/>
        <v>1339.6976166983725</v>
      </c>
      <c r="F52" s="61">
        <f t="shared" si="21"/>
        <v>225247.49572782905</v>
      </c>
      <c r="G52" s="58"/>
      <c r="H52" s="58"/>
      <c r="I52" s="58"/>
    </row>
    <row r="53" spans="1:9" ht="15.75" customHeight="1" x14ac:dyDescent="0.25">
      <c r="A53" s="62" t="s">
        <v>184</v>
      </c>
      <c r="B53" s="61">
        <f t="shared" si="22"/>
        <v>225247.49572782905</v>
      </c>
      <c r="C53" s="61">
        <f t="shared" si="18"/>
        <v>401.16638449908476</v>
      </c>
      <c r="D53" s="61">
        <f t="shared" si="19"/>
        <v>938.53123219928773</v>
      </c>
      <c r="E53" s="61">
        <f t="shared" si="20"/>
        <v>1339.6976166983725</v>
      </c>
      <c r="F53" s="61">
        <f t="shared" si="21"/>
        <v>224846.32934332997</v>
      </c>
      <c r="G53" s="58"/>
      <c r="H53" s="58"/>
      <c r="I53" s="58"/>
    </row>
    <row r="54" spans="1:9" ht="15.75" customHeight="1" x14ac:dyDescent="0.25">
      <c r="A54" s="62" t="s">
        <v>186</v>
      </c>
      <c r="B54" s="61">
        <f t="shared" si="22"/>
        <v>224846.32934332997</v>
      </c>
      <c r="C54" s="61">
        <f t="shared" si="18"/>
        <v>402.83791110116431</v>
      </c>
      <c r="D54" s="61">
        <f t="shared" si="19"/>
        <v>936.85970559720818</v>
      </c>
      <c r="E54" s="61">
        <f t="shared" si="20"/>
        <v>1339.6976166983725</v>
      </c>
      <c r="F54" s="61">
        <f t="shared" si="21"/>
        <v>224443.4914322288</v>
      </c>
      <c r="G54" s="58"/>
      <c r="H54" s="58"/>
      <c r="I54" s="58"/>
    </row>
    <row r="55" spans="1:9" ht="15.75" customHeight="1" x14ac:dyDescent="0.25">
      <c r="A55" s="62" t="s">
        <v>188</v>
      </c>
      <c r="B55" s="61">
        <f t="shared" si="22"/>
        <v>224443.4914322288</v>
      </c>
      <c r="C55" s="61">
        <f t="shared" si="18"/>
        <v>404.51640239741914</v>
      </c>
      <c r="D55" s="61">
        <f t="shared" si="19"/>
        <v>935.18121430095334</v>
      </c>
      <c r="E55" s="61">
        <f t="shared" si="20"/>
        <v>1339.6976166983725</v>
      </c>
      <c r="F55" s="61">
        <f t="shared" si="21"/>
        <v>224038.97502983137</v>
      </c>
      <c r="G55" s="58"/>
      <c r="H55" s="58"/>
      <c r="I55" s="58"/>
    </row>
    <row r="56" spans="1:9" ht="15.75" customHeight="1" x14ac:dyDescent="0.25">
      <c r="A56" s="62" t="s">
        <v>189</v>
      </c>
      <c r="B56" s="61">
        <f t="shared" si="22"/>
        <v>224038.97502983137</v>
      </c>
      <c r="C56" s="61">
        <f t="shared" si="18"/>
        <v>406.20188740740844</v>
      </c>
      <c r="D56" s="61">
        <f t="shared" si="19"/>
        <v>933.49572929096405</v>
      </c>
      <c r="E56" s="61">
        <f t="shared" si="20"/>
        <v>1339.6976166983725</v>
      </c>
      <c r="F56" s="61">
        <f t="shared" si="21"/>
        <v>223632.77314242398</v>
      </c>
      <c r="G56" s="58"/>
      <c r="H56" s="58"/>
      <c r="I56" s="58"/>
    </row>
    <row r="57" spans="1:9" ht="15.75" customHeight="1" x14ac:dyDescent="0.25">
      <c r="A57" s="62" t="s">
        <v>190</v>
      </c>
      <c r="B57" s="61">
        <f t="shared" si="22"/>
        <v>223632.77314242398</v>
      </c>
      <c r="C57" s="61">
        <f t="shared" si="18"/>
        <v>407.89439527160596</v>
      </c>
      <c r="D57" s="61">
        <f t="shared" si="19"/>
        <v>931.80322142676653</v>
      </c>
      <c r="E57" s="61">
        <f t="shared" si="20"/>
        <v>1339.6976166983725</v>
      </c>
      <c r="F57" s="61">
        <f t="shared" si="21"/>
        <v>223224.87874715237</v>
      </c>
      <c r="G57" s="58"/>
      <c r="H57" s="58"/>
      <c r="I57" s="58"/>
    </row>
    <row r="58" spans="1:9" ht="15.75" customHeight="1" x14ac:dyDescent="0.25">
      <c r="A58" s="62" t="s">
        <v>191</v>
      </c>
      <c r="B58" s="61">
        <f t="shared" si="22"/>
        <v>223224.87874715237</v>
      </c>
      <c r="C58" s="61">
        <f t="shared" si="18"/>
        <v>409.59395525190428</v>
      </c>
      <c r="D58" s="61">
        <f t="shared" si="19"/>
        <v>930.10366144646821</v>
      </c>
      <c r="E58" s="61">
        <f t="shared" si="20"/>
        <v>1339.6976166983725</v>
      </c>
      <c r="F58" s="61">
        <f t="shared" si="21"/>
        <v>222815.28479190046</v>
      </c>
      <c r="G58" s="58"/>
      <c r="H58" s="58"/>
      <c r="I58" s="58"/>
    </row>
    <row r="59" spans="1:9" ht="15.75" customHeight="1" x14ac:dyDescent="0.25">
      <c r="A59" s="62" t="s">
        <v>192</v>
      </c>
      <c r="B59" s="61">
        <f t="shared" si="22"/>
        <v>222815.28479190046</v>
      </c>
      <c r="C59" s="61">
        <f t="shared" si="18"/>
        <v>411.30059673212065</v>
      </c>
      <c r="D59" s="61">
        <f t="shared" si="19"/>
        <v>928.39701996625183</v>
      </c>
      <c r="E59" s="61">
        <f t="shared" si="20"/>
        <v>1339.6976166983725</v>
      </c>
      <c r="F59" s="61">
        <f t="shared" si="21"/>
        <v>222403.98419516833</v>
      </c>
      <c r="G59" s="58"/>
      <c r="H59" s="58"/>
      <c r="I59" s="58"/>
    </row>
    <row r="60" spans="1:9" ht="15.75" customHeight="1" x14ac:dyDescent="0.25">
      <c r="A60" s="62" t="s">
        <v>193</v>
      </c>
      <c r="B60" s="61">
        <f t="shared" si="22"/>
        <v>222403.98419516833</v>
      </c>
      <c r="C60" s="61">
        <f t="shared" si="18"/>
        <v>413.01434921850444</v>
      </c>
      <c r="D60" s="61">
        <f t="shared" si="19"/>
        <v>926.68326747986805</v>
      </c>
      <c r="E60" s="61">
        <f t="shared" si="20"/>
        <v>1339.6976166983725</v>
      </c>
      <c r="F60" s="61">
        <f t="shared" si="21"/>
        <v>221990.96984594982</v>
      </c>
      <c r="G60" s="65"/>
      <c r="H60" s="58"/>
      <c r="I60" s="58"/>
    </row>
    <row r="61" spans="1:9" ht="15.75" customHeight="1" x14ac:dyDescent="0.25">
      <c r="A61" s="64" t="s">
        <v>194</v>
      </c>
      <c r="B61" s="61"/>
      <c r="C61" s="61">
        <f t="shared" ref="C61:D61" si="23">SUM(C49:C60)</f>
        <v>4844.6144387828554</v>
      </c>
      <c r="D61" s="61">
        <f t="shared" si="23"/>
        <v>11231.756961597614</v>
      </c>
      <c r="E61" s="61"/>
      <c r="F61" s="61"/>
      <c r="G61" s="58"/>
      <c r="H61" s="58"/>
      <c r="I61" s="58"/>
    </row>
    <row r="62" spans="1:9" ht="15.75" customHeight="1" x14ac:dyDescent="0.25">
      <c r="A62" s="64"/>
      <c r="B62" s="61"/>
      <c r="C62" s="61"/>
      <c r="D62" s="61"/>
      <c r="E62" s="61"/>
      <c r="F62" s="61"/>
      <c r="G62" s="58"/>
      <c r="H62" s="58"/>
      <c r="I62" s="58"/>
    </row>
    <row r="63" spans="1:9" ht="15.75" customHeight="1" x14ac:dyDescent="0.25">
      <c r="A63" s="62"/>
      <c r="B63" s="78" t="s">
        <v>15</v>
      </c>
      <c r="C63" s="73"/>
      <c r="D63" s="73"/>
      <c r="E63" s="73"/>
      <c r="F63" s="73"/>
      <c r="G63" s="58"/>
      <c r="H63" s="58"/>
      <c r="I63" s="58"/>
    </row>
    <row r="64" spans="1:9" ht="15.75" customHeight="1" x14ac:dyDescent="0.25">
      <c r="A64" s="60" t="s">
        <v>176</v>
      </c>
      <c r="B64" s="61">
        <f>+F60</f>
        <v>221990.96984594982</v>
      </c>
      <c r="C64" s="61">
        <f t="shared" ref="C64:C75" si="24">+E64-D64</f>
        <v>414.73524234024831</v>
      </c>
      <c r="D64" s="61">
        <f t="shared" ref="D64:D75" si="25">B64*$I$4</f>
        <v>924.96237435812418</v>
      </c>
      <c r="E64" s="61">
        <f t="shared" ref="E64:E75" si="26">-$I$11</f>
        <v>1339.6976166983725</v>
      </c>
      <c r="F64" s="61">
        <f t="shared" ref="F64:F75" si="27">+B64-C64</f>
        <v>221576.23460360957</v>
      </c>
      <c r="G64" s="58"/>
      <c r="H64" s="58"/>
      <c r="I64" s="58"/>
    </row>
    <row r="65" spans="1:9" ht="15.75" customHeight="1" x14ac:dyDescent="0.25">
      <c r="A65" s="62" t="s">
        <v>178</v>
      </c>
      <c r="B65" s="61">
        <f t="shared" ref="B65:B75" si="28">+F64</f>
        <v>221576.23460360957</v>
      </c>
      <c r="C65" s="61">
        <f t="shared" si="24"/>
        <v>416.4633058499993</v>
      </c>
      <c r="D65" s="61">
        <f t="shared" si="25"/>
        <v>923.23431084837318</v>
      </c>
      <c r="E65" s="61">
        <f t="shared" si="26"/>
        <v>1339.6976166983725</v>
      </c>
      <c r="F65" s="61">
        <f t="shared" si="27"/>
        <v>221159.77129775958</v>
      </c>
      <c r="G65" s="58"/>
      <c r="H65" s="58"/>
      <c r="I65" s="58"/>
    </row>
    <row r="66" spans="1:9" ht="15.75" customHeight="1" x14ac:dyDescent="0.25">
      <c r="A66" s="62" t="s">
        <v>180</v>
      </c>
      <c r="B66" s="61">
        <f t="shared" si="28"/>
        <v>221159.77129775958</v>
      </c>
      <c r="C66" s="61">
        <f t="shared" si="24"/>
        <v>418.19856962437427</v>
      </c>
      <c r="D66" s="61">
        <f t="shared" si="25"/>
        <v>921.49904707399821</v>
      </c>
      <c r="E66" s="61">
        <f t="shared" si="26"/>
        <v>1339.6976166983725</v>
      </c>
      <c r="F66" s="61">
        <f t="shared" si="27"/>
        <v>220741.57272813522</v>
      </c>
      <c r="G66" s="58"/>
      <c r="H66" s="58"/>
      <c r="I66" s="58"/>
    </row>
    <row r="67" spans="1:9" ht="15.75" customHeight="1" x14ac:dyDescent="0.25">
      <c r="A67" s="62" t="s">
        <v>182</v>
      </c>
      <c r="B67" s="61">
        <f t="shared" si="28"/>
        <v>220741.57272813522</v>
      </c>
      <c r="C67" s="61">
        <f t="shared" si="24"/>
        <v>419.94106366447579</v>
      </c>
      <c r="D67" s="61">
        <f t="shared" si="25"/>
        <v>919.75655303389669</v>
      </c>
      <c r="E67" s="61">
        <f t="shared" si="26"/>
        <v>1339.6976166983725</v>
      </c>
      <c r="F67" s="61">
        <f t="shared" si="27"/>
        <v>220321.63166447074</v>
      </c>
      <c r="G67" s="58"/>
      <c r="H67" s="58"/>
      <c r="I67" s="58"/>
    </row>
    <row r="68" spans="1:9" ht="15.75" customHeight="1" x14ac:dyDescent="0.25">
      <c r="A68" s="62" t="s">
        <v>184</v>
      </c>
      <c r="B68" s="61">
        <f t="shared" si="28"/>
        <v>220321.63166447074</v>
      </c>
      <c r="C68" s="61">
        <f t="shared" si="24"/>
        <v>421.69081809641114</v>
      </c>
      <c r="D68" s="61">
        <f t="shared" si="25"/>
        <v>918.00679860196135</v>
      </c>
      <c r="E68" s="61">
        <f t="shared" si="26"/>
        <v>1339.6976166983725</v>
      </c>
      <c r="F68" s="61">
        <f t="shared" si="27"/>
        <v>219899.94084637432</v>
      </c>
      <c r="G68" s="58"/>
      <c r="H68" s="58"/>
      <c r="I68" s="58"/>
    </row>
    <row r="69" spans="1:9" ht="15.75" customHeight="1" x14ac:dyDescent="0.25">
      <c r="A69" s="62" t="s">
        <v>186</v>
      </c>
      <c r="B69" s="61">
        <f t="shared" si="28"/>
        <v>219899.94084637432</v>
      </c>
      <c r="C69" s="61">
        <f t="shared" si="24"/>
        <v>423.44786317181286</v>
      </c>
      <c r="D69" s="61">
        <f t="shared" si="25"/>
        <v>916.24975352655963</v>
      </c>
      <c r="E69" s="61">
        <f t="shared" si="26"/>
        <v>1339.6976166983725</v>
      </c>
      <c r="F69" s="61">
        <f t="shared" si="27"/>
        <v>219476.49298320251</v>
      </c>
      <c r="G69" s="58"/>
      <c r="H69" s="58"/>
      <c r="I69" s="58"/>
    </row>
    <row r="70" spans="1:9" ht="15.75" customHeight="1" x14ac:dyDescent="0.25">
      <c r="A70" s="62" t="s">
        <v>188</v>
      </c>
      <c r="B70" s="61">
        <f t="shared" si="28"/>
        <v>219476.49298320251</v>
      </c>
      <c r="C70" s="61">
        <f t="shared" si="24"/>
        <v>425.21222926836208</v>
      </c>
      <c r="D70" s="61">
        <f t="shared" si="25"/>
        <v>914.48538743001041</v>
      </c>
      <c r="E70" s="61">
        <f t="shared" si="26"/>
        <v>1339.6976166983725</v>
      </c>
      <c r="F70" s="61">
        <f t="shared" si="27"/>
        <v>219051.28075393414</v>
      </c>
      <c r="G70" s="58"/>
      <c r="H70" s="58"/>
      <c r="I70" s="58"/>
    </row>
    <row r="71" spans="1:9" ht="15.75" customHeight="1" x14ac:dyDescent="0.25">
      <c r="A71" s="62" t="s">
        <v>189</v>
      </c>
      <c r="B71" s="61">
        <f t="shared" si="28"/>
        <v>219051.28075393414</v>
      </c>
      <c r="C71" s="61">
        <f t="shared" si="24"/>
        <v>426.98394689031352</v>
      </c>
      <c r="D71" s="61">
        <f t="shared" si="25"/>
        <v>912.71366980805897</v>
      </c>
      <c r="E71" s="61">
        <f t="shared" si="26"/>
        <v>1339.6976166983725</v>
      </c>
      <c r="F71" s="61">
        <f t="shared" si="27"/>
        <v>218624.29680704384</v>
      </c>
      <c r="G71" s="58"/>
      <c r="H71" s="58"/>
      <c r="I71" s="58"/>
    </row>
    <row r="72" spans="1:9" ht="15.75" customHeight="1" x14ac:dyDescent="0.25">
      <c r="A72" s="62" t="s">
        <v>190</v>
      </c>
      <c r="B72" s="61">
        <f t="shared" si="28"/>
        <v>218624.29680704384</v>
      </c>
      <c r="C72" s="61">
        <f t="shared" si="24"/>
        <v>428.7630466690232</v>
      </c>
      <c r="D72" s="61">
        <f t="shared" si="25"/>
        <v>910.93457002934929</v>
      </c>
      <c r="E72" s="61">
        <f t="shared" si="26"/>
        <v>1339.6976166983725</v>
      </c>
      <c r="F72" s="61">
        <f t="shared" si="27"/>
        <v>218195.53376037482</v>
      </c>
      <c r="G72" s="58"/>
      <c r="H72" s="58"/>
      <c r="I72" s="58"/>
    </row>
    <row r="73" spans="1:9" ht="15.75" customHeight="1" x14ac:dyDescent="0.25">
      <c r="A73" s="62" t="s">
        <v>191</v>
      </c>
      <c r="B73" s="61">
        <f t="shared" si="28"/>
        <v>218195.53376037482</v>
      </c>
      <c r="C73" s="61">
        <f t="shared" si="24"/>
        <v>430.54955936347744</v>
      </c>
      <c r="D73" s="61">
        <f t="shared" si="25"/>
        <v>909.14805733489504</v>
      </c>
      <c r="E73" s="61">
        <f t="shared" si="26"/>
        <v>1339.6976166983725</v>
      </c>
      <c r="F73" s="61">
        <f t="shared" si="27"/>
        <v>217764.98420101134</v>
      </c>
      <c r="G73" s="58"/>
      <c r="H73" s="58"/>
      <c r="I73" s="58"/>
    </row>
    <row r="74" spans="1:9" ht="15.75" customHeight="1" x14ac:dyDescent="0.25">
      <c r="A74" s="62" t="s">
        <v>192</v>
      </c>
      <c r="B74" s="61">
        <f t="shared" si="28"/>
        <v>217764.98420101134</v>
      </c>
      <c r="C74" s="61">
        <f t="shared" si="24"/>
        <v>432.34351586082528</v>
      </c>
      <c r="D74" s="61">
        <f t="shared" si="25"/>
        <v>907.35410083754721</v>
      </c>
      <c r="E74" s="61">
        <f t="shared" si="26"/>
        <v>1339.6976166983725</v>
      </c>
      <c r="F74" s="61">
        <f t="shared" si="27"/>
        <v>217332.64068515052</v>
      </c>
      <c r="G74" s="58"/>
      <c r="H74" s="58"/>
      <c r="I74" s="58"/>
    </row>
    <row r="75" spans="1:9" ht="15.75" customHeight="1" x14ac:dyDescent="0.25">
      <c r="A75" s="62" t="s">
        <v>193</v>
      </c>
      <c r="B75" s="61">
        <f t="shared" si="28"/>
        <v>217332.64068515052</v>
      </c>
      <c r="C75" s="61">
        <f t="shared" si="24"/>
        <v>434.14494717691207</v>
      </c>
      <c r="D75" s="61">
        <f t="shared" si="25"/>
        <v>905.55266952146042</v>
      </c>
      <c r="E75" s="61">
        <f t="shared" si="26"/>
        <v>1339.6976166983725</v>
      </c>
      <c r="F75" s="61">
        <f t="shared" si="27"/>
        <v>216898.4957379736</v>
      </c>
      <c r="G75" s="58"/>
      <c r="H75" s="58"/>
      <c r="I75" s="58"/>
    </row>
    <row r="76" spans="1:9" ht="15.75" customHeight="1" x14ac:dyDescent="0.25">
      <c r="A76" s="64" t="s">
        <v>194</v>
      </c>
      <c r="B76" s="61"/>
      <c r="C76" s="61">
        <f t="shared" ref="C76:D76" si="29">SUM(C64:C75)</f>
        <v>5092.4741079762362</v>
      </c>
      <c r="D76" s="61">
        <f t="shared" si="29"/>
        <v>10983.897292404234</v>
      </c>
      <c r="E76" s="61"/>
      <c r="F76" s="61"/>
      <c r="G76" s="58"/>
      <c r="H76" s="58"/>
      <c r="I76" s="58"/>
    </row>
    <row r="77" spans="1:9" ht="15.75" customHeight="1" x14ac:dyDescent="0.25">
      <c r="A77" s="64"/>
      <c r="B77" s="61"/>
      <c r="C77" s="61"/>
      <c r="D77" s="61"/>
      <c r="E77" s="61"/>
      <c r="F77" s="61"/>
      <c r="G77" s="58"/>
      <c r="H77" s="58"/>
      <c r="I77" s="58"/>
    </row>
    <row r="78" spans="1:9" ht="15.75" customHeight="1" x14ac:dyDescent="0.25">
      <c r="A78" s="62"/>
      <c r="B78" s="78" t="s">
        <v>16</v>
      </c>
      <c r="C78" s="73"/>
      <c r="D78" s="73"/>
      <c r="E78" s="73"/>
      <c r="F78" s="73"/>
      <c r="G78" s="58"/>
      <c r="H78" s="58"/>
      <c r="I78" s="58"/>
    </row>
    <row r="79" spans="1:9" ht="15.75" customHeight="1" x14ac:dyDescent="0.25">
      <c r="A79" s="60" t="s">
        <v>176</v>
      </c>
      <c r="B79" s="61">
        <f>+F75</f>
        <v>216898.4957379736</v>
      </c>
      <c r="C79" s="61">
        <f t="shared" ref="C79:C90" si="30">+E79-D79</f>
        <v>435.95388445681579</v>
      </c>
      <c r="D79" s="61">
        <f t="shared" ref="D79:D90" si="31">B79*$I$4</f>
        <v>903.7437322415567</v>
      </c>
      <c r="E79" s="61">
        <f t="shared" ref="E79:E90" si="32">-$I$11</f>
        <v>1339.6976166983725</v>
      </c>
      <c r="F79" s="61">
        <f t="shared" ref="F79:F90" si="33">+B79-C79</f>
        <v>216462.5418535168</v>
      </c>
      <c r="G79" s="58"/>
      <c r="H79" s="58"/>
      <c r="I79" s="58"/>
    </row>
    <row r="80" spans="1:9" ht="15.75" customHeight="1" x14ac:dyDescent="0.25">
      <c r="A80" s="62" t="s">
        <v>178</v>
      </c>
      <c r="B80" s="61">
        <f t="shared" ref="B80:B90" si="34">+F79</f>
        <v>216462.5418535168</v>
      </c>
      <c r="C80" s="61">
        <f t="shared" si="30"/>
        <v>437.77035897538588</v>
      </c>
      <c r="D80" s="61">
        <f t="shared" si="31"/>
        <v>901.92725772298661</v>
      </c>
      <c r="E80" s="61">
        <f t="shared" si="32"/>
        <v>1339.6976166983725</v>
      </c>
      <c r="F80" s="61">
        <f t="shared" si="33"/>
        <v>216024.7714945414</v>
      </c>
      <c r="G80" s="58"/>
      <c r="H80" s="58"/>
      <c r="I80" s="58"/>
    </row>
    <row r="81" spans="1:9" ht="15.75" customHeight="1" x14ac:dyDescent="0.25">
      <c r="A81" s="62" t="s">
        <v>180</v>
      </c>
      <c r="B81" s="61">
        <f t="shared" si="34"/>
        <v>216024.7714945414</v>
      </c>
      <c r="C81" s="61">
        <f t="shared" si="30"/>
        <v>439.59440213778328</v>
      </c>
      <c r="D81" s="61">
        <f t="shared" si="31"/>
        <v>900.10321456058921</v>
      </c>
      <c r="E81" s="61">
        <f t="shared" si="32"/>
        <v>1339.6976166983725</v>
      </c>
      <c r="F81" s="61">
        <f t="shared" si="33"/>
        <v>215585.17709240361</v>
      </c>
      <c r="G81" s="58"/>
      <c r="H81" s="58"/>
      <c r="I81" s="58"/>
    </row>
    <row r="82" spans="1:9" ht="15.75" customHeight="1" x14ac:dyDescent="0.25">
      <c r="A82" s="62" t="s">
        <v>182</v>
      </c>
      <c r="B82" s="61">
        <f t="shared" si="34"/>
        <v>215585.17709240361</v>
      </c>
      <c r="C82" s="61">
        <f t="shared" si="30"/>
        <v>441.42604548002407</v>
      </c>
      <c r="D82" s="61">
        <f t="shared" si="31"/>
        <v>898.27157121834841</v>
      </c>
      <c r="E82" s="61">
        <f t="shared" si="32"/>
        <v>1339.6976166983725</v>
      </c>
      <c r="F82" s="61">
        <f t="shared" si="33"/>
        <v>215143.7510469236</v>
      </c>
      <c r="G82" s="58"/>
      <c r="H82" s="58"/>
      <c r="I82" s="58"/>
    </row>
    <row r="83" spans="1:9" ht="15.75" customHeight="1" x14ac:dyDescent="0.25">
      <c r="A83" s="62" t="s">
        <v>184</v>
      </c>
      <c r="B83" s="61">
        <f t="shared" si="34"/>
        <v>215143.7510469236</v>
      </c>
      <c r="C83" s="61">
        <f t="shared" si="30"/>
        <v>443.26532066952416</v>
      </c>
      <c r="D83" s="61">
        <f t="shared" si="31"/>
        <v>896.43229602884833</v>
      </c>
      <c r="E83" s="61">
        <f t="shared" si="32"/>
        <v>1339.6976166983725</v>
      </c>
      <c r="F83" s="61">
        <f t="shared" si="33"/>
        <v>214700.48572625409</v>
      </c>
      <c r="G83" s="58"/>
      <c r="H83" s="58"/>
      <c r="I83" s="58"/>
    </row>
    <row r="84" spans="1:9" ht="15.75" customHeight="1" x14ac:dyDescent="0.25">
      <c r="A84" s="62" t="s">
        <v>186</v>
      </c>
      <c r="B84" s="61">
        <f t="shared" si="34"/>
        <v>214700.48572625409</v>
      </c>
      <c r="C84" s="61">
        <f t="shared" si="30"/>
        <v>445.1122595056471</v>
      </c>
      <c r="D84" s="61">
        <f t="shared" si="31"/>
        <v>894.58535719272538</v>
      </c>
      <c r="E84" s="61">
        <f t="shared" si="32"/>
        <v>1339.6976166983725</v>
      </c>
      <c r="F84" s="61">
        <f t="shared" si="33"/>
        <v>214255.37346674845</v>
      </c>
    </row>
    <row r="85" spans="1:9" ht="15.75" customHeight="1" x14ac:dyDescent="0.25">
      <c r="A85" s="62" t="s">
        <v>188</v>
      </c>
      <c r="B85" s="61">
        <f t="shared" si="34"/>
        <v>214255.37346674845</v>
      </c>
      <c r="C85" s="61">
        <f t="shared" si="30"/>
        <v>446.96689392025394</v>
      </c>
      <c r="D85" s="61">
        <f t="shared" si="31"/>
        <v>892.73072277811855</v>
      </c>
      <c r="E85" s="61">
        <f t="shared" si="32"/>
        <v>1339.6976166983725</v>
      </c>
      <c r="F85" s="61">
        <f t="shared" si="33"/>
        <v>213808.40657282819</v>
      </c>
    </row>
    <row r="86" spans="1:9" ht="15.75" customHeight="1" x14ac:dyDescent="0.25">
      <c r="A86" s="62" t="s">
        <v>189</v>
      </c>
      <c r="B86" s="61">
        <f t="shared" si="34"/>
        <v>213808.40657282819</v>
      </c>
      <c r="C86" s="61">
        <f t="shared" si="30"/>
        <v>448.82925597825511</v>
      </c>
      <c r="D86" s="61">
        <f t="shared" si="31"/>
        <v>890.86836072011738</v>
      </c>
      <c r="E86" s="61">
        <f t="shared" si="32"/>
        <v>1339.6976166983725</v>
      </c>
      <c r="F86" s="61">
        <f t="shared" si="33"/>
        <v>213359.57731684993</v>
      </c>
    </row>
    <row r="87" spans="1:9" ht="15.75" customHeight="1" x14ac:dyDescent="0.25">
      <c r="A87" s="62" t="s">
        <v>190</v>
      </c>
      <c r="B87" s="61">
        <f t="shared" si="34"/>
        <v>213359.57731684993</v>
      </c>
      <c r="C87" s="61">
        <f t="shared" si="30"/>
        <v>450.69937787816446</v>
      </c>
      <c r="D87" s="61">
        <f t="shared" si="31"/>
        <v>888.99823882020803</v>
      </c>
      <c r="E87" s="61">
        <f t="shared" si="32"/>
        <v>1339.6976166983725</v>
      </c>
      <c r="F87" s="61">
        <f t="shared" si="33"/>
        <v>212908.87793897177</v>
      </c>
    </row>
    <row r="88" spans="1:9" ht="15.75" customHeight="1" x14ac:dyDescent="0.25">
      <c r="A88" s="62" t="s">
        <v>191</v>
      </c>
      <c r="B88" s="61">
        <f t="shared" si="34"/>
        <v>212908.87793897177</v>
      </c>
      <c r="C88" s="61">
        <f t="shared" si="30"/>
        <v>452.57729195265676</v>
      </c>
      <c r="D88" s="61">
        <f t="shared" si="31"/>
        <v>887.12032474571572</v>
      </c>
      <c r="E88" s="61">
        <f t="shared" si="32"/>
        <v>1339.6976166983725</v>
      </c>
      <c r="F88" s="61">
        <f t="shared" si="33"/>
        <v>212456.30064701912</v>
      </c>
    </row>
    <row r="89" spans="1:9" ht="15.75" customHeight="1" x14ac:dyDescent="0.25">
      <c r="A89" s="62" t="s">
        <v>192</v>
      </c>
      <c r="B89" s="61">
        <f t="shared" si="34"/>
        <v>212456.30064701912</v>
      </c>
      <c r="C89" s="61">
        <f t="shared" si="30"/>
        <v>454.46303066912617</v>
      </c>
      <c r="D89" s="61">
        <f t="shared" si="31"/>
        <v>885.23458602924632</v>
      </c>
      <c r="E89" s="61">
        <f t="shared" si="32"/>
        <v>1339.6976166983725</v>
      </c>
      <c r="F89" s="61">
        <f t="shared" si="33"/>
        <v>212001.83761634998</v>
      </c>
    </row>
    <row r="90" spans="1:9" ht="15.75" customHeight="1" x14ac:dyDescent="0.25">
      <c r="A90" s="62" t="s">
        <v>193</v>
      </c>
      <c r="B90" s="61">
        <f t="shared" si="34"/>
        <v>212001.83761634998</v>
      </c>
      <c r="C90" s="61">
        <f t="shared" si="30"/>
        <v>456.35662663024755</v>
      </c>
      <c r="D90" s="61">
        <f t="shared" si="31"/>
        <v>883.34099006812494</v>
      </c>
      <c r="E90" s="61">
        <f t="shared" si="32"/>
        <v>1339.6976166983725</v>
      </c>
      <c r="F90" s="61">
        <f t="shared" si="33"/>
        <v>211545.48098971974</v>
      </c>
    </row>
    <row r="91" spans="1:9" ht="15.75" customHeight="1" x14ac:dyDescent="0.25">
      <c r="A91" s="64" t="s">
        <v>194</v>
      </c>
      <c r="B91" s="61"/>
      <c r="C91" s="61">
        <f t="shared" ref="C91:D91" si="35">SUM(C79:C90)</f>
        <v>5353.0147482538841</v>
      </c>
      <c r="D91" s="61">
        <f t="shared" si="35"/>
        <v>10723.356652126586</v>
      </c>
      <c r="E91" s="61"/>
      <c r="F91" s="61"/>
    </row>
    <row r="92" spans="1:9" ht="15.75" customHeight="1" x14ac:dyDescent="0.25">
      <c r="A92" s="64"/>
      <c r="B92" s="61"/>
      <c r="C92" s="61"/>
      <c r="D92" s="61"/>
      <c r="E92" s="61"/>
      <c r="F92" s="61"/>
    </row>
    <row r="93" spans="1:9" ht="15.75" customHeight="1" x14ac:dyDescent="0.25">
      <c r="A93" s="62"/>
      <c r="B93" s="78" t="s">
        <v>17</v>
      </c>
      <c r="C93" s="73"/>
      <c r="D93" s="73"/>
      <c r="E93" s="73"/>
      <c r="F93" s="73"/>
    </row>
    <row r="94" spans="1:9" ht="15.75" customHeight="1" x14ac:dyDescent="0.25">
      <c r="A94" s="60" t="s">
        <v>176</v>
      </c>
      <c r="B94" s="61">
        <f>+F90</f>
        <v>211545.48098971974</v>
      </c>
      <c r="C94" s="61">
        <f t="shared" ref="C94:C105" si="36">+E94-D94</f>
        <v>458.25811257454029</v>
      </c>
      <c r="D94" s="61">
        <f t="shared" ref="D94:D105" si="37">B94*$I$4</f>
        <v>881.43950412383219</v>
      </c>
      <c r="E94" s="61">
        <f t="shared" ref="E94:E105" si="38">-$I$11</f>
        <v>1339.6976166983725</v>
      </c>
      <c r="F94" s="61">
        <f t="shared" ref="F94:F105" si="39">+B94-C94</f>
        <v>211087.22287714519</v>
      </c>
    </row>
    <row r="95" spans="1:9" ht="15.75" customHeight="1" x14ac:dyDescent="0.25">
      <c r="A95" s="62" t="s">
        <v>178</v>
      </c>
      <c r="B95" s="61">
        <f t="shared" ref="B95:B105" si="40">+F94</f>
        <v>211087.22287714519</v>
      </c>
      <c r="C95" s="61">
        <f t="shared" si="36"/>
        <v>460.16752137693425</v>
      </c>
      <c r="D95" s="61">
        <f t="shared" si="37"/>
        <v>879.53009532143824</v>
      </c>
      <c r="E95" s="61">
        <f t="shared" si="38"/>
        <v>1339.6976166983725</v>
      </c>
      <c r="F95" s="61">
        <f t="shared" si="39"/>
        <v>210627.05535576824</v>
      </c>
    </row>
    <row r="96" spans="1:9" ht="15.75" customHeight="1" x14ac:dyDescent="0.25">
      <c r="A96" s="62" t="s">
        <v>180</v>
      </c>
      <c r="B96" s="61">
        <f t="shared" si="40"/>
        <v>210627.05535576824</v>
      </c>
      <c r="C96" s="61">
        <f t="shared" si="36"/>
        <v>462.08488604933814</v>
      </c>
      <c r="D96" s="61">
        <f t="shared" si="37"/>
        <v>877.61273064903435</v>
      </c>
      <c r="E96" s="61">
        <f t="shared" si="38"/>
        <v>1339.6976166983725</v>
      </c>
      <c r="F96" s="61">
        <f t="shared" si="39"/>
        <v>210164.97046971892</v>
      </c>
    </row>
    <row r="97" spans="1:6" ht="15.75" customHeight="1" x14ac:dyDescent="0.25">
      <c r="A97" s="62" t="s">
        <v>182</v>
      </c>
      <c r="B97" s="61">
        <f t="shared" si="40"/>
        <v>210164.97046971892</v>
      </c>
      <c r="C97" s="61">
        <f t="shared" si="36"/>
        <v>464.0102397412104</v>
      </c>
      <c r="D97" s="61">
        <f t="shared" si="37"/>
        <v>875.68737695716209</v>
      </c>
      <c r="E97" s="61">
        <f t="shared" si="38"/>
        <v>1339.6976166983725</v>
      </c>
      <c r="F97" s="61">
        <f t="shared" si="39"/>
        <v>209700.9602299777</v>
      </c>
    </row>
    <row r="98" spans="1:6" ht="15.75" customHeight="1" x14ac:dyDescent="0.25">
      <c r="A98" s="62" t="s">
        <v>184</v>
      </c>
      <c r="B98" s="61">
        <f t="shared" si="40"/>
        <v>209700.9602299777</v>
      </c>
      <c r="C98" s="61">
        <f t="shared" si="36"/>
        <v>465.94361574013203</v>
      </c>
      <c r="D98" s="61">
        <f t="shared" si="37"/>
        <v>873.75400095824045</v>
      </c>
      <c r="E98" s="61">
        <f t="shared" si="38"/>
        <v>1339.6976166983725</v>
      </c>
      <c r="F98" s="61">
        <f t="shared" si="39"/>
        <v>209235.01661423757</v>
      </c>
    </row>
    <row r="99" spans="1:6" ht="15.75" customHeight="1" x14ac:dyDescent="0.25">
      <c r="A99" s="62" t="s">
        <v>186</v>
      </c>
      <c r="B99" s="61">
        <f t="shared" si="40"/>
        <v>209235.01661423757</v>
      </c>
      <c r="C99" s="61">
        <f t="shared" si="36"/>
        <v>467.88504747238267</v>
      </c>
      <c r="D99" s="61">
        <f t="shared" si="37"/>
        <v>871.81256922598982</v>
      </c>
      <c r="E99" s="61">
        <f t="shared" si="38"/>
        <v>1339.6976166983725</v>
      </c>
      <c r="F99" s="61">
        <f t="shared" si="39"/>
        <v>208767.13156676519</v>
      </c>
    </row>
    <row r="100" spans="1:6" ht="15.75" customHeight="1" x14ac:dyDescent="0.25">
      <c r="A100" s="62" t="s">
        <v>188</v>
      </c>
      <c r="B100" s="61">
        <f t="shared" si="40"/>
        <v>208767.13156676519</v>
      </c>
      <c r="C100" s="61">
        <f t="shared" si="36"/>
        <v>469.83456850351752</v>
      </c>
      <c r="D100" s="61">
        <f t="shared" si="37"/>
        <v>869.86304819485497</v>
      </c>
      <c r="E100" s="61">
        <f t="shared" si="38"/>
        <v>1339.6976166983725</v>
      </c>
      <c r="F100" s="61">
        <f t="shared" si="39"/>
        <v>208297.29699826168</v>
      </c>
    </row>
    <row r="101" spans="1:6" ht="15.75" customHeight="1" x14ac:dyDescent="0.25">
      <c r="A101" s="62" t="s">
        <v>189</v>
      </c>
      <c r="B101" s="61">
        <f t="shared" si="40"/>
        <v>208297.29699826168</v>
      </c>
      <c r="C101" s="61">
        <f t="shared" si="36"/>
        <v>471.79221253894889</v>
      </c>
      <c r="D101" s="61">
        <f t="shared" si="37"/>
        <v>867.9054041594236</v>
      </c>
      <c r="E101" s="61">
        <f t="shared" si="38"/>
        <v>1339.6976166983725</v>
      </c>
      <c r="F101" s="61">
        <f t="shared" si="39"/>
        <v>207825.50478572273</v>
      </c>
    </row>
    <row r="102" spans="1:6" ht="15.75" customHeight="1" x14ac:dyDescent="0.25">
      <c r="A102" s="62" t="s">
        <v>190</v>
      </c>
      <c r="B102" s="61">
        <f t="shared" si="40"/>
        <v>207825.50478572273</v>
      </c>
      <c r="C102" s="61">
        <f t="shared" si="36"/>
        <v>473.7580134245278</v>
      </c>
      <c r="D102" s="61">
        <f t="shared" si="37"/>
        <v>865.93960327384468</v>
      </c>
      <c r="E102" s="61">
        <f t="shared" si="38"/>
        <v>1339.6976166983725</v>
      </c>
      <c r="F102" s="61">
        <f t="shared" si="39"/>
        <v>207351.74677229821</v>
      </c>
    </row>
    <row r="103" spans="1:6" ht="15.75" customHeight="1" x14ac:dyDescent="0.25">
      <c r="A103" s="62" t="s">
        <v>191</v>
      </c>
      <c r="B103" s="61">
        <f t="shared" si="40"/>
        <v>207351.74677229821</v>
      </c>
      <c r="C103" s="61">
        <f t="shared" si="36"/>
        <v>475.73200514712994</v>
      </c>
      <c r="D103" s="61">
        <f t="shared" si="37"/>
        <v>863.96561155124255</v>
      </c>
      <c r="E103" s="61">
        <f t="shared" si="38"/>
        <v>1339.6976166983725</v>
      </c>
      <c r="F103" s="61">
        <f t="shared" si="39"/>
        <v>206876.01476715109</v>
      </c>
    </row>
    <row r="104" spans="1:6" ht="15.75" customHeight="1" x14ac:dyDescent="0.25">
      <c r="A104" s="62" t="s">
        <v>192</v>
      </c>
      <c r="B104" s="61">
        <f t="shared" si="40"/>
        <v>206876.01476715109</v>
      </c>
      <c r="C104" s="61">
        <f t="shared" si="36"/>
        <v>477.71422183524294</v>
      </c>
      <c r="D104" s="61">
        <f t="shared" si="37"/>
        <v>861.98339486312955</v>
      </c>
      <c r="E104" s="61">
        <f t="shared" si="38"/>
        <v>1339.6976166983725</v>
      </c>
      <c r="F104" s="61">
        <f t="shared" si="39"/>
        <v>206398.30054531584</v>
      </c>
    </row>
    <row r="105" spans="1:6" ht="15.75" customHeight="1" x14ac:dyDescent="0.25">
      <c r="A105" s="62" t="s">
        <v>193</v>
      </c>
      <c r="B105" s="61">
        <f t="shared" si="40"/>
        <v>206398.30054531584</v>
      </c>
      <c r="C105" s="61">
        <f t="shared" si="36"/>
        <v>479.70469775955655</v>
      </c>
      <c r="D105" s="61">
        <f t="shared" si="37"/>
        <v>859.99291893881593</v>
      </c>
      <c r="E105" s="61">
        <f t="shared" si="38"/>
        <v>1339.6976166983725</v>
      </c>
      <c r="F105" s="61">
        <f t="shared" si="39"/>
        <v>205918.59584755628</v>
      </c>
    </row>
    <row r="106" spans="1:6" ht="15.75" customHeight="1" x14ac:dyDescent="0.25">
      <c r="A106" s="64" t="s">
        <v>194</v>
      </c>
      <c r="B106" s="61"/>
      <c r="C106" s="61">
        <f t="shared" ref="C106:D106" si="41">SUM(C94:C105)</f>
        <v>5626.8851421634608</v>
      </c>
      <c r="D106" s="61">
        <f t="shared" si="41"/>
        <v>10449.48625821701</v>
      </c>
      <c r="E106" s="61"/>
      <c r="F106" s="61"/>
    </row>
    <row r="107" spans="1:6" ht="15.75" customHeight="1" x14ac:dyDescent="0.25">
      <c r="A107" s="64"/>
      <c r="B107" s="61"/>
      <c r="C107" s="61"/>
      <c r="D107" s="61"/>
      <c r="E107" s="61"/>
      <c r="F107" s="61"/>
    </row>
    <row r="108" spans="1:6" ht="15.75" customHeight="1" x14ac:dyDescent="0.25">
      <c r="A108" s="62"/>
      <c r="B108" s="78" t="s">
        <v>18</v>
      </c>
      <c r="C108" s="73"/>
      <c r="D108" s="73"/>
      <c r="E108" s="73"/>
      <c r="F108" s="73"/>
    </row>
    <row r="109" spans="1:6" ht="15.75" customHeight="1" x14ac:dyDescent="0.25">
      <c r="A109" s="60" t="s">
        <v>176</v>
      </c>
      <c r="B109" s="61">
        <f>+F105</f>
        <v>205918.59584755628</v>
      </c>
      <c r="C109" s="61">
        <f t="shared" ref="C109:C120" si="42">+E109-D109</f>
        <v>481.70346733355461</v>
      </c>
      <c r="D109" s="61">
        <f t="shared" ref="D109:D120" si="43">B109*$I$4</f>
        <v>857.99414936481787</v>
      </c>
      <c r="E109" s="61">
        <f t="shared" ref="E109:E120" si="44">-$I$11</f>
        <v>1339.6976166983725</v>
      </c>
      <c r="F109" s="61">
        <f t="shared" ref="F109:F120" si="45">+B109-C109</f>
        <v>205436.89238022274</v>
      </c>
    </row>
    <row r="110" spans="1:6" ht="15.75" customHeight="1" x14ac:dyDescent="0.25">
      <c r="A110" s="62" t="s">
        <v>178</v>
      </c>
      <c r="B110" s="61">
        <f t="shared" ref="B110:B120" si="46">+F109</f>
        <v>205436.89238022274</v>
      </c>
      <c r="C110" s="61">
        <f t="shared" si="42"/>
        <v>483.71056511411109</v>
      </c>
      <c r="D110" s="61">
        <f t="shared" si="43"/>
        <v>855.98705158426139</v>
      </c>
      <c r="E110" s="61">
        <f t="shared" si="44"/>
        <v>1339.6976166983725</v>
      </c>
      <c r="F110" s="61">
        <f t="shared" si="45"/>
        <v>204953.18181510863</v>
      </c>
    </row>
    <row r="111" spans="1:6" ht="15.75" customHeight="1" x14ac:dyDescent="0.25">
      <c r="A111" s="62" t="s">
        <v>180</v>
      </c>
      <c r="B111" s="61">
        <f t="shared" si="46"/>
        <v>204953.18181510863</v>
      </c>
      <c r="C111" s="61">
        <f t="shared" si="42"/>
        <v>485.7260258020865</v>
      </c>
      <c r="D111" s="61">
        <f t="shared" si="43"/>
        <v>853.97159089628599</v>
      </c>
      <c r="E111" s="61">
        <f t="shared" si="44"/>
        <v>1339.6976166983725</v>
      </c>
      <c r="F111" s="61">
        <f t="shared" si="45"/>
        <v>204467.45578930655</v>
      </c>
    </row>
    <row r="112" spans="1:6" ht="15.75" customHeight="1" x14ac:dyDescent="0.25">
      <c r="A112" s="62" t="s">
        <v>182</v>
      </c>
      <c r="B112" s="61">
        <f t="shared" si="46"/>
        <v>204467.45578930655</v>
      </c>
      <c r="C112" s="61">
        <f t="shared" si="42"/>
        <v>487.74988424292849</v>
      </c>
      <c r="D112" s="61">
        <f t="shared" si="43"/>
        <v>851.947732455444</v>
      </c>
      <c r="E112" s="61">
        <f t="shared" si="44"/>
        <v>1339.6976166983725</v>
      </c>
      <c r="F112" s="61">
        <f t="shared" si="45"/>
        <v>203979.70590506363</v>
      </c>
    </row>
    <row r="113" spans="1:6" ht="15.75" customHeight="1" x14ac:dyDescent="0.25">
      <c r="A113" s="62" t="s">
        <v>184</v>
      </c>
      <c r="B113" s="61">
        <f t="shared" si="46"/>
        <v>203979.70590506363</v>
      </c>
      <c r="C113" s="61">
        <f t="shared" si="42"/>
        <v>489.78217542727407</v>
      </c>
      <c r="D113" s="61">
        <f t="shared" si="43"/>
        <v>849.91544127109842</v>
      </c>
      <c r="E113" s="61">
        <f t="shared" si="44"/>
        <v>1339.6976166983725</v>
      </c>
      <c r="F113" s="61">
        <f t="shared" si="45"/>
        <v>203489.92372963636</v>
      </c>
    </row>
    <row r="114" spans="1:6" ht="15.75" customHeight="1" x14ac:dyDescent="0.25">
      <c r="A114" s="62" t="s">
        <v>186</v>
      </c>
      <c r="B114" s="61">
        <f t="shared" si="46"/>
        <v>203489.92372963636</v>
      </c>
      <c r="C114" s="61">
        <f t="shared" si="42"/>
        <v>491.82293449155429</v>
      </c>
      <c r="D114" s="61">
        <f t="shared" si="43"/>
        <v>847.87468220681819</v>
      </c>
      <c r="E114" s="61">
        <f t="shared" si="44"/>
        <v>1339.6976166983725</v>
      </c>
      <c r="F114" s="61">
        <f t="shared" si="45"/>
        <v>202998.1007951448</v>
      </c>
    </row>
    <row r="115" spans="1:6" ht="15.75" customHeight="1" x14ac:dyDescent="0.25">
      <c r="A115" s="62" t="s">
        <v>188</v>
      </c>
      <c r="B115" s="61">
        <f t="shared" si="46"/>
        <v>202998.1007951448</v>
      </c>
      <c r="C115" s="61">
        <f t="shared" si="42"/>
        <v>493.87219671860248</v>
      </c>
      <c r="D115" s="61">
        <f t="shared" si="43"/>
        <v>845.82541997977</v>
      </c>
      <c r="E115" s="61">
        <f t="shared" si="44"/>
        <v>1339.6976166983725</v>
      </c>
      <c r="F115" s="61">
        <f t="shared" si="45"/>
        <v>202504.22859842618</v>
      </c>
    </row>
    <row r="116" spans="1:6" ht="15.75" customHeight="1" x14ac:dyDescent="0.25">
      <c r="A116" s="62" t="s">
        <v>189</v>
      </c>
      <c r="B116" s="61">
        <f t="shared" si="46"/>
        <v>202504.22859842618</v>
      </c>
      <c r="C116" s="61">
        <f t="shared" si="42"/>
        <v>495.92999753826336</v>
      </c>
      <c r="D116" s="61">
        <f t="shared" si="43"/>
        <v>843.76761916010912</v>
      </c>
      <c r="E116" s="61">
        <f t="shared" si="44"/>
        <v>1339.6976166983725</v>
      </c>
      <c r="F116" s="61">
        <f t="shared" si="45"/>
        <v>202008.29860088791</v>
      </c>
    </row>
    <row r="117" spans="1:6" ht="15.75" customHeight="1" x14ac:dyDescent="0.25">
      <c r="A117" s="62" t="s">
        <v>190</v>
      </c>
      <c r="B117" s="61">
        <f t="shared" si="46"/>
        <v>202008.29860088791</v>
      </c>
      <c r="C117" s="61">
        <f t="shared" si="42"/>
        <v>497.99637252800619</v>
      </c>
      <c r="D117" s="61">
        <f t="shared" si="43"/>
        <v>841.70124417036629</v>
      </c>
      <c r="E117" s="61">
        <f t="shared" si="44"/>
        <v>1339.6976166983725</v>
      </c>
      <c r="F117" s="61">
        <f t="shared" si="45"/>
        <v>201510.30222835991</v>
      </c>
    </row>
    <row r="118" spans="1:6" ht="15.75" customHeight="1" x14ac:dyDescent="0.25">
      <c r="A118" s="62" t="s">
        <v>191</v>
      </c>
      <c r="B118" s="61">
        <f t="shared" si="46"/>
        <v>201510.30222835991</v>
      </c>
      <c r="C118" s="61">
        <f t="shared" si="42"/>
        <v>500.07135741353954</v>
      </c>
      <c r="D118" s="61">
        <f t="shared" si="43"/>
        <v>839.62625928483294</v>
      </c>
      <c r="E118" s="61">
        <f t="shared" si="44"/>
        <v>1339.6976166983725</v>
      </c>
      <c r="F118" s="61">
        <f t="shared" si="45"/>
        <v>201010.23087094637</v>
      </c>
    </row>
    <row r="119" spans="1:6" ht="15.75" customHeight="1" x14ac:dyDescent="0.25">
      <c r="A119" s="62" t="s">
        <v>192</v>
      </c>
      <c r="B119" s="61">
        <f t="shared" si="46"/>
        <v>201010.23087094637</v>
      </c>
      <c r="C119" s="61">
        <f t="shared" si="42"/>
        <v>502.15498806942935</v>
      </c>
      <c r="D119" s="61">
        <f t="shared" si="43"/>
        <v>837.54262862894313</v>
      </c>
      <c r="E119" s="61">
        <f t="shared" si="44"/>
        <v>1339.6976166983725</v>
      </c>
      <c r="F119" s="61">
        <f t="shared" si="45"/>
        <v>200508.07588287693</v>
      </c>
    </row>
    <row r="120" spans="1:6" ht="15.75" customHeight="1" x14ac:dyDescent="0.25">
      <c r="A120" s="62" t="s">
        <v>193</v>
      </c>
      <c r="B120" s="61">
        <f t="shared" si="46"/>
        <v>200508.07588287693</v>
      </c>
      <c r="C120" s="61">
        <f t="shared" si="42"/>
        <v>504.24730051971858</v>
      </c>
      <c r="D120" s="61">
        <f t="shared" si="43"/>
        <v>835.45031617865391</v>
      </c>
      <c r="E120" s="61">
        <f t="shared" si="44"/>
        <v>1339.6976166983725</v>
      </c>
      <c r="F120" s="61">
        <f t="shared" si="45"/>
        <v>200003.82858235721</v>
      </c>
    </row>
    <row r="121" spans="1:6" ht="15.75" customHeight="1" x14ac:dyDescent="0.25">
      <c r="A121" s="64" t="s">
        <v>194</v>
      </c>
      <c r="B121" s="61"/>
      <c r="C121" s="61">
        <f t="shared" ref="C121:D121" si="47">SUM(C109:C120)</f>
        <v>5914.7672651990688</v>
      </c>
      <c r="D121" s="61">
        <f t="shared" si="47"/>
        <v>10161.604135181402</v>
      </c>
      <c r="E121" s="61"/>
      <c r="F121" s="61"/>
    </row>
    <row r="122" spans="1:6" ht="15.75" customHeight="1" x14ac:dyDescent="0.25">
      <c r="A122" s="64"/>
      <c r="B122" s="61"/>
      <c r="C122" s="61"/>
      <c r="D122" s="61"/>
      <c r="E122" s="61"/>
      <c r="F122" s="61"/>
    </row>
    <row r="123" spans="1:6" ht="15.75" customHeight="1" x14ac:dyDescent="0.25">
      <c r="A123" s="62"/>
      <c r="B123" s="78" t="s">
        <v>19</v>
      </c>
      <c r="C123" s="73"/>
      <c r="D123" s="73"/>
      <c r="E123" s="73"/>
      <c r="F123" s="73"/>
    </row>
    <row r="124" spans="1:6" ht="15.75" customHeight="1" x14ac:dyDescent="0.25">
      <c r="A124" s="60" t="s">
        <v>176</v>
      </c>
      <c r="B124" s="61">
        <f>+F120</f>
        <v>200003.82858235721</v>
      </c>
      <c r="C124" s="61">
        <f t="shared" ref="C124:C135" si="48">+E124-D124</f>
        <v>506.34833093855082</v>
      </c>
      <c r="D124" s="61">
        <f t="shared" ref="D124:D135" si="49">B124*$I$4</f>
        <v>833.34928575982167</v>
      </c>
      <c r="E124" s="61">
        <f t="shared" ref="E124:E135" si="50">-$I$11</f>
        <v>1339.6976166983725</v>
      </c>
      <c r="F124" s="61">
        <f t="shared" ref="F124:F135" si="51">+B124-C124</f>
        <v>199497.48025141866</v>
      </c>
    </row>
    <row r="125" spans="1:6" ht="15.75" customHeight="1" x14ac:dyDescent="0.25">
      <c r="A125" s="62" t="s">
        <v>178</v>
      </c>
      <c r="B125" s="61">
        <f t="shared" ref="B125:B135" si="52">+F124</f>
        <v>199497.48025141866</v>
      </c>
      <c r="C125" s="61">
        <f t="shared" si="48"/>
        <v>508.45811565079475</v>
      </c>
      <c r="D125" s="61">
        <f t="shared" si="49"/>
        <v>831.23950104757773</v>
      </c>
      <c r="E125" s="61">
        <f t="shared" si="50"/>
        <v>1339.6976166983725</v>
      </c>
      <c r="F125" s="61">
        <f t="shared" si="51"/>
        <v>198989.02213576785</v>
      </c>
    </row>
    <row r="126" spans="1:6" ht="15.75" customHeight="1" x14ac:dyDescent="0.25">
      <c r="A126" s="62" t="s">
        <v>180</v>
      </c>
      <c r="B126" s="61">
        <f t="shared" si="52"/>
        <v>198989.02213576785</v>
      </c>
      <c r="C126" s="61">
        <f t="shared" si="48"/>
        <v>510.57669113267309</v>
      </c>
      <c r="D126" s="61">
        <f t="shared" si="49"/>
        <v>829.12092556569939</v>
      </c>
      <c r="E126" s="61">
        <f t="shared" si="50"/>
        <v>1339.6976166983725</v>
      </c>
      <c r="F126" s="61">
        <f t="shared" si="51"/>
        <v>198478.44544463517</v>
      </c>
    </row>
    <row r="127" spans="1:6" ht="15.75" customHeight="1" x14ac:dyDescent="0.25">
      <c r="A127" s="62" t="s">
        <v>182</v>
      </c>
      <c r="B127" s="61">
        <f t="shared" si="52"/>
        <v>198478.44544463517</v>
      </c>
      <c r="C127" s="61">
        <f t="shared" si="48"/>
        <v>512.7040940123926</v>
      </c>
      <c r="D127" s="61">
        <f t="shared" si="49"/>
        <v>826.99352268597988</v>
      </c>
      <c r="E127" s="61">
        <f t="shared" si="50"/>
        <v>1339.6976166983725</v>
      </c>
      <c r="F127" s="61">
        <f t="shared" si="51"/>
        <v>197965.74135062279</v>
      </c>
    </row>
    <row r="128" spans="1:6" ht="15.75" customHeight="1" x14ac:dyDescent="0.25">
      <c r="A128" s="62" t="s">
        <v>184</v>
      </c>
      <c r="B128" s="61">
        <f t="shared" si="52"/>
        <v>197965.74135062279</v>
      </c>
      <c r="C128" s="61">
        <f t="shared" si="48"/>
        <v>514.84036107077759</v>
      </c>
      <c r="D128" s="61">
        <f t="shared" si="49"/>
        <v>824.8572556275949</v>
      </c>
      <c r="E128" s="61">
        <f t="shared" si="50"/>
        <v>1339.6976166983725</v>
      </c>
      <c r="F128" s="61">
        <f t="shared" si="51"/>
        <v>197450.900989552</v>
      </c>
    </row>
    <row r="129" spans="1:6" ht="15.75" customHeight="1" x14ac:dyDescent="0.25">
      <c r="A129" s="62" t="s">
        <v>186</v>
      </c>
      <c r="B129" s="61">
        <f t="shared" si="52"/>
        <v>197450.900989552</v>
      </c>
      <c r="C129" s="61">
        <f t="shared" si="48"/>
        <v>516.98552924190585</v>
      </c>
      <c r="D129" s="61">
        <f t="shared" si="49"/>
        <v>822.71208745646663</v>
      </c>
      <c r="E129" s="61">
        <f t="shared" si="50"/>
        <v>1339.6976166983725</v>
      </c>
      <c r="F129" s="61">
        <f t="shared" si="51"/>
        <v>196933.91546031009</v>
      </c>
    </row>
    <row r="130" spans="1:6" ht="15.75" customHeight="1" x14ac:dyDescent="0.25">
      <c r="A130" s="62" t="s">
        <v>188</v>
      </c>
      <c r="B130" s="61">
        <f t="shared" si="52"/>
        <v>196933.91546031009</v>
      </c>
      <c r="C130" s="61">
        <f t="shared" si="48"/>
        <v>519.13963561374715</v>
      </c>
      <c r="D130" s="61">
        <f t="shared" si="49"/>
        <v>820.55798108462534</v>
      </c>
      <c r="E130" s="61">
        <f t="shared" si="50"/>
        <v>1339.6976166983725</v>
      </c>
      <c r="F130" s="61">
        <f t="shared" si="51"/>
        <v>196414.77582469635</v>
      </c>
    </row>
    <row r="131" spans="1:6" ht="15.75" customHeight="1" x14ac:dyDescent="0.25">
      <c r="A131" s="62" t="s">
        <v>189</v>
      </c>
      <c r="B131" s="61">
        <f t="shared" si="52"/>
        <v>196414.77582469635</v>
      </c>
      <c r="C131" s="61">
        <f t="shared" si="48"/>
        <v>521.30271742880439</v>
      </c>
      <c r="D131" s="61">
        <f t="shared" si="49"/>
        <v>818.3948992695681</v>
      </c>
      <c r="E131" s="61">
        <f t="shared" si="50"/>
        <v>1339.6976166983725</v>
      </c>
      <c r="F131" s="61">
        <f t="shared" si="51"/>
        <v>195893.47310726755</v>
      </c>
    </row>
    <row r="132" spans="1:6" ht="15.75" customHeight="1" x14ac:dyDescent="0.25">
      <c r="A132" s="62" t="s">
        <v>190</v>
      </c>
      <c r="B132" s="61">
        <f t="shared" si="52"/>
        <v>195893.47310726755</v>
      </c>
      <c r="C132" s="61">
        <f t="shared" si="48"/>
        <v>523.47481208475767</v>
      </c>
      <c r="D132" s="61">
        <f t="shared" si="49"/>
        <v>816.22280461361481</v>
      </c>
      <c r="E132" s="61">
        <f t="shared" si="50"/>
        <v>1339.6976166983725</v>
      </c>
      <c r="F132" s="61">
        <f t="shared" si="51"/>
        <v>195369.9982951828</v>
      </c>
    </row>
    <row r="133" spans="1:6" ht="15.75" customHeight="1" x14ac:dyDescent="0.25">
      <c r="A133" s="62" t="s">
        <v>191</v>
      </c>
      <c r="B133" s="61">
        <f t="shared" si="52"/>
        <v>195369.9982951828</v>
      </c>
      <c r="C133" s="61">
        <f t="shared" si="48"/>
        <v>525.65595713511084</v>
      </c>
      <c r="D133" s="61">
        <f t="shared" si="49"/>
        <v>814.04165956326165</v>
      </c>
      <c r="E133" s="61">
        <f t="shared" si="50"/>
        <v>1339.6976166983725</v>
      </c>
      <c r="F133" s="61">
        <f t="shared" si="51"/>
        <v>194844.34233804769</v>
      </c>
    </row>
    <row r="134" spans="1:6" ht="15.75" customHeight="1" x14ac:dyDescent="0.25">
      <c r="A134" s="62" t="s">
        <v>192</v>
      </c>
      <c r="B134" s="61">
        <f t="shared" si="52"/>
        <v>194844.34233804769</v>
      </c>
      <c r="C134" s="61">
        <f t="shared" si="48"/>
        <v>527.84619028984048</v>
      </c>
      <c r="D134" s="61">
        <f t="shared" si="49"/>
        <v>811.85142640853201</v>
      </c>
      <c r="E134" s="61">
        <f t="shared" si="50"/>
        <v>1339.6976166983725</v>
      </c>
      <c r="F134" s="61">
        <f t="shared" si="51"/>
        <v>194316.49614775786</v>
      </c>
    </row>
    <row r="135" spans="1:6" ht="15.75" customHeight="1" x14ac:dyDescent="0.25">
      <c r="A135" s="62" t="s">
        <v>193</v>
      </c>
      <c r="B135" s="61">
        <f t="shared" si="52"/>
        <v>194316.49614775786</v>
      </c>
      <c r="C135" s="61">
        <f t="shared" si="48"/>
        <v>530.04554941604806</v>
      </c>
      <c r="D135" s="61">
        <f t="shared" si="49"/>
        <v>809.65206728232442</v>
      </c>
      <c r="E135" s="61">
        <f t="shared" si="50"/>
        <v>1339.6976166983725</v>
      </c>
      <c r="F135" s="61">
        <f t="shared" si="51"/>
        <v>193786.45059834182</v>
      </c>
    </row>
    <row r="136" spans="1:6" ht="15.75" customHeight="1" x14ac:dyDescent="0.25">
      <c r="A136" s="64" t="s">
        <v>194</v>
      </c>
      <c r="B136" s="61"/>
      <c r="C136" s="61">
        <f t="shared" ref="C136:D136" si="53">SUM(C124:C135)</f>
        <v>6217.3779840154029</v>
      </c>
      <c r="D136" s="61">
        <f t="shared" si="53"/>
        <v>9858.9934163650669</v>
      </c>
      <c r="E136" s="61"/>
      <c r="F136" s="61"/>
    </row>
    <row r="137" spans="1:6" ht="15.75" customHeight="1" x14ac:dyDescent="0.25">
      <c r="A137" s="64"/>
      <c r="B137" s="61"/>
      <c r="C137" s="61"/>
      <c r="D137" s="61"/>
      <c r="E137" s="61"/>
      <c r="F137" s="61"/>
    </row>
    <row r="138" spans="1:6" ht="15.75" customHeight="1" x14ac:dyDescent="0.25">
      <c r="A138" s="62"/>
      <c r="B138" s="78" t="s">
        <v>20</v>
      </c>
      <c r="C138" s="73"/>
      <c r="D138" s="73"/>
      <c r="E138" s="73"/>
      <c r="F138" s="73"/>
    </row>
    <row r="139" spans="1:6" ht="15.75" customHeight="1" x14ac:dyDescent="0.25">
      <c r="A139" s="60" t="s">
        <v>176</v>
      </c>
      <c r="B139" s="61">
        <f>+F135</f>
        <v>193786.45059834182</v>
      </c>
      <c r="C139" s="61">
        <f t="shared" ref="C139:C150" si="54">+E139-D139</f>
        <v>532.25407253861488</v>
      </c>
      <c r="D139" s="61">
        <f t="shared" ref="D139:D150" si="55">B139*$I$4</f>
        <v>807.44354415975761</v>
      </c>
      <c r="E139" s="61">
        <f t="shared" ref="E139:E150" si="56">-$I$11</f>
        <v>1339.6976166983725</v>
      </c>
      <c r="F139" s="61">
        <f t="shared" ref="F139:F150" si="57">+B139-C139</f>
        <v>193254.19652580321</v>
      </c>
    </row>
    <row r="140" spans="1:6" ht="15.75" customHeight="1" x14ac:dyDescent="0.25">
      <c r="A140" s="62" t="s">
        <v>178</v>
      </c>
      <c r="B140" s="61">
        <f t="shared" ref="B140:B150" si="58">+F139</f>
        <v>193254.19652580321</v>
      </c>
      <c r="C140" s="61">
        <f t="shared" si="54"/>
        <v>534.47179784085915</v>
      </c>
      <c r="D140" s="61">
        <f t="shared" si="55"/>
        <v>805.22581885751333</v>
      </c>
      <c r="E140" s="61">
        <f t="shared" si="56"/>
        <v>1339.6976166983725</v>
      </c>
      <c r="F140" s="61">
        <f t="shared" si="57"/>
        <v>192719.72472796234</v>
      </c>
    </row>
    <row r="141" spans="1:6" ht="15.75" customHeight="1" x14ac:dyDescent="0.25">
      <c r="A141" s="62" t="s">
        <v>180</v>
      </c>
      <c r="B141" s="61">
        <f t="shared" si="58"/>
        <v>192719.72472796234</v>
      </c>
      <c r="C141" s="61">
        <f t="shared" si="54"/>
        <v>536.69876366519611</v>
      </c>
      <c r="D141" s="61">
        <f t="shared" si="55"/>
        <v>802.99885303317637</v>
      </c>
      <c r="E141" s="61">
        <f t="shared" si="56"/>
        <v>1339.6976166983725</v>
      </c>
      <c r="F141" s="61">
        <f t="shared" si="57"/>
        <v>192183.02596429715</v>
      </c>
    </row>
    <row r="142" spans="1:6" ht="15.75" customHeight="1" x14ac:dyDescent="0.25">
      <c r="A142" s="62" t="s">
        <v>182</v>
      </c>
      <c r="B142" s="61">
        <f t="shared" si="58"/>
        <v>192183.02596429715</v>
      </c>
      <c r="C142" s="61">
        <f t="shared" si="54"/>
        <v>538.93500851380099</v>
      </c>
      <c r="D142" s="61">
        <f t="shared" si="55"/>
        <v>800.76260818457149</v>
      </c>
      <c r="E142" s="61">
        <f t="shared" si="56"/>
        <v>1339.6976166983725</v>
      </c>
      <c r="F142" s="61">
        <f t="shared" si="57"/>
        <v>191644.09095578335</v>
      </c>
    </row>
    <row r="143" spans="1:6" ht="15.75" customHeight="1" x14ac:dyDescent="0.25">
      <c r="A143" s="62" t="s">
        <v>184</v>
      </c>
      <c r="B143" s="61">
        <f t="shared" si="58"/>
        <v>191644.09095578335</v>
      </c>
      <c r="C143" s="61">
        <f t="shared" si="54"/>
        <v>541.18057104927516</v>
      </c>
      <c r="D143" s="61">
        <f t="shared" si="55"/>
        <v>798.51704564909733</v>
      </c>
      <c r="E143" s="61">
        <f t="shared" si="56"/>
        <v>1339.6976166983725</v>
      </c>
      <c r="F143" s="61">
        <f t="shared" si="57"/>
        <v>191102.91038473407</v>
      </c>
    </row>
    <row r="144" spans="1:6" ht="15.75" customHeight="1" x14ac:dyDescent="0.25">
      <c r="A144" s="62" t="s">
        <v>186</v>
      </c>
      <c r="B144" s="61">
        <f t="shared" si="58"/>
        <v>191102.91038473407</v>
      </c>
      <c r="C144" s="61">
        <f t="shared" si="54"/>
        <v>543.43549009531387</v>
      </c>
      <c r="D144" s="61">
        <f t="shared" si="55"/>
        <v>796.26212660305862</v>
      </c>
      <c r="E144" s="61">
        <f t="shared" si="56"/>
        <v>1339.6976166983725</v>
      </c>
      <c r="F144" s="61">
        <f t="shared" si="57"/>
        <v>190559.47489463876</v>
      </c>
    </row>
    <row r="145" spans="1:6" ht="15.75" customHeight="1" x14ac:dyDescent="0.25">
      <c r="A145" s="62" t="s">
        <v>188</v>
      </c>
      <c r="B145" s="61">
        <f t="shared" si="58"/>
        <v>190559.47489463876</v>
      </c>
      <c r="C145" s="61">
        <f t="shared" si="54"/>
        <v>545.69980463737772</v>
      </c>
      <c r="D145" s="61">
        <f t="shared" si="55"/>
        <v>793.99781206099476</v>
      </c>
      <c r="E145" s="61">
        <f t="shared" si="56"/>
        <v>1339.6976166983725</v>
      </c>
      <c r="F145" s="61">
        <f t="shared" si="57"/>
        <v>190013.77509000138</v>
      </c>
    </row>
    <row r="146" spans="1:6" ht="15.75" customHeight="1" x14ac:dyDescent="0.25">
      <c r="A146" s="62" t="s">
        <v>189</v>
      </c>
      <c r="B146" s="61">
        <f t="shared" si="58"/>
        <v>190013.77509000138</v>
      </c>
      <c r="C146" s="61">
        <f t="shared" si="54"/>
        <v>547.97355382336673</v>
      </c>
      <c r="D146" s="61">
        <f t="shared" si="55"/>
        <v>791.72406287500576</v>
      </c>
      <c r="E146" s="61">
        <f t="shared" si="56"/>
        <v>1339.6976166983725</v>
      </c>
      <c r="F146" s="61">
        <f t="shared" si="57"/>
        <v>189465.80153617801</v>
      </c>
    </row>
    <row r="147" spans="1:6" ht="15.75" customHeight="1" x14ac:dyDescent="0.25">
      <c r="A147" s="62" t="s">
        <v>190</v>
      </c>
      <c r="B147" s="61">
        <f t="shared" si="58"/>
        <v>189465.80153617801</v>
      </c>
      <c r="C147" s="61">
        <f t="shared" si="54"/>
        <v>550.25677696429739</v>
      </c>
      <c r="D147" s="61">
        <f t="shared" si="55"/>
        <v>789.4408397340751</v>
      </c>
      <c r="E147" s="61">
        <f t="shared" si="56"/>
        <v>1339.6976166983725</v>
      </c>
      <c r="F147" s="61">
        <f t="shared" si="57"/>
        <v>188915.54475921372</v>
      </c>
    </row>
    <row r="148" spans="1:6" ht="15.75" customHeight="1" x14ac:dyDescent="0.25">
      <c r="A148" s="62" t="s">
        <v>191</v>
      </c>
      <c r="B148" s="61">
        <f t="shared" si="58"/>
        <v>188915.54475921372</v>
      </c>
      <c r="C148" s="61">
        <f t="shared" si="54"/>
        <v>552.549513534982</v>
      </c>
      <c r="D148" s="61">
        <f t="shared" si="55"/>
        <v>787.14810316339049</v>
      </c>
      <c r="E148" s="61">
        <f t="shared" si="56"/>
        <v>1339.6976166983725</v>
      </c>
      <c r="F148" s="61">
        <f t="shared" si="57"/>
        <v>188362.99524567873</v>
      </c>
    </row>
    <row r="149" spans="1:6" ht="15.75" customHeight="1" x14ac:dyDescent="0.25">
      <c r="A149" s="62" t="s">
        <v>192</v>
      </c>
      <c r="B149" s="61">
        <f t="shared" si="58"/>
        <v>188362.99524567873</v>
      </c>
      <c r="C149" s="61">
        <f t="shared" si="54"/>
        <v>554.85180317471111</v>
      </c>
      <c r="D149" s="61">
        <f t="shared" si="55"/>
        <v>784.84581352366138</v>
      </c>
      <c r="E149" s="61">
        <f t="shared" si="56"/>
        <v>1339.6976166983725</v>
      </c>
      <c r="F149" s="61">
        <f t="shared" si="57"/>
        <v>187808.14344250402</v>
      </c>
    </row>
    <row r="150" spans="1:6" ht="15.75" customHeight="1" x14ac:dyDescent="0.25">
      <c r="A150" s="62" t="s">
        <v>193</v>
      </c>
      <c r="B150" s="61">
        <f t="shared" si="58"/>
        <v>187808.14344250402</v>
      </c>
      <c r="C150" s="61">
        <f t="shared" si="54"/>
        <v>557.16368568793905</v>
      </c>
      <c r="D150" s="61">
        <f t="shared" si="55"/>
        <v>782.53393101043343</v>
      </c>
      <c r="E150" s="61">
        <f t="shared" si="56"/>
        <v>1339.6976166983725</v>
      </c>
      <c r="F150" s="61">
        <f t="shared" si="57"/>
        <v>187250.97975681609</v>
      </c>
    </row>
    <row r="151" spans="1:6" ht="15.75" customHeight="1" x14ac:dyDescent="0.25">
      <c r="A151" s="64" t="s">
        <v>194</v>
      </c>
      <c r="B151" s="61"/>
      <c r="C151" s="61">
        <f t="shared" ref="C151:D151" si="59">SUM(C139:C150)</f>
        <v>6535.4708415257337</v>
      </c>
      <c r="D151" s="61">
        <f t="shared" si="59"/>
        <v>9540.9005588547352</v>
      </c>
      <c r="E151" s="61"/>
      <c r="F151" s="61"/>
    </row>
    <row r="152" spans="1:6" ht="15.75" customHeight="1" x14ac:dyDescent="0.25">
      <c r="A152" s="62"/>
      <c r="B152" s="61"/>
      <c r="C152" s="61"/>
      <c r="D152" s="61"/>
      <c r="E152" s="61"/>
      <c r="F152" s="61"/>
    </row>
    <row r="153" spans="1:6" ht="15.75" customHeight="1" x14ac:dyDescent="0.25">
      <c r="A153" s="66"/>
      <c r="B153" s="61"/>
      <c r="C153" s="61"/>
      <c r="D153" s="61"/>
      <c r="E153" s="61"/>
      <c r="F153" s="61"/>
    </row>
    <row r="154" spans="1:6" ht="15.75" customHeight="1" x14ac:dyDescent="0.25">
      <c r="A154" s="62"/>
      <c r="B154" s="61"/>
      <c r="C154" s="61"/>
      <c r="D154" s="61"/>
      <c r="E154" s="61"/>
      <c r="F154" s="61"/>
    </row>
    <row r="155" spans="1:6" ht="15.75" customHeight="1" x14ac:dyDescent="0.25">
      <c r="A155" s="62"/>
      <c r="B155" s="61"/>
      <c r="C155" s="61"/>
      <c r="D155" s="61"/>
      <c r="E155" s="61"/>
      <c r="F155" s="61"/>
    </row>
    <row r="156" spans="1:6" ht="15.75" customHeight="1" x14ac:dyDescent="0.25">
      <c r="A156" s="62"/>
      <c r="B156" s="61"/>
      <c r="C156" s="61"/>
      <c r="D156" s="61"/>
      <c r="E156" s="61"/>
      <c r="F156" s="61"/>
    </row>
    <row r="157" spans="1:6" ht="15.75" customHeight="1" x14ac:dyDescent="0.25">
      <c r="A157" s="62"/>
      <c r="B157" s="61"/>
      <c r="C157" s="61"/>
      <c r="D157" s="61"/>
      <c r="E157" s="61"/>
      <c r="F157" s="61"/>
    </row>
    <row r="158" spans="1:6" ht="15.75" customHeight="1" x14ac:dyDescent="0.25">
      <c r="A158" s="62"/>
      <c r="B158" s="61"/>
      <c r="C158" s="61"/>
      <c r="D158" s="61"/>
      <c r="E158" s="61"/>
      <c r="F158" s="61"/>
    </row>
    <row r="159" spans="1:6" ht="15.75" customHeight="1" x14ac:dyDescent="0.25">
      <c r="A159" s="62"/>
      <c r="B159" s="61"/>
      <c r="C159" s="61"/>
      <c r="D159" s="61"/>
      <c r="E159" s="61"/>
      <c r="F159" s="61"/>
    </row>
    <row r="160" spans="1:6" ht="15.75" customHeight="1" x14ac:dyDescent="0.25">
      <c r="A160" s="62"/>
      <c r="B160" s="61"/>
      <c r="C160" s="61"/>
      <c r="D160" s="61"/>
      <c r="E160" s="61"/>
      <c r="F160" s="61"/>
    </row>
    <row r="161" spans="1:6" ht="15.75" customHeight="1" x14ac:dyDescent="0.25">
      <c r="A161" s="62"/>
      <c r="B161" s="61"/>
      <c r="C161" s="61"/>
      <c r="D161" s="61"/>
      <c r="E161" s="61"/>
      <c r="F161" s="61"/>
    </row>
    <row r="162" spans="1:6" ht="15.75" customHeight="1" x14ac:dyDescent="0.25">
      <c r="A162" s="62"/>
      <c r="B162" s="61"/>
      <c r="C162" s="61"/>
      <c r="D162" s="61"/>
      <c r="E162" s="61"/>
      <c r="F162" s="61"/>
    </row>
    <row r="163" spans="1:6" ht="15.75" customHeight="1" x14ac:dyDescent="0.25">
      <c r="A163" s="62"/>
      <c r="B163" s="61"/>
      <c r="C163" s="61"/>
      <c r="D163" s="61"/>
      <c r="E163" s="61"/>
      <c r="F163" s="61"/>
    </row>
    <row r="164" spans="1:6" ht="15.75" customHeight="1" x14ac:dyDescent="0.25">
      <c r="A164" s="62"/>
      <c r="B164" s="61"/>
      <c r="C164" s="61"/>
      <c r="D164" s="61"/>
      <c r="E164" s="61"/>
      <c r="F164" s="61"/>
    </row>
    <row r="165" spans="1:6" ht="15.75" customHeight="1" x14ac:dyDescent="0.25">
      <c r="A165" s="64"/>
      <c r="B165" s="61"/>
      <c r="C165" s="61"/>
      <c r="D165" s="61"/>
      <c r="E165" s="61"/>
      <c r="F165" s="61"/>
    </row>
    <row r="166" spans="1:6" ht="15.75" customHeight="1" x14ac:dyDescent="0.25">
      <c r="A166" s="62"/>
      <c r="B166" s="61"/>
      <c r="C166" s="61"/>
      <c r="D166" s="61"/>
      <c r="E166" s="61"/>
      <c r="F166" s="61"/>
    </row>
    <row r="167" spans="1:6" ht="15.75" customHeight="1" x14ac:dyDescent="0.25">
      <c r="A167" s="66"/>
      <c r="B167" s="61"/>
      <c r="C167" s="61"/>
      <c r="D167" s="61"/>
      <c r="E167" s="61"/>
      <c r="F167" s="61"/>
    </row>
    <row r="168" spans="1:6" ht="15.75" customHeight="1" x14ac:dyDescent="0.25">
      <c r="A168" s="62"/>
      <c r="B168" s="61"/>
      <c r="C168" s="61"/>
      <c r="D168" s="61"/>
      <c r="E168" s="61"/>
      <c r="F168" s="61"/>
    </row>
    <row r="169" spans="1:6" ht="15.75" customHeight="1" x14ac:dyDescent="0.25">
      <c r="A169" s="62"/>
      <c r="B169" s="61"/>
      <c r="C169" s="61"/>
      <c r="D169" s="61"/>
      <c r="E169" s="61"/>
      <c r="F169" s="61"/>
    </row>
    <row r="170" spans="1:6" ht="15.75" customHeight="1" x14ac:dyDescent="0.25">
      <c r="A170" s="62"/>
      <c r="B170" s="61"/>
      <c r="C170" s="61"/>
      <c r="D170" s="61"/>
      <c r="E170" s="61"/>
      <c r="F170" s="61"/>
    </row>
    <row r="171" spans="1:6" ht="15.75" customHeight="1" x14ac:dyDescent="0.25">
      <c r="A171" s="62"/>
      <c r="B171" s="61"/>
      <c r="C171" s="61"/>
      <c r="D171" s="61"/>
      <c r="E171" s="61"/>
      <c r="F171" s="61"/>
    </row>
    <row r="172" spans="1:6" ht="15.75" customHeight="1" x14ac:dyDescent="0.25">
      <c r="A172" s="62"/>
      <c r="B172" s="61"/>
      <c r="C172" s="61"/>
      <c r="D172" s="61"/>
      <c r="E172" s="61"/>
      <c r="F172" s="61"/>
    </row>
    <row r="173" spans="1:6" ht="15.75" customHeight="1" x14ac:dyDescent="0.25">
      <c r="A173" s="62"/>
      <c r="B173" s="61"/>
      <c r="C173" s="61"/>
      <c r="D173" s="61"/>
      <c r="E173" s="61"/>
      <c r="F173" s="61"/>
    </row>
    <row r="174" spans="1:6" ht="15.75" customHeight="1" x14ac:dyDescent="0.25">
      <c r="A174" s="62"/>
      <c r="B174" s="61"/>
      <c r="C174" s="61"/>
      <c r="D174" s="61"/>
      <c r="E174" s="61"/>
      <c r="F174" s="61"/>
    </row>
    <row r="175" spans="1:6" ht="15.75" customHeight="1" x14ac:dyDescent="0.25">
      <c r="A175" s="62"/>
      <c r="B175" s="61"/>
      <c r="C175" s="61"/>
      <c r="D175" s="61"/>
      <c r="E175" s="61"/>
      <c r="F175" s="61"/>
    </row>
    <row r="176" spans="1:6" ht="15.75" customHeight="1" x14ac:dyDescent="0.25">
      <c r="A176" s="62"/>
      <c r="B176" s="61"/>
      <c r="C176" s="61"/>
      <c r="D176" s="61"/>
      <c r="E176" s="61"/>
      <c r="F176" s="61"/>
    </row>
    <row r="177" spans="1:6" ht="15.75" customHeight="1" x14ac:dyDescent="0.25">
      <c r="A177" s="62"/>
      <c r="B177" s="61"/>
      <c r="C177" s="61"/>
      <c r="D177" s="61"/>
      <c r="E177" s="61"/>
      <c r="F177" s="61"/>
    </row>
    <row r="178" spans="1:6" ht="15.75" customHeight="1" x14ac:dyDescent="0.25">
      <c r="A178" s="62"/>
      <c r="B178" s="61"/>
      <c r="C178" s="61"/>
      <c r="D178" s="61"/>
      <c r="E178" s="61"/>
      <c r="F178" s="61"/>
    </row>
    <row r="179" spans="1:6" ht="15.75" customHeight="1" x14ac:dyDescent="0.25">
      <c r="A179" s="64"/>
      <c r="B179" s="61"/>
      <c r="C179" s="61"/>
      <c r="D179" s="61"/>
      <c r="E179" s="61"/>
      <c r="F179" s="61"/>
    </row>
    <row r="180" spans="1:6" ht="15.75" customHeight="1" x14ac:dyDescent="0.25">
      <c r="A180" s="62"/>
      <c r="B180" s="61"/>
      <c r="C180" s="61"/>
      <c r="D180" s="61"/>
      <c r="E180" s="61"/>
      <c r="F180" s="61"/>
    </row>
    <row r="181" spans="1:6" ht="15.75" customHeight="1" x14ac:dyDescent="0.25">
      <c r="A181" s="66"/>
      <c r="B181" s="61"/>
      <c r="C181" s="61"/>
      <c r="D181" s="61"/>
      <c r="E181" s="61"/>
      <c r="F181" s="61"/>
    </row>
    <row r="182" spans="1:6" ht="15.75" customHeight="1" x14ac:dyDescent="0.25">
      <c r="A182" s="62"/>
      <c r="B182" s="61"/>
      <c r="C182" s="61"/>
      <c r="D182" s="61"/>
      <c r="E182" s="61"/>
      <c r="F182" s="61"/>
    </row>
    <row r="183" spans="1:6" ht="15.75" customHeight="1" x14ac:dyDescent="0.25">
      <c r="A183" s="62"/>
      <c r="B183" s="61"/>
      <c r="C183" s="61"/>
      <c r="D183" s="61"/>
      <c r="E183" s="61"/>
      <c r="F183" s="61"/>
    </row>
    <row r="184" spans="1:6" ht="15.75" customHeight="1" x14ac:dyDescent="0.25">
      <c r="A184" s="62"/>
      <c r="B184" s="61"/>
      <c r="C184" s="61"/>
      <c r="D184" s="61"/>
      <c r="E184" s="61"/>
      <c r="F184" s="61"/>
    </row>
    <row r="185" spans="1:6" ht="15.75" customHeight="1" x14ac:dyDescent="0.25">
      <c r="A185" s="62"/>
      <c r="B185" s="61"/>
      <c r="C185" s="61"/>
      <c r="D185" s="61"/>
      <c r="E185" s="61"/>
      <c r="F185" s="61"/>
    </row>
    <row r="186" spans="1:6" ht="15.75" customHeight="1" x14ac:dyDescent="0.25">
      <c r="A186" s="62"/>
      <c r="B186" s="61"/>
      <c r="C186" s="61"/>
      <c r="D186" s="61"/>
      <c r="E186" s="61"/>
      <c r="F186" s="61"/>
    </row>
    <row r="187" spans="1:6" ht="15.75" customHeight="1" x14ac:dyDescent="0.25">
      <c r="A187" s="62"/>
      <c r="B187" s="61"/>
      <c r="C187" s="61"/>
      <c r="D187" s="61"/>
      <c r="E187" s="61"/>
      <c r="F187" s="61"/>
    </row>
    <row r="188" spans="1:6" ht="15.75" customHeight="1" x14ac:dyDescent="0.25">
      <c r="A188" s="62"/>
      <c r="B188" s="61"/>
      <c r="C188" s="61"/>
      <c r="D188" s="61"/>
      <c r="E188" s="61"/>
      <c r="F188" s="61"/>
    </row>
    <row r="189" spans="1:6" ht="15.75" customHeight="1" x14ac:dyDescent="0.25">
      <c r="A189" s="62"/>
      <c r="B189" s="61"/>
      <c r="C189" s="61"/>
      <c r="D189" s="61"/>
      <c r="E189" s="61"/>
      <c r="F189" s="61"/>
    </row>
    <row r="190" spans="1:6" ht="15.75" customHeight="1" x14ac:dyDescent="0.25">
      <c r="A190" s="62"/>
      <c r="B190" s="61"/>
      <c r="C190" s="61"/>
      <c r="D190" s="61"/>
      <c r="E190" s="61"/>
      <c r="F190" s="61"/>
    </row>
    <row r="191" spans="1:6" ht="15.75" customHeight="1" x14ac:dyDescent="0.25">
      <c r="A191" s="62"/>
      <c r="B191" s="61"/>
      <c r="C191" s="61"/>
      <c r="D191" s="61"/>
      <c r="E191" s="61"/>
      <c r="F191" s="61"/>
    </row>
    <row r="192" spans="1:6" ht="15.75" customHeight="1" x14ac:dyDescent="0.25">
      <c r="A192" s="62"/>
      <c r="B192" s="61"/>
      <c r="C192" s="61"/>
      <c r="D192" s="61"/>
      <c r="E192" s="61"/>
      <c r="F192" s="61"/>
    </row>
    <row r="193" spans="1:6" ht="15.75" customHeight="1" x14ac:dyDescent="0.25">
      <c r="A193" s="64"/>
      <c r="B193" s="61"/>
      <c r="C193" s="61"/>
      <c r="D193" s="61"/>
      <c r="E193" s="61"/>
      <c r="F193" s="61"/>
    </row>
    <row r="194" spans="1:6" ht="15.75" customHeight="1" x14ac:dyDescent="0.25">
      <c r="A194" s="62"/>
      <c r="B194" s="61"/>
      <c r="C194" s="61"/>
      <c r="D194" s="61"/>
      <c r="E194" s="61"/>
      <c r="F194" s="61"/>
    </row>
    <row r="195" spans="1:6" ht="15.75" customHeight="1" x14ac:dyDescent="0.25">
      <c r="A195" s="66"/>
      <c r="B195" s="61"/>
      <c r="C195" s="61"/>
      <c r="D195" s="61"/>
      <c r="E195" s="61"/>
      <c r="F195" s="61"/>
    </row>
    <row r="196" spans="1:6" ht="15.75" customHeight="1" x14ac:dyDescent="0.25">
      <c r="A196" s="62"/>
      <c r="B196" s="61"/>
      <c r="C196" s="61"/>
      <c r="D196" s="61"/>
      <c r="E196" s="61"/>
      <c r="F196" s="61"/>
    </row>
    <row r="197" spans="1:6" ht="15.75" customHeight="1" x14ac:dyDescent="0.25">
      <c r="A197" s="62"/>
      <c r="B197" s="61"/>
      <c r="C197" s="61"/>
      <c r="D197" s="61"/>
      <c r="E197" s="61"/>
      <c r="F197" s="61"/>
    </row>
    <row r="198" spans="1:6" ht="15.75" customHeight="1" x14ac:dyDescent="0.25">
      <c r="A198" s="62"/>
      <c r="B198" s="61"/>
      <c r="C198" s="61"/>
      <c r="D198" s="61"/>
      <c r="E198" s="61"/>
      <c r="F198" s="61"/>
    </row>
    <row r="199" spans="1:6" ht="15.75" customHeight="1" x14ac:dyDescent="0.25">
      <c r="A199" s="62"/>
      <c r="B199" s="61"/>
      <c r="C199" s="61"/>
      <c r="D199" s="61"/>
      <c r="E199" s="61"/>
      <c r="F199" s="61"/>
    </row>
    <row r="200" spans="1:6" ht="15.75" customHeight="1" x14ac:dyDescent="0.25">
      <c r="A200" s="62"/>
      <c r="B200" s="61"/>
      <c r="C200" s="61"/>
      <c r="D200" s="61"/>
      <c r="E200" s="61"/>
      <c r="F200" s="61"/>
    </row>
    <row r="201" spans="1:6" ht="15.75" customHeight="1" x14ac:dyDescent="0.25">
      <c r="A201" s="62"/>
      <c r="B201" s="61"/>
      <c r="C201" s="61"/>
      <c r="D201" s="61"/>
      <c r="E201" s="61"/>
      <c r="F201" s="61"/>
    </row>
    <row r="202" spans="1:6" ht="15.75" customHeight="1" x14ac:dyDescent="0.25">
      <c r="A202" s="62"/>
      <c r="B202" s="61"/>
      <c r="C202" s="61"/>
      <c r="D202" s="61"/>
      <c r="E202" s="61"/>
      <c r="F202" s="61"/>
    </row>
    <row r="203" spans="1:6" ht="15.75" customHeight="1" x14ac:dyDescent="0.25">
      <c r="A203" s="62"/>
      <c r="B203" s="61"/>
      <c r="C203" s="61"/>
      <c r="D203" s="61"/>
      <c r="E203" s="61"/>
      <c r="F203" s="61"/>
    </row>
    <row r="204" spans="1:6" ht="15.75" customHeight="1" x14ac:dyDescent="0.25">
      <c r="A204" s="62"/>
      <c r="B204" s="61"/>
      <c r="C204" s="61"/>
      <c r="D204" s="61"/>
      <c r="E204" s="61"/>
      <c r="F204" s="61"/>
    </row>
    <row r="205" spans="1:6" ht="15.75" customHeight="1" x14ac:dyDescent="0.25">
      <c r="A205" s="62"/>
      <c r="B205" s="61"/>
      <c r="C205" s="61"/>
      <c r="D205" s="61"/>
      <c r="E205" s="61"/>
      <c r="F205" s="61"/>
    </row>
    <row r="206" spans="1:6" ht="15.75" customHeight="1" x14ac:dyDescent="0.25">
      <c r="A206" s="62"/>
      <c r="B206" s="61"/>
      <c r="C206" s="61"/>
      <c r="D206" s="61"/>
      <c r="E206" s="61"/>
      <c r="F206" s="61"/>
    </row>
    <row r="207" spans="1:6" ht="15.75" customHeight="1" x14ac:dyDescent="0.25">
      <c r="A207" s="64"/>
      <c r="B207" s="61"/>
      <c r="C207" s="61"/>
      <c r="D207" s="61"/>
      <c r="E207" s="61"/>
      <c r="F207" s="61"/>
    </row>
    <row r="208" spans="1:6" ht="15.75" customHeight="1" x14ac:dyDescent="0.25">
      <c r="A208" s="62"/>
      <c r="B208" s="61"/>
      <c r="C208" s="61"/>
      <c r="D208" s="61"/>
      <c r="E208" s="61"/>
      <c r="F208" s="61"/>
    </row>
    <row r="209" spans="1:6" ht="15.75" customHeight="1" x14ac:dyDescent="0.25">
      <c r="A209" s="66"/>
      <c r="B209" s="61"/>
      <c r="C209" s="61"/>
      <c r="D209" s="61"/>
      <c r="E209" s="61"/>
      <c r="F209" s="61"/>
    </row>
    <row r="210" spans="1:6" ht="15.75" customHeight="1" x14ac:dyDescent="0.25">
      <c r="A210" s="62"/>
      <c r="B210" s="61"/>
      <c r="C210" s="61"/>
      <c r="D210" s="61"/>
      <c r="E210" s="61"/>
      <c r="F210" s="61"/>
    </row>
    <row r="211" spans="1:6" ht="15.75" customHeight="1" x14ac:dyDescent="0.25">
      <c r="A211" s="62"/>
      <c r="B211" s="61"/>
      <c r="C211" s="61"/>
      <c r="D211" s="61"/>
      <c r="E211" s="61"/>
      <c r="F211" s="61"/>
    </row>
    <row r="212" spans="1:6" ht="15.75" customHeight="1" x14ac:dyDescent="0.25">
      <c r="A212" s="62"/>
      <c r="B212" s="61"/>
      <c r="C212" s="61"/>
      <c r="D212" s="61"/>
      <c r="E212" s="61"/>
      <c r="F212" s="61"/>
    </row>
    <row r="213" spans="1:6" ht="15.75" customHeight="1" x14ac:dyDescent="0.25">
      <c r="A213" s="62"/>
      <c r="B213" s="61"/>
      <c r="C213" s="61"/>
      <c r="D213" s="61"/>
      <c r="E213" s="61"/>
      <c r="F213" s="61"/>
    </row>
    <row r="214" spans="1:6" ht="15.75" customHeight="1" x14ac:dyDescent="0.25">
      <c r="A214" s="62"/>
      <c r="B214" s="61"/>
      <c r="C214" s="61"/>
      <c r="D214" s="61"/>
      <c r="E214" s="61"/>
      <c r="F214" s="61"/>
    </row>
    <row r="215" spans="1:6" ht="15.75" customHeight="1" x14ac:dyDescent="0.25">
      <c r="A215" s="62"/>
      <c r="B215" s="61"/>
      <c r="C215" s="61"/>
      <c r="D215" s="61"/>
      <c r="E215" s="61"/>
      <c r="F215" s="61"/>
    </row>
    <row r="216" spans="1:6" ht="15.75" customHeight="1" x14ac:dyDescent="0.25">
      <c r="A216" s="62"/>
      <c r="B216" s="61"/>
      <c r="C216" s="61"/>
      <c r="D216" s="61"/>
      <c r="E216" s="61"/>
      <c r="F216" s="61"/>
    </row>
    <row r="217" spans="1:6" ht="15.75" customHeight="1" x14ac:dyDescent="0.25">
      <c r="A217" s="62"/>
      <c r="B217" s="61"/>
      <c r="C217" s="61"/>
      <c r="D217" s="61"/>
      <c r="E217" s="61"/>
      <c r="F217" s="61"/>
    </row>
    <row r="218" spans="1:6" ht="15.75" customHeight="1" x14ac:dyDescent="0.25">
      <c r="A218" s="62"/>
      <c r="B218" s="61"/>
      <c r="C218" s="61"/>
      <c r="D218" s="61"/>
      <c r="E218" s="61"/>
      <c r="F218" s="61"/>
    </row>
    <row r="219" spans="1:6" ht="15.75" customHeight="1" x14ac:dyDescent="0.25">
      <c r="A219" s="62"/>
      <c r="B219" s="61"/>
      <c r="C219" s="61"/>
      <c r="D219" s="61"/>
      <c r="E219" s="61"/>
      <c r="F219" s="61"/>
    </row>
    <row r="220" spans="1:6" ht="15.75" customHeight="1" x14ac:dyDescent="0.25">
      <c r="A220" s="62"/>
      <c r="B220" s="61"/>
      <c r="C220" s="61"/>
      <c r="D220" s="61"/>
      <c r="E220" s="61"/>
      <c r="F220" s="61"/>
    </row>
    <row r="221" spans="1:6" ht="15.75" customHeight="1" x14ac:dyDescent="0.25">
      <c r="A221" s="64"/>
      <c r="B221" s="61"/>
      <c r="C221" s="61"/>
      <c r="D221" s="61"/>
      <c r="E221" s="61"/>
      <c r="F221" s="61"/>
    </row>
    <row r="222" spans="1:6" ht="15.75" customHeight="1" x14ac:dyDescent="0.25">
      <c r="A222" s="62"/>
      <c r="B222" s="61"/>
      <c r="C222" s="61"/>
      <c r="D222" s="61"/>
      <c r="E222" s="61"/>
      <c r="F222" s="61"/>
    </row>
    <row r="223" spans="1:6" ht="15.75" customHeight="1" x14ac:dyDescent="0.25">
      <c r="A223" s="66"/>
      <c r="B223" s="61"/>
      <c r="C223" s="61"/>
      <c r="D223" s="61"/>
      <c r="E223" s="61"/>
      <c r="F223" s="61"/>
    </row>
    <row r="224" spans="1:6" ht="15.75" customHeight="1" x14ac:dyDescent="0.25">
      <c r="A224" s="62"/>
      <c r="B224" s="61"/>
      <c r="C224" s="61"/>
      <c r="D224" s="61"/>
      <c r="E224" s="61"/>
      <c r="F224" s="61"/>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B138:F138"/>
    <mergeCell ref="B18:F18"/>
    <mergeCell ref="B2:F2"/>
    <mergeCell ref="B33:F33"/>
    <mergeCell ref="B78:F78"/>
    <mergeCell ref="B48:F48"/>
    <mergeCell ref="B63:F63"/>
    <mergeCell ref="B93:F93"/>
    <mergeCell ref="B108:F108"/>
    <mergeCell ref="B123:F12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Decision Tree</vt:lpstr>
      <vt:lpstr>Forecast Black Scholes</vt:lpstr>
      <vt:lpstr>Mortgage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2023-09-25T17:21:36Z</dcterms:created>
  <dcterms:modified xsi:type="dcterms:W3CDTF">2023-09-25T17:21:55Z</dcterms:modified>
</cp:coreProperties>
</file>