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66925"/>
  <xr:revisionPtr revIDLastSave="1" documentId="8_{3DFCC2A9-26A1-4696-866B-9EA7C115B1A7}" xr6:coauthVersionLast="47" xr6:coauthVersionMax="47" xr10:uidLastSave="{F9187F95-9A7B-437A-9DCC-65B812935470}"/>
  <bookViews>
    <workbookView xWindow="-120" yWindow="-120" windowWidth="23280" windowHeight="15000" firstSheet="2" activeTab="1" xr2:uid="{00000000-000D-0000-FFFF-FFFF00000000}"/>
  </bookViews>
  <sheets>
    <sheet name="Forecasts" sheetId="1" r:id="rId1"/>
    <sheet name="Real Options" sheetId="4" r:id="rId2"/>
    <sheet name="Real Options 2" sheetId="5" r:id="rId3"/>
    <sheet name="Amortization Table" sheetId="3" r:id="rId4"/>
    <sheet name="Sources"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4" l="1"/>
  <c r="D21" i="5"/>
  <c r="E21" i="5"/>
  <c r="F21" i="5"/>
  <c r="G21" i="5"/>
  <c r="H8" i="5"/>
  <c r="H17" i="5"/>
  <c r="H21" i="5"/>
  <c r="I8" i="5"/>
  <c r="I17" i="5" s="1"/>
  <c r="I21" i="5" s="1"/>
  <c r="J8" i="5"/>
  <c r="J17" i="5"/>
  <c r="J21" i="5" s="1"/>
  <c r="K8" i="5"/>
  <c r="K17" i="5"/>
  <c r="K21" i="5"/>
  <c r="L8" i="5"/>
  <c r="L17" i="5"/>
  <c r="L21" i="5" s="1"/>
  <c r="M8" i="5"/>
  <c r="M17" i="5"/>
  <c r="M21" i="5" s="1"/>
  <c r="C21" i="5"/>
  <c r="D12" i="5"/>
  <c r="E12" i="5"/>
  <c r="F12" i="5"/>
  <c r="G12" i="5"/>
  <c r="H12" i="5"/>
  <c r="I12" i="5"/>
  <c r="J12" i="5"/>
  <c r="K12" i="5"/>
  <c r="L12" i="5"/>
  <c r="M12" i="5"/>
  <c r="C12" i="5"/>
  <c r="C13" i="5" s="1"/>
  <c r="C28" i="5"/>
  <c r="G38" i="5"/>
  <c r="C14" i="5" s="1"/>
  <c r="G40" i="5"/>
  <c r="C23" i="5" s="1"/>
  <c r="G42" i="5"/>
  <c r="C29" i="5"/>
  <c r="G43" i="5"/>
  <c r="F20" i="4"/>
  <c r="I2" i="3"/>
  <c r="D13" i="1"/>
  <c r="I7" i="3" s="1"/>
  <c r="I9" i="3" s="1"/>
  <c r="D15" i="1"/>
  <c r="D16" i="1"/>
  <c r="E8" i="3"/>
  <c r="E48" i="3"/>
  <c r="E79" i="3"/>
  <c r="E110" i="3"/>
  <c r="E129" i="3"/>
  <c r="D9" i="1"/>
  <c r="E9" i="1" s="1"/>
  <c r="F9" i="1" s="1"/>
  <c r="F38" i="1" s="1"/>
  <c r="F39" i="1" s="1"/>
  <c r="F42" i="1" s="1"/>
  <c r="P4" i="1"/>
  <c r="D38" i="1"/>
  <c r="D39" i="1"/>
  <c r="D42" i="1" s="1"/>
  <c r="D40" i="1"/>
  <c r="D44" i="1" s="1"/>
  <c r="D67" i="1"/>
  <c r="D49" i="1"/>
  <c r="E38" i="1"/>
  <c r="E46" i="1" s="1"/>
  <c r="E39" i="1"/>
  <c r="E42" i="1" s="1"/>
  <c r="E40" i="1"/>
  <c r="E33" i="1"/>
  <c r="F33" i="1" s="1"/>
  <c r="F47" i="1" s="1"/>
  <c r="E15" i="1"/>
  <c r="E16" i="1" s="1"/>
  <c r="E67" i="1" s="1"/>
  <c r="E49" i="1" s="1"/>
  <c r="E14" i="1"/>
  <c r="E29" i="1"/>
  <c r="F29" i="1" s="1"/>
  <c r="E30" i="1"/>
  <c r="F30" i="1" s="1"/>
  <c r="G30" i="1" s="1"/>
  <c r="F40" i="1"/>
  <c r="F46" i="1"/>
  <c r="F15" i="1"/>
  <c r="F14" i="1"/>
  <c r="G14" i="1" s="1"/>
  <c r="H14" i="1" s="1"/>
  <c r="H16" i="1" s="1"/>
  <c r="F16" i="1"/>
  <c r="F67" i="1"/>
  <c r="F49" i="1" s="1"/>
  <c r="F97" i="1" s="1"/>
  <c r="G9" i="1"/>
  <c r="G38" i="1" s="1"/>
  <c r="G39" i="1" s="1"/>
  <c r="G42" i="1" s="1"/>
  <c r="G40" i="1"/>
  <c r="G44" i="1"/>
  <c r="G46" i="1"/>
  <c r="G33" i="1"/>
  <c r="G15" i="1"/>
  <c r="G29" i="1"/>
  <c r="H29" i="1" s="1"/>
  <c r="I29" i="1" s="1"/>
  <c r="J29" i="1" s="1"/>
  <c r="K29" i="1" s="1"/>
  <c r="L29" i="1" s="1"/>
  <c r="M29" i="1" s="1"/>
  <c r="H15" i="1"/>
  <c r="H30" i="1"/>
  <c r="I15" i="1"/>
  <c r="I14" i="1"/>
  <c r="J15" i="1"/>
  <c r="J14" i="1"/>
  <c r="K14" i="1" s="1"/>
  <c r="K15" i="1"/>
  <c r="L15" i="1"/>
  <c r="M15" i="1"/>
  <c r="B135" i="1"/>
  <c r="B143" i="1"/>
  <c r="D97" i="1"/>
  <c r="E60" i="1"/>
  <c r="D60" i="1"/>
  <c r="D104" i="1"/>
  <c r="D105" i="1"/>
  <c r="E62" i="1"/>
  <c r="E64" i="1" s="1"/>
  <c r="E28" i="1"/>
  <c r="E63" i="1"/>
  <c r="D63" i="1"/>
  <c r="D107" i="1"/>
  <c r="E74" i="1"/>
  <c r="D74" i="1"/>
  <c r="E97" i="1"/>
  <c r="E13" i="1"/>
  <c r="E66" i="1"/>
  <c r="D66" i="1"/>
  <c r="C112" i="1" s="1"/>
  <c r="D116" i="1"/>
  <c r="F60" i="1"/>
  <c r="E104" i="1"/>
  <c r="E105" i="1"/>
  <c r="F28" i="1"/>
  <c r="F13" i="1"/>
  <c r="F66" i="1"/>
  <c r="F112" i="1" s="1"/>
  <c r="E116" i="1"/>
  <c r="G60" i="1"/>
  <c r="F105" i="1"/>
  <c r="G62" i="1"/>
  <c r="G28" i="1"/>
  <c r="G74" i="1"/>
  <c r="G13" i="1"/>
  <c r="G66" i="1"/>
  <c r="G105" i="1"/>
  <c r="H13" i="1"/>
  <c r="H66" i="1"/>
  <c r="H105" i="1"/>
  <c r="I13" i="1"/>
  <c r="I66" i="1"/>
  <c r="I105" i="1"/>
  <c r="J13" i="1"/>
  <c r="J66" i="1" s="1"/>
  <c r="J105" i="1"/>
  <c r="K13" i="1"/>
  <c r="K66" i="1"/>
  <c r="J112" i="1"/>
  <c r="K105" i="1"/>
  <c r="L13" i="1"/>
  <c r="L66" i="1"/>
  <c r="L105" i="1"/>
  <c r="M13" i="1"/>
  <c r="M66" i="1" s="1"/>
  <c r="M105" i="1"/>
  <c r="D68" i="1"/>
  <c r="E68" i="1"/>
  <c r="F68" i="1" s="1"/>
  <c r="C104" i="1"/>
  <c r="C105" i="1"/>
  <c r="C107" i="1"/>
  <c r="C116" i="1"/>
  <c r="D21" i="1"/>
  <c r="D20" i="1"/>
  <c r="Q17" i="1"/>
  <c r="E17" i="1"/>
  <c r="D8" i="1"/>
  <c r="E8" i="1"/>
  <c r="F8" i="1" s="1"/>
  <c r="G8" i="1" s="1"/>
  <c r="H8" i="1" s="1"/>
  <c r="I8" i="1"/>
  <c r="J8" i="1"/>
  <c r="K8" i="1" s="1"/>
  <c r="L8" i="1" s="1"/>
  <c r="M8" i="1" s="1"/>
  <c r="E3" i="1"/>
  <c r="F3" i="1"/>
  <c r="G3" i="1"/>
  <c r="H3" i="1"/>
  <c r="I3" i="1" s="1"/>
  <c r="J3" i="1" s="1"/>
  <c r="K3" i="1" s="1"/>
  <c r="L3" i="1" s="1"/>
  <c r="M3" i="1" s="1"/>
  <c r="F63" i="1" l="1"/>
  <c r="E107" i="1" s="1"/>
  <c r="F74" i="1"/>
  <c r="D17" i="1"/>
  <c r="F17" i="1"/>
  <c r="I112" i="1"/>
  <c r="J16" i="1"/>
  <c r="L112" i="1"/>
  <c r="M112" i="1"/>
  <c r="D112" i="1"/>
  <c r="E112" i="1"/>
  <c r="E69" i="1"/>
  <c r="E71" i="1" s="1"/>
  <c r="G63" i="1"/>
  <c r="H28" i="1"/>
  <c r="I16" i="1"/>
  <c r="G47" i="1"/>
  <c r="H33" i="1"/>
  <c r="H67" i="1"/>
  <c r="H17" i="1"/>
  <c r="C108" i="1"/>
  <c r="G112" i="1"/>
  <c r="H112" i="1"/>
  <c r="F96" i="1"/>
  <c r="G138" i="1"/>
  <c r="B136" i="1"/>
  <c r="F69" i="1"/>
  <c r="D108" i="1"/>
  <c r="K16" i="1"/>
  <c r="L14" i="1"/>
  <c r="F62" i="1"/>
  <c r="F44" i="1"/>
  <c r="E4" i="3"/>
  <c r="E12" i="3"/>
  <c r="E21" i="3"/>
  <c r="E37" i="3"/>
  <c r="E45" i="3"/>
  <c r="E53" i="3"/>
  <c r="E61" i="3"/>
  <c r="E69" i="3"/>
  <c r="E77" i="3"/>
  <c r="E93" i="3"/>
  <c r="E101" i="3"/>
  <c r="E109" i="3"/>
  <c r="E117" i="3"/>
  <c r="E2" i="3"/>
  <c r="E10" i="3"/>
  <c r="E19" i="3"/>
  <c r="E27" i="3"/>
  <c r="E35" i="3"/>
  <c r="E51" i="3"/>
  <c r="E59" i="3"/>
  <c r="E67" i="3"/>
  <c r="E75" i="3"/>
  <c r="E83" i="3"/>
  <c r="E91" i="3"/>
  <c r="E107" i="3"/>
  <c r="E115" i="3"/>
  <c r="E123" i="3"/>
  <c r="E131" i="3"/>
  <c r="E139" i="3"/>
  <c r="E147" i="3"/>
  <c r="E9" i="3"/>
  <c r="E11" i="3"/>
  <c r="E13" i="3"/>
  <c r="E18" i="3"/>
  <c r="E20" i="3"/>
  <c r="E22" i="3"/>
  <c r="E30" i="3"/>
  <c r="E82" i="3"/>
  <c r="E90" i="3"/>
  <c r="E92" i="3"/>
  <c r="E94" i="3"/>
  <c r="E100" i="3"/>
  <c r="E102" i="3"/>
  <c r="E135" i="3"/>
  <c r="E142" i="3"/>
  <c r="E144" i="3"/>
  <c r="E153" i="3"/>
  <c r="E7" i="3"/>
  <c r="E39" i="3"/>
  <c r="E41" i="3"/>
  <c r="E47" i="3"/>
  <c r="E49" i="3"/>
  <c r="E80" i="3"/>
  <c r="E88" i="3"/>
  <c r="E111" i="3"/>
  <c r="E119" i="3"/>
  <c r="E128" i="3"/>
  <c r="E137" i="3"/>
  <c r="E146" i="3"/>
  <c r="E3" i="3"/>
  <c r="E5" i="3"/>
  <c r="E66" i="3"/>
  <c r="E68" i="3"/>
  <c r="E74" i="3"/>
  <c r="E76" i="3"/>
  <c r="E78" i="3"/>
  <c r="E86" i="3"/>
  <c r="E121" i="3"/>
  <c r="E130" i="3"/>
  <c r="E148" i="3"/>
  <c r="E23" i="3"/>
  <c r="E25" i="3"/>
  <c r="E31" i="3"/>
  <c r="E33" i="3"/>
  <c r="E64" i="3"/>
  <c r="E72" i="3"/>
  <c r="E95" i="3"/>
  <c r="E97" i="3"/>
  <c r="E103" i="3"/>
  <c r="E105" i="3"/>
  <c r="E125" i="3"/>
  <c r="E132" i="3"/>
  <c r="E150" i="3"/>
  <c r="E152" i="3"/>
  <c r="E50" i="3"/>
  <c r="E52" i="3"/>
  <c r="E54" i="3"/>
  <c r="E58" i="3"/>
  <c r="E60" i="3"/>
  <c r="E62" i="3"/>
  <c r="E24" i="3"/>
  <c r="E32" i="3"/>
  <c r="E55" i="3"/>
  <c r="E63" i="3"/>
  <c r="E65" i="3"/>
  <c r="E73" i="3"/>
  <c r="E96" i="3"/>
  <c r="E104" i="3"/>
  <c r="E124" i="3"/>
  <c r="E133" i="3"/>
  <c r="E151" i="3"/>
  <c r="D23" i="1"/>
  <c r="D22" i="1" s="1"/>
  <c r="E149" i="3"/>
  <c r="E138" i="3"/>
  <c r="E116" i="3"/>
  <c r="E17" i="3"/>
  <c r="E6" i="3"/>
  <c r="C33" i="5"/>
  <c r="D69" i="1"/>
  <c r="K112" i="1"/>
  <c r="E44" i="1"/>
  <c r="D46" i="1"/>
  <c r="D47" i="1"/>
  <c r="E108" i="3"/>
  <c r="E44" i="3"/>
  <c r="E34" i="3"/>
  <c r="F104" i="1"/>
  <c r="I30" i="1"/>
  <c r="E89" i="3"/>
  <c r="G16" i="1"/>
  <c r="E143" i="3"/>
  <c r="E120" i="3"/>
  <c r="E114" i="3"/>
  <c r="E81" i="3"/>
  <c r="B2" i="3"/>
  <c r="E145" i="3"/>
  <c r="E134" i="3"/>
  <c r="E122" i="3"/>
  <c r="E46" i="3"/>
  <c r="E36" i="3"/>
  <c r="E26" i="3"/>
  <c r="E136" i="3"/>
  <c r="E106" i="3"/>
  <c r="E40" i="3"/>
  <c r="E16" i="3"/>
  <c r="D62" i="1"/>
  <c r="H9" i="1"/>
  <c r="E118" i="3"/>
  <c r="E87" i="3"/>
  <c r="E38" i="3"/>
  <c r="E47" i="1"/>
  <c r="E96" i="1" s="1"/>
  <c r="C22" i="5"/>
  <c r="F98" i="1" l="1"/>
  <c r="F99" i="1" s="1"/>
  <c r="F100" i="1"/>
  <c r="J67" i="1"/>
  <c r="J17" i="1"/>
  <c r="J30" i="1"/>
  <c r="E129" i="1"/>
  <c r="I33" i="1"/>
  <c r="F129" i="1"/>
  <c r="D129" i="1"/>
  <c r="D96" i="1"/>
  <c r="F2" i="3"/>
  <c r="B3" i="3" s="1"/>
  <c r="D2" i="3"/>
  <c r="E106" i="1"/>
  <c r="F106" i="1"/>
  <c r="G96" i="1"/>
  <c r="I67" i="1"/>
  <c r="I17" i="1"/>
  <c r="E98" i="1"/>
  <c r="E99" i="1" s="1"/>
  <c r="E100" i="1"/>
  <c r="C2" i="3"/>
  <c r="F64" i="1"/>
  <c r="F71" i="1"/>
  <c r="I28" i="1"/>
  <c r="G116" i="1"/>
  <c r="H49" i="1"/>
  <c r="H97" i="1" s="1"/>
  <c r="I9" i="1"/>
  <c r="H38" i="1"/>
  <c r="C106" i="1"/>
  <c r="D64" i="1"/>
  <c r="D71" i="1" s="1"/>
  <c r="M14" i="1"/>
  <c r="M16" i="1" s="1"/>
  <c r="L16" i="1"/>
  <c r="F107" i="1"/>
  <c r="G64" i="1"/>
  <c r="E108" i="1"/>
  <c r="F108" i="1"/>
  <c r="G17" i="1"/>
  <c r="G67" i="1"/>
  <c r="K17" i="1"/>
  <c r="K67" i="1"/>
  <c r="D106" i="1"/>
  <c r="J9" i="1" l="1"/>
  <c r="I38" i="1"/>
  <c r="D109" i="1"/>
  <c r="H40" i="1"/>
  <c r="H46" i="1"/>
  <c r="H39" i="1"/>
  <c r="H42" i="1" s="1"/>
  <c r="H60" i="1"/>
  <c r="M67" i="1"/>
  <c r="M17" i="1"/>
  <c r="I49" i="1"/>
  <c r="I97" i="1" s="1"/>
  <c r="H116" i="1"/>
  <c r="D98" i="1"/>
  <c r="D99" i="1" s="1"/>
  <c r="C109" i="1" s="1"/>
  <c r="E109" i="1"/>
  <c r="E122" i="1" s="1"/>
  <c r="D3" i="3"/>
  <c r="C3" i="3" s="1"/>
  <c r="L17" i="1"/>
  <c r="L67" i="1"/>
  <c r="J116" i="1"/>
  <c r="K49" i="1"/>
  <c r="K97" i="1" s="1"/>
  <c r="C122" i="1"/>
  <c r="H47" i="1"/>
  <c r="K30" i="1"/>
  <c r="F116" i="1"/>
  <c r="G49" i="1"/>
  <c r="J28" i="1"/>
  <c r="I47" i="1"/>
  <c r="J33" i="1"/>
  <c r="J49" i="1"/>
  <c r="J97" i="1" s="1"/>
  <c r="I116" i="1"/>
  <c r="H96" i="1" l="1"/>
  <c r="H62" i="1"/>
  <c r="G106" i="1" s="1"/>
  <c r="H44" i="1"/>
  <c r="F3" i="3"/>
  <c r="B4" i="3" s="1"/>
  <c r="D100" i="1"/>
  <c r="D122" i="1" s="1"/>
  <c r="J47" i="1"/>
  <c r="K33" i="1"/>
  <c r="L116" i="1"/>
  <c r="M49" i="1"/>
  <c r="M97" i="1" s="1"/>
  <c r="M116" i="1"/>
  <c r="I46" i="1"/>
  <c r="I39" i="1"/>
  <c r="I42" i="1" s="1"/>
  <c r="I60" i="1"/>
  <c r="K28" i="1"/>
  <c r="G97" i="1"/>
  <c r="G98" i="1" s="1"/>
  <c r="G99" i="1" s="1"/>
  <c r="G68" i="1"/>
  <c r="G129" i="1"/>
  <c r="G104" i="1"/>
  <c r="K9" i="1"/>
  <c r="J38" i="1"/>
  <c r="L30" i="1"/>
  <c r="K116" i="1"/>
  <c r="L49" i="1"/>
  <c r="L97" i="1" s="1"/>
  <c r="H74" i="1"/>
  <c r="H63" i="1"/>
  <c r="G107" i="1" s="1"/>
  <c r="D4" i="3" l="1"/>
  <c r="H68" i="1"/>
  <c r="G69" i="1"/>
  <c r="G71" i="1" s="1"/>
  <c r="J39" i="1"/>
  <c r="J42" i="1" s="1"/>
  <c r="J40" i="1"/>
  <c r="J60" i="1"/>
  <c r="J46" i="1"/>
  <c r="H129" i="1"/>
  <c r="I74" i="1"/>
  <c r="I63" i="1"/>
  <c r="H107" i="1" s="1"/>
  <c r="F109" i="1"/>
  <c r="F122" i="1" s="1"/>
  <c r="G100" i="1"/>
  <c r="G122" i="1" s="1"/>
  <c r="K38" i="1"/>
  <c r="K47" i="1" s="1"/>
  <c r="L9" i="1"/>
  <c r="G108" i="1"/>
  <c r="L28" i="1"/>
  <c r="H64" i="1"/>
  <c r="H104" i="1"/>
  <c r="H98" i="1"/>
  <c r="H99" i="1" s="1"/>
  <c r="G109" i="1" s="1"/>
  <c r="H100" i="1"/>
  <c r="M30" i="1"/>
  <c r="I40" i="1"/>
  <c r="L33" i="1"/>
  <c r="I44" i="1" l="1"/>
  <c r="I96" i="1"/>
  <c r="I62" i="1"/>
  <c r="I104" i="1"/>
  <c r="J74" i="1"/>
  <c r="J63" i="1"/>
  <c r="I107" i="1" s="1"/>
  <c r="M28" i="1"/>
  <c r="H108" i="1"/>
  <c r="I68" i="1"/>
  <c r="H69" i="1"/>
  <c r="H71" i="1" s="1"/>
  <c r="M114" i="1"/>
  <c r="P30" i="1"/>
  <c r="B138" i="1" s="1"/>
  <c r="H138" i="1" s="1"/>
  <c r="C4" i="3"/>
  <c r="K39" i="1"/>
  <c r="K42" i="1" s="1"/>
  <c r="K60" i="1"/>
  <c r="K40" i="1"/>
  <c r="K46" i="1"/>
  <c r="J44" i="1"/>
  <c r="J96" i="1"/>
  <c r="J62" i="1"/>
  <c r="I106" i="1" s="1"/>
  <c r="M33" i="1"/>
  <c r="M47" i="1" s="1"/>
  <c r="L47" i="1"/>
  <c r="L38" i="1"/>
  <c r="M9" i="1"/>
  <c r="M38" i="1" s="1"/>
  <c r="J104" i="1" l="1"/>
  <c r="J64" i="1"/>
  <c r="F4" i="3"/>
  <c r="B5" i="3" s="1"/>
  <c r="J98" i="1"/>
  <c r="J99" i="1" s="1"/>
  <c r="J100" i="1" s="1"/>
  <c r="H106" i="1"/>
  <c r="I64" i="1"/>
  <c r="K74" i="1"/>
  <c r="K63" i="1"/>
  <c r="J107" i="1" s="1"/>
  <c r="I108" i="1"/>
  <c r="J129" i="1"/>
  <c r="I98" i="1"/>
  <c r="I99" i="1" s="1"/>
  <c r="H109" i="1" s="1"/>
  <c r="K96" i="1"/>
  <c r="K62" i="1"/>
  <c r="J106" i="1" s="1"/>
  <c r="K44" i="1"/>
  <c r="J68" i="1"/>
  <c r="I69" i="1"/>
  <c r="I71" i="1" s="1"/>
  <c r="M40" i="1"/>
  <c r="M60" i="1"/>
  <c r="M46" i="1"/>
  <c r="M39" i="1"/>
  <c r="M42" i="1" s="1"/>
  <c r="M74" i="1" s="1"/>
  <c r="L39" i="1"/>
  <c r="L42" i="1" s="1"/>
  <c r="L40" i="1"/>
  <c r="L60" i="1"/>
  <c r="L46" i="1"/>
  <c r="M63" i="1"/>
  <c r="I129" i="1"/>
  <c r="H122" i="1" l="1"/>
  <c r="D5" i="3"/>
  <c r="M108" i="1"/>
  <c r="M107" i="1"/>
  <c r="M44" i="1"/>
  <c r="M96" i="1"/>
  <c r="M62" i="1"/>
  <c r="K104" i="1"/>
  <c r="K68" i="1"/>
  <c r="J69" i="1"/>
  <c r="J71" i="1" s="1"/>
  <c r="I109" i="1"/>
  <c r="L62" i="1"/>
  <c r="K106" i="1" s="1"/>
  <c r="L44" i="1"/>
  <c r="L96" i="1"/>
  <c r="L74" i="1"/>
  <c r="L63" i="1"/>
  <c r="K107" i="1" s="1"/>
  <c r="K129" i="1"/>
  <c r="K98" i="1"/>
  <c r="K99" i="1" s="1"/>
  <c r="J109" i="1" s="1"/>
  <c r="K100" i="1"/>
  <c r="J108" i="1"/>
  <c r="J122" i="1" s="1"/>
  <c r="L104" i="1"/>
  <c r="M64" i="1"/>
  <c r="M104" i="1"/>
  <c r="I100" i="1"/>
  <c r="I122" i="1" s="1"/>
  <c r="K64" i="1"/>
  <c r="L64" i="1" l="1"/>
  <c r="C5" i="3"/>
  <c r="F5" i="3" s="1"/>
  <c r="B6" i="3" s="1"/>
  <c r="L129" i="1"/>
  <c r="K122" i="1"/>
  <c r="M129" i="1"/>
  <c r="L107" i="1"/>
  <c r="L68" i="1"/>
  <c r="K69" i="1"/>
  <c r="K71" i="1" s="1"/>
  <c r="K108" i="1"/>
  <c r="L108" i="1"/>
  <c r="L100" i="1"/>
  <c r="L98" i="1"/>
  <c r="L99" i="1" s="1"/>
  <c r="K109" i="1" s="1"/>
  <c r="L106" i="1"/>
  <c r="M106" i="1"/>
  <c r="M98" i="1"/>
  <c r="M99" i="1" s="1"/>
  <c r="M100" i="1"/>
  <c r="L109" i="1" l="1"/>
  <c r="M109" i="1"/>
  <c r="M68" i="1"/>
  <c r="L69" i="1"/>
  <c r="L71" i="1" s="1"/>
  <c r="L122" i="1"/>
  <c r="F6" i="3"/>
  <c r="B7" i="3" s="1"/>
  <c r="D6" i="3"/>
  <c r="C6" i="3" s="1"/>
  <c r="M122" i="1" l="1"/>
  <c r="C124" i="1" s="1"/>
  <c r="O116" i="1"/>
  <c r="O117" i="1" s="1"/>
  <c r="M118" i="1" s="1"/>
  <c r="M69" i="1"/>
  <c r="M71" i="1" s="1"/>
  <c r="D7" i="3"/>
  <c r="C7" i="3" s="1"/>
  <c r="F7" i="3"/>
  <c r="B8" i="3" s="1"/>
  <c r="D8" i="3" l="1"/>
  <c r="C8" i="3" s="1"/>
  <c r="F8" i="3" s="1"/>
  <c r="B9" i="3" s="1"/>
  <c r="D9" i="3" l="1"/>
  <c r="C9" i="3" s="1"/>
  <c r="F9" i="3"/>
  <c r="B10" i="3" s="1"/>
  <c r="D10" i="3" l="1"/>
  <c r="C10" i="3" s="1"/>
  <c r="F10" i="3"/>
  <c r="B11" i="3" s="1"/>
  <c r="D11" i="3" l="1"/>
  <c r="C11" i="3" s="1"/>
  <c r="F11" i="3" s="1"/>
  <c r="B12" i="3" s="1"/>
  <c r="D12" i="3" l="1"/>
  <c r="C12" i="3" s="1"/>
  <c r="F12" i="3"/>
  <c r="B13" i="3" s="1"/>
  <c r="D13" i="3" l="1"/>
  <c r="C13" i="3" l="1"/>
  <c r="D14" i="3"/>
  <c r="D48" i="1" s="1"/>
  <c r="D130" i="1" l="1"/>
  <c r="D131" i="1" s="1"/>
  <c r="D51" i="1"/>
  <c r="C14" i="3"/>
  <c r="F13" i="3"/>
  <c r="B16" i="3" l="1"/>
  <c r="D52" i="1"/>
  <c r="D54" i="1"/>
  <c r="D84" i="1" s="1"/>
  <c r="D85" i="1" l="1"/>
  <c r="D16" i="3"/>
  <c r="C16" i="3" l="1"/>
  <c r="F16" i="3" l="1"/>
  <c r="B17" i="3" s="1"/>
  <c r="D17" i="3" l="1"/>
  <c r="C17" i="3" l="1"/>
  <c r="F17" i="3" l="1"/>
  <c r="B18" i="3" s="1"/>
  <c r="D18" i="3" l="1"/>
  <c r="C18" i="3" l="1"/>
  <c r="F18" i="3" l="1"/>
  <c r="B19" i="3" s="1"/>
  <c r="D19" i="3" l="1"/>
  <c r="C19" i="3" l="1"/>
  <c r="F19" i="3" l="1"/>
  <c r="B20" i="3" s="1"/>
  <c r="D20" i="3" l="1"/>
  <c r="C20" i="3" l="1"/>
  <c r="F20" i="3" l="1"/>
  <c r="B21" i="3" s="1"/>
  <c r="D21" i="3" l="1"/>
  <c r="C21" i="3" s="1"/>
  <c r="F21" i="3" s="1"/>
  <c r="B22" i="3" s="1"/>
  <c r="D22" i="3" l="1"/>
  <c r="C22" i="3" s="1"/>
  <c r="F22" i="3"/>
  <c r="B23" i="3" s="1"/>
  <c r="D23" i="3" l="1"/>
  <c r="C23" i="3" s="1"/>
  <c r="F23" i="3" s="1"/>
  <c r="B24" i="3" s="1"/>
  <c r="D24" i="3" l="1"/>
  <c r="C24" i="3" s="1"/>
  <c r="F24" i="3"/>
  <c r="B25" i="3" s="1"/>
  <c r="D25" i="3" l="1"/>
  <c r="C25" i="3" s="1"/>
  <c r="F25" i="3" s="1"/>
  <c r="B26" i="3" s="1"/>
  <c r="D26" i="3" l="1"/>
  <c r="C26" i="3" s="1"/>
  <c r="F26" i="3" s="1"/>
  <c r="B27" i="3" s="1"/>
  <c r="D27" i="3" l="1"/>
  <c r="C27" i="3" l="1"/>
  <c r="D28" i="3"/>
  <c r="E48" i="1" s="1"/>
  <c r="E130" i="1" l="1"/>
  <c r="E51" i="1"/>
  <c r="C28" i="3"/>
  <c r="D75" i="1" s="1"/>
  <c r="F27" i="3"/>
  <c r="B30" i="3" l="1"/>
  <c r="E52" i="1"/>
  <c r="E54" i="1" s="1"/>
  <c r="E84" i="1" s="1"/>
  <c r="D76" i="1"/>
  <c r="D81" i="1" s="1"/>
  <c r="D87" i="1" s="1"/>
  <c r="D89" i="1" s="1"/>
  <c r="D78" i="1"/>
  <c r="E85" i="1" l="1"/>
  <c r="D30" i="3"/>
  <c r="C30" i="3" l="1"/>
  <c r="F30" i="3" l="1"/>
  <c r="B31" i="3" s="1"/>
  <c r="D31" i="3" l="1"/>
  <c r="C31" i="3" l="1"/>
  <c r="F31" i="3" l="1"/>
  <c r="B32" i="3" s="1"/>
  <c r="D32" i="3" l="1"/>
  <c r="C32" i="3" l="1"/>
  <c r="F32" i="3" l="1"/>
  <c r="B33" i="3" s="1"/>
  <c r="D33" i="3" l="1"/>
  <c r="C33" i="3" l="1"/>
  <c r="F33" i="3" l="1"/>
  <c r="B34" i="3" s="1"/>
  <c r="D34" i="3" l="1"/>
  <c r="C34" i="3" l="1"/>
  <c r="F34" i="3" l="1"/>
  <c r="B35" i="3" s="1"/>
  <c r="D35" i="3" l="1"/>
  <c r="C35" i="3" s="1"/>
  <c r="F35" i="3"/>
  <c r="B36" i="3" s="1"/>
  <c r="D36" i="3" l="1"/>
  <c r="C36" i="3" s="1"/>
  <c r="F36" i="3"/>
  <c r="B37" i="3" s="1"/>
  <c r="D37" i="3" l="1"/>
  <c r="C37" i="3" s="1"/>
  <c r="F37" i="3" s="1"/>
  <c r="B38" i="3" s="1"/>
  <c r="D38" i="3" l="1"/>
  <c r="C38" i="3" s="1"/>
  <c r="F38" i="3"/>
  <c r="B39" i="3" s="1"/>
  <c r="D39" i="3" l="1"/>
  <c r="C39" i="3" s="1"/>
  <c r="F39" i="3" s="1"/>
  <c r="B40" i="3" s="1"/>
  <c r="D40" i="3" l="1"/>
  <c r="C40" i="3" s="1"/>
  <c r="F40" i="3" s="1"/>
  <c r="B41" i="3" s="1"/>
  <c r="D41" i="3" l="1"/>
  <c r="C41" i="3" l="1"/>
  <c r="D42" i="3"/>
  <c r="F48" i="1" s="1"/>
  <c r="F130" i="1" l="1"/>
  <c r="F51" i="1"/>
  <c r="C42" i="3"/>
  <c r="E75" i="1" s="1"/>
  <c r="F41" i="3"/>
  <c r="B44" i="3" l="1"/>
  <c r="E76" i="1"/>
  <c r="E78" i="1"/>
  <c r="F52" i="1"/>
  <c r="F54" i="1" s="1"/>
  <c r="F84" i="1" s="1"/>
  <c r="F85" i="1" l="1"/>
  <c r="E81" i="1"/>
  <c r="E87" i="1" s="1"/>
  <c r="E89" i="1" s="1"/>
  <c r="D44" i="3"/>
  <c r="C44" i="3" l="1"/>
  <c r="F44" i="3" l="1"/>
  <c r="B45" i="3" s="1"/>
  <c r="D45" i="3" l="1"/>
  <c r="C45" i="3" l="1"/>
  <c r="F45" i="3" l="1"/>
  <c r="B46" i="3" s="1"/>
  <c r="D46" i="3" l="1"/>
  <c r="C46" i="3" l="1"/>
  <c r="F46" i="3" l="1"/>
  <c r="B47" i="3" s="1"/>
  <c r="D47" i="3" l="1"/>
  <c r="C47" i="3" l="1"/>
  <c r="F47" i="3" l="1"/>
  <c r="B48" i="3" s="1"/>
  <c r="D48" i="3" l="1"/>
  <c r="C48" i="3" l="1"/>
  <c r="F48" i="3" l="1"/>
  <c r="B49" i="3" s="1"/>
  <c r="D49" i="3" l="1"/>
  <c r="C49" i="3" s="1"/>
  <c r="F49" i="3"/>
  <c r="B50" i="3" s="1"/>
  <c r="D50" i="3" l="1"/>
  <c r="C50" i="3" s="1"/>
  <c r="F50" i="3" s="1"/>
  <c r="B51" i="3" s="1"/>
  <c r="D51" i="3" l="1"/>
  <c r="C51" i="3" s="1"/>
  <c r="F51" i="3"/>
  <c r="B52" i="3" s="1"/>
  <c r="D52" i="3" l="1"/>
  <c r="C52" i="3" s="1"/>
  <c r="F52" i="3"/>
  <c r="B53" i="3" s="1"/>
  <c r="D53" i="3" l="1"/>
  <c r="C53" i="3" s="1"/>
  <c r="F53" i="3" s="1"/>
  <c r="B54" i="3" s="1"/>
  <c r="D54" i="3" l="1"/>
  <c r="C54" i="3" s="1"/>
  <c r="F54" i="3"/>
  <c r="B55" i="3" s="1"/>
  <c r="D55" i="3" l="1"/>
  <c r="C55" i="3" l="1"/>
  <c r="D56" i="3"/>
  <c r="G48" i="1" s="1"/>
  <c r="G130" i="1" l="1"/>
  <c r="G51" i="1"/>
  <c r="C56" i="3"/>
  <c r="F75" i="1" s="1"/>
  <c r="F55" i="3"/>
  <c r="F76" i="1" l="1"/>
  <c r="F78" i="1"/>
  <c r="G52" i="1"/>
  <c r="G54" i="1" s="1"/>
  <c r="G84" i="1" s="1"/>
  <c r="B58" i="3"/>
  <c r="G85" i="1" l="1"/>
  <c r="D58" i="3"/>
  <c r="F81" i="1"/>
  <c r="F87" i="1" s="1"/>
  <c r="F89" i="1" s="1"/>
  <c r="C58" i="3" l="1"/>
  <c r="F58" i="3" l="1"/>
  <c r="B59" i="3" s="1"/>
  <c r="D59" i="3" l="1"/>
  <c r="C59" i="3" l="1"/>
  <c r="F59" i="3" l="1"/>
  <c r="B60" i="3" s="1"/>
  <c r="D60" i="3" l="1"/>
  <c r="C60" i="3" l="1"/>
  <c r="F60" i="3" l="1"/>
  <c r="B61" i="3" s="1"/>
  <c r="D61" i="3" l="1"/>
  <c r="C61" i="3" l="1"/>
  <c r="F61" i="3" l="1"/>
  <c r="B62" i="3" s="1"/>
  <c r="D62" i="3" l="1"/>
  <c r="C62" i="3" l="1"/>
  <c r="F62" i="3" l="1"/>
  <c r="B63" i="3" s="1"/>
  <c r="D63" i="3" l="1"/>
  <c r="C63" i="3" s="1"/>
  <c r="F63" i="3" s="1"/>
  <c r="B64" i="3" s="1"/>
  <c r="D64" i="3" l="1"/>
  <c r="C64" i="3" s="1"/>
  <c r="F64" i="3" s="1"/>
  <c r="B65" i="3" s="1"/>
  <c r="D65" i="3" l="1"/>
  <c r="C65" i="3" s="1"/>
  <c r="F65" i="3"/>
  <c r="B66" i="3" s="1"/>
  <c r="D66" i="3" l="1"/>
  <c r="C66" i="3" s="1"/>
  <c r="F66" i="3" s="1"/>
  <c r="B67" i="3" s="1"/>
  <c r="D67" i="3" l="1"/>
  <c r="C67" i="3" s="1"/>
  <c r="F67" i="3"/>
  <c r="B68" i="3" s="1"/>
  <c r="D68" i="3" l="1"/>
  <c r="C68" i="3" s="1"/>
  <c r="F68" i="3"/>
  <c r="B69" i="3" s="1"/>
  <c r="D69" i="3" l="1"/>
  <c r="C69" i="3" l="1"/>
  <c r="D70" i="3"/>
  <c r="H48" i="1" s="1"/>
  <c r="H130" i="1" l="1"/>
  <c r="H51" i="1"/>
  <c r="C70" i="3"/>
  <c r="G75" i="1" s="1"/>
  <c r="F69" i="3"/>
  <c r="B72" i="3" l="1"/>
  <c r="G76" i="1"/>
  <c r="G78" i="1"/>
  <c r="H54" i="1"/>
  <c r="H84" i="1" s="1"/>
  <c r="H52" i="1"/>
  <c r="H85" i="1" l="1"/>
  <c r="G81" i="1"/>
  <c r="G87" i="1" s="1"/>
  <c r="G89" i="1" s="1"/>
  <c r="D72" i="3"/>
  <c r="C72" i="3" l="1"/>
  <c r="F72" i="3" l="1"/>
  <c r="B73" i="3" s="1"/>
  <c r="D73" i="3" l="1"/>
  <c r="C73" i="3" l="1"/>
  <c r="F73" i="3" l="1"/>
  <c r="B74" i="3" s="1"/>
  <c r="D74" i="3" l="1"/>
  <c r="C74" i="3" l="1"/>
  <c r="F74" i="3" l="1"/>
  <c r="B75" i="3" s="1"/>
  <c r="D75" i="3" l="1"/>
  <c r="C75" i="3" l="1"/>
  <c r="F75" i="3" l="1"/>
  <c r="B76" i="3" s="1"/>
  <c r="D76" i="3" l="1"/>
  <c r="C76" i="3" l="1"/>
  <c r="F76" i="3" l="1"/>
  <c r="B77" i="3" s="1"/>
  <c r="D77" i="3" l="1"/>
  <c r="C77" i="3" s="1"/>
  <c r="F77" i="3" s="1"/>
  <c r="B78" i="3" s="1"/>
  <c r="D78" i="3" l="1"/>
  <c r="C78" i="3" s="1"/>
  <c r="F78" i="3"/>
  <c r="B79" i="3" s="1"/>
  <c r="D79" i="3" l="1"/>
  <c r="C79" i="3" s="1"/>
  <c r="F79" i="3" s="1"/>
  <c r="B80" i="3" s="1"/>
  <c r="D80" i="3" l="1"/>
  <c r="C80" i="3" s="1"/>
  <c r="F80" i="3" s="1"/>
  <c r="B81" i="3" s="1"/>
  <c r="D81" i="3" l="1"/>
  <c r="C81" i="3" s="1"/>
  <c r="F81" i="3" s="1"/>
  <c r="B82" i="3" s="1"/>
  <c r="D82" i="3" l="1"/>
  <c r="C82" i="3" s="1"/>
  <c r="F82" i="3"/>
  <c r="B83" i="3" s="1"/>
  <c r="D83" i="3" l="1"/>
  <c r="C83" i="3" l="1"/>
  <c r="D84" i="3"/>
  <c r="I48" i="1" s="1"/>
  <c r="I130" i="1" l="1"/>
  <c r="I51" i="1"/>
  <c r="C84" i="3"/>
  <c r="H75" i="1" s="1"/>
  <c r="F83" i="3"/>
  <c r="B86" i="3" l="1"/>
  <c r="H76" i="1"/>
  <c r="H78" i="1"/>
  <c r="I52" i="1"/>
  <c r="I54" i="1" s="1"/>
  <c r="I84" i="1" s="1"/>
  <c r="I85" i="1" l="1"/>
  <c r="H81" i="1"/>
  <c r="H87" i="1" s="1"/>
  <c r="H89" i="1" s="1"/>
  <c r="D86" i="3"/>
  <c r="C86" i="3" l="1"/>
  <c r="F86" i="3" l="1"/>
  <c r="B87" i="3" s="1"/>
  <c r="D87" i="3" l="1"/>
  <c r="C87" i="3" l="1"/>
  <c r="F87" i="3" l="1"/>
  <c r="B88" i="3" s="1"/>
  <c r="D88" i="3" l="1"/>
  <c r="C88" i="3" l="1"/>
  <c r="F88" i="3" l="1"/>
  <c r="B89" i="3" s="1"/>
  <c r="D89" i="3" l="1"/>
  <c r="C89" i="3" l="1"/>
  <c r="F89" i="3" l="1"/>
  <c r="B90" i="3" s="1"/>
  <c r="D90" i="3" l="1"/>
  <c r="C90" i="3" l="1"/>
  <c r="F90" i="3" l="1"/>
  <c r="B91" i="3" s="1"/>
  <c r="D91" i="3" l="1"/>
  <c r="C91" i="3" s="1"/>
  <c r="F91" i="3" s="1"/>
  <c r="B92" i="3" s="1"/>
  <c r="D92" i="3" l="1"/>
  <c r="C92" i="3" s="1"/>
  <c r="F92" i="3"/>
  <c r="B93" i="3" s="1"/>
  <c r="D93" i="3" l="1"/>
  <c r="C93" i="3" s="1"/>
  <c r="F93" i="3" s="1"/>
  <c r="B94" i="3" s="1"/>
  <c r="D94" i="3" l="1"/>
  <c r="C94" i="3" s="1"/>
  <c r="F94" i="3"/>
  <c r="B95" i="3" s="1"/>
  <c r="D95" i="3" l="1"/>
  <c r="C95" i="3" s="1"/>
  <c r="F95" i="3" s="1"/>
  <c r="B96" i="3" s="1"/>
  <c r="D96" i="3" l="1"/>
  <c r="C96" i="3" s="1"/>
  <c r="F96" i="3"/>
  <c r="B97" i="3" s="1"/>
  <c r="D97" i="3" l="1"/>
  <c r="C97" i="3" l="1"/>
  <c r="D98" i="3"/>
  <c r="J48" i="1" s="1"/>
  <c r="J130" i="1" l="1"/>
  <c r="J51" i="1"/>
  <c r="C98" i="3"/>
  <c r="I75" i="1" s="1"/>
  <c r="F97" i="3"/>
  <c r="B100" i="3" l="1"/>
  <c r="I76" i="1"/>
  <c r="I78" i="1"/>
  <c r="J52" i="1"/>
  <c r="J54" i="1" s="1"/>
  <c r="J84" i="1" s="1"/>
  <c r="J85" i="1" l="1"/>
  <c r="I81" i="1"/>
  <c r="I87" i="1" s="1"/>
  <c r="I89" i="1" s="1"/>
  <c r="D100" i="3"/>
  <c r="C100" i="3" l="1"/>
  <c r="F100" i="3" l="1"/>
  <c r="B101" i="3" s="1"/>
  <c r="D101" i="3" l="1"/>
  <c r="C101" i="3" l="1"/>
  <c r="F101" i="3" l="1"/>
  <c r="B102" i="3" s="1"/>
  <c r="D102" i="3" l="1"/>
  <c r="C102" i="3" l="1"/>
  <c r="F102" i="3" l="1"/>
  <c r="B103" i="3" s="1"/>
  <c r="D103" i="3" l="1"/>
  <c r="C103" i="3" l="1"/>
  <c r="F103" i="3" l="1"/>
  <c r="B104" i="3" s="1"/>
  <c r="D104" i="3" l="1"/>
  <c r="C104" i="3" l="1"/>
  <c r="F104" i="3" l="1"/>
  <c r="B105" i="3" s="1"/>
  <c r="D105" i="3" l="1"/>
  <c r="C105" i="3" s="1"/>
  <c r="F105" i="3" s="1"/>
  <c r="B106" i="3" s="1"/>
  <c r="D106" i="3" l="1"/>
  <c r="C106" i="3" s="1"/>
  <c r="F106" i="3"/>
  <c r="B107" i="3" s="1"/>
  <c r="D107" i="3" l="1"/>
  <c r="C107" i="3" s="1"/>
  <c r="F107" i="3" s="1"/>
  <c r="B108" i="3" s="1"/>
  <c r="D108" i="3" l="1"/>
  <c r="C108" i="3" s="1"/>
  <c r="F108" i="3" s="1"/>
  <c r="B109" i="3" s="1"/>
  <c r="F109" i="3" l="1"/>
  <c r="B110" i="3" s="1"/>
  <c r="D109" i="3"/>
  <c r="C109" i="3" s="1"/>
  <c r="D110" i="3" l="1"/>
  <c r="C110" i="3" s="1"/>
  <c r="F110" i="3" s="1"/>
  <c r="B111" i="3" s="1"/>
  <c r="D111" i="3" l="1"/>
  <c r="C111" i="3" l="1"/>
  <c r="D112" i="3"/>
  <c r="K48" i="1" s="1"/>
  <c r="C112" i="3" l="1"/>
  <c r="J75" i="1" s="1"/>
  <c r="F111" i="3"/>
  <c r="K130" i="1"/>
  <c r="K51" i="1"/>
  <c r="B114" i="3" l="1"/>
  <c r="K52" i="1"/>
  <c r="K54" i="1" s="1"/>
  <c r="K84" i="1" s="1"/>
  <c r="J76" i="1"/>
  <c r="J81" i="1" s="1"/>
  <c r="J87" i="1" s="1"/>
  <c r="J89" i="1" s="1"/>
  <c r="J78" i="1"/>
  <c r="K85" i="1" l="1"/>
  <c r="D114" i="3"/>
  <c r="C114" i="3" l="1"/>
  <c r="F114" i="3" l="1"/>
  <c r="B115" i="3" s="1"/>
  <c r="D115" i="3" l="1"/>
  <c r="C115" i="3" l="1"/>
  <c r="F115" i="3" l="1"/>
  <c r="B116" i="3" s="1"/>
  <c r="D116" i="3" l="1"/>
  <c r="C116" i="3" l="1"/>
  <c r="F116" i="3" l="1"/>
  <c r="B117" i="3" s="1"/>
  <c r="D117" i="3" l="1"/>
  <c r="C117" i="3" l="1"/>
  <c r="F117" i="3" l="1"/>
  <c r="B118" i="3" s="1"/>
  <c r="D118" i="3" l="1"/>
  <c r="C118" i="3" l="1"/>
  <c r="F118" i="3" l="1"/>
  <c r="B119" i="3" s="1"/>
  <c r="D119" i="3" l="1"/>
  <c r="C119" i="3" s="1"/>
  <c r="F119" i="3"/>
  <c r="B120" i="3" s="1"/>
  <c r="D120" i="3" l="1"/>
  <c r="C120" i="3" s="1"/>
  <c r="F120" i="3"/>
  <c r="B121" i="3" s="1"/>
  <c r="D121" i="3" l="1"/>
  <c r="C121" i="3" s="1"/>
  <c r="F121" i="3" s="1"/>
  <c r="B122" i="3" s="1"/>
  <c r="D122" i="3" l="1"/>
  <c r="C122" i="3" s="1"/>
  <c r="F122" i="3"/>
  <c r="B123" i="3" s="1"/>
  <c r="D123" i="3" l="1"/>
  <c r="C123" i="3" s="1"/>
  <c r="F123" i="3" s="1"/>
  <c r="B124" i="3" s="1"/>
  <c r="D124" i="3" l="1"/>
  <c r="C124" i="3" s="1"/>
  <c r="F124" i="3"/>
  <c r="B125" i="3" s="1"/>
  <c r="D125" i="3" l="1"/>
  <c r="C125" i="3" l="1"/>
  <c r="D126" i="3"/>
  <c r="L48" i="1" s="1"/>
  <c r="L130" i="1" l="1"/>
  <c r="L51" i="1"/>
  <c r="C126" i="3"/>
  <c r="K75" i="1" s="1"/>
  <c r="F125" i="3"/>
  <c r="K76" i="1" l="1"/>
  <c r="K78" i="1"/>
  <c r="B128" i="3"/>
  <c r="L52" i="1"/>
  <c r="L54" i="1" s="1"/>
  <c r="L84" i="1" s="1"/>
  <c r="L85" i="1" l="1"/>
  <c r="D128" i="3"/>
  <c r="K81" i="1"/>
  <c r="K87" i="1" s="1"/>
  <c r="K89" i="1" s="1"/>
  <c r="C128" i="3" l="1"/>
  <c r="F128" i="3" l="1"/>
  <c r="B129" i="3" s="1"/>
  <c r="D129" i="3" l="1"/>
  <c r="C129" i="3" l="1"/>
  <c r="F129" i="3" l="1"/>
  <c r="B130" i="3" s="1"/>
  <c r="D130" i="3" l="1"/>
  <c r="C130" i="3" l="1"/>
  <c r="F130" i="3" l="1"/>
  <c r="B131" i="3" s="1"/>
  <c r="D131" i="3" l="1"/>
  <c r="C131" i="3" l="1"/>
  <c r="F131" i="3" l="1"/>
  <c r="B132" i="3" s="1"/>
  <c r="D132" i="3" l="1"/>
  <c r="C132" i="3" l="1"/>
  <c r="F132" i="3" l="1"/>
  <c r="B133" i="3" s="1"/>
  <c r="D133" i="3" l="1"/>
  <c r="C133" i="3" s="1"/>
  <c r="F133" i="3" s="1"/>
  <c r="B134" i="3" s="1"/>
  <c r="D134" i="3" l="1"/>
  <c r="C134" i="3" s="1"/>
  <c r="F134" i="3" s="1"/>
  <c r="B135" i="3" s="1"/>
  <c r="D135" i="3" l="1"/>
  <c r="C135" i="3" s="1"/>
  <c r="F135" i="3"/>
  <c r="B136" i="3" s="1"/>
  <c r="D136" i="3" l="1"/>
  <c r="C136" i="3" s="1"/>
  <c r="F136" i="3" s="1"/>
  <c r="B137" i="3" s="1"/>
  <c r="D137" i="3" l="1"/>
  <c r="C137" i="3" s="1"/>
  <c r="F137" i="3"/>
  <c r="B138" i="3" s="1"/>
  <c r="D138" i="3" l="1"/>
  <c r="C138" i="3" s="1"/>
  <c r="F138" i="3"/>
  <c r="B139" i="3" s="1"/>
  <c r="D139" i="3" l="1"/>
  <c r="C139" i="3" l="1"/>
  <c r="D140" i="3"/>
  <c r="M48" i="1" s="1"/>
  <c r="M130" i="1" l="1"/>
  <c r="M51" i="1"/>
  <c r="C140" i="3"/>
  <c r="L75" i="1" s="1"/>
  <c r="F139" i="3"/>
  <c r="B142" i="3" l="1"/>
  <c r="L76" i="1"/>
  <c r="L81" i="1" s="1"/>
  <c r="L87" i="1" s="1"/>
  <c r="L89" i="1" s="1"/>
  <c r="L78" i="1"/>
  <c r="M54" i="1"/>
  <c r="M84" i="1" s="1"/>
  <c r="M52" i="1"/>
  <c r="M85" i="1" l="1"/>
  <c r="O83" i="1"/>
  <c r="D142" i="3"/>
  <c r="C142" i="3" l="1"/>
  <c r="F142" i="3" l="1"/>
  <c r="B143" i="3" s="1"/>
  <c r="D143" i="3" l="1"/>
  <c r="C143" i="3" l="1"/>
  <c r="F143" i="3" l="1"/>
  <c r="B144" i="3" s="1"/>
  <c r="D144" i="3" l="1"/>
  <c r="C144" i="3" l="1"/>
  <c r="F144" i="3" l="1"/>
  <c r="B145" i="3" s="1"/>
  <c r="D145" i="3" l="1"/>
  <c r="C145" i="3" l="1"/>
  <c r="F145" i="3" l="1"/>
  <c r="B146" i="3" s="1"/>
  <c r="D146" i="3" l="1"/>
  <c r="C146" i="3" l="1"/>
  <c r="F146" i="3" l="1"/>
  <c r="B147" i="3" s="1"/>
  <c r="D147" i="3" l="1"/>
  <c r="C147" i="3" s="1"/>
  <c r="F147" i="3"/>
  <c r="B148" i="3" s="1"/>
  <c r="D148" i="3" l="1"/>
  <c r="C148" i="3" s="1"/>
  <c r="F148" i="3"/>
  <c r="B149" i="3" s="1"/>
  <c r="D149" i="3" l="1"/>
  <c r="C149" i="3" s="1"/>
  <c r="F149" i="3" s="1"/>
  <c r="B150" i="3" s="1"/>
  <c r="D150" i="3" l="1"/>
  <c r="C150" i="3" s="1"/>
  <c r="F150" i="3" s="1"/>
  <c r="B151" i="3" s="1"/>
  <c r="D151" i="3" l="1"/>
  <c r="C151" i="3" s="1"/>
  <c r="F151" i="3"/>
  <c r="B152" i="3" s="1"/>
  <c r="D152" i="3" l="1"/>
  <c r="C152" i="3" s="1"/>
  <c r="F152" i="3" s="1"/>
  <c r="B153" i="3" s="1"/>
  <c r="D153" i="3" l="1"/>
  <c r="C153" i="3" l="1"/>
  <c r="D154" i="3"/>
  <c r="C154" i="3" l="1"/>
  <c r="M75" i="1" s="1"/>
  <c r="F153" i="3"/>
  <c r="M76" i="1" l="1"/>
  <c r="M81" i="1" s="1"/>
  <c r="M87" i="1" s="1"/>
  <c r="M89" i="1" s="1"/>
  <c r="M78" i="1"/>
  <c r="O78" i="1" s="1"/>
  <c r="O75" i="1" l="1"/>
  <c r="O84" i="1" l="1"/>
  <c r="B140" i="1" s="1"/>
  <c r="F139" i="1" s="1"/>
  <c r="B139" i="1"/>
  <c r="F138" i="1" l="1"/>
  <c r="I138" i="1" s="1"/>
  <c r="B142" i="1"/>
  <c r="B146" i="1" s="1"/>
  <c r="G139" i="1" s="1"/>
  <c r="I139" i="1" s="1"/>
  <c r="I140" i="1" l="1"/>
  <c r="C123" i="1" s="1"/>
  <c r="C125" i="1" s="1"/>
  <c r="C126" i="1" s="1"/>
  <c r="E8" i="4" s="1"/>
  <c r="C20" i="4" s="1"/>
  <c r="G20" i="4" s="1"/>
</calcChain>
</file>

<file path=xl/sharedStrings.xml><?xml version="1.0" encoding="utf-8"?>
<sst xmlns="http://schemas.openxmlformats.org/spreadsheetml/2006/main" count="392" uniqueCount="217">
  <si>
    <t>Riverview Motel</t>
  </si>
  <si>
    <t>Year 1</t>
  </si>
  <si>
    <t>Year 2</t>
  </si>
  <si>
    <t>Year 3</t>
  </si>
  <si>
    <t>Year 4</t>
  </si>
  <si>
    <t>Year 5</t>
  </si>
  <si>
    <t>Year 6</t>
  </si>
  <si>
    <t>Year 7</t>
  </si>
  <si>
    <t>Year 8</t>
  </si>
  <si>
    <t>Year 9</t>
  </si>
  <si>
    <t>Year 10</t>
  </si>
  <si>
    <t>ASSUMPTIONS</t>
  </si>
  <si>
    <t>Population of city</t>
  </si>
  <si>
    <t>yearly growth</t>
  </si>
  <si>
    <t>Prices</t>
  </si>
  <si>
    <t>1 person room</t>
  </si>
  <si>
    <t>rooms</t>
  </si>
  <si>
    <t>Number of competing stores in city</t>
  </si>
  <si>
    <t>2 people</t>
  </si>
  <si>
    <t>COGS as percent of sales</t>
  </si>
  <si>
    <t>Double queen room</t>
  </si>
  <si>
    <t>value per acre</t>
  </si>
  <si>
    <t>Average total cost per labor hour (wage + withholdings)</t>
  </si>
  <si>
    <t>Acres</t>
  </si>
  <si>
    <t>Average Occupied Rooms</t>
  </si>
  <si>
    <t>We found historical data stating that last few years the average occupancy percentage for hotels was just shy of 66%. because of that we suggest using that number to find our starting point for year one. because of the small town we anticipate a small increase in that percentage each year. which follows the pattern shown here. http://www.loopnet.com/for-sale/riggins-id/?sk=f0acbc4259bdfb58160e90e4cabccc74</t>
  </si>
  <si>
    <t>Sales Revenue as % of Room Rental Revenue</t>
  </si>
  <si>
    <t>Value of land</t>
  </si>
  <si>
    <t>While researching comparable building options, we found one that could be compared to the motel size. It's value is set at $58 per square foot. (https://www.realtor.com/realestateandhomes-detail/302-Berger-St_Riggins_ID_83549_M14086-51573?cid=prt_areavibes_listings#photo0)</t>
  </si>
  <si>
    <t>Cost per square foot for motel and management</t>
  </si>
  <si>
    <t>Square footage of building</t>
  </si>
  <si>
    <t>Total Building value</t>
  </si>
  <si>
    <t>Average cost of property tax per year</t>
  </si>
  <si>
    <t>Property Tax</t>
  </si>
  <si>
    <t>Occupancy Rate</t>
  </si>
  <si>
    <t>Square feet per room</t>
  </si>
  <si>
    <t>Mortgage loan interest rate</t>
  </si>
  <si>
    <t>The national average mortgage interest rate is 4.55% on a 30 year mortgage. (https://www.salmonriverrealty.com/mortgage-rates)</t>
  </si>
  <si>
    <t>Mortgage loan length (in years)</t>
  </si>
  <si>
    <t>Mortgage loan starting balance, % of total land and buildings</t>
  </si>
  <si>
    <t>Mortgage loan starting balance (PV)</t>
  </si>
  <si>
    <t>Extra bank loan interest rate</t>
  </si>
  <si>
    <t>Days of Receivables</t>
  </si>
  <si>
    <t>Days of Payables</t>
  </si>
  <si>
    <t>Days of Inventory</t>
  </si>
  <si>
    <t>Average Depreciation Years</t>
  </si>
  <si>
    <t>Average Income Tax Rate</t>
  </si>
  <si>
    <t>Operating Expense/Room Rental Revenue</t>
  </si>
  <si>
    <t>Minimum Cash as % of Room Rental Revenue</t>
  </si>
  <si>
    <t>Maintenance Expense % of Room Rental Revenues</t>
  </si>
  <si>
    <t>the average cost of maintenance for hotels was about 5% of revenues as shown in this article https://www.floordaily.net/flooring-news/hotel-maintenance-expenses-increasing</t>
  </si>
  <si>
    <t>Income Statement</t>
  </si>
  <si>
    <t>Room Rental Revenue</t>
  </si>
  <si>
    <t>Sales Revenue</t>
  </si>
  <si>
    <t>Total Revenues</t>
  </si>
  <si>
    <t>COGS</t>
  </si>
  <si>
    <t>Gross Profit on Sales</t>
  </si>
  <si>
    <t>Operating Expenses (not including depreciation)</t>
  </si>
  <si>
    <t>Maintenance Expense</t>
  </si>
  <si>
    <t>Interest Expense</t>
  </si>
  <si>
    <t>Depreciation Expense</t>
  </si>
  <si>
    <t>Net Income before Taxes</t>
  </si>
  <si>
    <t>Income Tax Expense</t>
  </si>
  <si>
    <t>Net Income</t>
  </si>
  <si>
    <t>Balance Sheet</t>
  </si>
  <si>
    <t>Current Assets</t>
  </si>
  <si>
    <t>Minimum Cash</t>
  </si>
  <si>
    <t>Extra Cash</t>
  </si>
  <si>
    <t>Accounts Receivable</t>
  </si>
  <si>
    <t>Inventory</t>
  </si>
  <si>
    <t>Total Current Assets</t>
  </si>
  <si>
    <t>Land</t>
  </si>
  <si>
    <t>Buildings</t>
  </si>
  <si>
    <t>Less: Accumulated Depreciation</t>
  </si>
  <si>
    <t>Net PP&amp;E</t>
  </si>
  <si>
    <t>Total Assets</t>
  </si>
  <si>
    <t>Current Liabilities</t>
  </si>
  <si>
    <t>Accounts Payable</t>
  </si>
  <si>
    <t>Current Portion of Mortgage Payable</t>
  </si>
  <si>
    <t>Total Current Liabilities</t>
  </si>
  <si>
    <t>Mortgage Payable</t>
  </si>
  <si>
    <t>Extra Bank Loan</t>
  </si>
  <si>
    <t>Total Liabilities</t>
  </si>
  <si>
    <t>Common Stock</t>
  </si>
  <si>
    <t>Retained Earnings</t>
  </si>
  <si>
    <t>Total Net Worth/ Stockholders Equity</t>
  </si>
  <si>
    <t>Total Liabilities and Stockholders Equity</t>
  </si>
  <si>
    <t>DFN</t>
  </si>
  <si>
    <t>Free Cash Flows</t>
  </si>
  <si>
    <t>Cash From Operations</t>
  </si>
  <si>
    <t>Operating Profit</t>
  </si>
  <si>
    <t>Less: Depreciation</t>
  </si>
  <si>
    <t>Taxable Operating Profit</t>
  </si>
  <si>
    <t>Taxes on Operations</t>
  </si>
  <si>
    <t>Total Cash from Operations</t>
  </si>
  <si>
    <t>Cash from Changes in Balance Sheet</t>
  </si>
  <si>
    <t>Working Capital</t>
  </si>
  <si>
    <t>Minimum Cash Balance</t>
  </si>
  <si>
    <t>Accounts Payable (COGS Expense)</t>
  </si>
  <si>
    <t>Income Taxes Payable</t>
  </si>
  <si>
    <t>Fixed Assets</t>
  </si>
  <si>
    <t>Since the buildngs look they've been there for a long time, we thought that they decreased in value to 275,000. Since the land is riverside property, we thought that the land would increase in value to 300,000.</t>
  </si>
  <si>
    <t>Adjustments for Sale</t>
  </si>
  <si>
    <t xml:space="preserve"> Taxes on Sale</t>
  </si>
  <si>
    <t>Book</t>
  </si>
  <si>
    <t>Gain</t>
  </si>
  <si>
    <t>Taxes on Sale</t>
  </si>
  <si>
    <t>The value of NPV before including goodwill was 21374.40. We just used this value as goodwill to get to an NPV of zero. This number is also less than 10% of the DCF Valuation.</t>
  </si>
  <si>
    <t>Goodwill at Purchase</t>
  </si>
  <si>
    <t>Total Free Cash Flows</t>
  </si>
  <si>
    <t>WACC</t>
  </si>
  <si>
    <t>IRR</t>
  </si>
  <si>
    <t>NPV</t>
  </si>
  <si>
    <t>DCF Valuation</t>
  </si>
  <si>
    <t>CALCULATING WACC</t>
  </si>
  <si>
    <t>EBIT</t>
  </si>
  <si>
    <t>Total Int exp</t>
  </si>
  <si>
    <t>Interest Coverage Ratio</t>
  </si>
  <si>
    <t>Credit Rating</t>
  </si>
  <si>
    <t>A</t>
  </si>
  <si>
    <t>Spread Above T-bill</t>
  </si>
  <si>
    <t>The motel has been around for several decades. They have a facebook picture from 2013, and the facilities were aged then. Our estimates put the motel at about 25-30 years old. This proves that the business will not fail within the next several years.</t>
  </si>
  <si>
    <t>T-Bill Rate (20 years)</t>
  </si>
  <si>
    <t>20 year t-bill</t>
  </si>
  <si>
    <t>Mortgage Interest Rate</t>
  </si>
  <si>
    <t>Extra Bank Loan Interest Rate</t>
  </si>
  <si>
    <t>% of capital</t>
  </si>
  <si>
    <t>Rate</t>
  </si>
  <si>
    <t>Tax adjusted</t>
  </si>
  <si>
    <t>Average Tax Rate</t>
  </si>
  <si>
    <t>Debt</t>
  </si>
  <si>
    <t>Average Debt %</t>
  </si>
  <si>
    <t>Equity</t>
  </si>
  <si>
    <t>Average Equity%</t>
  </si>
  <si>
    <t>Hotel gambling unlevered beta</t>
  </si>
  <si>
    <t>Relevered beta</t>
  </si>
  <si>
    <t>we decided to adjust the Unlevered beta because we are a small time  outfit similar the the major Companies. which generally have a smaller amount of return to the equity lenders. Also taking into acount that we do not have games(gambling) on our premis, our return will be a little lower.</t>
  </si>
  <si>
    <t>EMRP</t>
  </si>
  <si>
    <t>S&amp;P 500 return (20 years)</t>
  </si>
  <si>
    <t>CAPM</t>
  </si>
  <si>
    <t>Year 0</t>
  </si>
  <si>
    <t>Year 11</t>
  </si>
  <si>
    <t>Year 12</t>
  </si>
  <si>
    <t>Option cost cash flows</t>
  </si>
  <si>
    <t>Cash flows from option</t>
  </si>
  <si>
    <t>Black-Sholes Computation area provided for you:</t>
  </si>
  <si>
    <t>S</t>
  </si>
  <si>
    <t>X</t>
  </si>
  <si>
    <t>t</t>
  </si>
  <si>
    <t>STDEV(%)</t>
  </si>
  <si>
    <t>r</t>
  </si>
  <si>
    <t>Option Price</t>
  </si>
  <si>
    <t>Existing Cash flows</t>
  </si>
  <si>
    <t>Success - Success</t>
  </si>
  <si>
    <t>Expansion Description:</t>
  </si>
  <si>
    <t>Original FCF</t>
  </si>
  <si>
    <t>The expansion would be to build a room that goes over the river. It will be a similar rooms with full facilities, but each room will have a thick, shatterproof hatch in the middle of the floor that renters can open during summer months to use for fishing. It will be similar to a pier or sky bridge that goes over the river. The land is currently owned, and all that need to be obtained are permits, building materials and labor. Additionally, we will be renovating the current rooms and facilities.</t>
  </si>
  <si>
    <t>Purchase of Addition</t>
  </si>
  <si>
    <t>Cashflows from Addition</t>
  </si>
  <si>
    <t>Sale</t>
  </si>
  <si>
    <t xml:space="preserve">TOTAL </t>
  </si>
  <si>
    <t>Probability</t>
  </si>
  <si>
    <t>Success - Failure</t>
  </si>
  <si>
    <t>Failure</t>
  </si>
  <si>
    <t>Total Expected NPV</t>
  </si>
  <si>
    <t>Expansion Success</t>
  </si>
  <si>
    <t>Expansion Failure</t>
  </si>
  <si>
    <t>Decision Tree</t>
  </si>
  <si>
    <t>Total</t>
  </si>
  <si>
    <t>Beg Balance</t>
  </si>
  <si>
    <t>Principal</t>
  </si>
  <si>
    <t xml:space="preserve">Interest </t>
  </si>
  <si>
    <t>Payment</t>
  </si>
  <si>
    <t>End Balance</t>
  </si>
  <si>
    <t>Jan</t>
  </si>
  <si>
    <t>Per Rate</t>
  </si>
  <si>
    <t>Feb</t>
  </si>
  <si>
    <t>FV</t>
  </si>
  <si>
    <t>Mar</t>
  </si>
  <si>
    <t>Years</t>
  </si>
  <si>
    <t>Apr</t>
  </si>
  <si>
    <t>Per</t>
  </si>
  <si>
    <t>May</t>
  </si>
  <si>
    <t>Type</t>
  </si>
  <si>
    <t>Jun</t>
  </si>
  <si>
    <t>PV</t>
  </si>
  <si>
    <t>Jul</t>
  </si>
  <si>
    <t>Aug</t>
  </si>
  <si>
    <t>Sep</t>
  </si>
  <si>
    <t>Oct</t>
  </si>
  <si>
    <t>Nov</t>
  </si>
  <si>
    <t>Dec</t>
  </si>
  <si>
    <t>TOTALS</t>
  </si>
  <si>
    <t>Population of Riggins, average salary</t>
  </si>
  <si>
    <t>http://www.city-data.com/city/Riggins-Idaho.html</t>
  </si>
  <si>
    <t>Room rates, size, # rooms, amenities</t>
  </si>
  <si>
    <t>http://www.riverviewmotel.com/</t>
  </si>
  <si>
    <t>Square Foot value</t>
  </si>
  <si>
    <t>https://www.realtor.com/realestateandhomes-detail/302-Berger-St_Riggins_ID_83549_M14086-51573?cid=prt_areavibes_listings#photo0</t>
  </si>
  <si>
    <t>Mortgage Rate</t>
  </si>
  <si>
    <t>https://www.salmonriverrealty.com/mortgage-rates</t>
  </si>
  <si>
    <t>Occupancy rates in America</t>
  </si>
  <si>
    <t>https://www.statista.com/statistics/200161/us-annual-accomodation-and-lodging-occupancy-rate/</t>
  </si>
  <si>
    <t>Property tax rate $5.03/$1000 value</t>
  </si>
  <si>
    <t>http://www.bestplaces.net/compare-cities/riggins_id/oldtown_id/housing</t>
  </si>
  <si>
    <t>local land worth  divided by acreage</t>
  </si>
  <si>
    <t>http://www.loopnet.com/for-sale/riggins-id/?sk=f0acbc4259bdfb58160e90e4cabccc74</t>
  </si>
  <si>
    <t>average hotel maintenance expense</t>
  </si>
  <si>
    <t>https://www.floordaily.net/flooring-news/hotel-maintenance-expenses-increasing</t>
  </si>
  <si>
    <t>T-Bill Rate (20 year, 6/14/18) at 3.04%</t>
  </si>
  <si>
    <t>https://www.treasury.gov/resource-center/data-chart-center/interest-rates/Pages/TextView.aspx?data=longtermrate</t>
  </si>
  <si>
    <t>S&amp;P retun for past 20 years</t>
  </si>
  <si>
    <t>http://www.macrotrends.net/2324/sp-500-historical-chart-data</t>
  </si>
  <si>
    <t>ROE Average by industry</t>
  </si>
  <si>
    <t>http://pages.stern.nyu.edu/~adamodar/New_Home_Page/datafile/roe.html</t>
  </si>
  <si>
    <t>Current Mortgage (15 yr, used for "r")</t>
  </si>
  <si>
    <t>https://www.bankrate.com/finance/mortgages/current-interest-rates.aspx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</si>
</sst>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_([$$-409]* #,##0.00_);_([$$-409]* \(#,##0.00\);_([$$-409]* &quot;-&quot;??_);_(@_)"/>
    <numFmt numFmtId="165" formatCode="0.0%"/>
    <numFmt numFmtId="166" formatCode="_(* #,##0_);_(* \(#,##0\);_(* &quot;-&quot;??_);_(@_)"/>
  </numFmts>
  <fonts count="6" x14ac:knownFonts="1">
    <font>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36">
    <xf numFmtId="0" fontId="0" fillId="0" borderId="0" xfId="0"/>
    <xf numFmtId="0" fontId="2" fillId="0" borderId="0" xfId="0" applyFont="1"/>
    <xf numFmtId="164" fontId="0" fillId="0" borderId="0" xfId="0" applyNumberFormat="1"/>
    <xf numFmtId="0" fontId="1" fillId="0" borderId="0" xfId="1"/>
    <xf numFmtId="10" fontId="0" fillId="0" borderId="0" xfId="0" applyNumberFormat="1"/>
    <xf numFmtId="8" fontId="0" fillId="0" borderId="0" xfId="0" applyNumberFormat="1"/>
    <xf numFmtId="0" fontId="3" fillId="0" borderId="0" xfId="0" applyFont="1"/>
    <xf numFmtId="1" fontId="0" fillId="0" borderId="0" xfId="0" applyNumberFormat="1"/>
    <xf numFmtId="0" fontId="5" fillId="0" borderId="0" xfId="0" applyFont="1"/>
    <xf numFmtId="9" fontId="0" fillId="0" borderId="0" xfId="0" applyNumberFormat="1"/>
    <xf numFmtId="165" fontId="0" fillId="0" borderId="0" xfId="0" applyNumberFormat="1"/>
    <xf numFmtId="2" fontId="0" fillId="0" borderId="0" xfId="0" applyNumberFormat="1"/>
    <xf numFmtId="43" fontId="0" fillId="0" borderId="0" xfId="2" applyFont="1"/>
    <xf numFmtId="166" fontId="0" fillId="0" borderId="0" xfId="2" applyNumberFormat="1" applyFont="1"/>
    <xf numFmtId="9" fontId="0" fillId="0" borderId="0" xfId="3" applyFont="1"/>
    <xf numFmtId="0" fontId="0" fillId="0" borderId="0" xfId="0" applyAlignment="1">
      <alignment horizontal="left" indent="1"/>
    </xf>
    <xf numFmtId="0" fontId="0" fillId="0" borderId="0" xfId="0" applyAlignment="1">
      <alignment horizontal="left"/>
    </xf>
    <xf numFmtId="10" fontId="0" fillId="0" borderId="0" xfId="3" applyNumberFormat="1" applyFont="1"/>
    <xf numFmtId="0" fontId="0" fillId="3" borderId="0" xfId="0" applyFill="1" applyAlignment="1">
      <alignment wrapText="1"/>
    </xf>
    <xf numFmtId="0" fontId="0" fillId="4" borderId="0" xfId="0" applyFill="1"/>
    <xf numFmtId="166" fontId="0" fillId="0" borderId="0" xfId="0" applyNumberFormat="1"/>
    <xf numFmtId="43" fontId="0" fillId="0" borderId="0" xfId="0" applyNumberFormat="1"/>
    <xf numFmtId="0" fontId="0" fillId="5" borderId="0" xfId="0" applyFill="1"/>
    <xf numFmtId="0" fontId="0" fillId="0" borderId="1" xfId="0" applyBorder="1"/>
    <xf numFmtId="9" fontId="0" fillId="0" borderId="1" xfId="0" applyNumberFormat="1" applyBorder="1"/>
    <xf numFmtId="9" fontId="0" fillId="0" borderId="3" xfId="0" applyNumberFormat="1" applyBorder="1"/>
    <xf numFmtId="0" fontId="0" fillId="0" borderId="2" xfId="0" applyBorder="1"/>
    <xf numFmtId="164" fontId="0" fillId="0" borderId="1" xfId="0" applyNumberFormat="1" applyBorder="1"/>
    <xf numFmtId="8" fontId="0" fillId="0" borderId="1" xfId="0" applyNumberFormat="1" applyBorder="1"/>
    <xf numFmtId="10" fontId="0" fillId="0" borderId="1" xfId="0" applyNumberFormat="1" applyBorder="1"/>
    <xf numFmtId="0" fontId="0" fillId="5" borderId="0" xfId="0" applyFill="1" applyAlignment="1">
      <alignment horizontal="center" vertical="center" wrapText="1"/>
    </xf>
    <xf numFmtId="0" fontId="0" fillId="5" borderId="0" xfId="0" applyFill="1" applyAlignment="1">
      <alignment horizontal="center" wrapText="1"/>
    </xf>
    <xf numFmtId="0" fontId="0" fillId="3" borderId="0" xfId="0" applyFill="1" applyAlignment="1">
      <alignment horizontal="center" wrapText="1"/>
    </xf>
    <xf numFmtId="0" fontId="0" fillId="3" borderId="0" xfId="0" applyFill="1" applyAlignment="1">
      <alignment horizontal="center" vertical="center" wrapText="1"/>
    </xf>
    <xf numFmtId="0" fontId="0" fillId="2" borderId="0" xfId="0" applyFill="1" applyAlignment="1">
      <alignment horizontal="center" wrapText="1"/>
    </xf>
    <xf numFmtId="0" fontId="0" fillId="4" borderId="0" xfId="0" applyFill="1" applyAlignment="1">
      <alignment horizontal="left"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28575</xdr:colOff>
      <xdr:row>37</xdr:row>
      <xdr:rowOff>85725</xdr:rowOff>
    </xdr:from>
    <xdr:to>
      <xdr:col>4</xdr:col>
      <xdr:colOff>276225</xdr:colOff>
      <xdr:row>39</xdr:row>
      <xdr:rowOff>38100</xdr:rowOff>
    </xdr:to>
    <xdr:cxnSp macro="">
      <xdr:nvCxnSpPr>
        <xdr:cNvPr id="2" name="Straight Connector 1">
          <a:extLst>
            <a:ext uri="{FF2B5EF4-FFF2-40B4-BE49-F238E27FC236}">
              <a16:creationId xmlns:a16="http://schemas.microsoft.com/office/drawing/2014/main" id="{7E00ECF7-F959-43AB-AC12-C9E0E8609443}"/>
            </a:ext>
          </a:extLst>
        </xdr:cNvPr>
        <xdr:cNvCxnSpPr>
          <a:cxnSpLocks/>
        </xdr:cNvCxnSpPr>
      </xdr:nvCxnSpPr>
      <xdr:spPr>
        <a:xfrm flipV="1">
          <a:off x="2133600" y="2562225"/>
          <a:ext cx="990600" cy="333375"/>
        </a:xfrm>
        <a:prstGeom prst="line">
          <a:avLst/>
        </a:prstGeom>
        <a:ln w="25400">
          <a:solidFill>
            <a:srgbClr val="4472C2"/>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39</xdr:row>
      <xdr:rowOff>57150</xdr:rowOff>
    </xdr:from>
    <xdr:to>
      <xdr:col>4</xdr:col>
      <xdr:colOff>390525</xdr:colOff>
      <xdr:row>39</xdr:row>
      <xdr:rowOff>104775</xdr:rowOff>
    </xdr:to>
    <xdr:cxnSp macro="">
      <xdr:nvCxnSpPr>
        <xdr:cNvPr id="3" name="Straight Connector 2">
          <a:extLst>
            <a:ext uri="{FF2B5EF4-FFF2-40B4-BE49-F238E27FC236}">
              <a16:creationId xmlns:a16="http://schemas.microsoft.com/office/drawing/2014/main" id="{6898B2F5-DD69-4269-9600-2AB59B3C62AA}"/>
            </a:ext>
          </a:extLst>
        </xdr:cNvPr>
        <xdr:cNvCxnSpPr>
          <a:cxnSpLocks/>
        </xdr:cNvCxnSpPr>
      </xdr:nvCxnSpPr>
      <xdr:spPr>
        <a:xfrm>
          <a:off x="2181225" y="2914650"/>
          <a:ext cx="1057275" cy="47625"/>
        </a:xfrm>
        <a:prstGeom prst="line">
          <a:avLst/>
        </a:prstGeom>
        <a:ln w="25400">
          <a:solidFill>
            <a:srgbClr val="4472C2"/>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39</xdr:row>
      <xdr:rowOff>104775</xdr:rowOff>
    </xdr:from>
    <xdr:to>
      <xdr:col>2</xdr:col>
      <xdr:colOff>533400</xdr:colOff>
      <xdr:row>40</xdr:row>
      <xdr:rowOff>114300</xdr:rowOff>
    </xdr:to>
    <xdr:cxnSp macro="">
      <xdr:nvCxnSpPr>
        <xdr:cNvPr id="4" name="Straight Connector 3">
          <a:extLst>
            <a:ext uri="{FF2B5EF4-FFF2-40B4-BE49-F238E27FC236}">
              <a16:creationId xmlns:a16="http://schemas.microsoft.com/office/drawing/2014/main" id="{8AA2B73D-9E56-4403-B2D9-0835A81A5950}"/>
            </a:ext>
          </a:extLst>
        </xdr:cNvPr>
        <xdr:cNvCxnSpPr>
          <a:cxnSpLocks/>
        </xdr:cNvCxnSpPr>
      </xdr:nvCxnSpPr>
      <xdr:spPr>
        <a:xfrm flipV="1">
          <a:off x="1447800" y="2962275"/>
          <a:ext cx="304800" cy="200025"/>
        </a:xfrm>
        <a:prstGeom prst="line">
          <a:avLst/>
        </a:prstGeom>
        <a:ln w="25400">
          <a:solidFill>
            <a:srgbClr val="4472C2"/>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40</xdr:row>
      <xdr:rowOff>161925</xdr:rowOff>
    </xdr:from>
    <xdr:to>
      <xdr:col>2</xdr:col>
      <xdr:colOff>619125</xdr:colOff>
      <xdr:row>41</xdr:row>
      <xdr:rowOff>114300</xdr:rowOff>
    </xdr:to>
    <xdr:cxnSp macro="">
      <xdr:nvCxnSpPr>
        <xdr:cNvPr id="5" name="Straight Connector 4">
          <a:extLst>
            <a:ext uri="{FF2B5EF4-FFF2-40B4-BE49-F238E27FC236}">
              <a16:creationId xmlns:a16="http://schemas.microsoft.com/office/drawing/2014/main" id="{3412BCF9-9CB5-48CC-AFB7-AB8CC056053A}"/>
            </a:ext>
          </a:extLst>
        </xdr:cNvPr>
        <xdr:cNvCxnSpPr>
          <a:cxnSpLocks/>
        </xdr:cNvCxnSpPr>
      </xdr:nvCxnSpPr>
      <xdr:spPr>
        <a:xfrm>
          <a:off x="1476375" y="3209925"/>
          <a:ext cx="361950" cy="142875"/>
        </a:xfrm>
        <a:prstGeom prst="line">
          <a:avLst/>
        </a:prstGeom>
        <a:ln w="25400">
          <a:solidFill>
            <a:srgbClr val="4472C2"/>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loordaily.net/flooring-news/hotel-maintenance-expenses-increasing" TargetMode="External"/><Relationship Id="rId13" Type="http://schemas.openxmlformats.org/officeDocument/2006/relationships/printerSettings" Target="../printerSettings/printerSettings5.bin"/><Relationship Id="rId3" Type="http://schemas.openxmlformats.org/officeDocument/2006/relationships/hyperlink" Target="https://www.realtor.com/realestateandhomes-detail/302-Berger-St_Riggins_ID_83549_M14086-51573?cid=prt_areavibes_listings" TargetMode="External"/><Relationship Id="rId7" Type="http://schemas.openxmlformats.org/officeDocument/2006/relationships/hyperlink" Target="http://www.loopnet.com/for-sale/riggins-id/?sk=f0acbc4259bdfb58160e90e4cabccc74" TargetMode="External"/><Relationship Id="rId12" Type="http://schemas.openxmlformats.org/officeDocument/2006/relationships/hyperlink" Target="https://www.bankrate.com/finance/mortgages/current-interest-rates.aspx" TargetMode="External"/><Relationship Id="rId2" Type="http://schemas.openxmlformats.org/officeDocument/2006/relationships/hyperlink" Target="http://www.riverviewmotel.com/" TargetMode="External"/><Relationship Id="rId1" Type="http://schemas.openxmlformats.org/officeDocument/2006/relationships/hyperlink" Target="http://www.city-data.com/city/Riggins-Idaho.html" TargetMode="External"/><Relationship Id="rId6" Type="http://schemas.openxmlformats.org/officeDocument/2006/relationships/hyperlink" Target="http://www.bestplaces.net/compare-cities/riggins_id/oldtown_id/housing" TargetMode="External"/><Relationship Id="rId11" Type="http://schemas.openxmlformats.org/officeDocument/2006/relationships/hyperlink" Target="http://pages.stern.nyu.edu/~adamodar/New_Home_Page/datafile/roe.html" TargetMode="External"/><Relationship Id="rId5" Type="http://schemas.openxmlformats.org/officeDocument/2006/relationships/hyperlink" Target="https://www.statista.com/statistics/200161/us-annual-accomodation-and-lodging-occupancy-rate/" TargetMode="External"/><Relationship Id="rId10" Type="http://schemas.openxmlformats.org/officeDocument/2006/relationships/hyperlink" Target="http://www.macrotrends.net/2324/sp-500-historical-chart-data" TargetMode="External"/><Relationship Id="rId4" Type="http://schemas.openxmlformats.org/officeDocument/2006/relationships/hyperlink" Target="https://www.salmonriverrealty.com/mortgage-rates" TargetMode="External"/><Relationship Id="rId9"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2"/>
  <sheetViews>
    <sheetView zoomScale="80" workbookViewId="0">
      <pane ySplit="1" topLeftCell="A121" activePane="bottomLeft" state="frozen"/>
      <selection pane="bottomLeft" activeCell="B135" sqref="B135"/>
    </sheetView>
  </sheetViews>
  <sheetFormatPr defaultRowHeight="15" x14ac:dyDescent="0.25"/>
  <cols>
    <col min="1" max="1" width="37" bestFit="1" customWidth="1"/>
    <col min="2" max="2" width="12.140625" customWidth="1"/>
    <col min="3" max="3" width="13.42578125" bestFit="1" customWidth="1"/>
    <col min="4" max="8" width="13.85546875" bestFit="1" customWidth="1"/>
    <col min="9" max="9" width="22" bestFit="1" customWidth="1"/>
    <col min="10" max="13" width="13.85546875" bestFit="1" customWidth="1"/>
    <col min="15" max="15" width="10.28515625" bestFit="1" customWidth="1"/>
    <col min="16" max="16" width="63.28515625" customWidth="1"/>
    <col min="17" max="17" width="11.140625" bestFit="1" customWidth="1"/>
  </cols>
  <sheetData>
    <row r="1" spans="1:29" ht="15.75" x14ac:dyDescent="0.25">
      <c r="A1" s="1" t="s">
        <v>0</v>
      </c>
      <c r="D1" t="s">
        <v>1</v>
      </c>
      <c r="E1" t="s">
        <v>2</v>
      </c>
      <c r="F1" t="s">
        <v>3</v>
      </c>
      <c r="G1" t="s">
        <v>4</v>
      </c>
      <c r="H1" t="s">
        <v>5</v>
      </c>
      <c r="I1" t="s">
        <v>6</v>
      </c>
      <c r="J1" t="s">
        <v>7</v>
      </c>
      <c r="K1" t="s">
        <v>8</v>
      </c>
      <c r="L1" t="s">
        <v>9</v>
      </c>
      <c r="M1" t="s">
        <v>10</v>
      </c>
    </row>
    <row r="2" spans="1:29" ht="15.75" x14ac:dyDescent="0.25">
      <c r="A2" s="6" t="s">
        <v>11</v>
      </c>
    </row>
    <row r="3" spans="1:29" ht="15.75" x14ac:dyDescent="0.25">
      <c r="A3" s="6" t="s">
        <v>12</v>
      </c>
      <c r="D3">
        <v>416</v>
      </c>
      <c r="E3" s="7">
        <f t="shared" ref="E3:M3" si="0">D3*(1+$N$3)</f>
        <v>418.07999999999993</v>
      </c>
      <c r="F3" s="7">
        <f t="shared" si="0"/>
        <v>420.17039999999986</v>
      </c>
      <c r="G3" s="7">
        <f t="shared" si="0"/>
        <v>422.27125199999983</v>
      </c>
      <c r="H3" s="7">
        <f t="shared" si="0"/>
        <v>424.38260825999981</v>
      </c>
      <c r="I3" s="7">
        <f t="shared" si="0"/>
        <v>426.50452130129975</v>
      </c>
      <c r="J3" s="7">
        <f t="shared" si="0"/>
        <v>428.63704390780617</v>
      </c>
      <c r="K3" s="7">
        <f t="shared" si="0"/>
        <v>430.78022912734514</v>
      </c>
      <c r="L3" s="7">
        <f t="shared" si="0"/>
        <v>432.9341302729818</v>
      </c>
      <c r="M3" s="7">
        <f t="shared" si="0"/>
        <v>435.09880092434668</v>
      </c>
      <c r="N3" s="10">
        <v>5.0000000000000001E-3</v>
      </c>
      <c r="O3" t="s">
        <v>13</v>
      </c>
      <c r="Q3" t="s">
        <v>14</v>
      </c>
    </row>
    <row r="4" spans="1:29" ht="15.75" x14ac:dyDescent="0.25">
      <c r="A4" s="6"/>
      <c r="P4" s="2">
        <f>(Q4+Q5+Q6)/3</f>
        <v>66.666666666666671</v>
      </c>
      <c r="Q4" s="2">
        <v>60</v>
      </c>
      <c r="R4" t="s">
        <v>15</v>
      </c>
      <c r="U4">
        <v>16</v>
      </c>
      <c r="V4" t="s">
        <v>16</v>
      </c>
    </row>
    <row r="5" spans="1:29" ht="15.75" x14ac:dyDescent="0.25">
      <c r="A5" s="6" t="s">
        <v>17</v>
      </c>
      <c r="D5">
        <v>4</v>
      </c>
      <c r="E5">
        <v>4</v>
      </c>
      <c r="F5">
        <v>4</v>
      </c>
      <c r="G5">
        <v>4</v>
      </c>
      <c r="H5">
        <v>4</v>
      </c>
      <c r="I5">
        <v>4</v>
      </c>
      <c r="J5">
        <v>4</v>
      </c>
      <c r="K5">
        <v>4</v>
      </c>
      <c r="L5">
        <v>4</v>
      </c>
      <c r="M5">
        <v>4</v>
      </c>
      <c r="Q5" s="2">
        <v>65</v>
      </c>
      <c r="R5" t="s">
        <v>18</v>
      </c>
    </row>
    <row r="6" spans="1:29" ht="15.75" x14ac:dyDescent="0.25">
      <c r="A6" s="6" t="s">
        <v>19</v>
      </c>
      <c r="D6" s="9">
        <v>0.5</v>
      </c>
      <c r="E6" s="9">
        <v>0.5</v>
      </c>
      <c r="F6" s="9">
        <v>0.5</v>
      </c>
      <c r="G6" s="9">
        <v>0.5</v>
      </c>
      <c r="H6" s="9">
        <v>0.5</v>
      </c>
      <c r="I6" s="9">
        <v>0.5</v>
      </c>
      <c r="J6" s="9">
        <v>0.5</v>
      </c>
      <c r="K6" s="9">
        <v>0.5</v>
      </c>
      <c r="L6" s="9">
        <v>0.5</v>
      </c>
      <c r="M6" s="9">
        <v>0.5</v>
      </c>
      <c r="Q6" s="2">
        <v>75</v>
      </c>
      <c r="R6" t="s">
        <v>20</v>
      </c>
    </row>
    <row r="7" spans="1:29" ht="15.75" x14ac:dyDescent="0.25">
      <c r="A7" s="6"/>
      <c r="D7" s="9"/>
      <c r="Q7" s="2">
        <v>86000</v>
      </c>
      <c r="R7" t="s">
        <v>21</v>
      </c>
    </row>
    <row r="8" spans="1:29" ht="15.75" x14ac:dyDescent="0.25">
      <c r="A8" s="6" t="s">
        <v>22</v>
      </c>
      <c r="D8" s="2">
        <f>30000*5</f>
        <v>150000</v>
      </c>
      <c r="E8" s="2">
        <f t="shared" ref="E8:M8" si="1">D8*(1+$N$8)</f>
        <v>151500</v>
      </c>
      <c r="F8" s="2">
        <f t="shared" si="1"/>
        <v>153015</v>
      </c>
      <c r="G8" s="2">
        <f t="shared" si="1"/>
        <v>154545.15</v>
      </c>
      <c r="H8" s="2">
        <f t="shared" si="1"/>
        <v>156090.60149999999</v>
      </c>
      <c r="I8" s="2">
        <f t="shared" si="1"/>
        <v>157651.507515</v>
      </c>
      <c r="J8" s="2">
        <f t="shared" si="1"/>
        <v>159228.02259015001</v>
      </c>
      <c r="K8" s="2">
        <f t="shared" si="1"/>
        <v>160820.30281605152</v>
      </c>
      <c r="L8" s="2">
        <f t="shared" si="1"/>
        <v>162428.50584421205</v>
      </c>
      <c r="M8" s="2">
        <f t="shared" si="1"/>
        <v>164052.79090265417</v>
      </c>
      <c r="N8" s="4">
        <v>0.01</v>
      </c>
      <c r="Q8">
        <v>3</v>
      </c>
      <c r="R8" t="s">
        <v>23</v>
      </c>
    </row>
    <row r="9" spans="1:29" ht="60.75" customHeight="1" x14ac:dyDescent="0.25">
      <c r="A9" t="s">
        <v>24</v>
      </c>
      <c r="D9" s="11">
        <f>$Q$18*$U$4</f>
        <v>10.544</v>
      </c>
      <c r="E9" s="11">
        <f>D9*(1+$N$9)</f>
        <v>10.596719999999999</v>
      </c>
      <c r="F9" s="11">
        <f>E9*(1+$N$9)</f>
        <v>10.649703599999999</v>
      </c>
      <c r="G9" s="11">
        <f>F9*(1+$N$9)</f>
        <v>10.702952117999997</v>
      </c>
      <c r="H9" s="11">
        <f t="shared" ref="H9:M9" si="2">G9*(1+$N$9)</f>
        <v>10.756466878589997</v>
      </c>
      <c r="I9" s="11">
        <f t="shared" si="2"/>
        <v>10.810249212982946</v>
      </c>
      <c r="J9" s="11">
        <f t="shared" si="2"/>
        <v>10.864300459047859</v>
      </c>
      <c r="K9" s="11">
        <f t="shared" si="2"/>
        <v>10.918621961343097</v>
      </c>
      <c r="L9" s="11">
        <f t="shared" si="2"/>
        <v>10.973215071149811</v>
      </c>
      <c r="M9" s="11">
        <f t="shared" si="2"/>
        <v>11.028081146505558</v>
      </c>
      <c r="N9" s="4">
        <v>5.0000000000000001E-3</v>
      </c>
      <c r="P9" s="33" t="s">
        <v>25</v>
      </c>
      <c r="Q9" s="33"/>
      <c r="R9" s="33"/>
      <c r="S9" s="33"/>
      <c r="T9" s="33"/>
      <c r="U9" s="33"/>
    </row>
    <row r="10" spans="1:29" ht="15.75" x14ac:dyDescent="0.25">
      <c r="A10" s="6" t="s">
        <v>26</v>
      </c>
      <c r="D10" s="14">
        <v>0.05</v>
      </c>
      <c r="E10" s="14">
        <v>0.05</v>
      </c>
      <c r="F10" s="14">
        <v>0.05</v>
      </c>
      <c r="G10" s="14">
        <v>0.05</v>
      </c>
      <c r="H10" s="14">
        <v>0.05</v>
      </c>
      <c r="I10" s="14">
        <v>0.05</v>
      </c>
      <c r="J10" s="14">
        <v>0.05</v>
      </c>
      <c r="K10" s="14">
        <v>0.05</v>
      </c>
      <c r="L10" s="14">
        <v>0.05</v>
      </c>
      <c r="M10" s="14">
        <v>0.05</v>
      </c>
      <c r="N10" s="4"/>
    </row>
    <row r="11" spans="1:29" ht="15.75" x14ac:dyDescent="0.25">
      <c r="A11" s="6"/>
    </row>
    <row r="12" spans="1:29" ht="15.75" x14ac:dyDescent="0.25">
      <c r="A12" s="6"/>
    </row>
    <row r="13" spans="1:29" ht="15.75" x14ac:dyDescent="0.25">
      <c r="A13" s="6" t="s">
        <v>27</v>
      </c>
      <c r="D13" s="2">
        <f t="shared" ref="D13:M13" si="3">$Q$7*$Q$8</f>
        <v>258000</v>
      </c>
      <c r="E13" s="2">
        <f t="shared" si="3"/>
        <v>258000</v>
      </c>
      <c r="F13" s="2">
        <f t="shared" si="3"/>
        <v>258000</v>
      </c>
      <c r="G13" s="2">
        <f t="shared" si="3"/>
        <v>258000</v>
      </c>
      <c r="H13" s="2">
        <f t="shared" si="3"/>
        <v>258000</v>
      </c>
      <c r="I13" s="2">
        <f t="shared" si="3"/>
        <v>258000</v>
      </c>
      <c r="J13" s="2">
        <f t="shared" si="3"/>
        <v>258000</v>
      </c>
      <c r="K13" s="2">
        <f t="shared" si="3"/>
        <v>258000</v>
      </c>
      <c r="L13" s="2">
        <f t="shared" si="3"/>
        <v>258000</v>
      </c>
      <c r="M13" s="2">
        <f t="shared" si="3"/>
        <v>258000</v>
      </c>
      <c r="P13" s="32" t="s">
        <v>28</v>
      </c>
      <c r="Q13" s="32"/>
      <c r="R13" s="32"/>
      <c r="S13" s="32"/>
      <c r="T13" s="32"/>
      <c r="U13" s="32"/>
      <c r="V13" s="32"/>
      <c r="W13" s="32"/>
      <c r="X13" s="32"/>
      <c r="Y13" s="32"/>
      <c r="Z13" s="32"/>
      <c r="AA13" s="32"/>
      <c r="AB13" s="32"/>
      <c r="AC13" s="32"/>
    </row>
    <row r="14" spans="1:29" ht="15.75" x14ac:dyDescent="0.25">
      <c r="A14" s="6" t="s">
        <v>29</v>
      </c>
      <c r="D14" s="2">
        <v>58</v>
      </c>
      <c r="E14" s="2">
        <f>D14*(1+$N$14)</f>
        <v>58</v>
      </c>
      <c r="F14" s="2">
        <f t="shared" ref="F14:M14" si="4">E14*(1+$N$14)</f>
        <v>58</v>
      </c>
      <c r="G14" s="2">
        <f>F14*(1+$N$14)</f>
        <v>58</v>
      </c>
      <c r="H14" s="2">
        <f t="shared" si="4"/>
        <v>58</v>
      </c>
      <c r="I14" s="2">
        <f t="shared" si="4"/>
        <v>58</v>
      </c>
      <c r="J14" s="2">
        <f t="shared" si="4"/>
        <v>58</v>
      </c>
      <c r="K14" s="2">
        <f t="shared" si="4"/>
        <v>58</v>
      </c>
      <c r="L14" s="2">
        <f t="shared" si="4"/>
        <v>58</v>
      </c>
      <c r="M14" s="2">
        <f t="shared" si="4"/>
        <v>58</v>
      </c>
      <c r="N14" s="4"/>
      <c r="P14" s="32"/>
      <c r="Q14" s="32"/>
      <c r="R14" s="32"/>
      <c r="S14" s="32"/>
      <c r="T14" s="32"/>
      <c r="U14" s="32"/>
      <c r="V14" s="32"/>
      <c r="W14" s="32"/>
      <c r="X14" s="32"/>
      <c r="Y14" s="32"/>
      <c r="Z14" s="32"/>
      <c r="AA14" s="32"/>
      <c r="AB14" s="32"/>
      <c r="AC14" s="32"/>
    </row>
    <row r="15" spans="1:29" ht="15.6" customHeight="1" x14ac:dyDescent="0.25">
      <c r="A15" s="6" t="s">
        <v>30</v>
      </c>
      <c r="D15">
        <f t="shared" ref="D15:M15" si="5">$Q$19*$U$4</f>
        <v>5600</v>
      </c>
      <c r="E15">
        <f t="shared" si="5"/>
        <v>5600</v>
      </c>
      <c r="F15">
        <f t="shared" si="5"/>
        <v>5600</v>
      </c>
      <c r="G15">
        <f t="shared" si="5"/>
        <v>5600</v>
      </c>
      <c r="H15">
        <f t="shared" si="5"/>
        <v>5600</v>
      </c>
      <c r="I15">
        <f t="shared" si="5"/>
        <v>5600</v>
      </c>
      <c r="J15">
        <f t="shared" si="5"/>
        <v>5600</v>
      </c>
      <c r="K15">
        <f t="shared" si="5"/>
        <v>5600</v>
      </c>
      <c r="L15">
        <f t="shared" si="5"/>
        <v>5600</v>
      </c>
      <c r="M15">
        <f t="shared" si="5"/>
        <v>5600</v>
      </c>
    </row>
    <row r="16" spans="1:29" ht="15.6" customHeight="1" x14ac:dyDescent="0.25">
      <c r="A16" s="6" t="s">
        <v>31</v>
      </c>
      <c r="D16" s="2">
        <f>D15*D14</f>
        <v>324800</v>
      </c>
      <c r="E16" s="2">
        <f t="shared" ref="E16:M16" si="6">E15*E14</f>
        <v>324800</v>
      </c>
      <c r="F16" s="2">
        <f t="shared" si="6"/>
        <v>324800</v>
      </c>
      <c r="G16" s="2">
        <f t="shared" si="6"/>
        <v>324800</v>
      </c>
      <c r="H16" s="2">
        <f t="shared" si="6"/>
        <v>324800</v>
      </c>
      <c r="I16" s="2">
        <f t="shared" si="6"/>
        <v>324800</v>
      </c>
      <c r="J16" s="2">
        <f t="shared" si="6"/>
        <v>324800</v>
      </c>
      <c r="K16" s="2">
        <f t="shared" si="6"/>
        <v>324800</v>
      </c>
      <c r="L16" s="2">
        <f t="shared" si="6"/>
        <v>324800</v>
      </c>
      <c r="M16" s="2">
        <f t="shared" si="6"/>
        <v>324800</v>
      </c>
    </row>
    <row r="17" spans="1:21" ht="15.75" x14ac:dyDescent="0.25">
      <c r="A17" s="6" t="s">
        <v>32</v>
      </c>
      <c r="D17" s="2">
        <f t="shared" ref="D17:M17" si="7">D16*$Q$17</f>
        <v>1633.7440000000001</v>
      </c>
      <c r="E17" s="2">
        <f t="shared" si="7"/>
        <v>1633.7440000000001</v>
      </c>
      <c r="F17" s="2">
        <f t="shared" si="7"/>
        <v>1633.7440000000001</v>
      </c>
      <c r="G17" s="2">
        <f t="shared" si="7"/>
        <v>1633.7440000000001</v>
      </c>
      <c r="H17" s="2">
        <f t="shared" si="7"/>
        <v>1633.7440000000001</v>
      </c>
      <c r="I17" s="2">
        <f t="shared" si="7"/>
        <v>1633.7440000000001</v>
      </c>
      <c r="J17" s="2">
        <f t="shared" si="7"/>
        <v>1633.7440000000001</v>
      </c>
      <c r="K17" s="2">
        <f t="shared" si="7"/>
        <v>1633.7440000000001</v>
      </c>
      <c r="L17" s="2">
        <f t="shared" si="7"/>
        <v>1633.7440000000001</v>
      </c>
      <c r="M17" s="2">
        <f t="shared" si="7"/>
        <v>1633.7440000000001</v>
      </c>
      <c r="Q17">
        <f>5.03/1000</f>
        <v>5.0300000000000006E-3</v>
      </c>
      <c r="R17" t="s">
        <v>33</v>
      </c>
    </row>
    <row r="18" spans="1:21" ht="15.75" x14ac:dyDescent="0.25">
      <c r="A18" s="6"/>
      <c r="Q18" s="4">
        <v>0.65900000000000003</v>
      </c>
      <c r="R18" t="s">
        <v>34</v>
      </c>
    </row>
    <row r="19" spans="1:21" ht="15.75" x14ac:dyDescent="0.25">
      <c r="A19" s="6"/>
      <c r="Q19">
        <v>350</v>
      </c>
      <c r="R19" t="s">
        <v>35</v>
      </c>
    </row>
    <row r="20" spans="1:21" ht="15.6" customHeight="1" x14ac:dyDescent="0.25">
      <c r="A20" s="6" t="s">
        <v>36</v>
      </c>
      <c r="D20" s="4">
        <f>'Amortization Table'!I1</f>
        <v>4.5499999999999999E-2</v>
      </c>
      <c r="P20" s="32" t="s">
        <v>37</v>
      </c>
      <c r="Q20" s="32"/>
      <c r="R20" s="32"/>
      <c r="S20" s="32"/>
      <c r="T20" s="32"/>
      <c r="U20" s="32"/>
    </row>
    <row r="21" spans="1:21" ht="15.75" x14ac:dyDescent="0.25">
      <c r="A21" s="6" t="s">
        <v>38</v>
      </c>
      <c r="D21">
        <f>'Amortization Table'!I4</f>
        <v>30</v>
      </c>
    </row>
    <row r="22" spans="1:21" ht="15.75" x14ac:dyDescent="0.25">
      <c r="A22" s="6" t="s">
        <v>39</v>
      </c>
      <c r="D22" s="14">
        <f>D23/(D66+D67)</f>
        <v>0.7</v>
      </c>
    </row>
    <row r="23" spans="1:21" ht="15.75" x14ac:dyDescent="0.25">
      <c r="A23" s="6" t="s">
        <v>40</v>
      </c>
      <c r="D23" s="5">
        <f>'Amortization Table'!I7</f>
        <v>407960</v>
      </c>
    </row>
    <row r="24" spans="1:21" ht="15.75" x14ac:dyDescent="0.25">
      <c r="A24" s="6" t="s">
        <v>41</v>
      </c>
      <c r="D24" s="9">
        <v>0.05</v>
      </c>
    </row>
    <row r="25" spans="1:21" ht="15.75" x14ac:dyDescent="0.25">
      <c r="A25" s="6"/>
    </row>
    <row r="26" spans="1:21" x14ac:dyDescent="0.25">
      <c r="A26" t="s">
        <v>42</v>
      </c>
      <c r="D26">
        <v>3</v>
      </c>
      <c r="E26">
        <v>3</v>
      </c>
      <c r="F26">
        <v>3</v>
      </c>
      <c r="G26">
        <v>3</v>
      </c>
      <c r="H26">
        <v>3</v>
      </c>
      <c r="I26">
        <v>3</v>
      </c>
      <c r="J26">
        <v>3</v>
      </c>
      <c r="K26">
        <v>3</v>
      </c>
      <c r="L26">
        <v>3</v>
      </c>
      <c r="M26">
        <v>3</v>
      </c>
    </row>
    <row r="27" spans="1:21" x14ac:dyDescent="0.25">
      <c r="A27" t="s">
        <v>43</v>
      </c>
      <c r="D27">
        <v>3</v>
      </c>
      <c r="E27">
        <v>3</v>
      </c>
      <c r="F27">
        <v>3</v>
      </c>
      <c r="G27">
        <v>3</v>
      </c>
      <c r="H27">
        <v>3</v>
      </c>
      <c r="I27">
        <v>3</v>
      </c>
      <c r="J27">
        <v>3</v>
      </c>
      <c r="K27">
        <v>3</v>
      </c>
      <c r="L27">
        <v>3</v>
      </c>
      <c r="M27">
        <v>3</v>
      </c>
    </row>
    <row r="28" spans="1:21" x14ac:dyDescent="0.25">
      <c r="A28" t="s">
        <v>44</v>
      </c>
      <c r="D28">
        <v>40</v>
      </c>
      <c r="E28">
        <f>D28*(1+N28)</f>
        <v>38.799999999999997</v>
      </c>
      <c r="F28">
        <f t="shared" ref="F28:M28" si="8">E28*(1+O28)</f>
        <v>38.799999999999997</v>
      </c>
      <c r="G28">
        <f t="shared" si="8"/>
        <v>38.799999999999997</v>
      </c>
      <c r="H28">
        <f t="shared" si="8"/>
        <v>38.799999999999997</v>
      </c>
      <c r="I28">
        <f t="shared" si="8"/>
        <v>38.799999999999997</v>
      </c>
      <c r="J28">
        <f t="shared" si="8"/>
        <v>38.799999999999997</v>
      </c>
      <c r="K28">
        <f t="shared" si="8"/>
        <v>38.799999999999997</v>
      </c>
      <c r="L28">
        <f t="shared" si="8"/>
        <v>38.799999999999997</v>
      </c>
      <c r="M28">
        <f t="shared" si="8"/>
        <v>38.799999999999997</v>
      </c>
      <c r="N28" s="9">
        <v>-0.03</v>
      </c>
    </row>
    <row r="29" spans="1:21" x14ac:dyDescent="0.25">
      <c r="A29" t="s">
        <v>45</v>
      </c>
      <c r="D29" s="11">
        <v>11</v>
      </c>
      <c r="E29" s="11">
        <f t="shared" ref="E29:M29" si="9">D29*(1+$N$29)</f>
        <v>11.22</v>
      </c>
      <c r="F29" s="11">
        <f t="shared" si="9"/>
        <v>11.444400000000002</v>
      </c>
      <c r="G29" s="11">
        <f t="shared" si="9"/>
        <v>11.673288000000001</v>
      </c>
      <c r="H29" s="11">
        <f t="shared" si="9"/>
        <v>11.906753760000001</v>
      </c>
      <c r="I29" s="11">
        <f t="shared" si="9"/>
        <v>12.144888835200002</v>
      </c>
      <c r="J29" s="11">
        <f t="shared" si="9"/>
        <v>12.387786611904001</v>
      </c>
      <c r="K29" s="11">
        <f t="shared" si="9"/>
        <v>12.635542344142081</v>
      </c>
      <c r="L29" s="11">
        <f t="shared" si="9"/>
        <v>12.888253191024923</v>
      </c>
      <c r="M29" s="11">
        <f t="shared" si="9"/>
        <v>13.146018254845421</v>
      </c>
      <c r="N29" s="9">
        <v>0.02</v>
      </c>
    </row>
    <row r="30" spans="1:21" x14ac:dyDescent="0.25">
      <c r="A30" t="s">
        <v>46</v>
      </c>
      <c r="D30" s="4">
        <v>0.18</v>
      </c>
      <c r="E30" s="17">
        <f t="shared" ref="E30:M30" si="10">D30*(1+$N$30)</f>
        <v>0.18359999999999999</v>
      </c>
      <c r="F30" s="17">
        <f t="shared" si="10"/>
        <v>0.18727199999999999</v>
      </c>
      <c r="G30" s="17">
        <f t="shared" si="10"/>
        <v>0.19101744000000001</v>
      </c>
      <c r="H30" s="17">
        <f t="shared" si="10"/>
        <v>0.19483778880000002</v>
      </c>
      <c r="I30" s="17">
        <f t="shared" si="10"/>
        <v>0.19873454457600004</v>
      </c>
      <c r="J30" s="17">
        <f t="shared" si="10"/>
        <v>0.20270923546752004</v>
      </c>
      <c r="K30" s="17">
        <f t="shared" si="10"/>
        <v>0.20676342017687044</v>
      </c>
      <c r="L30" s="17">
        <f t="shared" si="10"/>
        <v>0.21089868858040786</v>
      </c>
      <c r="M30" s="17">
        <f t="shared" si="10"/>
        <v>0.21511666235201601</v>
      </c>
      <c r="N30" s="9">
        <v>0.02</v>
      </c>
      <c r="P30" s="4">
        <f>AVERAGE(D30:M30)</f>
        <v>0.19709497799528142</v>
      </c>
    </row>
    <row r="31" spans="1:21" x14ac:dyDescent="0.25">
      <c r="A31" t="s">
        <v>47</v>
      </c>
      <c r="D31" s="9">
        <v>0.4</v>
      </c>
      <c r="E31" s="9">
        <v>0.4</v>
      </c>
      <c r="F31" s="9">
        <v>0.4</v>
      </c>
      <c r="G31" s="9">
        <v>0.4</v>
      </c>
      <c r="H31" s="9">
        <v>0.4</v>
      </c>
      <c r="I31" s="9">
        <v>0.4</v>
      </c>
      <c r="J31" s="9">
        <v>0.4</v>
      </c>
      <c r="K31" s="9">
        <v>0.4</v>
      </c>
      <c r="L31" s="9">
        <v>0.4</v>
      </c>
      <c r="M31" s="9">
        <v>0.4</v>
      </c>
    </row>
    <row r="32" spans="1:21" x14ac:dyDescent="0.25">
      <c r="A32" t="s">
        <v>48</v>
      </c>
      <c r="D32" s="9">
        <v>0.02</v>
      </c>
      <c r="E32" s="9">
        <v>0.02</v>
      </c>
      <c r="F32" s="9">
        <v>0.02</v>
      </c>
      <c r="G32" s="9">
        <v>0.02</v>
      </c>
      <c r="H32" s="9">
        <v>0.02</v>
      </c>
      <c r="I32" s="9">
        <v>0.02</v>
      </c>
      <c r="J32" s="9">
        <v>0.02</v>
      </c>
      <c r="K32" s="9">
        <v>0.02</v>
      </c>
      <c r="L32" s="9">
        <v>0.02</v>
      </c>
      <c r="M32" s="9">
        <v>0.02</v>
      </c>
    </row>
    <row r="33" spans="1:21" ht="28.5" customHeight="1" x14ac:dyDescent="0.25">
      <c r="A33" t="s">
        <v>49</v>
      </c>
      <c r="D33" s="4">
        <v>0.05</v>
      </c>
      <c r="E33" s="4">
        <f t="shared" ref="E33:M33" si="11">D33*(1+$N$33)</f>
        <v>5.1500000000000004E-2</v>
      </c>
      <c r="F33" s="4">
        <f t="shared" si="11"/>
        <v>5.3045000000000009E-2</v>
      </c>
      <c r="G33" s="4">
        <f t="shared" si="11"/>
        <v>5.4636350000000007E-2</v>
      </c>
      <c r="H33" s="4">
        <f t="shared" si="11"/>
        <v>5.627544050000001E-2</v>
      </c>
      <c r="I33" s="4">
        <f t="shared" si="11"/>
        <v>5.7963703715000009E-2</v>
      </c>
      <c r="J33" s="4">
        <f t="shared" si="11"/>
        <v>5.9702614826450014E-2</v>
      </c>
      <c r="K33" s="4">
        <f t="shared" si="11"/>
        <v>6.1493693271243516E-2</v>
      </c>
      <c r="L33" s="4">
        <f t="shared" si="11"/>
        <v>6.3338504069380824E-2</v>
      </c>
      <c r="M33" s="4">
        <f t="shared" si="11"/>
        <v>6.5238659191462253E-2</v>
      </c>
      <c r="N33" s="9">
        <v>0.03</v>
      </c>
      <c r="P33" s="34" t="s">
        <v>50</v>
      </c>
      <c r="Q33" s="34"/>
      <c r="R33" s="34"/>
      <c r="S33" s="34"/>
      <c r="T33" s="34"/>
      <c r="U33" s="34"/>
    </row>
    <row r="36" spans="1:21" x14ac:dyDescent="0.25">
      <c r="A36" s="8" t="s">
        <v>51</v>
      </c>
    </row>
    <row r="37" spans="1:21" x14ac:dyDescent="0.25">
      <c r="A37" s="8"/>
    </row>
    <row r="38" spans="1:21" x14ac:dyDescent="0.25">
      <c r="A38" t="s">
        <v>52</v>
      </c>
      <c r="D38" s="13">
        <f>D9*$P$4*365</f>
        <v>256570.66666666669</v>
      </c>
      <c r="E38" s="13">
        <f t="shared" ref="E38:M38" si="12">E9*$P$4*365</f>
        <v>257853.52</v>
      </c>
      <c r="F38" s="13">
        <f t="shared" si="12"/>
        <v>259142.78759999998</v>
      </c>
      <c r="G38" s="13">
        <f t="shared" si="12"/>
        <v>260438.50153799995</v>
      </c>
      <c r="H38" s="13">
        <f t="shared" si="12"/>
        <v>261740.69404568995</v>
      </c>
      <c r="I38" s="13">
        <f t="shared" si="12"/>
        <v>263049.39751591836</v>
      </c>
      <c r="J38" s="13">
        <f t="shared" si="12"/>
        <v>264364.64450349793</v>
      </c>
      <c r="K38" s="13">
        <f t="shared" si="12"/>
        <v>265686.46772601537</v>
      </c>
      <c r="L38" s="13">
        <f t="shared" si="12"/>
        <v>267014.90006464539</v>
      </c>
      <c r="M38" s="13">
        <f t="shared" si="12"/>
        <v>268349.97456496861</v>
      </c>
    </row>
    <row r="39" spans="1:21" x14ac:dyDescent="0.25">
      <c r="A39" t="s">
        <v>53</v>
      </c>
      <c r="D39" s="13">
        <f t="shared" ref="D39:M39" si="13">D38*D10</f>
        <v>12828.533333333335</v>
      </c>
      <c r="E39" s="13">
        <f t="shared" si="13"/>
        <v>12892.675999999999</v>
      </c>
      <c r="F39" s="13">
        <f t="shared" si="13"/>
        <v>12957.139380000001</v>
      </c>
      <c r="G39" s="13">
        <f t="shared" si="13"/>
        <v>13021.925076899999</v>
      </c>
      <c r="H39" s="13">
        <f t="shared" si="13"/>
        <v>13087.034702284498</v>
      </c>
      <c r="I39" s="13">
        <f t="shared" si="13"/>
        <v>13152.46987579592</v>
      </c>
      <c r="J39" s="13">
        <f t="shared" si="13"/>
        <v>13218.232225174897</v>
      </c>
      <c r="K39" s="13">
        <f t="shared" si="13"/>
        <v>13284.32338630077</v>
      </c>
      <c r="L39" s="13">
        <f t="shared" si="13"/>
        <v>13350.74500323227</v>
      </c>
      <c r="M39" s="13">
        <f t="shared" si="13"/>
        <v>13417.498728248431</v>
      </c>
    </row>
    <row r="40" spans="1:21" x14ac:dyDescent="0.25">
      <c r="A40" s="15" t="s">
        <v>54</v>
      </c>
      <c r="D40" s="13">
        <f t="shared" ref="D40:M40" si="14">SUM(D38:D39)</f>
        <v>269399.2</v>
      </c>
      <c r="E40" s="13">
        <f t="shared" si="14"/>
        <v>270746.196</v>
      </c>
      <c r="F40" s="13">
        <f t="shared" si="14"/>
        <v>272099.92697999999</v>
      </c>
      <c r="G40" s="13">
        <f t="shared" si="14"/>
        <v>273460.42661489994</v>
      </c>
      <c r="H40" s="13">
        <f t="shared" si="14"/>
        <v>274827.72874797444</v>
      </c>
      <c r="I40" s="13">
        <f t="shared" si="14"/>
        <v>276201.8673917143</v>
      </c>
      <c r="J40" s="13">
        <f t="shared" si="14"/>
        <v>277582.87672867283</v>
      </c>
      <c r="K40" s="13">
        <f t="shared" si="14"/>
        <v>278970.79111231613</v>
      </c>
      <c r="L40" s="13">
        <f t="shared" si="14"/>
        <v>280365.64506787766</v>
      </c>
      <c r="M40" s="13">
        <f t="shared" si="14"/>
        <v>281767.47329321702</v>
      </c>
    </row>
    <row r="41" spans="1:21" x14ac:dyDescent="0.25">
      <c r="D41" s="13"/>
      <c r="E41" s="13"/>
      <c r="F41" s="13"/>
      <c r="G41" s="13"/>
      <c r="H41" s="13"/>
      <c r="I41" s="13"/>
      <c r="J41" s="13"/>
      <c r="K41" s="13"/>
      <c r="L41" s="13"/>
      <c r="M41" s="13"/>
    </row>
    <row r="42" spans="1:21" x14ac:dyDescent="0.25">
      <c r="A42" t="s">
        <v>55</v>
      </c>
      <c r="D42" s="13">
        <f t="shared" ref="D42:M42" si="15">D6*D39</f>
        <v>6414.2666666666673</v>
      </c>
      <c r="E42" s="13">
        <f t="shared" si="15"/>
        <v>6446.3379999999997</v>
      </c>
      <c r="F42" s="13">
        <f t="shared" si="15"/>
        <v>6478.5696900000003</v>
      </c>
      <c r="G42" s="13">
        <f t="shared" si="15"/>
        <v>6510.9625384499996</v>
      </c>
      <c r="H42" s="13">
        <f t="shared" si="15"/>
        <v>6543.517351142249</v>
      </c>
      <c r="I42" s="13">
        <f t="shared" si="15"/>
        <v>6576.2349378979598</v>
      </c>
      <c r="J42" s="13">
        <f t="shared" si="15"/>
        <v>6609.1161125874487</v>
      </c>
      <c r="K42" s="13">
        <f t="shared" si="15"/>
        <v>6642.161693150385</v>
      </c>
      <c r="L42" s="13">
        <f t="shared" si="15"/>
        <v>6675.3725016161352</v>
      </c>
      <c r="M42" s="13">
        <f t="shared" si="15"/>
        <v>6708.7493641242154</v>
      </c>
    </row>
    <row r="43" spans="1:21" x14ac:dyDescent="0.25">
      <c r="D43" s="13"/>
      <c r="E43" s="13"/>
      <c r="F43" s="13"/>
      <c r="G43" s="13"/>
      <c r="H43" s="13"/>
      <c r="I43" s="13"/>
      <c r="J43" s="13"/>
      <c r="K43" s="13"/>
      <c r="L43" s="13"/>
      <c r="M43" s="13"/>
    </row>
    <row r="44" spans="1:21" x14ac:dyDescent="0.25">
      <c r="A44" t="s">
        <v>56</v>
      </c>
      <c r="D44" s="13">
        <f t="shared" ref="D44:M44" si="16">D40-D42</f>
        <v>262984.93333333335</v>
      </c>
      <c r="E44" s="13">
        <f t="shared" si="16"/>
        <v>264299.85800000001</v>
      </c>
      <c r="F44" s="13">
        <f t="shared" si="16"/>
        <v>265621.35729000001</v>
      </c>
      <c r="G44" s="13">
        <f t="shared" si="16"/>
        <v>266949.46407644992</v>
      </c>
      <c r="H44" s="13">
        <f t="shared" si="16"/>
        <v>268284.21139683219</v>
      </c>
      <c r="I44" s="13">
        <f t="shared" si="16"/>
        <v>269625.63245381636</v>
      </c>
      <c r="J44" s="13">
        <f t="shared" si="16"/>
        <v>270973.76061608538</v>
      </c>
      <c r="K44" s="13">
        <f t="shared" si="16"/>
        <v>272328.62941916572</v>
      </c>
      <c r="L44" s="13">
        <f t="shared" si="16"/>
        <v>273690.27256626153</v>
      </c>
      <c r="M44" s="13">
        <f t="shared" si="16"/>
        <v>275058.72392909281</v>
      </c>
    </row>
    <row r="45" spans="1:21" x14ac:dyDescent="0.25">
      <c r="D45" s="13"/>
      <c r="E45" s="13"/>
      <c r="F45" s="13"/>
      <c r="G45" s="13"/>
      <c r="H45" s="13"/>
      <c r="I45" s="13"/>
      <c r="J45" s="13"/>
      <c r="K45" s="13"/>
      <c r="L45" s="13"/>
      <c r="M45" s="13"/>
    </row>
    <row r="46" spans="1:21" x14ac:dyDescent="0.25">
      <c r="A46" t="s">
        <v>57</v>
      </c>
      <c r="D46" s="13">
        <f t="shared" ref="D46:M46" si="17">D31*D38</f>
        <v>102628.26666666668</v>
      </c>
      <c r="E46" s="13">
        <f t="shared" si="17"/>
        <v>103141.408</v>
      </c>
      <c r="F46" s="13">
        <f t="shared" si="17"/>
        <v>103657.11504</v>
      </c>
      <c r="G46" s="13">
        <f t="shared" si="17"/>
        <v>104175.40061519999</v>
      </c>
      <c r="H46" s="13">
        <f t="shared" si="17"/>
        <v>104696.27761827598</v>
      </c>
      <c r="I46" s="13">
        <f t="shared" si="17"/>
        <v>105219.75900636736</v>
      </c>
      <c r="J46" s="13">
        <f t="shared" si="17"/>
        <v>105745.85780139918</v>
      </c>
      <c r="K46" s="13">
        <f t="shared" si="17"/>
        <v>106274.58709040616</v>
      </c>
      <c r="L46" s="13">
        <f t="shared" si="17"/>
        <v>106805.96002585816</v>
      </c>
      <c r="M46" s="13">
        <f t="shared" si="17"/>
        <v>107339.98982598745</v>
      </c>
    </row>
    <row r="47" spans="1:21" x14ac:dyDescent="0.25">
      <c r="A47" t="s">
        <v>58</v>
      </c>
      <c r="D47" s="13">
        <f t="shared" ref="D47:M47" si="18">D33*D38</f>
        <v>12828.533333333335</v>
      </c>
      <c r="E47" s="13">
        <f t="shared" si="18"/>
        <v>13279.45628</v>
      </c>
      <c r="F47" s="13">
        <f t="shared" si="18"/>
        <v>13746.229168242002</v>
      </c>
      <c r="G47" s="13">
        <f t="shared" si="18"/>
        <v>14229.409123505706</v>
      </c>
      <c r="H47" s="13">
        <f t="shared" si="18"/>
        <v>14729.572854196931</v>
      </c>
      <c r="I47" s="13">
        <f t="shared" si="18"/>
        <v>15247.317340021951</v>
      </c>
      <c r="J47" s="13">
        <f t="shared" si="18"/>
        <v>15783.260544523722</v>
      </c>
      <c r="K47" s="13">
        <f t="shared" si="18"/>
        <v>16338.042152663729</v>
      </c>
      <c r="L47" s="13">
        <f t="shared" si="18"/>
        <v>16912.324334329856</v>
      </c>
      <c r="M47" s="13">
        <f t="shared" si="18"/>
        <v>17506.79253468155</v>
      </c>
    </row>
    <row r="48" spans="1:21" x14ac:dyDescent="0.25">
      <c r="A48" t="s">
        <v>59</v>
      </c>
      <c r="D48" s="13">
        <f>'Amortization Table'!D14+(D24*D79)</f>
        <v>18427.257971430128</v>
      </c>
      <c r="E48" s="13">
        <f>'Amortization Table'!D28+(E24*E79)</f>
        <v>18124.180356254012</v>
      </c>
      <c r="F48" s="13">
        <f>'Amortization Table'!D42+(F24*F79)</f>
        <v>17807.021464088164</v>
      </c>
      <c r="G48" s="13">
        <f>'Amortization Table'!D56+(G24*G79)</f>
        <v>17475.127065284039</v>
      </c>
      <c r="H48" s="13">
        <f>'Amortization Table'!D70+(H24*H79)</f>
        <v>17127.812534055462</v>
      </c>
      <c r="I48" s="13">
        <f>'Amortization Table'!D84+(I24*I79)</f>
        <v>16764.361436244933</v>
      </c>
      <c r="J48" s="13">
        <f>'Amortization Table'!D98+(J24*J79)</f>
        <v>16384.024051476135</v>
      </c>
      <c r="K48" s="13">
        <f>'Amortization Table'!D112+(K24*K79)</f>
        <v>15986.015826644256</v>
      </c>
      <c r="L48" s="13">
        <f>'Amortization Table'!D126+(L24*L79)</f>
        <v>15569.515757553952</v>
      </c>
      <c r="M48" s="13">
        <f>'Amortization Table'!D140+(M24*M79)</f>
        <v>15133.664695366739</v>
      </c>
    </row>
    <row r="49" spans="1:17" x14ac:dyDescent="0.25">
      <c r="A49" t="s">
        <v>60</v>
      </c>
      <c r="D49" s="13">
        <f t="shared" ref="D49:M49" si="19">D67/D29</f>
        <v>29527.272727272728</v>
      </c>
      <c r="E49" s="13">
        <f t="shared" si="19"/>
        <v>28948.306595365419</v>
      </c>
      <c r="F49" s="13">
        <f t="shared" si="19"/>
        <v>28380.692740554328</v>
      </c>
      <c r="G49" s="13">
        <f t="shared" si="19"/>
        <v>27824.208569170911</v>
      </c>
      <c r="H49" s="13">
        <f t="shared" si="19"/>
        <v>27278.635852128344</v>
      </c>
      <c r="I49" s="13">
        <f t="shared" si="19"/>
        <v>26743.760639341512</v>
      </c>
      <c r="J49" s="13">
        <f t="shared" si="19"/>
        <v>26219.373175825014</v>
      </c>
      <c r="K49" s="13">
        <f t="shared" si="19"/>
        <v>25705.267819436289</v>
      </c>
      <c r="L49" s="13">
        <f t="shared" si="19"/>
        <v>25201.242960231655</v>
      </c>
      <c r="M49" s="13">
        <f t="shared" si="19"/>
        <v>24707.100941403583</v>
      </c>
    </row>
    <row r="50" spans="1:17" x14ac:dyDescent="0.25">
      <c r="D50" s="13"/>
      <c r="E50" s="13"/>
      <c r="F50" s="13"/>
      <c r="G50" s="13"/>
      <c r="H50" s="13"/>
      <c r="I50" s="13"/>
      <c r="J50" s="13"/>
      <c r="K50" s="13"/>
      <c r="L50" s="13"/>
      <c r="M50" s="13"/>
    </row>
    <row r="51" spans="1:17" x14ac:dyDescent="0.25">
      <c r="A51" t="s">
        <v>61</v>
      </c>
      <c r="D51" s="13">
        <f t="shared" ref="D51:M51" si="20">D44-SUM(D46:D49)</f>
        <v>99573.602634630457</v>
      </c>
      <c r="E51" s="13">
        <f t="shared" si="20"/>
        <v>100806.50676838058</v>
      </c>
      <c r="F51" s="13">
        <f t="shared" si="20"/>
        <v>102030.29887711551</v>
      </c>
      <c r="G51" s="13">
        <f t="shared" si="20"/>
        <v>103245.31870328929</v>
      </c>
      <c r="H51" s="13">
        <f t="shared" si="20"/>
        <v>104451.91253817547</v>
      </c>
      <c r="I51" s="13">
        <f t="shared" si="20"/>
        <v>105650.43403184059</v>
      </c>
      <c r="J51" s="13">
        <f t="shared" si="20"/>
        <v>106841.24504286132</v>
      </c>
      <c r="K51" s="13">
        <f t="shared" si="20"/>
        <v>108024.71653001528</v>
      </c>
      <c r="L51" s="13">
        <f t="shared" si="20"/>
        <v>109201.22948828788</v>
      </c>
      <c r="M51" s="13">
        <f t="shared" si="20"/>
        <v>110371.17593165347</v>
      </c>
      <c r="O51" s="20"/>
    </row>
    <row r="52" spans="1:17" x14ac:dyDescent="0.25">
      <c r="A52" t="s">
        <v>62</v>
      </c>
      <c r="D52" s="13">
        <f t="shared" ref="D52:M52" si="21">D30*D51</f>
        <v>17923.248474233482</v>
      </c>
      <c r="E52" s="13">
        <f t="shared" si="21"/>
        <v>18508.074642674674</v>
      </c>
      <c r="F52" s="13">
        <f t="shared" si="21"/>
        <v>19107.418131315175</v>
      </c>
      <c r="G52" s="13">
        <f t="shared" si="21"/>
        <v>19721.656470686441</v>
      </c>
      <c r="H52" s="13">
        <f t="shared" si="21"/>
        <v>20351.179674869105</v>
      </c>
      <c r="I52" s="13">
        <f t="shared" si="21"/>
        <v>20996.390891574574</v>
      </c>
      <c r="J52" s="13">
        <f t="shared" si="21"/>
        <v>21657.707099036383</v>
      </c>
      <c r="K52" s="13">
        <f t="shared" si="21"/>
        <v>22335.559853382871</v>
      </c>
      <c r="L52" s="13">
        <f t="shared" si="21"/>
        <v>23030.396090448077</v>
      </c>
      <c r="M52" s="13">
        <f t="shared" si="21"/>
        <v>23742.678986284456</v>
      </c>
      <c r="O52" s="20"/>
    </row>
    <row r="53" spans="1:17" x14ac:dyDescent="0.25">
      <c r="D53" s="13"/>
      <c r="E53" s="13"/>
      <c r="F53" s="13"/>
      <c r="G53" s="13"/>
      <c r="H53" s="13"/>
      <c r="I53" s="13"/>
      <c r="J53" s="13"/>
      <c r="K53" s="13"/>
      <c r="L53" s="13"/>
      <c r="M53" s="13"/>
      <c r="Q53" s="20"/>
    </row>
    <row r="54" spans="1:17" x14ac:dyDescent="0.25">
      <c r="A54" t="s">
        <v>63</v>
      </c>
      <c r="D54" s="13">
        <f t="shared" ref="D54:M54" si="22">D51-D52</f>
        <v>81650.354160396979</v>
      </c>
      <c r="E54" s="13">
        <f t="shared" si="22"/>
        <v>82298.432125705905</v>
      </c>
      <c r="F54" s="13">
        <f t="shared" si="22"/>
        <v>82922.880745800328</v>
      </c>
      <c r="G54" s="13">
        <f t="shared" si="22"/>
        <v>83523.662232602845</v>
      </c>
      <c r="H54" s="13">
        <f t="shared" si="22"/>
        <v>84100.732863306359</v>
      </c>
      <c r="I54" s="13">
        <f t="shared" si="22"/>
        <v>84654.043140266018</v>
      </c>
      <c r="J54" s="13">
        <f t="shared" si="22"/>
        <v>85183.537943824937</v>
      </c>
      <c r="K54" s="13">
        <f t="shared" si="22"/>
        <v>85689.15667663241</v>
      </c>
      <c r="L54" s="13">
        <f t="shared" si="22"/>
        <v>86170.8333978398</v>
      </c>
      <c r="M54" s="13">
        <f t="shared" si="22"/>
        <v>86628.496945369014</v>
      </c>
      <c r="O54" s="20"/>
    </row>
    <row r="55" spans="1:17" x14ac:dyDescent="0.25">
      <c r="D55" s="13"/>
      <c r="E55" s="13"/>
      <c r="F55" s="13"/>
      <c r="G55" s="13"/>
      <c r="H55" s="13"/>
      <c r="I55" s="13"/>
      <c r="J55" s="13"/>
      <c r="K55" s="13"/>
      <c r="L55" s="13"/>
      <c r="M55" s="13"/>
    </row>
    <row r="56" spans="1:17" x14ac:dyDescent="0.25">
      <c r="D56" s="13"/>
      <c r="E56" s="13"/>
      <c r="F56" s="13"/>
      <c r="G56" s="13"/>
      <c r="H56" s="13"/>
      <c r="I56" s="13"/>
      <c r="J56" s="13"/>
      <c r="K56" s="13"/>
      <c r="L56" s="13"/>
      <c r="M56" s="13"/>
    </row>
    <row r="57" spans="1:17" x14ac:dyDescent="0.25">
      <c r="A57" s="8" t="s">
        <v>64</v>
      </c>
      <c r="D57" s="13"/>
      <c r="E57" s="13"/>
      <c r="F57" s="13"/>
      <c r="G57" s="13"/>
      <c r="H57" s="13"/>
      <c r="I57" s="13"/>
      <c r="J57" s="13"/>
      <c r="K57" s="13"/>
      <c r="L57" s="13"/>
      <c r="M57" s="13"/>
    </row>
    <row r="58" spans="1:17" x14ac:dyDescent="0.25">
      <c r="A58" s="8"/>
      <c r="D58" s="13"/>
      <c r="E58" s="13"/>
      <c r="F58" s="13"/>
      <c r="G58" s="13"/>
      <c r="H58" s="13"/>
      <c r="I58" s="13"/>
      <c r="J58" s="13"/>
      <c r="K58" s="13"/>
      <c r="L58" s="13"/>
      <c r="M58" s="13"/>
    </row>
    <row r="59" spans="1:17" x14ac:dyDescent="0.25">
      <c r="A59" t="s">
        <v>65</v>
      </c>
      <c r="D59" s="13"/>
      <c r="E59" s="13"/>
      <c r="F59" s="13"/>
      <c r="G59" s="13"/>
      <c r="H59" s="13"/>
      <c r="I59" s="13"/>
      <c r="J59" s="13"/>
      <c r="K59" s="13"/>
      <c r="L59" s="13"/>
      <c r="M59" s="13"/>
    </row>
    <row r="60" spans="1:17" x14ac:dyDescent="0.25">
      <c r="A60" s="15" t="s">
        <v>66</v>
      </c>
      <c r="D60" s="13">
        <f t="shared" ref="D60:M60" si="23">D32*D38</f>
        <v>5131.4133333333339</v>
      </c>
      <c r="E60" s="13">
        <f t="shared" si="23"/>
        <v>5157.0703999999996</v>
      </c>
      <c r="F60" s="13">
        <f t="shared" si="23"/>
        <v>5182.8557519999995</v>
      </c>
      <c r="G60" s="13">
        <f t="shared" si="23"/>
        <v>5208.7700307599989</v>
      </c>
      <c r="H60" s="13">
        <f t="shared" si="23"/>
        <v>5234.813880913799</v>
      </c>
      <c r="I60" s="13">
        <f t="shared" si="23"/>
        <v>5260.9879503183674</v>
      </c>
      <c r="J60" s="13">
        <f t="shared" si="23"/>
        <v>5287.292890069959</v>
      </c>
      <c r="K60" s="13">
        <f t="shared" si="23"/>
        <v>5313.7293545203074</v>
      </c>
      <c r="L60" s="13">
        <f t="shared" si="23"/>
        <v>5340.2980012929083</v>
      </c>
      <c r="M60" s="13">
        <f t="shared" si="23"/>
        <v>5366.9994912993725</v>
      </c>
    </row>
    <row r="61" spans="1:17" x14ac:dyDescent="0.25">
      <c r="A61" s="15" t="s">
        <v>67</v>
      </c>
      <c r="D61" s="13">
        <v>21818.49</v>
      </c>
      <c r="E61" s="13">
        <v>126220.09</v>
      </c>
      <c r="F61" s="13">
        <v>230340.07</v>
      </c>
      <c r="G61" s="13">
        <v>334172.27</v>
      </c>
      <c r="H61" s="13">
        <v>437688.44</v>
      </c>
      <c r="I61" s="13">
        <v>540859.39</v>
      </c>
      <c r="J61" s="13">
        <v>643654.92000000004</v>
      </c>
      <c r="K61" s="13">
        <v>746043.74</v>
      </c>
      <c r="L61" s="13">
        <v>847993.51</v>
      </c>
      <c r="M61" s="13">
        <v>949470.74</v>
      </c>
    </row>
    <row r="62" spans="1:17" x14ac:dyDescent="0.25">
      <c r="A62" s="15" t="s">
        <v>68</v>
      </c>
      <c r="D62" s="13">
        <f t="shared" ref="D62:M62" si="24">(D26/365)*D40</f>
        <v>2214.2399999999998</v>
      </c>
      <c r="E62" s="13">
        <f t="shared" si="24"/>
        <v>2225.3111999999996</v>
      </c>
      <c r="F62" s="13">
        <f t="shared" si="24"/>
        <v>2236.4377559999998</v>
      </c>
      <c r="G62" s="13">
        <f t="shared" si="24"/>
        <v>2247.6199447799995</v>
      </c>
      <c r="H62" s="13">
        <f t="shared" si="24"/>
        <v>2258.8580445038992</v>
      </c>
      <c r="I62" s="13">
        <f t="shared" si="24"/>
        <v>2270.1523347264188</v>
      </c>
      <c r="J62" s="13">
        <f t="shared" si="24"/>
        <v>2281.5030964000503</v>
      </c>
      <c r="K62" s="13">
        <f t="shared" si="24"/>
        <v>2292.91061188205</v>
      </c>
      <c r="L62" s="13">
        <f t="shared" si="24"/>
        <v>2304.3751649414598</v>
      </c>
      <c r="M62" s="13">
        <f t="shared" si="24"/>
        <v>2315.8970407661668</v>
      </c>
    </row>
    <row r="63" spans="1:17" x14ac:dyDescent="0.25">
      <c r="A63" s="15" t="s">
        <v>69</v>
      </c>
      <c r="D63" s="13">
        <f t="shared" ref="D63:L63" si="25">(D28/365)*D42</f>
        <v>702.93333333333339</v>
      </c>
      <c r="E63" s="13">
        <f t="shared" si="25"/>
        <v>685.25455999999997</v>
      </c>
      <c r="F63" s="13">
        <f t="shared" si="25"/>
        <v>688.68083279999996</v>
      </c>
      <c r="G63" s="13">
        <f t="shared" si="25"/>
        <v>692.12423696399992</v>
      </c>
      <c r="H63" s="13">
        <f t="shared" si="25"/>
        <v>695.58485814881988</v>
      </c>
      <c r="I63" s="13">
        <f t="shared" si="25"/>
        <v>699.06278243956388</v>
      </c>
      <c r="J63" s="13">
        <f t="shared" si="25"/>
        <v>702.55809635176161</v>
      </c>
      <c r="K63" s="13">
        <f t="shared" si="25"/>
        <v>706.07088683352038</v>
      </c>
      <c r="L63" s="13">
        <f t="shared" si="25"/>
        <v>709.60124126768778</v>
      </c>
      <c r="M63" s="13">
        <f>(M28/365)*M42</f>
        <v>713.1492474740262</v>
      </c>
    </row>
    <row r="64" spans="1:17" x14ac:dyDescent="0.25">
      <c r="A64" t="s">
        <v>70</v>
      </c>
      <c r="D64" s="13">
        <f t="shared" ref="D64:M64" si="26">SUM(D60:D63)</f>
        <v>29867.076666666668</v>
      </c>
      <c r="E64" s="13">
        <f t="shared" si="26"/>
        <v>134287.72615999999</v>
      </c>
      <c r="F64" s="13">
        <f t="shared" si="26"/>
        <v>238448.0443408</v>
      </c>
      <c r="G64" s="13">
        <f t="shared" si="26"/>
        <v>342320.78421250399</v>
      </c>
      <c r="H64" s="13">
        <f t="shared" si="26"/>
        <v>445877.6967835665</v>
      </c>
      <c r="I64" s="13">
        <f t="shared" si="26"/>
        <v>549089.59306748433</v>
      </c>
      <c r="J64" s="13">
        <f t="shared" si="26"/>
        <v>651926.27408282191</v>
      </c>
      <c r="K64" s="13">
        <f t="shared" si="26"/>
        <v>754356.4508532359</v>
      </c>
      <c r="L64" s="13">
        <f t="shared" si="26"/>
        <v>856347.78440750192</v>
      </c>
      <c r="M64" s="13">
        <f t="shared" si="26"/>
        <v>957866.78577953961</v>
      </c>
    </row>
    <row r="65" spans="1:29" x14ac:dyDescent="0.25">
      <c r="D65" s="13"/>
      <c r="E65" s="13"/>
      <c r="F65" s="13"/>
      <c r="G65" s="13"/>
      <c r="H65" s="13"/>
      <c r="I65" s="13"/>
      <c r="J65" s="13"/>
      <c r="K65" s="13"/>
      <c r="L65" s="13"/>
      <c r="M65" s="13"/>
    </row>
    <row r="66" spans="1:29" x14ac:dyDescent="0.25">
      <c r="A66" t="s">
        <v>71</v>
      </c>
      <c r="D66" s="13">
        <f t="shared" ref="D66:M66" si="27">D13</f>
        <v>258000</v>
      </c>
      <c r="E66" s="13">
        <f t="shared" si="27"/>
        <v>258000</v>
      </c>
      <c r="F66" s="13">
        <f t="shared" si="27"/>
        <v>258000</v>
      </c>
      <c r="G66" s="13">
        <f t="shared" si="27"/>
        <v>258000</v>
      </c>
      <c r="H66" s="13">
        <f t="shared" si="27"/>
        <v>258000</v>
      </c>
      <c r="I66" s="13">
        <f t="shared" si="27"/>
        <v>258000</v>
      </c>
      <c r="J66" s="13">
        <f t="shared" si="27"/>
        <v>258000</v>
      </c>
      <c r="K66" s="13">
        <f t="shared" si="27"/>
        <v>258000</v>
      </c>
      <c r="L66" s="13">
        <f t="shared" si="27"/>
        <v>258000</v>
      </c>
      <c r="M66" s="13">
        <f t="shared" si="27"/>
        <v>258000</v>
      </c>
    </row>
    <row r="67" spans="1:29" x14ac:dyDescent="0.25">
      <c r="A67" t="s">
        <v>72</v>
      </c>
      <c r="D67" s="13">
        <f t="shared" ref="D67:M67" si="28">D16</f>
        <v>324800</v>
      </c>
      <c r="E67" s="13">
        <f t="shared" si="28"/>
        <v>324800</v>
      </c>
      <c r="F67" s="13">
        <f t="shared" si="28"/>
        <v>324800</v>
      </c>
      <c r="G67" s="13">
        <f t="shared" si="28"/>
        <v>324800</v>
      </c>
      <c r="H67" s="13">
        <f t="shared" si="28"/>
        <v>324800</v>
      </c>
      <c r="I67" s="13">
        <f t="shared" si="28"/>
        <v>324800</v>
      </c>
      <c r="J67" s="13">
        <f t="shared" si="28"/>
        <v>324800</v>
      </c>
      <c r="K67" s="13">
        <f t="shared" si="28"/>
        <v>324800</v>
      </c>
      <c r="L67" s="13">
        <f t="shared" si="28"/>
        <v>324800</v>
      </c>
      <c r="M67" s="13">
        <f t="shared" si="28"/>
        <v>324800</v>
      </c>
      <c r="AC67" s="18"/>
    </row>
    <row r="68" spans="1:29" x14ac:dyDescent="0.25">
      <c r="A68" t="s">
        <v>73</v>
      </c>
      <c r="D68" s="13">
        <f>D49</f>
        <v>29527.272727272728</v>
      </c>
      <c r="E68" s="13">
        <f>D68+E49</f>
        <v>58475.57932263815</v>
      </c>
      <c r="F68" s="13">
        <f t="shared" ref="F68:M68" si="29">E68+F49</f>
        <v>86856.272063192475</v>
      </c>
      <c r="G68" s="13">
        <f t="shared" si="29"/>
        <v>114680.48063236338</v>
      </c>
      <c r="H68" s="13">
        <f t="shared" si="29"/>
        <v>141959.11648449174</v>
      </c>
      <c r="I68" s="13">
        <f t="shared" si="29"/>
        <v>168702.87712383326</v>
      </c>
      <c r="J68" s="13">
        <f t="shared" si="29"/>
        <v>194922.25029965828</v>
      </c>
      <c r="K68" s="13">
        <f t="shared" si="29"/>
        <v>220627.51811909457</v>
      </c>
      <c r="L68" s="13">
        <f t="shared" si="29"/>
        <v>245828.76107932621</v>
      </c>
      <c r="M68" s="13">
        <f t="shared" si="29"/>
        <v>270535.86202072981</v>
      </c>
      <c r="AC68" s="18"/>
    </row>
    <row r="69" spans="1:29" x14ac:dyDescent="0.25">
      <c r="A69" t="s">
        <v>74</v>
      </c>
      <c r="D69" s="13">
        <f t="shared" ref="D69:M69" si="30">D66+D67-D68</f>
        <v>553272.72727272729</v>
      </c>
      <c r="E69" s="13">
        <f t="shared" si="30"/>
        <v>524324.42067736189</v>
      </c>
      <c r="F69" s="13">
        <f t="shared" si="30"/>
        <v>495943.72793680755</v>
      </c>
      <c r="G69" s="13">
        <f t="shared" si="30"/>
        <v>468119.51936763665</v>
      </c>
      <c r="H69" s="13">
        <f t="shared" si="30"/>
        <v>440840.88351550826</v>
      </c>
      <c r="I69" s="13">
        <f t="shared" si="30"/>
        <v>414097.12287616672</v>
      </c>
      <c r="J69" s="13">
        <f t="shared" si="30"/>
        <v>387877.74970034172</v>
      </c>
      <c r="K69" s="13">
        <f t="shared" si="30"/>
        <v>362172.48188090546</v>
      </c>
      <c r="L69" s="13">
        <f t="shared" si="30"/>
        <v>336971.23892067379</v>
      </c>
      <c r="M69" s="13">
        <f t="shared" si="30"/>
        <v>312264.13797927019</v>
      </c>
    </row>
    <row r="70" spans="1:29" x14ac:dyDescent="0.25">
      <c r="D70" s="13"/>
      <c r="E70" s="13"/>
      <c r="F70" s="13"/>
      <c r="G70" s="13"/>
      <c r="H70" s="13"/>
      <c r="I70" s="13"/>
      <c r="J70" s="13"/>
      <c r="K70" s="13"/>
      <c r="L70" s="13"/>
      <c r="M70" s="13"/>
    </row>
    <row r="71" spans="1:29" x14ac:dyDescent="0.25">
      <c r="A71" s="8" t="s">
        <v>75</v>
      </c>
      <c r="D71" s="13">
        <f>D69+D64</f>
        <v>583139.80393939395</v>
      </c>
      <c r="E71" s="13">
        <f t="shared" ref="E71:M71" si="31">E69+E64</f>
        <v>658612.14683736186</v>
      </c>
      <c r="F71" s="13">
        <f t="shared" si="31"/>
        <v>734391.77227760758</v>
      </c>
      <c r="G71" s="13">
        <f t="shared" si="31"/>
        <v>810440.30358014069</v>
      </c>
      <c r="H71" s="13">
        <f t="shared" si="31"/>
        <v>886718.58029907476</v>
      </c>
      <c r="I71" s="13">
        <f t="shared" si="31"/>
        <v>963186.71594365104</v>
      </c>
      <c r="J71" s="13">
        <f t="shared" si="31"/>
        <v>1039804.0237831636</v>
      </c>
      <c r="K71" s="13">
        <f t="shared" si="31"/>
        <v>1116528.9327341414</v>
      </c>
      <c r="L71" s="13">
        <f t="shared" si="31"/>
        <v>1193319.0233281758</v>
      </c>
      <c r="M71" s="13">
        <f t="shared" si="31"/>
        <v>1270130.9237588099</v>
      </c>
    </row>
    <row r="72" spans="1:29" x14ac:dyDescent="0.25">
      <c r="D72" s="13"/>
      <c r="E72" s="13"/>
      <c r="F72" s="13"/>
      <c r="G72" s="13"/>
      <c r="H72" s="13"/>
      <c r="I72" s="13"/>
      <c r="J72" s="13"/>
      <c r="K72" s="13"/>
      <c r="L72" s="13"/>
      <c r="M72" s="13"/>
    </row>
    <row r="73" spans="1:29" x14ac:dyDescent="0.25">
      <c r="A73" t="s">
        <v>76</v>
      </c>
      <c r="D73" s="13"/>
      <c r="E73" s="13"/>
      <c r="F73" s="13"/>
      <c r="G73" s="13"/>
      <c r="H73" s="13"/>
      <c r="I73" s="13"/>
      <c r="J73" s="13"/>
      <c r="K73" s="13"/>
      <c r="L73" s="13"/>
      <c r="M73" s="13"/>
    </row>
    <row r="74" spans="1:29" x14ac:dyDescent="0.25">
      <c r="A74" s="15" t="s">
        <v>77</v>
      </c>
      <c r="D74" s="13">
        <f t="shared" ref="D74:M74" si="32">(D27/365)*D42</f>
        <v>52.72</v>
      </c>
      <c r="E74" s="13">
        <f t="shared" si="32"/>
        <v>52.983599999999996</v>
      </c>
      <c r="F74" s="13">
        <f t="shared" si="32"/>
        <v>53.248517999999997</v>
      </c>
      <c r="G74" s="13">
        <f t="shared" si="32"/>
        <v>53.514760589999995</v>
      </c>
      <c r="H74" s="13">
        <f t="shared" si="32"/>
        <v>53.782334392949984</v>
      </c>
      <c r="I74" s="13">
        <f t="shared" si="32"/>
        <v>54.051246064914736</v>
      </c>
      <c r="J74" s="13">
        <f t="shared" si="32"/>
        <v>54.321502295239299</v>
      </c>
      <c r="K74" s="13">
        <f t="shared" si="32"/>
        <v>54.593109806715489</v>
      </c>
      <c r="L74" s="13">
        <f t="shared" si="32"/>
        <v>54.866075355749054</v>
      </c>
      <c r="M74" s="13">
        <f t="shared" si="32"/>
        <v>55.140405732527789</v>
      </c>
    </row>
    <row r="75" spans="1:29" x14ac:dyDescent="0.25">
      <c r="A75" s="15" t="s">
        <v>78</v>
      </c>
      <c r="D75" s="13">
        <f>'Amortization Table'!C28</f>
        <v>6826.3525204159505</v>
      </c>
      <c r="E75" s="13">
        <f>'Amortization Table'!C42</f>
        <v>7143.5114125817972</v>
      </c>
      <c r="F75" s="13">
        <f>'Amortization Table'!C56</f>
        <v>7475.4058113859246</v>
      </c>
      <c r="G75" s="13">
        <f>'Amortization Table'!C70</f>
        <v>7822.7203426145015</v>
      </c>
      <c r="H75" s="13">
        <f>'Amortization Table'!C84</f>
        <v>8186.1714404250297</v>
      </c>
      <c r="I75" s="13">
        <f>'Amortization Table'!C98</f>
        <v>8566.508825193825</v>
      </c>
      <c r="J75" s="13">
        <f>'Amortization Table'!C112</f>
        <v>8964.5170500257082</v>
      </c>
      <c r="K75" s="13">
        <f>'Amortization Table'!C126</f>
        <v>9381.017119116008</v>
      </c>
      <c r="L75" s="13">
        <f>'Amortization Table'!C140</f>
        <v>9816.8681813032235</v>
      </c>
      <c r="M75" s="13">
        <f>'Amortization Table'!C154</f>
        <v>10272.969302305764</v>
      </c>
      <c r="O75" s="20">
        <f>SUM(D75:M75)+SUM(D78:M79)</f>
        <v>3665848.4781553005</v>
      </c>
    </row>
    <row r="76" spans="1:29" x14ac:dyDescent="0.25">
      <c r="A76" t="s">
        <v>79</v>
      </c>
      <c r="D76" s="13">
        <f t="shared" ref="D76:M76" si="33">SUM(D74:D75)</f>
        <v>6879.0725204159507</v>
      </c>
      <c r="E76" s="13">
        <f t="shared" si="33"/>
        <v>7196.4950125817968</v>
      </c>
      <c r="F76" s="13">
        <f t="shared" si="33"/>
        <v>7528.6543293859249</v>
      </c>
      <c r="G76" s="13">
        <f t="shared" si="33"/>
        <v>7876.2351032045017</v>
      </c>
      <c r="H76" s="13">
        <f t="shared" si="33"/>
        <v>8239.9537748179791</v>
      </c>
      <c r="I76" s="13">
        <f t="shared" si="33"/>
        <v>8620.5600712587402</v>
      </c>
      <c r="J76" s="13">
        <f t="shared" si="33"/>
        <v>9018.8385523209472</v>
      </c>
      <c r="K76" s="13">
        <f t="shared" si="33"/>
        <v>9435.6102289227238</v>
      </c>
      <c r="L76" s="13">
        <f t="shared" si="33"/>
        <v>9871.7342566589723</v>
      </c>
      <c r="M76" s="13">
        <f t="shared" si="33"/>
        <v>10328.109708038292</v>
      </c>
    </row>
    <row r="77" spans="1:29" x14ac:dyDescent="0.25">
      <c r="D77" s="13"/>
      <c r="E77" s="13"/>
      <c r="F77" s="13"/>
      <c r="G77" s="13"/>
      <c r="H77" s="13"/>
      <c r="I77" s="13"/>
      <c r="J77" s="13"/>
      <c r="K77" s="13"/>
      <c r="L77" s="13"/>
      <c r="M77" s="13"/>
    </row>
    <row r="78" spans="1:29" x14ac:dyDescent="0.25">
      <c r="A78" s="16" t="s">
        <v>80</v>
      </c>
      <c r="D78" s="13">
        <f>'Amortization Table'!F13-D75</f>
        <v>394610.3725743441</v>
      </c>
      <c r="E78" s="13">
        <f>'Amortization Table'!F27-E75</f>
        <v>387466.86116176232</v>
      </c>
      <c r="F78" s="13">
        <f>'Amortization Table'!F41-F75</f>
        <v>379991.45535037637</v>
      </c>
      <c r="G78" s="13">
        <f>'Amortization Table'!F55-G75</f>
        <v>372168.73500776192</v>
      </c>
      <c r="H78" s="13">
        <f>'Amortization Table'!F69-H75</f>
        <v>363982.56356733682</v>
      </c>
      <c r="I78" s="13">
        <f>'Amortization Table'!F83-I75</f>
        <v>355416.05474214297</v>
      </c>
      <c r="J78" s="13">
        <f>'Amortization Table'!F97-J75</f>
        <v>346451.53769211727</v>
      </c>
      <c r="K78" s="13">
        <f>'Amortization Table'!F111-K75</f>
        <v>337070.52057300118</v>
      </c>
      <c r="L78" s="13">
        <f>'Amortization Table'!F125-L75</f>
        <v>327253.65239169792</v>
      </c>
      <c r="M78" s="13">
        <f>'Amortization Table'!F139-M75</f>
        <v>316980.6830893922</v>
      </c>
      <c r="O78" s="20">
        <f>AVERAGE(D78:M78)</f>
        <v>358139.24361499329</v>
      </c>
    </row>
    <row r="79" spans="1:29" x14ac:dyDescent="0.25">
      <c r="A79" s="16" t="s">
        <v>81</v>
      </c>
      <c r="D79" s="13">
        <v>0</v>
      </c>
      <c r="E79" s="13">
        <v>0</v>
      </c>
      <c r="F79" s="13">
        <v>0</v>
      </c>
      <c r="G79" s="13">
        <v>0</v>
      </c>
      <c r="H79" s="13">
        <v>0</v>
      </c>
      <c r="I79" s="13">
        <v>0</v>
      </c>
      <c r="J79" s="13">
        <v>0</v>
      </c>
      <c r="K79" s="13">
        <v>0</v>
      </c>
      <c r="L79" s="13">
        <v>0</v>
      </c>
      <c r="M79" s="13">
        <v>0</v>
      </c>
    </row>
    <row r="80" spans="1:29" x14ac:dyDescent="0.25">
      <c r="A80" s="16"/>
      <c r="D80" s="13"/>
      <c r="E80" s="13"/>
      <c r="F80" s="13"/>
      <c r="G80" s="13"/>
      <c r="H80" s="13"/>
      <c r="I80" s="13"/>
      <c r="J80" s="13"/>
      <c r="K80" s="13"/>
      <c r="L80" s="13"/>
      <c r="M80" s="13"/>
    </row>
    <row r="81" spans="1:15" x14ac:dyDescent="0.25">
      <c r="A81" t="s">
        <v>82</v>
      </c>
      <c r="D81" s="13">
        <f t="shared" ref="D81:M81" si="34">SUM(D78:D79)+D76</f>
        <v>401489.44509476004</v>
      </c>
      <c r="E81" s="13">
        <f t="shared" si="34"/>
        <v>394663.35617434414</v>
      </c>
      <c r="F81" s="13">
        <f t="shared" si="34"/>
        <v>387520.10967976227</v>
      </c>
      <c r="G81" s="13">
        <f t="shared" si="34"/>
        <v>380044.97011096642</v>
      </c>
      <c r="H81" s="13">
        <f t="shared" si="34"/>
        <v>372222.51734215481</v>
      </c>
      <c r="I81" s="13">
        <f t="shared" si="34"/>
        <v>364036.61481340171</v>
      </c>
      <c r="J81" s="13">
        <f t="shared" si="34"/>
        <v>355470.37624443823</v>
      </c>
      <c r="K81" s="13">
        <f t="shared" si="34"/>
        <v>346506.13080192392</v>
      </c>
      <c r="L81" s="13">
        <f t="shared" si="34"/>
        <v>337125.38664835691</v>
      </c>
      <c r="M81" s="13">
        <f t="shared" si="34"/>
        <v>327308.79279743048</v>
      </c>
    </row>
    <row r="82" spans="1:15" x14ac:dyDescent="0.25">
      <c r="D82" s="13"/>
      <c r="E82" s="13"/>
      <c r="F82" s="13"/>
      <c r="G82" s="13"/>
      <c r="H82" s="13"/>
      <c r="I82" s="13"/>
      <c r="J82" s="13"/>
      <c r="K82" s="13"/>
      <c r="L82" s="13"/>
      <c r="M82" s="13"/>
    </row>
    <row r="83" spans="1:15" x14ac:dyDescent="0.25">
      <c r="A83" s="16" t="s">
        <v>83</v>
      </c>
      <c r="D83" s="13">
        <v>100000</v>
      </c>
      <c r="E83" s="13">
        <v>100000</v>
      </c>
      <c r="F83" s="13">
        <v>100000</v>
      </c>
      <c r="G83" s="13">
        <v>100000</v>
      </c>
      <c r="H83" s="13">
        <v>100000</v>
      </c>
      <c r="I83" s="13">
        <v>100000</v>
      </c>
      <c r="J83" s="13">
        <v>100000</v>
      </c>
      <c r="K83" s="13">
        <v>100000</v>
      </c>
      <c r="L83" s="13">
        <v>100000</v>
      </c>
      <c r="M83" s="13">
        <v>100000</v>
      </c>
      <c r="O83" s="20">
        <f>SUM(D83:M84)</f>
        <v>5589884.5107573597</v>
      </c>
    </row>
    <row r="84" spans="1:15" x14ac:dyDescent="0.25">
      <c r="A84" s="16" t="s">
        <v>84</v>
      </c>
      <c r="D84" s="13">
        <f>D54</f>
        <v>81650.354160396979</v>
      </c>
      <c r="E84" s="13">
        <f t="shared" ref="E84:M84" si="35">D84+E54</f>
        <v>163948.7862861029</v>
      </c>
      <c r="F84" s="13">
        <f t="shared" si="35"/>
        <v>246871.66703190323</v>
      </c>
      <c r="G84" s="13">
        <f t="shared" si="35"/>
        <v>330395.32926450606</v>
      </c>
      <c r="H84" s="13">
        <f t="shared" si="35"/>
        <v>414496.06212781242</v>
      </c>
      <c r="I84" s="13">
        <f t="shared" si="35"/>
        <v>499150.10526807845</v>
      </c>
      <c r="J84" s="13">
        <f t="shared" si="35"/>
        <v>584333.6432119034</v>
      </c>
      <c r="K84" s="13">
        <f t="shared" si="35"/>
        <v>670022.79988853587</v>
      </c>
      <c r="L84" s="13">
        <f t="shared" si="35"/>
        <v>756193.63328637567</v>
      </c>
      <c r="M84" s="13">
        <f t="shared" si="35"/>
        <v>842822.13023174473</v>
      </c>
      <c r="O84" s="20">
        <f>O75+O83</f>
        <v>9255732.9889126606</v>
      </c>
    </row>
    <row r="85" spans="1:15" x14ac:dyDescent="0.25">
      <c r="A85" t="s">
        <v>85</v>
      </c>
      <c r="D85" s="13">
        <f t="shared" ref="D85:M85" si="36">SUM(D83:D84)</f>
        <v>181650.35416039696</v>
      </c>
      <c r="E85" s="13">
        <f t="shared" si="36"/>
        <v>263948.7862861029</v>
      </c>
      <c r="F85" s="13">
        <f t="shared" si="36"/>
        <v>346871.66703190323</v>
      </c>
      <c r="G85" s="13">
        <f t="shared" si="36"/>
        <v>430395.32926450606</v>
      </c>
      <c r="H85" s="13">
        <f t="shared" si="36"/>
        <v>514496.06212781242</v>
      </c>
      <c r="I85" s="13">
        <f t="shared" si="36"/>
        <v>599150.10526807839</v>
      </c>
      <c r="J85" s="13">
        <f t="shared" si="36"/>
        <v>684333.6432119034</v>
      </c>
      <c r="K85" s="13">
        <f t="shared" si="36"/>
        <v>770022.79988853587</v>
      </c>
      <c r="L85" s="13">
        <f t="shared" si="36"/>
        <v>856193.63328637567</v>
      </c>
      <c r="M85" s="13">
        <f t="shared" si="36"/>
        <v>942822.13023174473</v>
      </c>
    </row>
    <row r="86" spans="1:15" x14ac:dyDescent="0.25">
      <c r="D86" s="13"/>
      <c r="E86" s="13"/>
      <c r="F86" s="13"/>
      <c r="G86" s="13"/>
      <c r="H86" s="13"/>
      <c r="I86" s="13"/>
      <c r="J86" s="13"/>
      <c r="K86" s="13"/>
      <c r="L86" s="13"/>
      <c r="M86" s="13"/>
    </row>
    <row r="87" spans="1:15" x14ac:dyDescent="0.25">
      <c r="A87" s="8" t="s">
        <v>86</v>
      </c>
      <c r="D87" s="13">
        <f t="shared" ref="D87:M87" si="37">D85+D81</f>
        <v>583139.79925515701</v>
      </c>
      <c r="E87" s="13">
        <f t="shared" si="37"/>
        <v>658612.14246044704</v>
      </c>
      <c r="F87" s="13">
        <f t="shared" si="37"/>
        <v>734391.77671166556</v>
      </c>
      <c r="G87" s="13">
        <f t="shared" si="37"/>
        <v>810440.29937547247</v>
      </c>
      <c r="H87" s="13">
        <f t="shared" si="37"/>
        <v>886718.57946996717</v>
      </c>
      <c r="I87" s="13">
        <f t="shared" si="37"/>
        <v>963186.7200814801</v>
      </c>
      <c r="J87" s="13">
        <f t="shared" si="37"/>
        <v>1039804.0194563416</v>
      </c>
      <c r="K87" s="13">
        <f t="shared" si="37"/>
        <v>1116528.9306904599</v>
      </c>
      <c r="L87" s="13">
        <f t="shared" si="37"/>
        <v>1193319.0199347325</v>
      </c>
      <c r="M87" s="13">
        <f t="shared" si="37"/>
        <v>1270130.9230291753</v>
      </c>
    </row>
    <row r="88" spans="1:15" x14ac:dyDescent="0.25">
      <c r="D88" s="13"/>
      <c r="E88" s="13"/>
      <c r="F88" s="13"/>
      <c r="G88" s="13"/>
      <c r="H88" s="13"/>
      <c r="I88" s="13"/>
      <c r="J88" s="13"/>
      <c r="K88" s="13"/>
      <c r="L88" s="13"/>
      <c r="M88" s="13"/>
    </row>
    <row r="89" spans="1:15" x14ac:dyDescent="0.25">
      <c r="A89" t="s">
        <v>87</v>
      </c>
      <c r="D89" s="12">
        <f>D71-D87</f>
        <v>4.6842369483783841E-3</v>
      </c>
      <c r="E89" s="12">
        <f>E71-E87</f>
        <v>4.3769148178398609E-3</v>
      </c>
      <c r="F89" s="12">
        <f t="shared" ref="F89:M89" si="38">F71-F87</f>
        <v>-4.4340579770505428E-3</v>
      </c>
      <c r="G89" s="12">
        <f t="shared" si="38"/>
        <v>4.2046682210639119E-3</v>
      </c>
      <c r="H89" s="12">
        <f t="shared" si="38"/>
        <v>8.2910759374499321E-4</v>
      </c>
      <c r="I89" s="12">
        <f t="shared" si="38"/>
        <v>-4.1378290625289083E-3</v>
      </c>
      <c r="J89" s="12">
        <f t="shared" si="38"/>
        <v>4.3268220033496618E-3</v>
      </c>
      <c r="K89" s="12">
        <f t="shared" si="38"/>
        <v>2.0436814520508051E-3</v>
      </c>
      <c r="L89" s="12">
        <f t="shared" si="38"/>
        <v>3.393443301320076E-3</v>
      </c>
      <c r="M89" s="12">
        <f t="shared" si="38"/>
        <v>7.2963465936481953E-4</v>
      </c>
    </row>
    <row r="92" spans="1:15" s="19" customFormat="1" x14ac:dyDescent="0.25"/>
    <row r="93" spans="1:15" x14ac:dyDescent="0.25">
      <c r="A93" s="8" t="s">
        <v>88</v>
      </c>
    </row>
    <row r="95" spans="1:15" x14ac:dyDescent="0.25">
      <c r="A95" s="8" t="s">
        <v>89</v>
      </c>
    </row>
    <row r="96" spans="1:15" x14ac:dyDescent="0.25">
      <c r="A96" t="s">
        <v>90</v>
      </c>
      <c r="D96" s="20">
        <f>D40-D42-D46-D47</f>
        <v>147528.13333333336</v>
      </c>
      <c r="E96" s="20">
        <f t="shared" ref="E96:M96" si="39">E40-E42-E46-E47</f>
        <v>147878.99372</v>
      </c>
      <c r="F96" s="20">
        <f t="shared" si="39"/>
        <v>148218.01308175802</v>
      </c>
      <c r="G96" s="20">
        <f t="shared" si="39"/>
        <v>148544.65433774423</v>
      </c>
      <c r="H96" s="20">
        <f t="shared" si="39"/>
        <v>148858.36092435927</v>
      </c>
      <c r="I96" s="20">
        <f t="shared" si="39"/>
        <v>149158.55610742705</v>
      </c>
      <c r="J96" s="20">
        <f t="shared" si="39"/>
        <v>149444.64227016247</v>
      </c>
      <c r="K96" s="20">
        <f t="shared" si="39"/>
        <v>149716.00017609584</v>
      </c>
      <c r="L96" s="20">
        <f t="shared" si="39"/>
        <v>149971.9882060735</v>
      </c>
      <c r="M96" s="20">
        <f t="shared" si="39"/>
        <v>150211.94156842382</v>
      </c>
    </row>
    <row r="97" spans="1:16" x14ac:dyDescent="0.25">
      <c r="A97" t="s">
        <v>91</v>
      </c>
      <c r="D97" s="20">
        <f>D49</f>
        <v>29527.272727272728</v>
      </c>
      <c r="E97" s="20">
        <f t="shared" ref="E97:M97" si="40">E49</f>
        <v>28948.306595365419</v>
      </c>
      <c r="F97" s="20">
        <f t="shared" si="40"/>
        <v>28380.692740554328</v>
      </c>
      <c r="G97" s="20">
        <f t="shared" si="40"/>
        <v>27824.208569170911</v>
      </c>
      <c r="H97" s="20">
        <f t="shared" si="40"/>
        <v>27278.635852128344</v>
      </c>
      <c r="I97" s="20">
        <f t="shared" si="40"/>
        <v>26743.760639341512</v>
      </c>
      <c r="J97" s="20">
        <f t="shared" si="40"/>
        <v>26219.373175825014</v>
      </c>
      <c r="K97" s="20">
        <f t="shared" si="40"/>
        <v>25705.267819436289</v>
      </c>
      <c r="L97" s="20">
        <f t="shared" si="40"/>
        <v>25201.242960231655</v>
      </c>
      <c r="M97" s="20">
        <f t="shared" si="40"/>
        <v>24707.100941403583</v>
      </c>
    </row>
    <row r="98" spans="1:16" x14ac:dyDescent="0.25">
      <c r="A98" t="s">
        <v>92</v>
      </c>
      <c r="D98" s="20">
        <f>D96-D97</f>
        <v>118000.86060606063</v>
      </c>
      <c r="E98" s="20">
        <f t="shared" ref="E98:M98" si="41">E96-E97</f>
        <v>118930.68712463458</v>
      </c>
      <c r="F98" s="20">
        <f t="shared" si="41"/>
        <v>119837.3203412037</v>
      </c>
      <c r="G98" s="20">
        <f t="shared" si="41"/>
        <v>120720.44576857332</v>
      </c>
      <c r="H98" s="20">
        <f t="shared" si="41"/>
        <v>121579.72507223093</v>
      </c>
      <c r="I98" s="20">
        <f t="shared" si="41"/>
        <v>122414.79546808553</v>
      </c>
      <c r="J98" s="20">
        <f t="shared" si="41"/>
        <v>123225.26909433745</v>
      </c>
      <c r="K98" s="20">
        <f t="shared" si="41"/>
        <v>124010.73235665954</v>
      </c>
      <c r="L98" s="20">
        <f t="shared" si="41"/>
        <v>124770.74524584184</v>
      </c>
      <c r="M98" s="20">
        <f t="shared" si="41"/>
        <v>125504.84062702024</v>
      </c>
    </row>
    <row r="99" spans="1:16" x14ac:dyDescent="0.25">
      <c r="A99" t="s">
        <v>93</v>
      </c>
      <c r="D99" s="21">
        <f>D30*D98</f>
        <v>21240.15490909091</v>
      </c>
      <c r="E99" s="21">
        <f t="shared" ref="E99:M99" si="42">E30*E98</f>
        <v>21835.674156082907</v>
      </c>
      <c r="F99" s="21">
        <f t="shared" si="42"/>
        <v>22442.174654937899</v>
      </c>
      <c r="G99" s="21">
        <f t="shared" si="42"/>
        <v>23059.71050637171</v>
      </c>
      <c r="H99" s="21">
        <f t="shared" si="42"/>
        <v>23688.324795985398</v>
      </c>
      <c r="I99" s="21">
        <f t="shared" si="42"/>
        <v>24328.048626714171</v>
      </c>
      <c r="J99" s="21">
        <f t="shared" si="42"/>
        <v>24978.900088392569</v>
      </c>
      <c r="K99" s="21">
        <f t="shared" si="42"/>
        <v>25640.883160701418</v>
      </c>
      <c r="L99" s="21">
        <f t="shared" si="42"/>
        <v>26313.986545548203</v>
      </c>
      <c r="M99" s="21">
        <f t="shared" si="42"/>
        <v>26998.182424706294</v>
      </c>
    </row>
    <row r="100" spans="1:16" x14ac:dyDescent="0.25">
      <c r="A100" t="s">
        <v>94</v>
      </c>
      <c r="D100" s="21">
        <f>D96-D99</f>
        <v>126287.97842424245</v>
      </c>
      <c r="E100" s="21">
        <f t="shared" ref="E100:M100" si="43">E96-E99</f>
        <v>126043.31956391709</v>
      </c>
      <c r="F100" s="21">
        <f t="shared" si="43"/>
        <v>125775.83842682012</v>
      </c>
      <c r="G100" s="21">
        <f t="shared" si="43"/>
        <v>125484.94383137251</v>
      </c>
      <c r="H100" s="21">
        <f t="shared" si="43"/>
        <v>125170.03612837387</v>
      </c>
      <c r="I100" s="21">
        <f t="shared" si="43"/>
        <v>124830.50748071288</v>
      </c>
      <c r="J100" s="21">
        <f t="shared" si="43"/>
        <v>124465.74218176989</v>
      </c>
      <c r="K100" s="21">
        <f t="shared" si="43"/>
        <v>124075.11701539443</v>
      </c>
      <c r="L100" s="21">
        <f t="shared" si="43"/>
        <v>123658.00166052529</v>
      </c>
      <c r="M100" s="21">
        <f t="shared" si="43"/>
        <v>123213.75914371753</v>
      </c>
    </row>
    <row r="102" spans="1:16" x14ac:dyDescent="0.25">
      <c r="A102" s="8" t="s">
        <v>95</v>
      </c>
    </row>
    <row r="103" spans="1:16" x14ac:dyDescent="0.25">
      <c r="A103" t="s">
        <v>96</v>
      </c>
    </row>
    <row r="104" spans="1:16" x14ac:dyDescent="0.25">
      <c r="A104" t="s">
        <v>97</v>
      </c>
      <c r="C104" s="20">
        <f>-(D60-C60)</f>
        <v>-5131.4133333333339</v>
      </c>
      <c r="D104" s="20">
        <f t="shared" ref="D104:M104" si="44">-(E60-D60)</f>
        <v>-25.657066666665742</v>
      </c>
      <c r="E104" s="20">
        <f t="shared" si="44"/>
        <v>-25.785351999999875</v>
      </c>
      <c r="F104" s="20">
        <f t="shared" si="44"/>
        <v>-25.914278759999434</v>
      </c>
      <c r="G104" s="20">
        <f t="shared" si="44"/>
        <v>-26.043850153800122</v>
      </c>
      <c r="H104" s="20">
        <f t="shared" si="44"/>
        <v>-26.174069404568399</v>
      </c>
      <c r="I104" s="20">
        <f t="shared" si="44"/>
        <v>-26.304939751591519</v>
      </c>
      <c r="J104" s="20">
        <f t="shared" si="44"/>
        <v>-26.436464450348467</v>
      </c>
      <c r="K104" s="20">
        <f t="shared" si="44"/>
        <v>-26.568646772600914</v>
      </c>
      <c r="L104" s="20">
        <f t="shared" si="44"/>
        <v>-26.701490006464155</v>
      </c>
      <c r="M104" s="20">
        <f t="shared" si="44"/>
        <v>5366.9994912993725</v>
      </c>
    </row>
    <row r="105" spans="1:16" x14ac:dyDescent="0.25">
      <c r="A105" t="s">
        <v>67</v>
      </c>
      <c r="C105" s="20">
        <f>-(D61-C61)</f>
        <v>-21818.49</v>
      </c>
      <c r="D105" s="20">
        <f t="shared" ref="D105:M105" si="45">-(E61-D61)</f>
        <v>-104401.59999999999</v>
      </c>
      <c r="E105" s="20">
        <f t="shared" si="45"/>
        <v>-104119.98000000001</v>
      </c>
      <c r="F105" s="20">
        <f t="shared" si="45"/>
        <v>-103832.20000000001</v>
      </c>
      <c r="G105" s="20">
        <f t="shared" si="45"/>
        <v>-103516.16999999998</v>
      </c>
      <c r="H105" s="20">
        <f t="shared" si="45"/>
        <v>-103170.95000000001</v>
      </c>
      <c r="I105" s="20">
        <f t="shared" si="45"/>
        <v>-102795.53000000003</v>
      </c>
      <c r="J105" s="20">
        <f t="shared" si="45"/>
        <v>-102388.81999999995</v>
      </c>
      <c r="K105" s="20">
        <f t="shared" si="45"/>
        <v>-101949.77000000002</v>
      </c>
      <c r="L105" s="20">
        <f t="shared" si="45"/>
        <v>-101477.22999999998</v>
      </c>
      <c r="M105" s="20">
        <f t="shared" si="45"/>
        <v>949470.74</v>
      </c>
    </row>
    <row r="106" spans="1:16" x14ac:dyDescent="0.25">
      <c r="A106" t="s">
        <v>68</v>
      </c>
      <c r="C106" s="20">
        <f>-(D62-C62)</f>
        <v>-2214.2399999999998</v>
      </c>
      <c r="D106" s="20">
        <f t="shared" ref="D106:M106" si="46">-(E62-D62)</f>
        <v>-11.071199999999862</v>
      </c>
      <c r="E106" s="20">
        <f t="shared" si="46"/>
        <v>-11.126556000000164</v>
      </c>
      <c r="F106" s="20">
        <f t="shared" si="46"/>
        <v>-11.182188779999706</v>
      </c>
      <c r="G106" s="20">
        <f t="shared" si="46"/>
        <v>-11.238099723899722</v>
      </c>
      <c r="H106" s="20">
        <f t="shared" si="46"/>
        <v>-11.294290222519521</v>
      </c>
      <c r="I106" s="20">
        <f t="shared" si="46"/>
        <v>-11.350761673631496</v>
      </c>
      <c r="J106" s="20">
        <f t="shared" si="46"/>
        <v>-11.407515481999781</v>
      </c>
      <c r="K106" s="20">
        <f t="shared" si="46"/>
        <v>-11.464553059409809</v>
      </c>
      <c r="L106" s="20">
        <f t="shared" si="46"/>
        <v>-11.521875824706967</v>
      </c>
      <c r="M106" s="20">
        <f t="shared" si="46"/>
        <v>2315.8970407661668</v>
      </c>
    </row>
    <row r="107" spans="1:16" x14ac:dyDescent="0.25">
      <c r="A107" t="s">
        <v>69</v>
      </c>
      <c r="C107" s="20">
        <f>-(D63-C63)</f>
        <v>-702.93333333333339</v>
      </c>
      <c r="D107" s="20">
        <f t="shared" ref="D107:M107" si="47">-(E63-D63)</f>
        <v>17.678773333333424</v>
      </c>
      <c r="E107" s="20">
        <f t="shared" si="47"/>
        <v>-3.4262727999999925</v>
      </c>
      <c r="F107" s="20">
        <f t="shared" si="47"/>
        <v>-3.4434041639999577</v>
      </c>
      <c r="G107" s="20">
        <f t="shared" si="47"/>
        <v>-3.4606211848199564</v>
      </c>
      <c r="H107" s="20">
        <f t="shared" si="47"/>
        <v>-3.4779242907439993</v>
      </c>
      <c r="I107" s="20">
        <f t="shared" si="47"/>
        <v>-3.4953139121977301</v>
      </c>
      <c r="J107" s="20">
        <f t="shared" si="47"/>
        <v>-3.5127904817587705</v>
      </c>
      <c r="K107" s="20">
        <f t="shared" si="47"/>
        <v>-3.5303544341674069</v>
      </c>
      <c r="L107" s="20">
        <f t="shared" si="47"/>
        <v>-3.5480062063384139</v>
      </c>
      <c r="M107" s="20">
        <f t="shared" si="47"/>
        <v>713.1492474740262</v>
      </c>
    </row>
    <row r="108" spans="1:16" x14ac:dyDescent="0.25">
      <c r="A108" t="s">
        <v>98</v>
      </c>
      <c r="C108" s="20">
        <f>(D74-C74)</f>
        <v>52.72</v>
      </c>
      <c r="D108" s="20">
        <f t="shared" ref="D108:M108" si="48">(E74-D74)</f>
        <v>0.26359999999999673</v>
      </c>
      <c r="E108" s="20">
        <f t="shared" si="48"/>
        <v>0.26491800000000154</v>
      </c>
      <c r="F108" s="20">
        <f t="shared" si="48"/>
        <v>0.26624258999999739</v>
      </c>
      <c r="G108" s="20">
        <f t="shared" si="48"/>
        <v>0.26757380294998967</v>
      </c>
      <c r="H108" s="20">
        <f t="shared" si="48"/>
        <v>0.26891167196475152</v>
      </c>
      <c r="I108" s="20">
        <f t="shared" si="48"/>
        <v>0.27025623032456281</v>
      </c>
      <c r="J108" s="20">
        <f t="shared" si="48"/>
        <v>0.27160751147619067</v>
      </c>
      <c r="K108" s="20">
        <f t="shared" si="48"/>
        <v>0.27296554903356451</v>
      </c>
      <c r="L108" s="20">
        <f t="shared" si="48"/>
        <v>0.27433037677873529</v>
      </c>
      <c r="M108" s="20">
        <f t="shared" si="48"/>
        <v>-55.140405732527789</v>
      </c>
    </row>
    <row r="109" spans="1:16" x14ac:dyDescent="0.25">
      <c r="A109" t="s">
        <v>99</v>
      </c>
      <c r="C109" s="21">
        <f>(D99-C99)</f>
        <v>21240.15490909091</v>
      </c>
      <c r="D109" s="21">
        <f t="shared" ref="D109:M109" si="49">(E99-D99)</f>
        <v>595.51924699199662</v>
      </c>
      <c r="E109" s="21">
        <f t="shared" si="49"/>
        <v>606.50049885499175</v>
      </c>
      <c r="F109" s="21">
        <f t="shared" si="49"/>
        <v>617.53585143381133</v>
      </c>
      <c r="G109" s="21">
        <f t="shared" si="49"/>
        <v>628.61428961368802</v>
      </c>
      <c r="H109" s="21">
        <f t="shared" si="49"/>
        <v>639.72383072877346</v>
      </c>
      <c r="I109" s="21">
        <f t="shared" si="49"/>
        <v>650.85146167839775</v>
      </c>
      <c r="J109" s="21">
        <f t="shared" si="49"/>
        <v>661.98307230884893</v>
      </c>
      <c r="K109" s="21">
        <f t="shared" si="49"/>
        <v>673.10338484678505</v>
      </c>
      <c r="L109" s="21">
        <f t="shared" si="49"/>
        <v>684.19587915809097</v>
      </c>
      <c r="M109" s="21">
        <f t="shared" si="49"/>
        <v>-26998.182424706294</v>
      </c>
      <c r="O109" s="20"/>
    </row>
    <row r="111" spans="1:16" x14ac:dyDescent="0.25">
      <c r="A111" t="s">
        <v>100</v>
      </c>
      <c r="O111" s="31" t="s">
        <v>101</v>
      </c>
      <c r="P111" s="31"/>
    </row>
    <row r="112" spans="1:16" x14ac:dyDescent="0.25">
      <c r="A112" t="s">
        <v>71</v>
      </c>
      <c r="C112" s="20">
        <f>-(D66-C66)</f>
        <v>-258000</v>
      </c>
      <c r="D112" s="20">
        <f t="shared" ref="D112:M112" si="50">-(E66-D66)</f>
        <v>0</v>
      </c>
      <c r="E112" s="20">
        <f t="shared" si="50"/>
        <v>0</v>
      </c>
      <c r="F112" s="20">
        <f t="shared" si="50"/>
        <v>0</v>
      </c>
      <c r="G112" s="20">
        <f t="shared" si="50"/>
        <v>0</v>
      </c>
      <c r="H112" s="20">
        <f t="shared" si="50"/>
        <v>0</v>
      </c>
      <c r="I112" s="20">
        <f t="shared" si="50"/>
        <v>0</v>
      </c>
      <c r="J112" s="20">
        <f t="shared" si="50"/>
        <v>0</v>
      </c>
      <c r="K112" s="20">
        <f t="shared" si="50"/>
        <v>0</v>
      </c>
      <c r="L112" s="20">
        <f t="shared" si="50"/>
        <v>0</v>
      </c>
      <c r="M112" s="20">
        <f t="shared" si="50"/>
        <v>258000</v>
      </c>
      <c r="O112" s="31"/>
      <c r="P112" s="31"/>
    </row>
    <row r="113" spans="1:16" x14ac:dyDescent="0.25">
      <c r="A113" t="s">
        <v>102</v>
      </c>
      <c r="M113" s="20">
        <v>42000</v>
      </c>
      <c r="O113" s="31"/>
      <c r="P113" s="31"/>
    </row>
    <row r="114" spans="1:16" x14ac:dyDescent="0.25">
      <c r="A114" t="s">
        <v>103</v>
      </c>
      <c r="M114" s="20">
        <f>-((M113+M112)-M112)*M30</f>
        <v>-9034.8998187846719</v>
      </c>
    </row>
    <row r="116" spans="1:16" x14ac:dyDescent="0.25">
      <c r="A116" t="s">
        <v>72</v>
      </c>
      <c r="C116" s="20">
        <f>-(D67-C67)</f>
        <v>-324800</v>
      </c>
      <c r="D116" s="20">
        <f t="shared" ref="D116:L116" si="51">-(E67-D67)</f>
        <v>0</v>
      </c>
      <c r="E116" s="20">
        <f t="shared" si="51"/>
        <v>0</v>
      </c>
      <c r="F116" s="20">
        <f t="shared" si="51"/>
        <v>0</v>
      </c>
      <c r="G116" s="20">
        <f t="shared" si="51"/>
        <v>0</v>
      </c>
      <c r="H116" s="20">
        <f t="shared" si="51"/>
        <v>0</v>
      </c>
      <c r="I116" s="20">
        <f t="shared" si="51"/>
        <v>0</v>
      </c>
      <c r="J116" s="20">
        <f t="shared" si="51"/>
        <v>0</v>
      </c>
      <c r="K116" s="20">
        <f t="shared" si="51"/>
        <v>0</v>
      </c>
      <c r="L116" s="20">
        <f t="shared" si="51"/>
        <v>0</v>
      </c>
      <c r="M116" s="20">
        <f>-(N67-M67)</f>
        <v>324800</v>
      </c>
      <c r="N116" t="s">
        <v>104</v>
      </c>
      <c r="O116" s="20">
        <f>M67-M68</f>
        <v>54264.137979270192</v>
      </c>
    </row>
    <row r="117" spans="1:16" x14ac:dyDescent="0.25">
      <c r="A117" t="s">
        <v>102</v>
      </c>
      <c r="M117" s="20">
        <v>-49800</v>
      </c>
      <c r="N117" t="s">
        <v>105</v>
      </c>
      <c r="O117" s="20">
        <f>(M116+M117)-O116</f>
        <v>220735.86202072981</v>
      </c>
    </row>
    <row r="118" spans="1:16" x14ac:dyDescent="0.25">
      <c r="A118" t="s">
        <v>106</v>
      </c>
      <c r="M118" s="21">
        <f>-M30*O117</f>
        <v>-47483.961899294532</v>
      </c>
    </row>
    <row r="119" spans="1:16" x14ac:dyDescent="0.25">
      <c r="M119" s="20"/>
      <c r="O119" s="31" t="s">
        <v>107</v>
      </c>
      <c r="P119" s="31"/>
    </row>
    <row r="120" spans="1:16" x14ac:dyDescent="0.25">
      <c r="A120" t="s">
        <v>108</v>
      </c>
      <c r="C120" s="20">
        <v>-21374.402423314001</v>
      </c>
      <c r="O120" s="31"/>
      <c r="P120" s="31"/>
    </row>
    <row r="121" spans="1:16" x14ac:dyDescent="0.25">
      <c r="O121" s="31"/>
      <c r="P121" s="31"/>
    </row>
    <row r="122" spans="1:16" x14ac:dyDescent="0.25">
      <c r="A122" s="8" t="s">
        <v>109</v>
      </c>
      <c r="C122" s="2">
        <f>SUM(C100:C120)</f>
        <v>-612748.60418088979</v>
      </c>
      <c r="D122" s="2">
        <f t="shared" ref="D122:K122" si="52">SUM(D100:D120)</f>
        <v>22463.111777901122</v>
      </c>
      <c r="E122" s="2">
        <f>SUM(E100:E120)</f>
        <v>22489.766799972065</v>
      </c>
      <c r="F122" s="2">
        <f t="shared" si="52"/>
        <v>22520.90064913992</v>
      </c>
      <c r="G122" s="2">
        <f t="shared" si="52"/>
        <v>22556.913123726645</v>
      </c>
      <c r="H122" s="2">
        <f t="shared" si="52"/>
        <v>22598.132586856766</v>
      </c>
      <c r="I122" s="2">
        <f t="shared" si="52"/>
        <v>22644.948183284163</v>
      </c>
      <c r="J122" s="2">
        <f t="shared" si="52"/>
        <v>22697.82009117616</v>
      </c>
      <c r="K122" s="2">
        <f t="shared" si="52"/>
        <v>22757.159811524045</v>
      </c>
      <c r="L122" s="2">
        <f>SUM(L100:L120)</f>
        <v>22823.470498022663</v>
      </c>
      <c r="M122" s="2">
        <f>SUM(M100:M120)</f>
        <v>1572508.3603747392</v>
      </c>
    </row>
    <row r="123" spans="1:16" x14ac:dyDescent="0.25">
      <c r="A123" s="8" t="s">
        <v>110</v>
      </c>
      <c r="C123" s="4">
        <f>I140</f>
        <v>0.12282737072438582</v>
      </c>
    </row>
    <row r="124" spans="1:16" x14ac:dyDescent="0.25">
      <c r="A124" s="8" t="s">
        <v>111</v>
      </c>
      <c r="C124" s="4">
        <f>IRR(C122:M122)</f>
        <v>0.1228273707243801</v>
      </c>
    </row>
    <row r="125" spans="1:16" x14ac:dyDescent="0.25">
      <c r="A125" s="8" t="s">
        <v>112</v>
      </c>
      <c r="C125" s="5">
        <f>NPV(C123,D122:M122)+C122</f>
        <v>0</v>
      </c>
    </row>
    <row r="126" spans="1:16" x14ac:dyDescent="0.25">
      <c r="A126" s="8" t="s">
        <v>113</v>
      </c>
      <c r="C126" s="5">
        <f>C125+ABS(C122)</f>
        <v>612748.60418088979</v>
      </c>
    </row>
    <row r="128" spans="1:16" x14ac:dyDescent="0.25">
      <c r="A128" s="8" t="s">
        <v>114</v>
      </c>
    </row>
    <row r="129" spans="1:20" x14ac:dyDescent="0.25">
      <c r="A129" s="8" t="s">
        <v>115</v>
      </c>
      <c r="D129" s="21">
        <f>D44-D46-D47-D49</f>
        <v>118000.86060606063</v>
      </c>
      <c r="E129" s="21">
        <f t="shared" ref="E129:M129" si="53">E44-E46-E47-E49</f>
        <v>118930.68712463458</v>
      </c>
      <c r="F129" s="21">
        <f t="shared" si="53"/>
        <v>119837.3203412037</v>
      </c>
      <c r="G129" s="21">
        <f t="shared" si="53"/>
        <v>120720.44576857332</v>
      </c>
      <c r="H129" s="21">
        <f t="shared" si="53"/>
        <v>121579.72507223093</v>
      </c>
      <c r="I129" s="21">
        <f t="shared" si="53"/>
        <v>122414.79546808553</v>
      </c>
      <c r="J129" s="21">
        <f t="shared" si="53"/>
        <v>123225.26909433745</v>
      </c>
      <c r="K129" s="21">
        <f t="shared" si="53"/>
        <v>124010.73235665954</v>
      </c>
      <c r="L129" s="21">
        <f t="shared" si="53"/>
        <v>124770.74524584184</v>
      </c>
      <c r="M129" s="21">
        <f t="shared" si="53"/>
        <v>125504.84062702024</v>
      </c>
    </row>
    <row r="130" spans="1:20" x14ac:dyDescent="0.25">
      <c r="A130" s="8" t="s">
        <v>116</v>
      </c>
      <c r="D130" s="21">
        <f>D48</f>
        <v>18427.257971430128</v>
      </c>
      <c r="E130" s="21">
        <f t="shared" ref="E130:M130" si="54">E48</f>
        <v>18124.180356254012</v>
      </c>
      <c r="F130" s="21">
        <f t="shared" si="54"/>
        <v>17807.021464088164</v>
      </c>
      <c r="G130" s="21">
        <f t="shared" si="54"/>
        <v>17475.127065284039</v>
      </c>
      <c r="H130" s="21">
        <f t="shared" si="54"/>
        <v>17127.812534055462</v>
      </c>
      <c r="I130" s="21">
        <f t="shared" si="54"/>
        <v>16764.361436244933</v>
      </c>
      <c r="J130" s="21">
        <f t="shared" si="54"/>
        <v>16384.024051476135</v>
      </c>
      <c r="K130" s="21">
        <f t="shared" si="54"/>
        <v>15986.015826644256</v>
      </c>
      <c r="L130" s="21">
        <f t="shared" si="54"/>
        <v>15569.515757553952</v>
      </c>
      <c r="M130" s="21">
        <f t="shared" si="54"/>
        <v>15133.664695366739</v>
      </c>
    </row>
    <row r="131" spans="1:20" x14ac:dyDescent="0.25">
      <c r="A131" s="8" t="s">
        <v>117</v>
      </c>
      <c r="D131" s="21">
        <f>D129/D130</f>
        <v>6.4036038779622428</v>
      </c>
      <c r="E131" s="21"/>
      <c r="F131" s="21"/>
      <c r="G131" s="21"/>
      <c r="H131" s="21"/>
      <c r="I131" s="21"/>
      <c r="J131" s="21"/>
      <c r="K131" s="21"/>
      <c r="L131" s="21"/>
      <c r="M131" s="21"/>
    </row>
    <row r="132" spans="1:20" x14ac:dyDescent="0.25">
      <c r="A132" s="8" t="s">
        <v>118</v>
      </c>
      <c r="B132" t="s">
        <v>119</v>
      </c>
      <c r="C132" s="21"/>
    </row>
    <row r="133" spans="1:20" x14ac:dyDescent="0.25">
      <c r="A133" s="8" t="s">
        <v>120</v>
      </c>
      <c r="B133" s="4">
        <v>9.9000000000000008E-3</v>
      </c>
      <c r="O133" s="31" t="s">
        <v>121</v>
      </c>
      <c r="P133" s="31"/>
      <c r="Q133" s="31"/>
      <c r="R133" s="31"/>
      <c r="S133" s="31"/>
      <c r="T133" s="31"/>
    </row>
    <row r="134" spans="1:20" x14ac:dyDescent="0.25">
      <c r="A134" s="21" t="s">
        <v>122</v>
      </c>
      <c r="B134" s="4">
        <v>3.04E-2</v>
      </c>
      <c r="D134" t="s">
        <v>123</v>
      </c>
      <c r="O134" s="31"/>
      <c r="P134" s="31"/>
      <c r="Q134" s="31"/>
      <c r="R134" s="31"/>
      <c r="S134" s="31"/>
      <c r="T134" s="31"/>
    </row>
    <row r="135" spans="1:20" x14ac:dyDescent="0.25">
      <c r="A135" t="s">
        <v>124</v>
      </c>
      <c r="B135" s="4">
        <f>SUM(B133:B134)</f>
        <v>4.0300000000000002E-2</v>
      </c>
      <c r="O135" s="22"/>
      <c r="P135" s="22"/>
      <c r="Q135" s="4"/>
    </row>
    <row r="136" spans="1:20" x14ac:dyDescent="0.25">
      <c r="A136" s="8" t="s">
        <v>125</v>
      </c>
      <c r="B136" s="4">
        <f>B135+3%</f>
        <v>7.0300000000000001E-2</v>
      </c>
    </row>
    <row r="137" spans="1:20" x14ac:dyDescent="0.25">
      <c r="F137" t="s">
        <v>126</v>
      </c>
      <c r="G137" t="s">
        <v>127</v>
      </c>
      <c r="H137" t="s">
        <v>128</v>
      </c>
    </row>
    <row r="138" spans="1:20" x14ac:dyDescent="0.25">
      <c r="A138" t="s">
        <v>129</v>
      </c>
      <c r="B138" s="4">
        <f>P30</f>
        <v>0.19709497799528142</v>
      </c>
      <c r="E138" t="s">
        <v>130</v>
      </c>
      <c r="F138" s="4">
        <f>B139</f>
        <v>0.39606247096222197</v>
      </c>
      <c r="G138" s="4">
        <f>B135</f>
        <v>4.0300000000000002E-2</v>
      </c>
      <c r="H138" s="4">
        <f>G138*(1-B138)</f>
        <v>3.2357072386790163E-2</v>
      </c>
      <c r="I138" s="4">
        <f>F138*H138</f>
        <v>1.2815422042615593E-2</v>
      </c>
    </row>
    <row r="139" spans="1:20" x14ac:dyDescent="0.25">
      <c r="A139" t="s">
        <v>131</v>
      </c>
      <c r="B139" s="17">
        <f>O75/O84</f>
        <v>0.39606247096222197</v>
      </c>
      <c r="E139" t="s">
        <v>132</v>
      </c>
      <c r="F139" s="4">
        <f>B140</f>
        <v>0.60393752903777798</v>
      </c>
      <c r="G139" s="4">
        <f>B146</f>
        <v>0.18215782823936524</v>
      </c>
      <c r="I139" s="4">
        <f>F139*G139</f>
        <v>0.11001194868177022</v>
      </c>
    </row>
    <row r="140" spans="1:20" x14ac:dyDescent="0.25">
      <c r="A140" t="s">
        <v>133</v>
      </c>
      <c r="B140" s="17">
        <f>O83/O84</f>
        <v>0.60393752903777798</v>
      </c>
      <c r="I140" s="4">
        <f>I138+I139</f>
        <v>0.12282737072438582</v>
      </c>
      <c r="J140" t="s">
        <v>110</v>
      </c>
    </row>
    <row r="141" spans="1:20" x14ac:dyDescent="0.25">
      <c r="A141" t="s">
        <v>134</v>
      </c>
      <c r="B141">
        <v>0.5</v>
      </c>
      <c r="C141">
        <v>0.72</v>
      </c>
    </row>
    <row r="142" spans="1:20" x14ac:dyDescent="0.25">
      <c r="A142" t="s">
        <v>135</v>
      </c>
      <c r="B142" s="11">
        <f>(1+(1-D30)*(B139/B140)*B141)</f>
        <v>1.2688781625364987</v>
      </c>
      <c r="O142" s="30" t="s">
        <v>136</v>
      </c>
      <c r="P142" s="30"/>
      <c r="Q142" s="30"/>
      <c r="R142" s="30"/>
      <c r="S142" s="30"/>
      <c r="T142" s="30"/>
    </row>
    <row r="143" spans="1:20" x14ac:dyDescent="0.25">
      <c r="A143" t="s">
        <v>137</v>
      </c>
      <c r="B143" s="4">
        <f>B144-B134</f>
        <v>0.1196</v>
      </c>
      <c r="O143" s="30"/>
      <c r="P143" s="30"/>
      <c r="Q143" s="30"/>
      <c r="R143" s="30"/>
      <c r="S143" s="30"/>
      <c r="T143" s="30"/>
    </row>
    <row r="144" spans="1:20" x14ac:dyDescent="0.25">
      <c r="A144" t="s">
        <v>138</v>
      </c>
      <c r="B144" s="14">
        <v>0.15</v>
      </c>
      <c r="O144" s="30"/>
      <c r="P144" s="30"/>
      <c r="Q144" s="30"/>
      <c r="R144" s="30"/>
      <c r="S144" s="30"/>
      <c r="T144" s="30"/>
    </row>
    <row r="146" spans="1:3" x14ac:dyDescent="0.25">
      <c r="A146" t="s">
        <v>139</v>
      </c>
      <c r="B146" s="17">
        <f>B134+(B142*B143)</f>
        <v>0.18215782823936524</v>
      </c>
    </row>
    <row r="151" spans="1:3" x14ac:dyDescent="0.25">
      <c r="C151" s="14"/>
    </row>
    <row r="152" spans="1:3" x14ac:dyDescent="0.25">
      <c r="C152" s="17"/>
    </row>
  </sheetData>
  <mergeCells count="8">
    <mergeCell ref="O142:T144"/>
    <mergeCell ref="O119:P121"/>
    <mergeCell ref="P13:AC14"/>
    <mergeCell ref="P9:U9"/>
    <mergeCell ref="P20:U20"/>
    <mergeCell ref="P33:U33"/>
    <mergeCell ref="O133:T134"/>
    <mergeCell ref="O111:P1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B0CAC-0803-4611-828A-2DEBC247A786}">
  <dimension ref="A2:O20"/>
  <sheetViews>
    <sheetView tabSelected="1" workbookViewId="0">
      <selection activeCell="B21" sqref="B21"/>
    </sheetView>
  </sheetViews>
  <sheetFormatPr defaultRowHeight="15" x14ac:dyDescent="0.25"/>
  <cols>
    <col min="1" max="1" width="22.42578125" customWidth="1"/>
    <col min="2" max="2" width="12.7109375" bestFit="1" customWidth="1"/>
    <col min="3" max="3" width="13.28515625" bestFit="1" customWidth="1"/>
    <col min="4" max="4" width="11.140625" bestFit="1" customWidth="1"/>
    <col min="5" max="5" width="12.7109375" bestFit="1" customWidth="1"/>
    <col min="6" max="11" width="11.140625" bestFit="1" customWidth="1"/>
    <col min="12" max="13" width="13.85546875" bestFit="1" customWidth="1"/>
    <col min="14" max="15" width="17" customWidth="1"/>
  </cols>
  <sheetData>
    <row r="2" spans="1:15" x14ac:dyDescent="0.25">
      <c r="A2" t="s">
        <v>110</v>
      </c>
      <c r="B2" s="4">
        <v>0.12280000000000001</v>
      </c>
    </row>
    <row r="4" spans="1:15" x14ac:dyDescent="0.25">
      <c r="C4" t="s">
        <v>140</v>
      </c>
      <c r="D4" t="s">
        <v>1</v>
      </c>
      <c r="E4" t="s">
        <v>2</v>
      </c>
      <c r="F4" t="s">
        <v>3</v>
      </c>
      <c r="G4" t="s">
        <v>4</v>
      </c>
      <c r="H4" t="s">
        <v>5</v>
      </c>
      <c r="I4" t="s">
        <v>6</v>
      </c>
      <c r="J4" t="s">
        <v>7</v>
      </c>
      <c r="K4" t="s">
        <v>8</v>
      </c>
      <c r="L4" t="s">
        <v>9</v>
      </c>
      <c r="M4" t="s">
        <v>10</v>
      </c>
      <c r="N4" t="s">
        <v>141</v>
      </c>
      <c r="O4" t="s">
        <v>142</v>
      </c>
    </row>
    <row r="5" spans="1:15" x14ac:dyDescent="0.25">
      <c r="A5" t="s">
        <v>109</v>
      </c>
      <c r="C5" s="2">
        <v>-612748.6</v>
      </c>
      <c r="D5" s="2">
        <v>22463.11</v>
      </c>
      <c r="E5" s="2">
        <v>22489.77</v>
      </c>
      <c r="F5" s="2">
        <v>22520.9</v>
      </c>
      <c r="G5" s="2">
        <v>22556.91</v>
      </c>
      <c r="H5" s="2">
        <v>22598.13</v>
      </c>
      <c r="I5" s="2">
        <v>22644.95</v>
      </c>
      <c r="J5">
        <v>22697.82</v>
      </c>
      <c r="K5" s="2">
        <v>22697.16</v>
      </c>
      <c r="L5" s="2">
        <v>22823.47</v>
      </c>
      <c r="M5" s="2">
        <v>1572508.36</v>
      </c>
      <c r="N5" s="2">
        <v>0</v>
      </c>
      <c r="O5" s="2">
        <v>0</v>
      </c>
    </row>
    <row r="6" spans="1:15" x14ac:dyDescent="0.25">
      <c r="G6" s="2"/>
      <c r="H6" s="2"/>
      <c r="I6" s="2"/>
      <c r="J6" s="2"/>
      <c r="K6" s="2"/>
      <c r="L6" s="2"/>
      <c r="M6" s="2"/>
      <c r="N6" s="2"/>
    </row>
    <row r="7" spans="1:15" x14ac:dyDescent="0.25">
      <c r="G7" s="2"/>
      <c r="H7" s="2"/>
      <c r="I7" s="2"/>
      <c r="J7" s="2"/>
      <c r="K7" s="2"/>
      <c r="L7" s="2"/>
      <c r="M7" s="2"/>
      <c r="N7" s="2"/>
    </row>
    <row r="8" spans="1:15" x14ac:dyDescent="0.25">
      <c r="A8" t="s">
        <v>143</v>
      </c>
      <c r="E8" s="5">
        <f>-Forecasts!C126</f>
        <v>-612748.60418088979</v>
      </c>
      <c r="N8" s="2"/>
    </row>
    <row r="9" spans="1:15" x14ac:dyDescent="0.25">
      <c r="G9" s="2"/>
      <c r="H9" s="2"/>
      <c r="I9" s="2"/>
      <c r="J9" s="2"/>
      <c r="K9" s="2"/>
      <c r="L9" s="2"/>
      <c r="M9" s="2"/>
      <c r="N9" s="2"/>
    </row>
    <row r="10" spans="1:15" x14ac:dyDescent="0.25">
      <c r="G10" s="2"/>
      <c r="H10" s="2"/>
      <c r="I10" s="2"/>
      <c r="J10" s="2"/>
      <c r="K10" s="2"/>
      <c r="L10" s="2"/>
      <c r="M10" s="2"/>
      <c r="N10" s="2"/>
    </row>
    <row r="11" spans="1:15" x14ac:dyDescent="0.25">
      <c r="A11" t="s">
        <v>144</v>
      </c>
      <c r="C11" s="2">
        <v>0</v>
      </c>
      <c r="D11" s="2">
        <v>0</v>
      </c>
      <c r="E11" s="2">
        <v>0</v>
      </c>
      <c r="F11" s="2">
        <v>22463.11</v>
      </c>
      <c r="G11" s="2">
        <v>22489.77</v>
      </c>
      <c r="H11" s="2">
        <v>22520.9</v>
      </c>
      <c r="I11" s="2">
        <v>22556.91</v>
      </c>
      <c r="J11" s="2">
        <v>22598.13</v>
      </c>
      <c r="K11" s="2">
        <v>22644.95</v>
      </c>
      <c r="L11" s="2">
        <v>22697.82</v>
      </c>
      <c r="M11" s="2">
        <v>22697.16</v>
      </c>
      <c r="N11" s="2">
        <v>22823.47</v>
      </c>
      <c r="O11" s="2">
        <v>1572508.36</v>
      </c>
    </row>
    <row r="12" spans="1:15" x14ac:dyDescent="0.25">
      <c r="G12" s="2"/>
      <c r="H12" s="2"/>
      <c r="I12" s="2"/>
      <c r="J12" s="2"/>
      <c r="K12" s="2"/>
      <c r="L12" s="2"/>
      <c r="M12" s="2"/>
      <c r="N12" s="2"/>
    </row>
    <row r="13" spans="1:15" x14ac:dyDescent="0.25">
      <c r="G13" s="2"/>
      <c r="H13" s="2"/>
      <c r="I13" s="2"/>
      <c r="J13" s="2"/>
      <c r="K13" s="2"/>
      <c r="L13" s="2"/>
      <c r="M13" s="2"/>
      <c r="N13" s="2"/>
    </row>
    <row r="14" spans="1:15" x14ac:dyDescent="0.25">
      <c r="G14" s="2"/>
      <c r="H14" s="2"/>
      <c r="I14" s="2"/>
      <c r="J14" s="2"/>
      <c r="K14" s="2"/>
      <c r="L14" s="2"/>
      <c r="M14" s="2"/>
      <c r="N14" s="2"/>
    </row>
    <row r="15" spans="1:15" x14ac:dyDescent="0.25">
      <c r="G15" s="2"/>
      <c r="H15" s="2"/>
      <c r="I15" s="2"/>
      <c r="J15" s="2"/>
      <c r="K15" s="2"/>
      <c r="L15" s="2"/>
      <c r="M15" s="2"/>
      <c r="N15" s="2"/>
    </row>
    <row r="16" spans="1:15" x14ac:dyDescent="0.25">
      <c r="G16" s="2"/>
      <c r="H16" s="2"/>
      <c r="I16" s="2"/>
      <c r="J16" s="2"/>
      <c r="K16" s="2"/>
      <c r="L16" s="2"/>
      <c r="M16" s="2"/>
      <c r="N16" s="2"/>
    </row>
    <row r="17" spans="2:14" x14ac:dyDescent="0.25">
      <c r="G17" s="2"/>
      <c r="H17" s="2"/>
      <c r="I17" s="2"/>
      <c r="J17" s="2"/>
      <c r="K17" s="2"/>
      <c r="L17" s="2"/>
      <c r="M17" s="2"/>
      <c r="N17" s="2"/>
    </row>
    <row r="18" spans="2:14" x14ac:dyDescent="0.25">
      <c r="B18" t="s">
        <v>145</v>
      </c>
      <c r="H18" s="2"/>
      <c r="I18" s="2"/>
      <c r="J18" s="2"/>
      <c r="K18" s="2"/>
      <c r="L18" s="2"/>
      <c r="M18" s="2"/>
      <c r="N18" s="2"/>
    </row>
    <row r="19" spans="2:14" x14ac:dyDescent="0.25">
      <c r="B19" s="23" t="s">
        <v>146</v>
      </c>
      <c r="C19" s="23" t="s">
        <v>147</v>
      </c>
      <c r="D19" s="23" t="s">
        <v>148</v>
      </c>
      <c r="E19" s="23" t="s">
        <v>149</v>
      </c>
      <c r="F19" s="23" t="s">
        <v>150</v>
      </c>
      <c r="G19" s="23" t="s">
        <v>151</v>
      </c>
      <c r="H19" s="2"/>
      <c r="I19" s="2"/>
      <c r="J19" s="2"/>
      <c r="K19" s="2"/>
      <c r="L19" s="2"/>
      <c r="M19" s="2"/>
      <c r="N19" s="2"/>
    </row>
    <row r="20" spans="2:14" x14ac:dyDescent="0.25">
      <c r="B20" s="28">
        <f>NPV(B2,D11:O11)+C11</f>
        <v>486132.59046299203</v>
      </c>
      <c r="C20" s="27">
        <f>-E8</f>
        <v>612748.60418088979</v>
      </c>
      <c r="D20" s="23">
        <v>2</v>
      </c>
      <c r="E20" s="24">
        <v>0.45</v>
      </c>
      <c r="F20" s="29">
        <f>Forecasts!B134</f>
        <v>3.04E-2</v>
      </c>
      <c r="G20" s="28">
        <f>(B20*(NORMSDIST((LN(B20/PV(F20,D20,,-C20))+(F20+((E20^2)/2)*D20))/(E20*SQRT(D20)))))-((NORMSDIST(((LN(B20/PV(F20,D20,,-C20))+(F20+((E20^2)/2)*D20))/(E20*SQRT(D20)))-(E20*SQRT(D20))))*PV(F20,D20,,-C20))</f>
        <v>91712.108791720791</v>
      </c>
      <c r="H20" s="2"/>
      <c r="I20" s="2"/>
      <c r="J20" s="2"/>
      <c r="K20" s="2"/>
      <c r="L20" s="2"/>
      <c r="M20" s="2"/>
      <c r="N20"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FE93F-FA8E-432C-8BA2-285F5538BFF0}">
  <dimension ref="A2:S43"/>
  <sheetViews>
    <sheetView topLeftCell="A18" workbookViewId="0">
      <selection activeCell="E36" sqref="E36"/>
    </sheetView>
  </sheetViews>
  <sheetFormatPr defaultRowHeight="15" x14ac:dyDescent="0.25"/>
  <cols>
    <col min="3" max="3" width="13.28515625" bestFit="1" customWidth="1"/>
    <col min="4" max="5" width="11.140625" bestFit="1" customWidth="1"/>
    <col min="6" max="6" width="17.28515625" customWidth="1"/>
    <col min="7" max="7" width="12.140625" bestFit="1" customWidth="1"/>
    <col min="8" max="12" width="11.140625" bestFit="1" customWidth="1"/>
    <col min="13" max="13" width="13.85546875" bestFit="1" customWidth="1"/>
  </cols>
  <sheetData>
    <row r="2" spans="1:19" x14ac:dyDescent="0.25">
      <c r="A2" t="s">
        <v>110</v>
      </c>
      <c r="B2" s="4">
        <v>0.12280000000000001</v>
      </c>
    </row>
    <row r="4" spans="1:19" x14ac:dyDescent="0.25">
      <c r="C4" t="s">
        <v>140</v>
      </c>
      <c r="D4" t="s">
        <v>1</v>
      </c>
      <c r="E4" t="s">
        <v>2</v>
      </c>
      <c r="F4" t="s">
        <v>3</v>
      </c>
      <c r="G4" t="s">
        <v>4</v>
      </c>
      <c r="H4" t="s">
        <v>5</v>
      </c>
      <c r="I4" t="s">
        <v>6</v>
      </c>
      <c r="J4" t="s">
        <v>7</v>
      </c>
      <c r="K4" t="s">
        <v>8</v>
      </c>
      <c r="L4" t="s">
        <v>9</v>
      </c>
      <c r="M4" t="s">
        <v>10</v>
      </c>
    </row>
    <row r="5" spans="1:19" ht="15" customHeight="1" x14ac:dyDescent="0.25">
      <c r="A5" t="s">
        <v>152</v>
      </c>
      <c r="C5" s="2">
        <v>-612748.6</v>
      </c>
      <c r="D5" s="2">
        <v>22463.11</v>
      </c>
      <c r="E5" s="2">
        <v>22489.77</v>
      </c>
      <c r="F5" s="2">
        <v>22520.9</v>
      </c>
      <c r="G5" s="2">
        <v>22556.91</v>
      </c>
      <c r="H5" s="2">
        <v>22598.13</v>
      </c>
      <c r="I5" s="2">
        <v>22644.95</v>
      </c>
      <c r="J5" s="2">
        <v>22697.82</v>
      </c>
      <c r="K5" s="2">
        <v>22697.16</v>
      </c>
      <c r="L5" s="2">
        <v>22823.47</v>
      </c>
      <c r="M5" s="2">
        <v>1572508.36</v>
      </c>
    </row>
    <row r="6" spans="1:19" x14ac:dyDescent="0.25">
      <c r="C6" s="2"/>
      <c r="D6" s="2"/>
      <c r="E6" s="2"/>
      <c r="F6" s="2"/>
      <c r="G6" s="2"/>
      <c r="H6" s="2"/>
      <c r="I6" s="2"/>
      <c r="J6" s="2"/>
      <c r="K6" s="2"/>
      <c r="L6" s="2"/>
      <c r="M6" s="2"/>
    </row>
    <row r="7" spans="1:19" x14ac:dyDescent="0.25">
      <c r="A7" t="s">
        <v>153</v>
      </c>
      <c r="B7" s="4"/>
      <c r="C7" s="2"/>
      <c r="D7" s="2"/>
      <c r="E7" s="2"/>
      <c r="F7" s="2"/>
      <c r="G7" s="2"/>
      <c r="H7" s="2"/>
      <c r="I7" s="2"/>
      <c r="J7" s="2"/>
      <c r="K7" s="2"/>
      <c r="L7" s="2"/>
      <c r="M7" s="2"/>
      <c r="O7" s="26" t="s">
        <v>154</v>
      </c>
    </row>
    <row r="8" spans="1:19" x14ac:dyDescent="0.25">
      <c r="A8" s="15" t="s">
        <v>155</v>
      </c>
      <c r="C8" s="2">
        <v>-612748.6</v>
      </c>
      <c r="D8" s="2">
        <v>22463.11</v>
      </c>
      <c r="E8" s="2">
        <v>22489.77</v>
      </c>
      <c r="F8" s="2">
        <v>22520.9</v>
      </c>
      <c r="G8" s="2">
        <v>22556.91</v>
      </c>
      <c r="H8" s="2">
        <f>H5</f>
        <v>22598.13</v>
      </c>
      <c r="I8" s="2">
        <f t="shared" ref="I8:M8" si="0">I5</f>
        <v>22644.95</v>
      </c>
      <c r="J8" s="2">
        <f t="shared" si="0"/>
        <v>22697.82</v>
      </c>
      <c r="K8" s="2">
        <f t="shared" si="0"/>
        <v>22697.16</v>
      </c>
      <c r="L8" s="2">
        <f t="shared" si="0"/>
        <v>22823.47</v>
      </c>
      <c r="M8" s="2">
        <f t="shared" si="0"/>
        <v>1572508.36</v>
      </c>
      <c r="O8" s="35" t="s">
        <v>156</v>
      </c>
      <c r="P8" s="35"/>
      <c r="Q8" s="35"/>
      <c r="R8" s="35"/>
      <c r="S8" s="35"/>
    </row>
    <row r="9" spans="1:19" x14ac:dyDescent="0.25">
      <c r="A9" s="15" t="s">
        <v>157</v>
      </c>
      <c r="C9" s="2"/>
      <c r="D9" s="2"/>
      <c r="E9" s="2"/>
      <c r="F9" s="2"/>
      <c r="G9" s="2">
        <v>-80000</v>
      </c>
      <c r="H9" s="2"/>
      <c r="I9" s="2"/>
      <c r="J9" s="2"/>
      <c r="K9" s="2"/>
      <c r="L9" s="2"/>
      <c r="M9" s="2"/>
      <c r="O9" s="35"/>
      <c r="P9" s="35"/>
      <c r="Q9" s="35"/>
      <c r="R9" s="35"/>
      <c r="S9" s="35"/>
    </row>
    <row r="10" spans="1:19" x14ac:dyDescent="0.25">
      <c r="A10" s="15" t="s">
        <v>158</v>
      </c>
      <c r="C10" s="2"/>
      <c r="D10" s="2"/>
      <c r="E10" s="2"/>
      <c r="F10" s="2"/>
      <c r="G10" s="2"/>
      <c r="H10" s="2">
        <v>18000</v>
      </c>
      <c r="I10" s="2">
        <v>16000</v>
      </c>
      <c r="J10" s="2">
        <v>15000</v>
      </c>
      <c r="K10" s="2">
        <v>14000</v>
      </c>
      <c r="L10" s="2">
        <v>15000</v>
      </c>
      <c r="M10" s="2">
        <v>16000</v>
      </c>
      <c r="O10" s="35"/>
      <c r="P10" s="35"/>
      <c r="Q10" s="35"/>
      <c r="R10" s="35"/>
      <c r="S10" s="35"/>
    </row>
    <row r="11" spans="1:19" x14ac:dyDescent="0.25">
      <c r="A11" s="15" t="s">
        <v>159</v>
      </c>
      <c r="C11" s="2"/>
      <c r="D11" s="2"/>
      <c r="E11" s="2"/>
      <c r="F11" s="2"/>
      <c r="G11" s="2"/>
      <c r="H11" s="2"/>
      <c r="I11" s="2"/>
      <c r="J11" s="2"/>
      <c r="K11" s="2"/>
      <c r="L11" s="2"/>
      <c r="M11" s="2">
        <v>120000</v>
      </c>
      <c r="O11" s="35"/>
      <c r="P11" s="35"/>
      <c r="Q11" s="35"/>
      <c r="R11" s="35"/>
      <c r="S11" s="35"/>
    </row>
    <row r="12" spans="1:19" x14ac:dyDescent="0.25">
      <c r="A12" s="15" t="s">
        <v>160</v>
      </c>
      <c r="C12" s="2">
        <f>SUM(C8:C11)</f>
        <v>-612748.6</v>
      </c>
      <c r="D12" s="2">
        <f t="shared" ref="D12:M12" si="1">SUM(D8:D11)</f>
        <v>22463.11</v>
      </c>
      <c r="E12" s="2">
        <f t="shared" si="1"/>
        <v>22489.77</v>
      </c>
      <c r="F12" s="2">
        <f t="shared" si="1"/>
        <v>22520.9</v>
      </c>
      <c r="G12" s="2">
        <f t="shared" si="1"/>
        <v>-57443.09</v>
      </c>
      <c r="H12" s="2">
        <f t="shared" si="1"/>
        <v>40598.130000000005</v>
      </c>
      <c r="I12" s="2">
        <f t="shared" si="1"/>
        <v>38644.949999999997</v>
      </c>
      <c r="J12" s="2">
        <f t="shared" si="1"/>
        <v>37697.82</v>
      </c>
      <c r="K12" s="2">
        <f t="shared" si="1"/>
        <v>36697.160000000003</v>
      </c>
      <c r="L12" s="2">
        <f t="shared" si="1"/>
        <v>37823.47</v>
      </c>
      <c r="M12" s="2">
        <f t="shared" si="1"/>
        <v>1708508.36</v>
      </c>
      <c r="O12" s="35"/>
      <c r="P12" s="35"/>
      <c r="Q12" s="35"/>
      <c r="R12" s="35"/>
      <c r="S12" s="35"/>
    </row>
    <row r="13" spans="1:19" x14ac:dyDescent="0.25">
      <c r="A13" s="15" t="s">
        <v>112</v>
      </c>
      <c r="C13" s="2">
        <f>NPV(B2,D12:M12)+C12</f>
        <v>28053.011263751308</v>
      </c>
      <c r="D13" s="2"/>
      <c r="E13" s="2"/>
      <c r="F13" s="2"/>
      <c r="G13" s="2"/>
      <c r="H13" s="2"/>
      <c r="I13" s="2"/>
      <c r="J13" s="2"/>
      <c r="K13" s="2"/>
      <c r="L13" s="2"/>
      <c r="M13" s="2"/>
      <c r="O13" s="35"/>
      <c r="P13" s="35"/>
      <c r="Q13" s="35"/>
      <c r="R13" s="35"/>
      <c r="S13" s="35"/>
    </row>
    <row r="14" spans="1:19" x14ac:dyDescent="0.25">
      <c r="A14" s="15" t="s">
        <v>161</v>
      </c>
      <c r="C14" s="4">
        <f>G38</f>
        <v>0.36399999999999999</v>
      </c>
      <c r="F14" s="2"/>
      <c r="G14" s="2"/>
      <c r="O14" s="35"/>
      <c r="P14" s="35"/>
      <c r="Q14" s="35"/>
      <c r="R14" s="35"/>
      <c r="S14" s="35"/>
    </row>
    <row r="15" spans="1:19" x14ac:dyDescent="0.25">
      <c r="A15" s="15"/>
      <c r="C15" s="2"/>
      <c r="D15" s="2"/>
      <c r="E15" s="2"/>
      <c r="F15" s="2"/>
      <c r="G15" s="2"/>
      <c r="O15" s="35"/>
      <c r="P15" s="35"/>
      <c r="Q15" s="35"/>
      <c r="R15" s="35"/>
      <c r="S15" s="35"/>
    </row>
    <row r="16" spans="1:19" x14ac:dyDescent="0.25">
      <c r="A16" t="s">
        <v>162</v>
      </c>
      <c r="O16" s="35"/>
      <c r="P16" s="35"/>
      <c r="Q16" s="35"/>
      <c r="R16" s="35"/>
      <c r="S16" s="35"/>
    </row>
    <row r="17" spans="1:19" x14ac:dyDescent="0.25">
      <c r="A17" s="15" t="s">
        <v>155</v>
      </c>
      <c r="C17" s="2">
        <v>-612748.6</v>
      </c>
      <c r="D17" s="2">
        <v>22463.11</v>
      </c>
      <c r="E17" s="2">
        <v>22489.77</v>
      </c>
      <c r="F17" s="2">
        <v>22520.9</v>
      </c>
      <c r="G17" s="2">
        <v>22556.91</v>
      </c>
      <c r="H17" s="2">
        <f>H8</f>
        <v>22598.13</v>
      </c>
      <c r="I17" s="2">
        <f t="shared" ref="I17:M17" si="2">I8</f>
        <v>22644.95</v>
      </c>
      <c r="J17" s="2">
        <f t="shared" si="2"/>
        <v>22697.82</v>
      </c>
      <c r="K17" s="2">
        <f t="shared" si="2"/>
        <v>22697.16</v>
      </c>
      <c r="L17" s="2">
        <f t="shared" si="2"/>
        <v>22823.47</v>
      </c>
      <c r="M17" s="2">
        <f t="shared" si="2"/>
        <v>1572508.36</v>
      </c>
      <c r="O17" s="35"/>
      <c r="P17" s="35"/>
      <c r="Q17" s="35"/>
      <c r="R17" s="35"/>
      <c r="S17" s="35"/>
    </row>
    <row r="18" spans="1:19" x14ac:dyDescent="0.25">
      <c r="A18" s="15" t="s">
        <v>157</v>
      </c>
      <c r="C18" s="2"/>
      <c r="D18" s="2"/>
      <c r="E18" s="2"/>
      <c r="F18" s="2"/>
      <c r="G18" s="2">
        <v>-80000</v>
      </c>
      <c r="H18" s="2"/>
      <c r="I18" s="2"/>
      <c r="J18" s="2"/>
      <c r="K18" s="2"/>
      <c r="L18" s="2"/>
      <c r="M18" s="2"/>
      <c r="O18" s="35"/>
      <c r="P18" s="35"/>
      <c r="Q18" s="35"/>
      <c r="R18" s="35"/>
      <c r="S18" s="35"/>
    </row>
    <row r="19" spans="1:19" x14ac:dyDescent="0.25">
      <c r="A19" s="15" t="s">
        <v>158</v>
      </c>
      <c r="C19" s="2"/>
      <c r="D19" s="2"/>
      <c r="E19" s="2"/>
      <c r="F19" s="2"/>
      <c r="G19" s="2"/>
      <c r="H19" s="2">
        <v>15000</v>
      </c>
      <c r="I19" s="2">
        <v>14000</v>
      </c>
      <c r="J19" s="2">
        <v>10000</v>
      </c>
      <c r="K19" s="2">
        <v>5000</v>
      </c>
      <c r="L19" s="2">
        <v>1000</v>
      </c>
      <c r="M19" s="2">
        <v>500</v>
      </c>
    </row>
    <row r="20" spans="1:19" x14ac:dyDescent="0.25">
      <c r="A20" s="15" t="s">
        <v>159</v>
      </c>
      <c r="C20" s="2"/>
      <c r="D20" s="2"/>
      <c r="E20" s="2"/>
      <c r="F20" s="2"/>
      <c r="G20" s="2"/>
      <c r="H20" s="2"/>
      <c r="I20" s="2"/>
      <c r="J20" s="2"/>
      <c r="K20" s="2"/>
      <c r="L20" s="2"/>
      <c r="M20" s="2">
        <v>45000</v>
      </c>
    </row>
    <row r="21" spans="1:19" x14ac:dyDescent="0.25">
      <c r="A21" s="15" t="s">
        <v>160</v>
      </c>
      <c r="C21" s="2">
        <f>SUM(C17:C20)</f>
        <v>-612748.6</v>
      </c>
      <c r="D21" s="2">
        <f t="shared" ref="D21:M21" si="3">SUM(D17:D20)</f>
        <v>22463.11</v>
      </c>
      <c r="E21" s="2">
        <f t="shared" si="3"/>
        <v>22489.77</v>
      </c>
      <c r="F21" s="2">
        <f t="shared" si="3"/>
        <v>22520.9</v>
      </c>
      <c r="G21" s="2">
        <f t="shared" si="3"/>
        <v>-57443.09</v>
      </c>
      <c r="H21" s="2">
        <f t="shared" si="3"/>
        <v>37598.130000000005</v>
      </c>
      <c r="I21" s="2">
        <f t="shared" si="3"/>
        <v>36644.949999999997</v>
      </c>
      <c r="J21" s="2">
        <f t="shared" si="3"/>
        <v>32697.82</v>
      </c>
      <c r="K21" s="2">
        <f t="shared" si="3"/>
        <v>27697.16</v>
      </c>
      <c r="L21" s="2">
        <f t="shared" si="3"/>
        <v>23823.47</v>
      </c>
      <c r="M21" s="2">
        <f t="shared" si="3"/>
        <v>1618008.36</v>
      </c>
    </row>
    <row r="22" spans="1:19" x14ac:dyDescent="0.25">
      <c r="A22" s="15" t="s">
        <v>112</v>
      </c>
      <c r="C22" s="2">
        <f>NPV(B2,D21:M21)+C21</f>
        <v>-13768.35008694476</v>
      </c>
      <c r="D22" s="2"/>
      <c r="E22" s="2"/>
      <c r="F22" s="2"/>
      <c r="G22" s="2"/>
      <c r="H22" s="2"/>
      <c r="I22" s="2"/>
      <c r="J22" s="2"/>
      <c r="K22" s="2"/>
      <c r="L22" s="2"/>
      <c r="M22" s="2"/>
    </row>
    <row r="23" spans="1:19" x14ac:dyDescent="0.25">
      <c r="A23" s="15" t="s">
        <v>161</v>
      </c>
      <c r="C23" s="4">
        <f>G40</f>
        <v>0.33599999999999997</v>
      </c>
      <c r="D23" s="2"/>
      <c r="E23" s="2"/>
      <c r="F23" s="2"/>
      <c r="G23" s="2"/>
    </row>
    <row r="24" spans="1:19" x14ac:dyDescent="0.25">
      <c r="C24" s="2"/>
      <c r="D24" s="2"/>
      <c r="E24" s="2"/>
      <c r="F24" s="2"/>
      <c r="G24" s="2"/>
    </row>
    <row r="25" spans="1:19" x14ac:dyDescent="0.25">
      <c r="C25" s="2"/>
      <c r="D25" s="2"/>
      <c r="E25" s="2"/>
      <c r="F25" s="2"/>
      <c r="G25" s="2"/>
    </row>
    <row r="26" spans="1:19" x14ac:dyDescent="0.25">
      <c r="A26" t="s">
        <v>163</v>
      </c>
    </row>
    <row r="27" spans="1:19" x14ac:dyDescent="0.25">
      <c r="A27" s="15" t="s">
        <v>155</v>
      </c>
      <c r="C27" s="2">
        <v>-612748.6</v>
      </c>
      <c r="D27" s="2">
        <v>11500</v>
      </c>
      <c r="E27" s="2">
        <v>3000</v>
      </c>
      <c r="F27" s="2">
        <v>2000</v>
      </c>
      <c r="G27" s="2">
        <v>500</v>
      </c>
      <c r="H27" s="2"/>
      <c r="I27" s="2"/>
      <c r="J27" s="2"/>
      <c r="K27" s="2"/>
      <c r="L27" s="2"/>
      <c r="M27" s="2"/>
    </row>
    <row r="28" spans="1:19" x14ac:dyDescent="0.25">
      <c r="A28" s="15" t="s">
        <v>112</v>
      </c>
      <c r="C28" s="2">
        <f>NPV(B2,D27:G27)+C27</f>
        <v>-598399.14190457936</v>
      </c>
      <c r="D28" s="2"/>
      <c r="E28" s="2"/>
      <c r="F28" s="2"/>
      <c r="G28" s="2"/>
      <c r="H28" s="2"/>
      <c r="I28" s="2"/>
      <c r="J28" s="2"/>
      <c r="K28" s="2"/>
      <c r="L28" s="2"/>
      <c r="M28" s="2"/>
    </row>
    <row r="29" spans="1:19" x14ac:dyDescent="0.25">
      <c r="A29" s="15" t="s">
        <v>161</v>
      </c>
      <c r="C29" s="4">
        <f>G42</f>
        <v>0.3</v>
      </c>
    </row>
    <row r="33" spans="1:7" x14ac:dyDescent="0.25">
      <c r="A33" t="s">
        <v>164</v>
      </c>
      <c r="C33" s="2">
        <f>C13*C14+C22*C23+C28*C29</f>
        <v>-173934.61210058175</v>
      </c>
    </row>
    <row r="38" spans="1:7" x14ac:dyDescent="0.25">
      <c r="E38" s="9">
        <v>0.52</v>
      </c>
      <c r="F38" t="s">
        <v>165</v>
      </c>
      <c r="G38" s="4">
        <f>E38*C40</f>
        <v>0.36399999999999999</v>
      </c>
    </row>
    <row r="39" spans="1:7" x14ac:dyDescent="0.25">
      <c r="D39" s="2"/>
      <c r="E39" s="2"/>
      <c r="F39" s="2"/>
      <c r="G39" s="4"/>
    </row>
    <row r="40" spans="1:7" x14ac:dyDescent="0.25">
      <c r="C40" s="9">
        <v>0.7</v>
      </c>
      <c r="D40" s="2"/>
      <c r="E40" s="9">
        <v>0.48</v>
      </c>
      <c r="F40" s="2" t="s">
        <v>166</v>
      </c>
      <c r="G40" s="4">
        <f>E40*C40</f>
        <v>0.33599999999999997</v>
      </c>
    </row>
    <row r="41" spans="1:7" x14ac:dyDescent="0.25">
      <c r="A41" t="s">
        <v>167</v>
      </c>
      <c r="D41" s="2"/>
      <c r="E41" s="2"/>
      <c r="F41" s="2"/>
      <c r="G41" s="4"/>
    </row>
    <row r="42" spans="1:7" x14ac:dyDescent="0.25">
      <c r="C42" s="9">
        <v>0.3</v>
      </c>
      <c r="D42" s="2"/>
      <c r="E42" s="2"/>
      <c r="F42" s="2" t="s">
        <v>163</v>
      </c>
      <c r="G42" s="4">
        <f>C42</f>
        <v>0.3</v>
      </c>
    </row>
    <row r="43" spans="1:7" x14ac:dyDescent="0.25">
      <c r="F43" t="s">
        <v>168</v>
      </c>
      <c r="G43" s="25">
        <f>SUM(G38:G42)</f>
        <v>1</v>
      </c>
    </row>
  </sheetData>
  <mergeCells count="1">
    <mergeCell ref="O8:S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DB69-4981-41FF-B102-118E0C72D75D}">
  <dimension ref="A1:I154"/>
  <sheetViews>
    <sheetView workbookViewId="0">
      <selection activeCell="B2" sqref="B2"/>
    </sheetView>
  </sheetViews>
  <sheetFormatPr defaultRowHeight="15" x14ac:dyDescent="0.25"/>
  <cols>
    <col min="2" max="2" width="13.42578125" bestFit="1" customWidth="1"/>
    <col min="3" max="4" width="10.7109375" bestFit="1" customWidth="1"/>
    <col min="5" max="5" width="9.7109375" bestFit="1" customWidth="1"/>
    <col min="6" max="6" width="13.42578125" bestFit="1" customWidth="1"/>
    <col min="7" max="7" width="3.140625" bestFit="1" customWidth="1"/>
    <col min="8" max="8" width="9" bestFit="1" customWidth="1"/>
    <col min="9" max="9" width="13.42578125" bestFit="1" customWidth="1"/>
  </cols>
  <sheetData>
    <row r="1" spans="1:9" x14ac:dyDescent="0.25">
      <c r="B1" t="s">
        <v>169</v>
      </c>
      <c r="C1" t="s">
        <v>170</v>
      </c>
      <c r="D1" t="s">
        <v>171</v>
      </c>
      <c r="E1" t="s">
        <v>172</v>
      </c>
      <c r="F1" t="s">
        <v>173</v>
      </c>
      <c r="H1" t="s">
        <v>127</v>
      </c>
      <c r="I1" s="4">
        <v>4.5499999999999999E-2</v>
      </c>
    </row>
    <row r="2" spans="1:9" x14ac:dyDescent="0.25">
      <c r="A2" t="s">
        <v>174</v>
      </c>
      <c r="B2" s="5">
        <f>I7</f>
        <v>407960</v>
      </c>
      <c r="C2" s="5">
        <f t="shared" ref="C2:C13" si="0">E2-D2</f>
        <v>532.36273972249683</v>
      </c>
      <c r="D2" s="5">
        <f t="shared" ref="D2:D13" si="1">B2*$I$2</f>
        <v>1546.8483333333334</v>
      </c>
      <c r="E2" s="5">
        <f t="shared" ref="E2:E13" si="2">-$I$9</f>
        <v>2079.2110730558302</v>
      </c>
      <c r="F2" s="5">
        <f t="shared" ref="F2:F13" si="3">B2-C2</f>
        <v>407427.63726027752</v>
      </c>
      <c r="H2" t="s">
        <v>175</v>
      </c>
      <c r="I2" s="4">
        <f>I1/12</f>
        <v>3.7916666666666667E-3</v>
      </c>
    </row>
    <row r="3" spans="1:9" x14ac:dyDescent="0.25">
      <c r="A3" t="s">
        <v>176</v>
      </c>
      <c r="B3" s="5">
        <f t="shared" ref="B3:B13" si="4">F2</f>
        <v>407427.63726027752</v>
      </c>
      <c r="C3" s="5">
        <f t="shared" si="0"/>
        <v>534.38128177727799</v>
      </c>
      <c r="D3" s="5">
        <f t="shared" si="1"/>
        <v>1544.8297912785522</v>
      </c>
      <c r="E3" s="5">
        <f t="shared" si="2"/>
        <v>2079.2110730558302</v>
      </c>
      <c r="F3" s="5">
        <f t="shared" si="3"/>
        <v>406893.25597850024</v>
      </c>
      <c r="H3" t="s">
        <v>177</v>
      </c>
      <c r="I3" s="5">
        <v>0</v>
      </c>
    </row>
    <row r="4" spans="1:9" x14ac:dyDescent="0.25">
      <c r="A4" t="s">
        <v>178</v>
      </c>
      <c r="B4" s="5">
        <f t="shared" si="4"/>
        <v>406893.25597850024</v>
      </c>
      <c r="C4" s="5">
        <f t="shared" si="0"/>
        <v>536.40747747068349</v>
      </c>
      <c r="D4" s="5">
        <f t="shared" si="1"/>
        <v>1542.8035955851467</v>
      </c>
      <c r="E4" s="5">
        <f t="shared" si="2"/>
        <v>2079.2110730558302</v>
      </c>
      <c r="F4" s="5">
        <f t="shared" si="3"/>
        <v>406356.84850102954</v>
      </c>
      <c r="H4" t="s">
        <v>179</v>
      </c>
      <c r="I4">
        <v>30</v>
      </c>
    </row>
    <row r="5" spans="1:9" x14ac:dyDescent="0.25">
      <c r="A5" t="s">
        <v>180</v>
      </c>
      <c r="B5" s="5">
        <f t="shared" si="4"/>
        <v>406356.84850102954</v>
      </c>
      <c r="C5" s="5">
        <f t="shared" si="0"/>
        <v>538.44135582275976</v>
      </c>
      <c r="D5" s="5">
        <f t="shared" si="1"/>
        <v>1540.7697172330704</v>
      </c>
      <c r="E5" s="5">
        <f t="shared" si="2"/>
        <v>2079.2110730558302</v>
      </c>
      <c r="F5" s="5">
        <f t="shared" si="3"/>
        <v>405818.40714520676</v>
      </c>
      <c r="H5" t="s">
        <v>181</v>
      </c>
      <c r="I5">
        <v>360</v>
      </c>
    </row>
    <row r="6" spans="1:9" x14ac:dyDescent="0.25">
      <c r="A6" t="s">
        <v>182</v>
      </c>
      <c r="B6" s="5">
        <f t="shared" si="4"/>
        <v>405818.40714520676</v>
      </c>
      <c r="C6" s="5">
        <f t="shared" si="0"/>
        <v>540.48294596358778</v>
      </c>
      <c r="D6" s="5">
        <f t="shared" si="1"/>
        <v>1538.7281270922424</v>
      </c>
      <c r="E6" s="5">
        <f t="shared" si="2"/>
        <v>2079.2110730558302</v>
      </c>
      <c r="F6" s="5">
        <f t="shared" si="3"/>
        <v>405277.92419924319</v>
      </c>
      <c r="H6" t="s">
        <v>183</v>
      </c>
      <c r="I6">
        <v>0</v>
      </c>
    </row>
    <row r="7" spans="1:9" x14ac:dyDescent="0.25">
      <c r="A7" t="s">
        <v>184</v>
      </c>
      <c r="B7" s="5">
        <f t="shared" si="4"/>
        <v>405277.92419924319</v>
      </c>
      <c r="C7" s="5">
        <f t="shared" si="0"/>
        <v>542.53227713369984</v>
      </c>
      <c r="D7" s="5">
        <f t="shared" si="1"/>
        <v>1536.6787959221303</v>
      </c>
      <c r="E7" s="5">
        <f t="shared" si="2"/>
        <v>2079.2110730558302</v>
      </c>
      <c r="F7" s="5">
        <f t="shared" si="3"/>
        <v>404735.39192210947</v>
      </c>
      <c r="H7" t="s">
        <v>185</v>
      </c>
      <c r="I7" s="5">
        <f>70%*(Forecasts!D13+Forecasts!D16)</f>
        <v>407960</v>
      </c>
    </row>
    <row r="8" spans="1:9" x14ac:dyDescent="0.25">
      <c r="A8" t="s">
        <v>186</v>
      </c>
      <c r="B8" s="5">
        <f t="shared" si="4"/>
        <v>404735.39192210947</v>
      </c>
      <c r="C8" s="5">
        <f t="shared" si="0"/>
        <v>544.58937868449834</v>
      </c>
      <c r="D8" s="5">
        <f t="shared" si="1"/>
        <v>1534.6216943713318</v>
      </c>
      <c r="E8" s="5">
        <f t="shared" si="2"/>
        <v>2079.2110730558302</v>
      </c>
      <c r="F8" s="5">
        <f t="shared" si="3"/>
        <v>404190.80254342494</v>
      </c>
    </row>
    <row r="9" spans="1:9" x14ac:dyDescent="0.25">
      <c r="A9" t="s">
        <v>187</v>
      </c>
      <c r="B9" s="5">
        <f t="shared" si="4"/>
        <v>404190.80254342494</v>
      </c>
      <c r="C9" s="5">
        <f t="shared" si="0"/>
        <v>546.65428007867717</v>
      </c>
      <c r="D9" s="5">
        <f t="shared" si="1"/>
        <v>1532.556792977153</v>
      </c>
      <c r="E9" s="5">
        <f t="shared" si="2"/>
        <v>2079.2110730558302</v>
      </c>
      <c r="F9" s="5">
        <f t="shared" si="3"/>
        <v>403644.14826334629</v>
      </c>
      <c r="H9" t="s">
        <v>172</v>
      </c>
      <c r="I9" s="5">
        <f>PMT(I2,I5,I7,I3,I6)</f>
        <v>-2079.2110730558302</v>
      </c>
    </row>
    <row r="10" spans="1:9" x14ac:dyDescent="0.25">
      <c r="A10" t="s">
        <v>188</v>
      </c>
      <c r="B10" s="5">
        <f t="shared" si="4"/>
        <v>403644.14826334629</v>
      </c>
      <c r="C10" s="5">
        <f t="shared" si="0"/>
        <v>548.72701089064208</v>
      </c>
      <c r="D10" s="5">
        <f t="shared" si="1"/>
        <v>1530.4840621651881</v>
      </c>
      <c r="E10" s="5">
        <f t="shared" si="2"/>
        <v>2079.2110730558302</v>
      </c>
      <c r="F10" s="5">
        <f t="shared" si="3"/>
        <v>403095.42125245562</v>
      </c>
    </row>
    <row r="11" spans="1:9" x14ac:dyDescent="0.25">
      <c r="A11" t="s">
        <v>189</v>
      </c>
      <c r="B11" s="5">
        <f t="shared" si="4"/>
        <v>403095.42125245562</v>
      </c>
      <c r="C11" s="5">
        <f t="shared" si="0"/>
        <v>550.80760080693585</v>
      </c>
      <c r="D11" s="5">
        <f t="shared" si="1"/>
        <v>1528.4034722488943</v>
      </c>
      <c r="E11" s="5">
        <f t="shared" si="2"/>
        <v>2079.2110730558302</v>
      </c>
      <c r="F11" s="5">
        <f t="shared" si="3"/>
        <v>402544.61365164869</v>
      </c>
    </row>
    <row r="12" spans="1:9" x14ac:dyDescent="0.25">
      <c r="A12" t="s">
        <v>190</v>
      </c>
      <c r="B12" s="5">
        <f t="shared" si="4"/>
        <v>402544.61365164869</v>
      </c>
      <c r="C12" s="5">
        <f t="shared" si="0"/>
        <v>552.89607962666219</v>
      </c>
      <c r="D12" s="5">
        <f t="shared" si="1"/>
        <v>1526.314993429168</v>
      </c>
      <c r="E12" s="5">
        <f t="shared" si="2"/>
        <v>2079.2110730558302</v>
      </c>
      <c r="F12" s="5">
        <f t="shared" si="3"/>
        <v>401991.717572022</v>
      </c>
    </row>
    <row r="13" spans="1:9" x14ac:dyDescent="0.25">
      <c r="A13" t="s">
        <v>191</v>
      </c>
      <c r="B13" s="5">
        <f t="shared" si="4"/>
        <v>401991.717572022</v>
      </c>
      <c r="C13" s="5">
        <f t="shared" si="0"/>
        <v>554.99247726191334</v>
      </c>
      <c r="D13" s="5">
        <f t="shared" si="1"/>
        <v>1524.2185957939168</v>
      </c>
      <c r="E13" s="5">
        <f t="shared" si="2"/>
        <v>2079.2110730558302</v>
      </c>
      <c r="F13" s="5">
        <f t="shared" si="3"/>
        <v>401436.72509476007</v>
      </c>
      <c r="G13">
        <v>1</v>
      </c>
    </row>
    <row r="14" spans="1:9" x14ac:dyDescent="0.25">
      <c r="A14" t="s">
        <v>192</v>
      </c>
      <c r="C14" s="5">
        <f>SUM(C2:C13)</f>
        <v>6523.274905239834</v>
      </c>
      <c r="D14" s="5">
        <f>SUM(D2:D13)</f>
        <v>18427.257971430128</v>
      </c>
    </row>
    <row r="16" spans="1:9" x14ac:dyDescent="0.25">
      <c r="A16" t="s">
        <v>174</v>
      </c>
      <c r="B16" s="5">
        <f>F13</f>
        <v>401436.72509476007</v>
      </c>
      <c r="C16" s="5">
        <f t="shared" ref="C16:C27" si="5">E16-D16</f>
        <v>557.09682373819828</v>
      </c>
      <c r="D16" s="5">
        <f t="shared" ref="D16:D27" si="6">B16*$I$2</f>
        <v>1522.1142493176319</v>
      </c>
      <c r="E16" s="5">
        <f t="shared" ref="E16:E27" si="7">-$I$9</f>
        <v>2079.2110730558302</v>
      </c>
      <c r="F16" s="5">
        <f t="shared" ref="F16:F27" si="8">B16-C16</f>
        <v>400879.62827102188</v>
      </c>
    </row>
    <row r="17" spans="1:7" x14ac:dyDescent="0.25">
      <c r="A17" t="s">
        <v>176</v>
      </c>
      <c r="B17" s="5">
        <f t="shared" ref="B17:B27" si="9">F16</f>
        <v>400879.62827102188</v>
      </c>
      <c r="C17" s="5">
        <f t="shared" si="5"/>
        <v>559.20914919487223</v>
      </c>
      <c r="D17" s="5">
        <f t="shared" si="6"/>
        <v>1520.001923860958</v>
      </c>
      <c r="E17" s="5">
        <f t="shared" si="7"/>
        <v>2079.2110730558302</v>
      </c>
      <c r="F17" s="5">
        <f t="shared" si="8"/>
        <v>400320.419121827</v>
      </c>
    </row>
    <row r="18" spans="1:7" x14ac:dyDescent="0.25">
      <c r="A18" t="s">
        <v>178</v>
      </c>
      <c r="B18" s="5">
        <f t="shared" si="9"/>
        <v>400320.419121827</v>
      </c>
      <c r="C18" s="5">
        <f t="shared" si="5"/>
        <v>561.32948388556952</v>
      </c>
      <c r="D18" s="5">
        <f t="shared" si="6"/>
        <v>1517.8815891702607</v>
      </c>
      <c r="E18" s="5">
        <f t="shared" si="7"/>
        <v>2079.2110730558302</v>
      </c>
      <c r="F18" s="5">
        <f t="shared" si="8"/>
        <v>399759.08963794145</v>
      </c>
    </row>
    <row r="19" spans="1:7" x14ac:dyDescent="0.25">
      <c r="A19" t="s">
        <v>180</v>
      </c>
      <c r="B19" s="5">
        <f t="shared" si="9"/>
        <v>399759.08963794145</v>
      </c>
      <c r="C19" s="5">
        <f t="shared" si="5"/>
        <v>563.45785817863543</v>
      </c>
      <c r="D19" s="5">
        <f t="shared" si="6"/>
        <v>1515.7532148771948</v>
      </c>
      <c r="E19" s="5">
        <f t="shared" si="7"/>
        <v>2079.2110730558302</v>
      </c>
      <c r="F19" s="5">
        <f t="shared" si="8"/>
        <v>399195.6317797628</v>
      </c>
    </row>
    <row r="20" spans="1:7" x14ac:dyDescent="0.25">
      <c r="A20" t="s">
        <v>182</v>
      </c>
      <c r="B20" s="5">
        <f t="shared" si="9"/>
        <v>399195.6317797628</v>
      </c>
      <c r="C20" s="5">
        <f t="shared" si="5"/>
        <v>565.59430255756297</v>
      </c>
      <c r="D20" s="5">
        <f t="shared" si="6"/>
        <v>1513.6167704982672</v>
      </c>
      <c r="E20" s="5">
        <f t="shared" si="7"/>
        <v>2079.2110730558302</v>
      </c>
      <c r="F20" s="5">
        <f t="shared" si="8"/>
        <v>398630.03747720522</v>
      </c>
    </row>
    <row r="21" spans="1:7" x14ac:dyDescent="0.25">
      <c r="A21" t="s">
        <v>184</v>
      </c>
      <c r="B21" s="5">
        <f t="shared" si="9"/>
        <v>398630.03747720522</v>
      </c>
      <c r="C21" s="5">
        <f t="shared" si="5"/>
        <v>567.73884762142711</v>
      </c>
      <c r="D21" s="5">
        <f t="shared" si="6"/>
        <v>1511.4722254344031</v>
      </c>
      <c r="E21" s="5">
        <f t="shared" si="7"/>
        <v>2079.2110730558302</v>
      </c>
      <c r="F21" s="5">
        <f t="shared" si="8"/>
        <v>398062.29862958379</v>
      </c>
    </row>
    <row r="22" spans="1:7" x14ac:dyDescent="0.25">
      <c r="A22" t="s">
        <v>186</v>
      </c>
      <c r="B22" s="5">
        <f t="shared" si="9"/>
        <v>398062.29862958379</v>
      </c>
      <c r="C22" s="5">
        <f t="shared" si="5"/>
        <v>569.89152408532505</v>
      </c>
      <c r="D22" s="5">
        <f t="shared" si="6"/>
        <v>1509.3195489705051</v>
      </c>
      <c r="E22" s="5">
        <f t="shared" si="7"/>
        <v>2079.2110730558302</v>
      </c>
      <c r="F22" s="5">
        <f t="shared" si="8"/>
        <v>397492.40710549848</v>
      </c>
    </row>
    <row r="23" spans="1:7" x14ac:dyDescent="0.25">
      <c r="A23" t="s">
        <v>187</v>
      </c>
      <c r="B23" s="5">
        <f t="shared" si="9"/>
        <v>397492.40710549848</v>
      </c>
      <c r="C23" s="5">
        <f t="shared" si="5"/>
        <v>572.0523627808152</v>
      </c>
      <c r="D23" s="5">
        <f t="shared" si="6"/>
        <v>1507.158710275015</v>
      </c>
      <c r="E23" s="5">
        <f t="shared" si="7"/>
        <v>2079.2110730558302</v>
      </c>
      <c r="F23" s="5">
        <f t="shared" si="8"/>
        <v>396920.35474271764</v>
      </c>
    </row>
    <row r="24" spans="1:7" x14ac:dyDescent="0.25">
      <c r="A24" t="s">
        <v>188</v>
      </c>
      <c r="B24" s="5">
        <f t="shared" si="9"/>
        <v>396920.35474271764</v>
      </c>
      <c r="C24" s="5">
        <f t="shared" si="5"/>
        <v>574.22139465635905</v>
      </c>
      <c r="D24" s="5">
        <f t="shared" si="6"/>
        <v>1504.9896783994711</v>
      </c>
      <c r="E24" s="5">
        <f t="shared" si="7"/>
        <v>2079.2110730558302</v>
      </c>
      <c r="F24" s="5">
        <f t="shared" si="8"/>
        <v>396346.1333480613</v>
      </c>
    </row>
    <row r="25" spans="1:7" x14ac:dyDescent="0.25">
      <c r="A25" t="s">
        <v>189</v>
      </c>
      <c r="B25" s="5">
        <f t="shared" si="9"/>
        <v>396346.1333480613</v>
      </c>
      <c r="C25" s="5">
        <f t="shared" si="5"/>
        <v>576.39865077776449</v>
      </c>
      <c r="D25" s="5">
        <f t="shared" si="6"/>
        <v>1502.8124222780657</v>
      </c>
      <c r="E25" s="5">
        <f t="shared" si="7"/>
        <v>2079.2110730558302</v>
      </c>
      <c r="F25" s="5">
        <f t="shared" si="8"/>
        <v>395769.73469728354</v>
      </c>
    </row>
    <row r="26" spans="1:7" x14ac:dyDescent="0.25">
      <c r="A26" t="s">
        <v>190</v>
      </c>
      <c r="B26" s="5">
        <f t="shared" si="9"/>
        <v>395769.73469728354</v>
      </c>
      <c r="C26" s="5">
        <f t="shared" si="5"/>
        <v>578.5841623286301</v>
      </c>
      <c r="D26" s="5">
        <f t="shared" si="6"/>
        <v>1500.6269107272001</v>
      </c>
      <c r="E26" s="5">
        <f t="shared" si="7"/>
        <v>2079.2110730558302</v>
      </c>
      <c r="F26" s="5">
        <f t="shared" si="8"/>
        <v>395191.15053495491</v>
      </c>
    </row>
    <row r="27" spans="1:7" x14ac:dyDescent="0.25">
      <c r="A27" t="s">
        <v>191</v>
      </c>
      <c r="B27" s="5">
        <f t="shared" si="9"/>
        <v>395191.15053495491</v>
      </c>
      <c r="C27" s="5">
        <f t="shared" si="5"/>
        <v>580.77796061079289</v>
      </c>
      <c r="D27" s="5">
        <f t="shared" si="6"/>
        <v>1498.4331124450373</v>
      </c>
      <c r="E27" s="5">
        <f t="shared" si="7"/>
        <v>2079.2110730558302</v>
      </c>
      <c r="F27" s="5">
        <f t="shared" si="8"/>
        <v>394610.3725743441</v>
      </c>
      <c r="G27">
        <v>2</v>
      </c>
    </row>
    <row r="28" spans="1:7" x14ac:dyDescent="0.25">
      <c r="A28" t="s">
        <v>192</v>
      </c>
      <c r="C28" s="5">
        <f>SUM(C16:C27)</f>
        <v>6826.3525204159505</v>
      </c>
      <c r="D28" s="5">
        <f>SUM(D16:D27)</f>
        <v>18124.180356254012</v>
      </c>
    </row>
    <row r="30" spans="1:7" x14ac:dyDescent="0.25">
      <c r="A30" t="s">
        <v>174</v>
      </c>
      <c r="B30" s="5">
        <f>F27</f>
        <v>394610.3725743441</v>
      </c>
      <c r="C30" s="5">
        <f t="shared" ref="C30:C41" si="10">E30-D30</f>
        <v>582.9800770447755</v>
      </c>
      <c r="D30" s="5">
        <f t="shared" ref="D30:D41" si="11">B30*$I$2</f>
        <v>1496.2309960110547</v>
      </c>
      <c r="E30" s="5">
        <f t="shared" ref="E30:E41" si="12">-$I$9</f>
        <v>2079.2110730558302</v>
      </c>
      <c r="F30" s="5">
        <f t="shared" ref="F30:F41" si="13">B30-C30</f>
        <v>394027.39249729936</v>
      </c>
    </row>
    <row r="31" spans="1:7" x14ac:dyDescent="0.25">
      <c r="A31" t="s">
        <v>176</v>
      </c>
      <c r="B31" s="5">
        <f t="shared" ref="B31:B41" si="14">F30</f>
        <v>394027.39249729936</v>
      </c>
      <c r="C31" s="5">
        <f t="shared" si="10"/>
        <v>585.19054317023688</v>
      </c>
      <c r="D31" s="5">
        <f t="shared" si="11"/>
        <v>1494.0205298855933</v>
      </c>
      <c r="E31" s="5">
        <f t="shared" si="12"/>
        <v>2079.2110730558302</v>
      </c>
      <c r="F31" s="5">
        <f t="shared" si="13"/>
        <v>393442.20195412909</v>
      </c>
    </row>
    <row r="32" spans="1:7" x14ac:dyDescent="0.25">
      <c r="A32" t="s">
        <v>178</v>
      </c>
      <c r="B32" s="5">
        <f t="shared" si="14"/>
        <v>393442.20195412909</v>
      </c>
      <c r="C32" s="5">
        <f t="shared" si="10"/>
        <v>587.40939064642407</v>
      </c>
      <c r="D32" s="5">
        <f t="shared" si="11"/>
        <v>1491.8016824094061</v>
      </c>
      <c r="E32" s="5">
        <f t="shared" si="12"/>
        <v>2079.2110730558302</v>
      </c>
      <c r="F32" s="5">
        <f t="shared" si="13"/>
        <v>392854.79256348265</v>
      </c>
    </row>
    <row r="33" spans="1:7" x14ac:dyDescent="0.25">
      <c r="A33" t="s">
        <v>180</v>
      </c>
      <c r="B33" s="5">
        <f t="shared" si="14"/>
        <v>392854.79256348265</v>
      </c>
      <c r="C33" s="5">
        <f t="shared" si="10"/>
        <v>589.63665125262514</v>
      </c>
      <c r="D33" s="5">
        <f t="shared" si="11"/>
        <v>1489.574421803205</v>
      </c>
      <c r="E33" s="5">
        <f t="shared" si="12"/>
        <v>2079.2110730558302</v>
      </c>
      <c r="F33" s="5">
        <f t="shared" si="13"/>
        <v>392265.15591223002</v>
      </c>
    </row>
    <row r="34" spans="1:7" x14ac:dyDescent="0.25">
      <c r="A34" t="s">
        <v>182</v>
      </c>
      <c r="B34" s="5">
        <f t="shared" si="14"/>
        <v>392265.15591223002</v>
      </c>
      <c r="C34" s="5">
        <f t="shared" si="10"/>
        <v>591.87235688862461</v>
      </c>
      <c r="D34" s="5">
        <f t="shared" si="11"/>
        <v>1487.3387161672056</v>
      </c>
      <c r="E34" s="5">
        <f t="shared" si="12"/>
        <v>2079.2110730558302</v>
      </c>
      <c r="F34" s="5">
        <f t="shared" si="13"/>
        <v>391673.28355534142</v>
      </c>
    </row>
    <row r="35" spans="1:7" x14ac:dyDescent="0.25">
      <c r="A35" t="s">
        <v>184</v>
      </c>
      <c r="B35" s="5">
        <f t="shared" si="14"/>
        <v>391673.28355534142</v>
      </c>
      <c r="C35" s="5">
        <f t="shared" si="10"/>
        <v>594.11653957516069</v>
      </c>
      <c r="D35" s="5">
        <f t="shared" si="11"/>
        <v>1485.0945334806695</v>
      </c>
      <c r="E35" s="5">
        <f t="shared" si="12"/>
        <v>2079.2110730558302</v>
      </c>
      <c r="F35" s="5">
        <f t="shared" si="13"/>
        <v>391079.16701576626</v>
      </c>
    </row>
    <row r="36" spans="1:7" x14ac:dyDescent="0.25">
      <c r="A36" t="s">
        <v>186</v>
      </c>
      <c r="B36" s="5">
        <f t="shared" si="14"/>
        <v>391079.16701576626</v>
      </c>
      <c r="C36" s="5">
        <f t="shared" si="10"/>
        <v>596.369231454383</v>
      </c>
      <c r="D36" s="5">
        <f t="shared" si="11"/>
        <v>1482.8418416014472</v>
      </c>
      <c r="E36" s="5">
        <f t="shared" si="12"/>
        <v>2079.2110730558302</v>
      </c>
      <c r="F36" s="5">
        <f t="shared" si="13"/>
        <v>390482.79778431187</v>
      </c>
    </row>
    <row r="37" spans="1:7" x14ac:dyDescent="0.25">
      <c r="A37" t="s">
        <v>187</v>
      </c>
      <c r="B37" s="5">
        <f t="shared" si="14"/>
        <v>390482.79778431187</v>
      </c>
      <c r="C37" s="5">
        <f t="shared" si="10"/>
        <v>598.63046479031436</v>
      </c>
      <c r="D37" s="5">
        <f t="shared" si="11"/>
        <v>1480.5806082655158</v>
      </c>
      <c r="E37" s="5">
        <f t="shared" si="12"/>
        <v>2079.2110730558302</v>
      </c>
      <c r="F37" s="5">
        <f t="shared" si="13"/>
        <v>389884.16731952154</v>
      </c>
    </row>
    <row r="38" spans="1:7" x14ac:dyDescent="0.25">
      <c r="A38" t="s">
        <v>188</v>
      </c>
      <c r="B38" s="5">
        <f t="shared" si="14"/>
        <v>389884.16731952154</v>
      </c>
      <c r="C38" s="5">
        <f t="shared" si="10"/>
        <v>600.90027196931101</v>
      </c>
      <c r="D38" s="5">
        <f t="shared" si="11"/>
        <v>1478.3108010865192</v>
      </c>
      <c r="E38" s="5">
        <f t="shared" si="12"/>
        <v>2079.2110730558302</v>
      </c>
      <c r="F38" s="5">
        <f t="shared" si="13"/>
        <v>389283.26704755222</v>
      </c>
    </row>
    <row r="39" spans="1:7" x14ac:dyDescent="0.25">
      <c r="A39" t="s">
        <v>189</v>
      </c>
      <c r="B39" s="5">
        <f t="shared" si="14"/>
        <v>389283.26704755222</v>
      </c>
      <c r="C39" s="5">
        <f t="shared" si="10"/>
        <v>603.17868550052799</v>
      </c>
      <c r="D39" s="5">
        <f t="shared" si="11"/>
        <v>1476.0323875553022</v>
      </c>
      <c r="E39" s="5">
        <f t="shared" si="12"/>
        <v>2079.2110730558302</v>
      </c>
      <c r="F39" s="5">
        <f t="shared" si="13"/>
        <v>388680.0883620517</v>
      </c>
    </row>
    <row r="40" spans="1:7" x14ac:dyDescent="0.25">
      <c r="A40" t="s">
        <v>190</v>
      </c>
      <c r="B40" s="5">
        <f t="shared" si="14"/>
        <v>388680.0883620517</v>
      </c>
      <c r="C40" s="5">
        <f t="shared" si="10"/>
        <v>605.46573801638419</v>
      </c>
      <c r="D40" s="5">
        <f t="shared" si="11"/>
        <v>1473.745335039446</v>
      </c>
      <c r="E40" s="5">
        <f t="shared" si="12"/>
        <v>2079.2110730558302</v>
      </c>
      <c r="F40" s="5">
        <f t="shared" si="13"/>
        <v>388074.62262403534</v>
      </c>
    </row>
    <row r="41" spans="1:7" x14ac:dyDescent="0.25">
      <c r="A41" t="s">
        <v>191</v>
      </c>
      <c r="B41" s="5">
        <f t="shared" si="14"/>
        <v>388074.62262403534</v>
      </c>
      <c r="C41" s="5">
        <f t="shared" si="10"/>
        <v>607.76146227302957</v>
      </c>
      <c r="D41" s="5">
        <f t="shared" si="11"/>
        <v>1471.4496107828006</v>
      </c>
      <c r="E41" s="5">
        <f t="shared" si="12"/>
        <v>2079.2110730558302</v>
      </c>
      <c r="F41" s="5">
        <f t="shared" si="13"/>
        <v>387466.86116176232</v>
      </c>
      <c r="G41">
        <v>3</v>
      </c>
    </row>
    <row r="42" spans="1:7" x14ac:dyDescent="0.25">
      <c r="A42" t="s">
        <v>192</v>
      </c>
      <c r="C42" s="5">
        <f>SUM(C30:C41)</f>
        <v>7143.5114125817972</v>
      </c>
      <c r="D42" s="5">
        <f>SUM(D30:D41)</f>
        <v>17807.021464088164</v>
      </c>
    </row>
    <row r="44" spans="1:7" x14ac:dyDescent="0.25">
      <c r="A44" t="s">
        <v>174</v>
      </c>
      <c r="B44" s="5">
        <f>F41</f>
        <v>387466.86116176232</v>
      </c>
      <c r="C44" s="5">
        <f t="shared" ref="C44:C55" si="15">E44-D44</f>
        <v>610.06589115081465</v>
      </c>
      <c r="D44" s="5">
        <f t="shared" ref="D44:D55" si="16">B44*$I$2</f>
        <v>1469.1451819050155</v>
      </c>
      <c r="E44" s="5">
        <f t="shared" ref="E44:E55" si="17">-$I$9</f>
        <v>2079.2110730558302</v>
      </c>
      <c r="F44" s="5">
        <f t="shared" ref="F44:F55" si="18">B44-C44</f>
        <v>386856.79527061153</v>
      </c>
    </row>
    <row r="45" spans="1:7" x14ac:dyDescent="0.25">
      <c r="A45" t="s">
        <v>176</v>
      </c>
      <c r="B45" s="5">
        <f t="shared" ref="B45:B55" si="19">F44</f>
        <v>386856.79527061153</v>
      </c>
      <c r="C45" s="5">
        <f t="shared" si="15"/>
        <v>612.37905765476148</v>
      </c>
      <c r="D45" s="5">
        <f t="shared" si="16"/>
        <v>1466.8320154010687</v>
      </c>
      <c r="E45" s="5">
        <f t="shared" si="17"/>
        <v>2079.2110730558302</v>
      </c>
      <c r="F45" s="5">
        <f t="shared" si="18"/>
        <v>386244.41621295677</v>
      </c>
    </row>
    <row r="46" spans="1:7" x14ac:dyDescent="0.25">
      <c r="A46" t="s">
        <v>178</v>
      </c>
      <c r="B46" s="5">
        <f t="shared" si="19"/>
        <v>386244.41621295677</v>
      </c>
      <c r="C46" s="5">
        <f t="shared" si="15"/>
        <v>614.70099491503584</v>
      </c>
      <c r="D46" s="5">
        <f t="shared" si="16"/>
        <v>1464.5100781407943</v>
      </c>
      <c r="E46" s="5">
        <f t="shared" si="17"/>
        <v>2079.2110730558302</v>
      </c>
      <c r="F46" s="5">
        <f t="shared" si="18"/>
        <v>385629.71521804173</v>
      </c>
    </row>
    <row r="47" spans="1:7" x14ac:dyDescent="0.25">
      <c r="A47" t="s">
        <v>180</v>
      </c>
      <c r="B47" s="5">
        <f t="shared" si="19"/>
        <v>385629.71521804173</v>
      </c>
      <c r="C47" s="5">
        <f t="shared" si="15"/>
        <v>617.03173618742198</v>
      </c>
      <c r="D47" s="5">
        <f t="shared" si="16"/>
        <v>1462.1793368684082</v>
      </c>
      <c r="E47" s="5">
        <f t="shared" si="17"/>
        <v>2079.2110730558302</v>
      </c>
      <c r="F47" s="5">
        <f t="shared" si="18"/>
        <v>385012.68348185433</v>
      </c>
    </row>
    <row r="48" spans="1:7" x14ac:dyDescent="0.25">
      <c r="A48" t="s">
        <v>182</v>
      </c>
      <c r="B48" s="5">
        <f t="shared" si="19"/>
        <v>385012.68348185433</v>
      </c>
      <c r="C48" s="5">
        <f t="shared" si="15"/>
        <v>619.37131485379928</v>
      </c>
      <c r="D48" s="5">
        <f t="shared" si="16"/>
        <v>1459.8397582020309</v>
      </c>
      <c r="E48" s="5">
        <f t="shared" si="17"/>
        <v>2079.2110730558302</v>
      </c>
      <c r="F48" s="5">
        <f t="shared" si="18"/>
        <v>384393.31216700055</v>
      </c>
    </row>
    <row r="49" spans="1:7" x14ac:dyDescent="0.25">
      <c r="A49" t="s">
        <v>184</v>
      </c>
      <c r="B49" s="5">
        <f t="shared" si="19"/>
        <v>384393.31216700055</v>
      </c>
      <c r="C49" s="5">
        <f t="shared" si="15"/>
        <v>621.71976442261985</v>
      </c>
      <c r="D49" s="5">
        <f t="shared" si="16"/>
        <v>1457.4913086332103</v>
      </c>
      <c r="E49" s="5">
        <f t="shared" si="17"/>
        <v>2079.2110730558302</v>
      </c>
      <c r="F49" s="5">
        <f t="shared" si="18"/>
        <v>383771.59240257792</v>
      </c>
    </row>
    <row r="50" spans="1:7" x14ac:dyDescent="0.25">
      <c r="A50" t="s">
        <v>186</v>
      </c>
      <c r="B50" s="5">
        <f t="shared" si="19"/>
        <v>383771.59240257792</v>
      </c>
      <c r="C50" s="5">
        <f t="shared" si="15"/>
        <v>624.07711852938883</v>
      </c>
      <c r="D50" s="5">
        <f t="shared" si="16"/>
        <v>1455.1339545264414</v>
      </c>
      <c r="E50" s="5">
        <f t="shared" si="17"/>
        <v>2079.2110730558302</v>
      </c>
      <c r="F50" s="5">
        <f t="shared" si="18"/>
        <v>383147.51528404851</v>
      </c>
    </row>
    <row r="51" spans="1:7" x14ac:dyDescent="0.25">
      <c r="A51" t="s">
        <v>187</v>
      </c>
      <c r="B51" s="5">
        <f t="shared" si="19"/>
        <v>383147.51528404851</v>
      </c>
      <c r="C51" s="5">
        <f t="shared" si="15"/>
        <v>626.44341093714615</v>
      </c>
      <c r="D51" s="5">
        <f t="shared" si="16"/>
        <v>1452.767662118684</v>
      </c>
      <c r="E51" s="5">
        <f t="shared" si="17"/>
        <v>2079.2110730558302</v>
      </c>
      <c r="F51" s="5">
        <f t="shared" si="18"/>
        <v>382521.07187311136</v>
      </c>
    </row>
    <row r="52" spans="1:7" x14ac:dyDescent="0.25">
      <c r="A52" t="s">
        <v>188</v>
      </c>
      <c r="B52" s="5">
        <f t="shared" si="19"/>
        <v>382521.07187311136</v>
      </c>
      <c r="C52" s="5">
        <f t="shared" si="15"/>
        <v>628.81867553694951</v>
      </c>
      <c r="D52" s="5">
        <f t="shared" si="16"/>
        <v>1450.3923975188807</v>
      </c>
      <c r="E52" s="5">
        <f t="shared" si="17"/>
        <v>2079.2110730558302</v>
      </c>
      <c r="F52" s="5">
        <f t="shared" si="18"/>
        <v>381892.25319757441</v>
      </c>
    </row>
    <row r="53" spans="1:7" x14ac:dyDescent="0.25">
      <c r="A53" t="s">
        <v>189</v>
      </c>
      <c r="B53" s="5">
        <f t="shared" si="19"/>
        <v>381892.25319757441</v>
      </c>
      <c r="C53" s="5">
        <f t="shared" si="15"/>
        <v>631.20294634836046</v>
      </c>
      <c r="D53" s="5">
        <f t="shared" si="16"/>
        <v>1448.0081267074697</v>
      </c>
      <c r="E53" s="5">
        <f t="shared" si="17"/>
        <v>2079.2110730558302</v>
      </c>
      <c r="F53" s="5">
        <f t="shared" si="18"/>
        <v>381261.05025122606</v>
      </c>
    </row>
    <row r="54" spans="1:7" x14ac:dyDescent="0.25">
      <c r="A54" t="s">
        <v>190</v>
      </c>
      <c r="B54" s="5">
        <f t="shared" si="19"/>
        <v>381261.05025122606</v>
      </c>
      <c r="C54" s="5">
        <f t="shared" si="15"/>
        <v>633.59625751993144</v>
      </c>
      <c r="D54" s="5">
        <f t="shared" si="16"/>
        <v>1445.6148155358987</v>
      </c>
      <c r="E54" s="5">
        <f t="shared" si="17"/>
        <v>2079.2110730558302</v>
      </c>
      <c r="F54" s="5">
        <f t="shared" si="18"/>
        <v>380627.45399370615</v>
      </c>
    </row>
    <row r="55" spans="1:7" x14ac:dyDescent="0.25">
      <c r="A55" t="s">
        <v>191</v>
      </c>
      <c r="B55" s="5">
        <f t="shared" si="19"/>
        <v>380627.45399370615</v>
      </c>
      <c r="C55" s="5">
        <f t="shared" si="15"/>
        <v>635.99864332969446</v>
      </c>
      <c r="D55" s="5">
        <f t="shared" si="16"/>
        <v>1443.2124297261357</v>
      </c>
      <c r="E55" s="5">
        <f t="shared" si="17"/>
        <v>2079.2110730558302</v>
      </c>
      <c r="F55" s="5">
        <f t="shared" si="18"/>
        <v>379991.45535037643</v>
      </c>
      <c r="G55">
        <v>4</v>
      </c>
    </row>
    <row r="56" spans="1:7" x14ac:dyDescent="0.25">
      <c r="A56" t="s">
        <v>192</v>
      </c>
      <c r="C56" s="5">
        <f>SUM(C44:C55)</f>
        <v>7475.4058113859246</v>
      </c>
      <c r="D56" s="5">
        <f>SUM(D44:D55)</f>
        <v>17475.127065284039</v>
      </c>
    </row>
    <row r="58" spans="1:7" x14ac:dyDescent="0.25">
      <c r="A58" t="s">
        <v>174</v>
      </c>
      <c r="B58" s="5">
        <f>F55</f>
        <v>379991.45535037643</v>
      </c>
      <c r="C58" s="5">
        <f t="shared" ref="C58:C69" si="20">E58-D58</f>
        <v>638.41013818565284</v>
      </c>
      <c r="D58" s="5">
        <f t="shared" ref="D58:D69" si="21">B58*$I$2</f>
        <v>1440.8009348701773</v>
      </c>
      <c r="E58" s="5">
        <f t="shared" ref="E58:E69" si="22">-$I$9</f>
        <v>2079.2110730558302</v>
      </c>
      <c r="F58" s="5">
        <f t="shared" ref="F58:F69" si="23">B58-C58</f>
        <v>379353.04521219077</v>
      </c>
    </row>
    <row r="59" spans="1:7" x14ac:dyDescent="0.25">
      <c r="A59" t="s">
        <v>176</v>
      </c>
      <c r="B59" s="5">
        <f t="shared" ref="B59:B69" si="24">F58</f>
        <v>379353.04521219077</v>
      </c>
      <c r="C59" s="5">
        <f t="shared" si="20"/>
        <v>640.83077662627352</v>
      </c>
      <c r="D59" s="5">
        <f t="shared" si="21"/>
        <v>1438.3802964295567</v>
      </c>
      <c r="E59" s="5">
        <f t="shared" si="22"/>
        <v>2079.2110730558302</v>
      </c>
      <c r="F59" s="5">
        <f t="shared" si="23"/>
        <v>378712.21443556447</v>
      </c>
    </row>
    <row r="60" spans="1:7" x14ac:dyDescent="0.25">
      <c r="A60" t="s">
        <v>178</v>
      </c>
      <c r="B60" s="5">
        <f t="shared" si="24"/>
        <v>378712.21443556447</v>
      </c>
      <c r="C60" s="5">
        <f t="shared" si="20"/>
        <v>643.26059332098157</v>
      </c>
      <c r="D60" s="5">
        <f t="shared" si="21"/>
        <v>1435.9504797348486</v>
      </c>
      <c r="E60" s="5">
        <f t="shared" si="22"/>
        <v>2079.2110730558302</v>
      </c>
      <c r="F60" s="5">
        <f t="shared" si="23"/>
        <v>378068.95384224347</v>
      </c>
    </row>
    <row r="61" spans="1:7" x14ac:dyDescent="0.25">
      <c r="A61" t="s">
        <v>180</v>
      </c>
      <c r="B61" s="5">
        <f t="shared" si="24"/>
        <v>378068.95384224347</v>
      </c>
      <c r="C61" s="5">
        <f t="shared" si="20"/>
        <v>645.69962307065703</v>
      </c>
      <c r="D61" s="5">
        <f t="shared" si="21"/>
        <v>1433.5114499851732</v>
      </c>
      <c r="E61" s="5">
        <f t="shared" si="22"/>
        <v>2079.2110730558302</v>
      </c>
      <c r="F61" s="5">
        <f t="shared" si="23"/>
        <v>377423.25421917281</v>
      </c>
    </row>
    <row r="62" spans="1:7" x14ac:dyDescent="0.25">
      <c r="A62" t="s">
        <v>182</v>
      </c>
      <c r="B62" s="5">
        <f t="shared" si="24"/>
        <v>377423.25421917281</v>
      </c>
      <c r="C62" s="5">
        <f t="shared" si="20"/>
        <v>648.14790080813327</v>
      </c>
      <c r="D62" s="5">
        <f t="shared" si="21"/>
        <v>1431.0631722476969</v>
      </c>
      <c r="E62" s="5">
        <f t="shared" si="22"/>
        <v>2079.2110730558302</v>
      </c>
      <c r="F62" s="5">
        <f t="shared" si="23"/>
        <v>376775.10631836468</v>
      </c>
    </row>
    <row r="63" spans="1:7" x14ac:dyDescent="0.25">
      <c r="A63" t="s">
        <v>184</v>
      </c>
      <c r="B63" s="5">
        <f t="shared" si="24"/>
        <v>376775.10631836468</v>
      </c>
      <c r="C63" s="5">
        <f t="shared" si="20"/>
        <v>650.6054615986975</v>
      </c>
      <c r="D63" s="5">
        <f t="shared" si="21"/>
        <v>1428.6056114571327</v>
      </c>
      <c r="E63" s="5">
        <f t="shared" si="22"/>
        <v>2079.2110730558302</v>
      </c>
      <c r="F63" s="5">
        <f t="shared" si="23"/>
        <v>376124.50085676595</v>
      </c>
    </row>
    <row r="64" spans="1:7" x14ac:dyDescent="0.25">
      <c r="A64" t="s">
        <v>186</v>
      </c>
      <c r="B64" s="5">
        <f t="shared" si="24"/>
        <v>376124.50085676595</v>
      </c>
      <c r="C64" s="5">
        <f t="shared" si="20"/>
        <v>653.07234064059253</v>
      </c>
      <c r="D64" s="5">
        <f t="shared" si="21"/>
        <v>1426.1387324152377</v>
      </c>
      <c r="E64" s="5">
        <f t="shared" si="22"/>
        <v>2079.2110730558302</v>
      </c>
      <c r="F64" s="5">
        <f t="shared" si="23"/>
        <v>375471.42851612536</v>
      </c>
    </row>
    <row r="65" spans="1:7" x14ac:dyDescent="0.25">
      <c r="A65" t="s">
        <v>187</v>
      </c>
      <c r="B65" s="5">
        <f t="shared" si="24"/>
        <v>375471.42851612536</v>
      </c>
      <c r="C65" s="5">
        <f t="shared" si="20"/>
        <v>655.54857326552155</v>
      </c>
      <c r="D65" s="5">
        <f t="shared" si="21"/>
        <v>1423.6624997903086</v>
      </c>
      <c r="E65" s="5">
        <f t="shared" si="22"/>
        <v>2079.2110730558302</v>
      </c>
      <c r="F65" s="5">
        <f t="shared" si="23"/>
        <v>374815.87994285987</v>
      </c>
    </row>
    <row r="66" spans="1:7" x14ac:dyDescent="0.25">
      <c r="A66" t="s">
        <v>188</v>
      </c>
      <c r="B66" s="5">
        <f t="shared" si="24"/>
        <v>374815.87994285987</v>
      </c>
      <c r="C66" s="5">
        <f t="shared" si="20"/>
        <v>658.03419493915317</v>
      </c>
      <c r="D66" s="5">
        <f t="shared" si="21"/>
        <v>1421.176878116677</v>
      </c>
      <c r="E66" s="5">
        <f t="shared" si="22"/>
        <v>2079.2110730558302</v>
      </c>
      <c r="F66" s="5">
        <f t="shared" si="23"/>
        <v>374157.84574792074</v>
      </c>
    </row>
    <row r="67" spans="1:7" x14ac:dyDescent="0.25">
      <c r="A67" t="s">
        <v>189</v>
      </c>
      <c r="B67" s="5">
        <f t="shared" si="24"/>
        <v>374157.84574792074</v>
      </c>
      <c r="C67" s="5">
        <f t="shared" si="20"/>
        <v>660.52924126163066</v>
      </c>
      <c r="D67" s="5">
        <f t="shared" si="21"/>
        <v>1418.6818317941995</v>
      </c>
      <c r="E67" s="5">
        <f t="shared" si="22"/>
        <v>2079.2110730558302</v>
      </c>
      <c r="F67" s="5">
        <f t="shared" si="23"/>
        <v>373497.31650665909</v>
      </c>
    </row>
    <row r="68" spans="1:7" x14ac:dyDescent="0.25">
      <c r="A68" t="s">
        <v>190</v>
      </c>
      <c r="B68" s="5">
        <f t="shared" si="24"/>
        <v>373497.31650665909</v>
      </c>
      <c r="C68" s="5">
        <f t="shared" si="20"/>
        <v>663.03374796808112</v>
      </c>
      <c r="D68" s="5">
        <f t="shared" si="21"/>
        <v>1416.1773250877491</v>
      </c>
      <c r="E68" s="5">
        <f t="shared" si="22"/>
        <v>2079.2110730558302</v>
      </c>
      <c r="F68" s="5">
        <f t="shared" si="23"/>
        <v>372834.282758691</v>
      </c>
    </row>
    <row r="69" spans="1:7" x14ac:dyDescent="0.25">
      <c r="A69" t="s">
        <v>191</v>
      </c>
      <c r="B69" s="5">
        <f t="shared" si="24"/>
        <v>372834.282758691</v>
      </c>
      <c r="C69" s="5">
        <f t="shared" si="20"/>
        <v>665.54775092912678</v>
      </c>
      <c r="D69" s="5">
        <f t="shared" si="21"/>
        <v>1413.6633221267034</v>
      </c>
      <c r="E69" s="5">
        <f t="shared" si="22"/>
        <v>2079.2110730558302</v>
      </c>
      <c r="F69" s="5">
        <f t="shared" si="23"/>
        <v>372168.73500776186</v>
      </c>
      <c r="G69">
        <v>5</v>
      </c>
    </row>
    <row r="70" spans="1:7" x14ac:dyDescent="0.25">
      <c r="A70" t="s">
        <v>192</v>
      </c>
      <c r="C70" s="5">
        <f>SUM(C58:C69)</f>
        <v>7822.7203426145015</v>
      </c>
      <c r="D70" s="5">
        <f>SUM(D58:D69)</f>
        <v>17127.812534055462</v>
      </c>
    </row>
    <row r="72" spans="1:7" x14ac:dyDescent="0.25">
      <c r="A72" t="s">
        <v>174</v>
      </c>
      <c r="B72" s="5">
        <f>F69</f>
        <v>372168.73500776186</v>
      </c>
      <c r="C72" s="5">
        <f t="shared" ref="C72:C83" si="25">E72-D72</f>
        <v>668.07128615139982</v>
      </c>
      <c r="D72" s="5">
        <f t="shared" ref="D72:D83" si="26">B72*$I$2</f>
        <v>1411.1397869044304</v>
      </c>
      <c r="E72" s="5">
        <f t="shared" ref="E72:E83" si="27">-$I$9</f>
        <v>2079.2110730558302</v>
      </c>
      <c r="F72" s="5">
        <f t="shared" ref="F72:F83" si="28">B72-C72</f>
        <v>371500.66372161044</v>
      </c>
    </row>
    <row r="73" spans="1:7" x14ac:dyDescent="0.25">
      <c r="A73" t="s">
        <v>176</v>
      </c>
      <c r="B73" s="5">
        <f t="shared" ref="B73:B83" si="29">F72</f>
        <v>371500.66372161044</v>
      </c>
      <c r="C73" s="5">
        <f t="shared" si="25"/>
        <v>670.60438977805734</v>
      </c>
      <c r="D73" s="5">
        <f t="shared" si="26"/>
        <v>1408.6066832777728</v>
      </c>
      <c r="E73" s="5">
        <f t="shared" si="27"/>
        <v>2079.2110730558302</v>
      </c>
      <c r="F73" s="5">
        <f t="shared" si="28"/>
        <v>370830.0593318324</v>
      </c>
    </row>
    <row r="74" spans="1:7" x14ac:dyDescent="0.25">
      <c r="A74" t="s">
        <v>178</v>
      </c>
      <c r="B74" s="5">
        <f t="shared" si="29"/>
        <v>370830.0593318324</v>
      </c>
      <c r="C74" s="5">
        <f t="shared" si="25"/>
        <v>673.14709808929911</v>
      </c>
      <c r="D74" s="5">
        <f t="shared" si="26"/>
        <v>1406.0639749665311</v>
      </c>
      <c r="E74" s="5">
        <f t="shared" si="27"/>
        <v>2079.2110730558302</v>
      </c>
      <c r="F74" s="5">
        <f t="shared" si="28"/>
        <v>370156.91223374312</v>
      </c>
    </row>
    <row r="75" spans="1:7" x14ac:dyDescent="0.25">
      <c r="A75" t="s">
        <v>180</v>
      </c>
      <c r="B75" s="5">
        <f t="shared" si="29"/>
        <v>370156.91223374312</v>
      </c>
      <c r="C75" s="5">
        <f t="shared" si="25"/>
        <v>675.69944750288755</v>
      </c>
      <c r="D75" s="5">
        <f t="shared" si="26"/>
        <v>1403.5116255529426</v>
      </c>
      <c r="E75" s="5">
        <f t="shared" si="27"/>
        <v>2079.2110730558302</v>
      </c>
      <c r="F75" s="5">
        <f t="shared" si="28"/>
        <v>369481.21278624021</v>
      </c>
    </row>
    <row r="76" spans="1:7" x14ac:dyDescent="0.25">
      <c r="A76" t="s">
        <v>182</v>
      </c>
      <c r="B76" s="5">
        <f t="shared" si="29"/>
        <v>369481.21278624021</v>
      </c>
      <c r="C76" s="5">
        <f t="shared" si="25"/>
        <v>678.26147457466936</v>
      </c>
      <c r="D76" s="5">
        <f t="shared" si="26"/>
        <v>1400.9495984811608</v>
      </c>
      <c r="E76" s="5">
        <f t="shared" si="27"/>
        <v>2079.2110730558302</v>
      </c>
      <c r="F76" s="5">
        <f t="shared" si="28"/>
        <v>368802.95131166553</v>
      </c>
    </row>
    <row r="77" spans="1:7" x14ac:dyDescent="0.25">
      <c r="A77" t="s">
        <v>184</v>
      </c>
      <c r="B77" s="5">
        <f t="shared" si="29"/>
        <v>368802.95131166553</v>
      </c>
      <c r="C77" s="5">
        <f t="shared" si="25"/>
        <v>680.83321599909846</v>
      </c>
      <c r="D77" s="5">
        <f t="shared" si="26"/>
        <v>1398.3778570567317</v>
      </c>
      <c r="E77" s="5">
        <f t="shared" si="27"/>
        <v>2079.2110730558302</v>
      </c>
      <c r="F77" s="5">
        <f t="shared" si="28"/>
        <v>368122.1180956664</v>
      </c>
    </row>
    <row r="78" spans="1:7" x14ac:dyDescent="0.25">
      <c r="A78" t="s">
        <v>186</v>
      </c>
      <c r="B78" s="5">
        <f t="shared" si="29"/>
        <v>368122.1180956664</v>
      </c>
      <c r="C78" s="5">
        <f t="shared" si="25"/>
        <v>683.41470860976165</v>
      </c>
      <c r="D78" s="5">
        <f t="shared" si="26"/>
        <v>1395.7963644460685</v>
      </c>
      <c r="E78" s="5">
        <f t="shared" si="27"/>
        <v>2079.2110730558302</v>
      </c>
      <c r="F78" s="5">
        <f t="shared" si="28"/>
        <v>367438.70338705665</v>
      </c>
    </row>
    <row r="79" spans="1:7" x14ac:dyDescent="0.25">
      <c r="A79" t="s">
        <v>187</v>
      </c>
      <c r="B79" s="5">
        <f t="shared" si="29"/>
        <v>367438.70338705665</v>
      </c>
      <c r="C79" s="5">
        <f t="shared" si="25"/>
        <v>686.00598937990708</v>
      </c>
      <c r="D79" s="5">
        <f t="shared" si="26"/>
        <v>1393.2050836759231</v>
      </c>
      <c r="E79" s="5">
        <f t="shared" si="27"/>
        <v>2079.2110730558302</v>
      </c>
      <c r="F79" s="5">
        <f t="shared" si="28"/>
        <v>366752.69739767676</v>
      </c>
    </row>
    <row r="80" spans="1:7" x14ac:dyDescent="0.25">
      <c r="A80" t="s">
        <v>188</v>
      </c>
      <c r="B80" s="5">
        <f t="shared" si="29"/>
        <v>366752.69739767676</v>
      </c>
      <c r="C80" s="5">
        <f t="shared" si="25"/>
        <v>688.60709542297241</v>
      </c>
      <c r="D80" s="5">
        <f t="shared" si="26"/>
        <v>1390.6039776328578</v>
      </c>
      <c r="E80" s="5">
        <f t="shared" si="27"/>
        <v>2079.2110730558302</v>
      </c>
      <c r="F80" s="5">
        <f t="shared" si="28"/>
        <v>366064.09030225378</v>
      </c>
    </row>
    <row r="81" spans="1:7" x14ac:dyDescent="0.25">
      <c r="A81" t="s">
        <v>189</v>
      </c>
      <c r="B81" s="5">
        <f t="shared" si="29"/>
        <v>366064.09030225378</v>
      </c>
      <c r="C81" s="5">
        <f t="shared" si="25"/>
        <v>691.21806399311799</v>
      </c>
      <c r="D81" s="5">
        <f t="shared" si="26"/>
        <v>1387.9930090627122</v>
      </c>
      <c r="E81" s="5">
        <f t="shared" si="27"/>
        <v>2079.2110730558302</v>
      </c>
      <c r="F81" s="5">
        <f t="shared" si="28"/>
        <v>365372.87223826064</v>
      </c>
    </row>
    <row r="82" spans="1:7" x14ac:dyDescent="0.25">
      <c r="A82" t="s">
        <v>190</v>
      </c>
      <c r="B82" s="5">
        <f t="shared" si="29"/>
        <v>365372.87223826064</v>
      </c>
      <c r="C82" s="5">
        <f t="shared" si="25"/>
        <v>693.83893248575851</v>
      </c>
      <c r="D82" s="5">
        <f t="shared" si="26"/>
        <v>1385.3721405700717</v>
      </c>
      <c r="E82" s="5">
        <f t="shared" si="27"/>
        <v>2079.2110730558302</v>
      </c>
      <c r="F82" s="5">
        <f t="shared" si="28"/>
        <v>364679.03330577485</v>
      </c>
    </row>
    <row r="83" spans="1:7" x14ac:dyDescent="0.25">
      <c r="A83" t="s">
        <v>191</v>
      </c>
      <c r="B83" s="5">
        <f t="shared" si="29"/>
        <v>364679.03330577485</v>
      </c>
      <c r="C83" s="5">
        <f t="shared" si="25"/>
        <v>696.46973843810042</v>
      </c>
      <c r="D83" s="5">
        <f t="shared" si="26"/>
        <v>1382.7413346177298</v>
      </c>
      <c r="E83" s="5">
        <f t="shared" si="27"/>
        <v>2079.2110730558302</v>
      </c>
      <c r="F83" s="5">
        <f t="shared" si="28"/>
        <v>363982.56356733677</v>
      </c>
      <c r="G83">
        <v>6</v>
      </c>
    </row>
    <row r="84" spans="1:7" x14ac:dyDescent="0.25">
      <c r="A84" t="s">
        <v>192</v>
      </c>
      <c r="C84" s="5">
        <f>SUM(C72:C83)</f>
        <v>8186.1714404250297</v>
      </c>
      <c r="D84" s="5">
        <f>SUM(D72:D83)</f>
        <v>16764.361436244933</v>
      </c>
    </row>
    <row r="86" spans="1:7" x14ac:dyDescent="0.25">
      <c r="A86" t="s">
        <v>174</v>
      </c>
      <c r="B86" s="5">
        <f>F83</f>
        <v>363982.56356733677</v>
      </c>
      <c r="C86" s="5">
        <f t="shared" ref="C86:C97" si="30">E86-D86</f>
        <v>699.11051952967819</v>
      </c>
      <c r="D86" s="5">
        <f t="shared" ref="D86:D97" si="31">B86*$I$2</f>
        <v>1380.100553526152</v>
      </c>
      <c r="E86" s="5">
        <f t="shared" ref="E86:E97" si="32">-$I$9</f>
        <v>2079.2110730558302</v>
      </c>
      <c r="F86" s="5">
        <f t="shared" ref="F86:F97" si="33">B86-C86</f>
        <v>363283.4530478071</v>
      </c>
    </row>
    <row r="87" spans="1:7" x14ac:dyDescent="0.25">
      <c r="A87" t="s">
        <v>176</v>
      </c>
      <c r="B87" s="5">
        <f t="shared" ref="B87:B97" si="34">F86</f>
        <v>363283.4530478071</v>
      </c>
      <c r="C87" s="5">
        <f t="shared" si="30"/>
        <v>701.7613135828949</v>
      </c>
      <c r="D87" s="5">
        <f t="shared" si="31"/>
        <v>1377.4497594729353</v>
      </c>
      <c r="E87" s="5">
        <f t="shared" si="32"/>
        <v>2079.2110730558302</v>
      </c>
      <c r="F87" s="5">
        <f t="shared" si="33"/>
        <v>362581.69173422421</v>
      </c>
    </row>
    <row r="88" spans="1:7" x14ac:dyDescent="0.25">
      <c r="A88" t="s">
        <v>178</v>
      </c>
      <c r="B88" s="5">
        <f t="shared" si="34"/>
        <v>362581.69173422421</v>
      </c>
      <c r="C88" s="5">
        <f t="shared" si="30"/>
        <v>704.42215856356347</v>
      </c>
      <c r="D88" s="5">
        <f t="shared" si="31"/>
        <v>1374.7889144922667</v>
      </c>
      <c r="E88" s="5">
        <f t="shared" si="32"/>
        <v>2079.2110730558302</v>
      </c>
      <c r="F88" s="5">
        <f t="shared" si="33"/>
        <v>361877.26957566064</v>
      </c>
    </row>
    <row r="89" spans="1:7" x14ac:dyDescent="0.25">
      <c r="A89" t="s">
        <v>180</v>
      </c>
      <c r="B89" s="5">
        <f t="shared" si="34"/>
        <v>361877.26957566064</v>
      </c>
      <c r="C89" s="5">
        <f t="shared" si="30"/>
        <v>707.09309258145026</v>
      </c>
      <c r="D89" s="5">
        <f t="shared" si="31"/>
        <v>1372.1179804743799</v>
      </c>
      <c r="E89" s="5">
        <f t="shared" si="32"/>
        <v>2079.2110730558302</v>
      </c>
      <c r="F89" s="5">
        <f t="shared" si="33"/>
        <v>361170.17648307921</v>
      </c>
    </row>
    <row r="90" spans="1:7" x14ac:dyDescent="0.25">
      <c r="A90" t="s">
        <v>182</v>
      </c>
      <c r="B90" s="5">
        <f t="shared" si="34"/>
        <v>361170.17648307921</v>
      </c>
      <c r="C90" s="5">
        <f t="shared" si="30"/>
        <v>709.77415389082148</v>
      </c>
      <c r="D90" s="5">
        <f t="shared" si="31"/>
        <v>1369.4369191650087</v>
      </c>
      <c r="E90" s="5">
        <f t="shared" si="32"/>
        <v>2079.2110730558302</v>
      </c>
      <c r="F90" s="5">
        <f t="shared" si="33"/>
        <v>360460.40232918836</v>
      </c>
    </row>
    <row r="91" spans="1:7" x14ac:dyDescent="0.25">
      <c r="A91" t="s">
        <v>184</v>
      </c>
      <c r="B91" s="5">
        <f t="shared" si="34"/>
        <v>360460.40232918836</v>
      </c>
      <c r="C91" s="5">
        <f t="shared" si="30"/>
        <v>712.4653808909909</v>
      </c>
      <c r="D91" s="5">
        <f t="shared" si="31"/>
        <v>1366.7456921648393</v>
      </c>
      <c r="E91" s="5">
        <f t="shared" si="32"/>
        <v>2079.2110730558302</v>
      </c>
      <c r="F91" s="5">
        <f t="shared" si="33"/>
        <v>359747.93694829737</v>
      </c>
    </row>
    <row r="92" spans="1:7" x14ac:dyDescent="0.25">
      <c r="A92" t="s">
        <v>186</v>
      </c>
      <c r="B92" s="5">
        <f t="shared" si="34"/>
        <v>359747.93694829737</v>
      </c>
      <c r="C92" s="5">
        <f t="shared" si="30"/>
        <v>715.16681212686922</v>
      </c>
      <c r="D92" s="5">
        <f t="shared" si="31"/>
        <v>1364.044260928961</v>
      </c>
      <c r="E92" s="5">
        <f t="shared" si="32"/>
        <v>2079.2110730558302</v>
      </c>
      <c r="F92" s="5">
        <f t="shared" si="33"/>
        <v>359032.7701361705</v>
      </c>
    </row>
    <row r="93" spans="1:7" x14ac:dyDescent="0.25">
      <c r="A93" t="s">
        <v>187</v>
      </c>
      <c r="B93" s="5">
        <f t="shared" si="34"/>
        <v>359032.7701361705</v>
      </c>
      <c r="C93" s="5">
        <f t="shared" si="30"/>
        <v>717.87848628951701</v>
      </c>
      <c r="D93" s="5">
        <f t="shared" si="31"/>
        <v>1361.3325867663132</v>
      </c>
      <c r="E93" s="5">
        <f t="shared" si="32"/>
        <v>2079.2110730558302</v>
      </c>
      <c r="F93" s="5">
        <f t="shared" si="33"/>
        <v>358314.89164988097</v>
      </c>
    </row>
    <row r="94" spans="1:7" x14ac:dyDescent="0.25">
      <c r="A94" t="s">
        <v>188</v>
      </c>
      <c r="B94" s="5">
        <f t="shared" si="34"/>
        <v>358314.89164988097</v>
      </c>
      <c r="C94" s="5">
        <f t="shared" si="30"/>
        <v>720.60044221669818</v>
      </c>
      <c r="D94" s="5">
        <f t="shared" si="31"/>
        <v>1358.610630839132</v>
      </c>
      <c r="E94" s="5">
        <f t="shared" si="32"/>
        <v>2079.2110730558302</v>
      </c>
      <c r="F94" s="5">
        <f t="shared" si="33"/>
        <v>357594.2912076643</v>
      </c>
    </row>
    <row r="95" spans="1:7" x14ac:dyDescent="0.25">
      <c r="A95" t="s">
        <v>189</v>
      </c>
      <c r="B95" s="5">
        <f t="shared" si="34"/>
        <v>357594.2912076643</v>
      </c>
      <c r="C95" s="5">
        <f t="shared" si="30"/>
        <v>723.33271889343632</v>
      </c>
      <c r="D95" s="5">
        <f t="shared" si="31"/>
        <v>1355.8783541623939</v>
      </c>
      <c r="E95" s="5">
        <f t="shared" si="32"/>
        <v>2079.2110730558302</v>
      </c>
      <c r="F95" s="5">
        <f t="shared" si="33"/>
        <v>356870.95848877088</v>
      </c>
    </row>
    <row r="96" spans="1:7" x14ac:dyDescent="0.25">
      <c r="A96" t="s">
        <v>190</v>
      </c>
      <c r="B96" s="5">
        <f t="shared" si="34"/>
        <v>356870.95848877088</v>
      </c>
      <c r="C96" s="5">
        <f t="shared" si="30"/>
        <v>726.07535545257383</v>
      </c>
      <c r="D96" s="5">
        <f t="shared" si="31"/>
        <v>1353.1357176032564</v>
      </c>
      <c r="E96" s="5">
        <f t="shared" si="32"/>
        <v>2079.2110730558302</v>
      </c>
      <c r="F96" s="5">
        <f t="shared" si="33"/>
        <v>356144.88313331828</v>
      </c>
    </row>
    <row r="97" spans="1:7" x14ac:dyDescent="0.25">
      <c r="A97" t="s">
        <v>191</v>
      </c>
      <c r="B97" s="5">
        <f t="shared" si="34"/>
        <v>356144.88313331828</v>
      </c>
      <c r="C97" s="5">
        <f t="shared" si="30"/>
        <v>728.82839117533172</v>
      </c>
      <c r="D97" s="5">
        <f t="shared" si="31"/>
        <v>1350.3826818804985</v>
      </c>
      <c r="E97" s="5">
        <f t="shared" si="32"/>
        <v>2079.2110730558302</v>
      </c>
      <c r="F97" s="5">
        <f t="shared" si="33"/>
        <v>355416.05474214297</v>
      </c>
      <c r="G97">
        <v>7</v>
      </c>
    </row>
    <row r="98" spans="1:7" x14ac:dyDescent="0.25">
      <c r="A98" t="s">
        <v>192</v>
      </c>
      <c r="C98" s="5">
        <f>SUM(C86:C97)</f>
        <v>8566.508825193825</v>
      </c>
      <c r="D98" s="5">
        <f>SUM(D86:D97)</f>
        <v>16384.024051476135</v>
      </c>
    </row>
    <row r="100" spans="1:7" x14ac:dyDescent="0.25">
      <c r="A100" t="s">
        <v>174</v>
      </c>
      <c r="B100" s="5">
        <f>F97</f>
        <v>355416.05474214297</v>
      </c>
      <c r="C100" s="5">
        <f t="shared" ref="C100:C111" si="35">E100-D100</f>
        <v>731.59186549187143</v>
      </c>
      <c r="D100" s="5">
        <f t="shared" ref="D100:D111" si="36">B100*$I$2</f>
        <v>1347.6192075639588</v>
      </c>
      <c r="E100" s="5">
        <f t="shared" ref="E100:E111" si="37">-$I$9</f>
        <v>2079.2110730558302</v>
      </c>
      <c r="F100" s="5">
        <f t="shared" ref="F100:F111" si="38">B100-C100</f>
        <v>354684.46287665109</v>
      </c>
    </row>
    <row r="101" spans="1:7" x14ac:dyDescent="0.25">
      <c r="A101" t="s">
        <v>176</v>
      </c>
      <c r="B101" s="5">
        <f t="shared" ref="B101:B111" si="39">F100</f>
        <v>354684.46287665109</v>
      </c>
      <c r="C101" s="5">
        <f t="shared" si="35"/>
        <v>734.36581798186148</v>
      </c>
      <c r="D101" s="5">
        <f t="shared" si="36"/>
        <v>1344.8452550739687</v>
      </c>
      <c r="E101" s="5">
        <f t="shared" si="37"/>
        <v>2079.2110730558302</v>
      </c>
      <c r="F101" s="5">
        <f t="shared" si="38"/>
        <v>353950.0970586692</v>
      </c>
    </row>
    <row r="102" spans="1:7" x14ac:dyDescent="0.25">
      <c r="A102" t="s">
        <v>178</v>
      </c>
      <c r="B102" s="5">
        <f t="shared" si="39"/>
        <v>353950.0970586692</v>
      </c>
      <c r="C102" s="5">
        <f t="shared" si="35"/>
        <v>737.15028837504269</v>
      </c>
      <c r="D102" s="5">
        <f t="shared" si="36"/>
        <v>1342.0607846807875</v>
      </c>
      <c r="E102" s="5">
        <f t="shared" si="37"/>
        <v>2079.2110730558302</v>
      </c>
      <c r="F102" s="5">
        <f t="shared" si="38"/>
        <v>353212.94677029416</v>
      </c>
    </row>
    <row r="103" spans="1:7" x14ac:dyDescent="0.25">
      <c r="A103" t="s">
        <v>180</v>
      </c>
      <c r="B103" s="5">
        <f t="shared" si="39"/>
        <v>353212.94677029416</v>
      </c>
      <c r="C103" s="5">
        <f t="shared" si="35"/>
        <v>739.94531655179821</v>
      </c>
      <c r="D103" s="5">
        <f t="shared" si="36"/>
        <v>1339.265756504032</v>
      </c>
      <c r="E103" s="5">
        <f t="shared" si="37"/>
        <v>2079.2110730558302</v>
      </c>
      <c r="F103" s="5">
        <f t="shared" si="38"/>
        <v>352473.00145374238</v>
      </c>
    </row>
    <row r="104" spans="1:7" x14ac:dyDescent="0.25">
      <c r="A104" t="s">
        <v>182</v>
      </c>
      <c r="B104" s="5">
        <f t="shared" si="39"/>
        <v>352473.00145374238</v>
      </c>
      <c r="C104" s="5">
        <f t="shared" si="35"/>
        <v>742.75094254372357</v>
      </c>
      <c r="D104" s="5">
        <f t="shared" si="36"/>
        <v>1336.4601305121066</v>
      </c>
      <c r="E104" s="5">
        <f t="shared" si="37"/>
        <v>2079.2110730558302</v>
      </c>
      <c r="F104" s="5">
        <f t="shared" si="38"/>
        <v>351730.25051119865</v>
      </c>
    </row>
    <row r="105" spans="1:7" x14ac:dyDescent="0.25">
      <c r="A105" t="s">
        <v>184</v>
      </c>
      <c r="B105" s="5">
        <f t="shared" si="39"/>
        <v>351730.25051119865</v>
      </c>
      <c r="C105" s="5">
        <f t="shared" si="35"/>
        <v>745.56720653420189</v>
      </c>
      <c r="D105" s="5">
        <f t="shared" si="36"/>
        <v>1333.6438665216283</v>
      </c>
      <c r="E105" s="5">
        <f t="shared" si="37"/>
        <v>2079.2110730558302</v>
      </c>
      <c r="F105" s="5">
        <f t="shared" si="38"/>
        <v>350984.68330466445</v>
      </c>
    </row>
    <row r="106" spans="1:7" x14ac:dyDescent="0.25">
      <c r="A106" t="s">
        <v>186</v>
      </c>
      <c r="B106" s="5">
        <f t="shared" si="39"/>
        <v>350984.68330466445</v>
      </c>
      <c r="C106" s="5">
        <f t="shared" si="35"/>
        <v>748.39414885897759</v>
      </c>
      <c r="D106" s="5">
        <f t="shared" si="36"/>
        <v>1330.8169241968526</v>
      </c>
      <c r="E106" s="5">
        <f t="shared" si="37"/>
        <v>2079.2110730558302</v>
      </c>
      <c r="F106" s="5">
        <f t="shared" si="38"/>
        <v>350236.28915580548</v>
      </c>
    </row>
    <row r="107" spans="1:7" x14ac:dyDescent="0.25">
      <c r="A107" t="s">
        <v>187</v>
      </c>
      <c r="B107" s="5">
        <f t="shared" si="39"/>
        <v>350236.28915580548</v>
      </c>
      <c r="C107" s="5">
        <f t="shared" si="35"/>
        <v>751.23181000673435</v>
      </c>
      <c r="D107" s="5">
        <f t="shared" si="36"/>
        <v>1327.9792630490958</v>
      </c>
      <c r="E107" s="5">
        <f t="shared" si="37"/>
        <v>2079.2110730558302</v>
      </c>
      <c r="F107" s="5">
        <f t="shared" si="38"/>
        <v>349485.05734579876</v>
      </c>
    </row>
    <row r="108" spans="1:7" x14ac:dyDescent="0.25">
      <c r="A108" t="s">
        <v>188</v>
      </c>
      <c r="B108" s="5">
        <f t="shared" si="39"/>
        <v>349485.05734579876</v>
      </c>
      <c r="C108" s="5">
        <f t="shared" si="35"/>
        <v>754.08023061967651</v>
      </c>
      <c r="D108" s="5">
        <f t="shared" si="36"/>
        <v>1325.1308424361537</v>
      </c>
      <c r="E108" s="5">
        <f t="shared" si="37"/>
        <v>2079.2110730558302</v>
      </c>
      <c r="F108" s="5">
        <f t="shared" si="38"/>
        <v>348730.97711517906</v>
      </c>
    </row>
    <row r="109" spans="1:7" x14ac:dyDescent="0.25">
      <c r="A109" t="s">
        <v>189</v>
      </c>
      <c r="B109" s="5">
        <f t="shared" si="39"/>
        <v>348730.97711517906</v>
      </c>
      <c r="C109" s="5">
        <f t="shared" si="35"/>
        <v>756.93945149410956</v>
      </c>
      <c r="D109" s="5">
        <f t="shared" si="36"/>
        <v>1322.2716215617206</v>
      </c>
      <c r="E109" s="5">
        <f t="shared" si="37"/>
        <v>2079.2110730558302</v>
      </c>
      <c r="F109" s="5">
        <f t="shared" si="38"/>
        <v>347974.03766368493</v>
      </c>
    </row>
    <row r="110" spans="1:7" x14ac:dyDescent="0.25">
      <c r="A110" t="s">
        <v>190</v>
      </c>
      <c r="B110" s="5">
        <f t="shared" si="39"/>
        <v>347974.03766368493</v>
      </c>
      <c r="C110" s="5">
        <f t="shared" si="35"/>
        <v>759.80951358102493</v>
      </c>
      <c r="D110" s="5">
        <f t="shared" si="36"/>
        <v>1319.4015594748053</v>
      </c>
      <c r="E110" s="5">
        <f t="shared" si="37"/>
        <v>2079.2110730558302</v>
      </c>
      <c r="F110" s="5">
        <f t="shared" si="38"/>
        <v>347214.22815010388</v>
      </c>
    </row>
    <row r="111" spans="1:7" x14ac:dyDescent="0.25">
      <c r="A111" t="s">
        <v>191</v>
      </c>
      <c r="B111" s="5">
        <f t="shared" si="39"/>
        <v>347214.22815010388</v>
      </c>
      <c r="C111" s="5">
        <f t="shared" si="35"/>
        <v>762.6904579866864</v>
      </c>
      <c r="D111" s="5">
        <f t="shared" si="36"/>
        <v>1316.5206150691438</v>
      </c>
      <c r="E111" s="5">
        <f t="shared" si="37"/>
        <v>2079.2110730558302</v>
      </c>
      <c r="F111" s="5">
        <f t="shared" si="38"/>
        <v>346451.53769211721</v>
      </c>
      <c r="G111">
        <v>8</v>
      </c>
    </row>
    <row r="112" spans="1:7" x14ac:dyDescent="0.25">
      <c r="A112" t="s">
        <v>192</v>
      </c>
      <c r="C112" s="5">
        <f>SUM(C100:C111)</f>
        <v>8964.5170500257082</v>
      </c>
      <c r="D112" s="5">
        <f>SUM(D100:D111)</f>
        <v>15986.015826644256</v>
      </c>
    </row>
    <row r="114" spans="1:7" x14ac:dyDescent="0.25">
      <c r="A114" t="s">
        <v>174</v>
      </c>
      <c r="B114" s="5">
        <f>F111</f>
        <v>346451.53769211721</v>
      </c>
      <c r="C114" s="5">
        <f t="shared" ref="C114:C125" si="40">E114-D114</f>
        <v>765.58232597321899</v>
      </c>
      <c r="D114" s="5">
        <f t="shared" ref="D114:D125" si="41">B114*$I$2</f>
        <v>1313.6287470826112</v>
      </c>
      <c r="E114" s="5">
        <f t="shared" ref="E114:E125" si="42">-$I$9</f>
        <v>2079.2110730558302</v>
      </c>
      <c r="F114" s="5">
        <f t="shared" ref="F114:F125" si="43">B114-C114</f>
        <v>345685.95536614401</v>
      </c>
    </row>
    <row r="115" spans="1:7" x14ac:dyDescent="0.25">
      <c r="A115" t="s">
        <v>176</v>
      </c>
      <c r="B115" s="5">
        <f t="shared" ref="B115:B125" si="44">F114</f>
        <v>345685.95536614401</v>
      </c>
      <c r="C115" s="5">
        <f t="shared" si="40"/>
        <v>768.48515895920082</v>
      </c>
      <c r="D115" s="5">
        <f t="shared" si="41"/>
        <v>1310.7259140966294</v>
      </c>
      <c r="E115" s="5">
        <f t="shared" si="42"/>
        <v>2079.2110730558302</v>
      </c>
      <c r="F115" s="5">
        <f t="shared" si="43"/>
        <v>344917.47020718479</v>
      </c>
    </row>
    <row r="116" spans="1:7" x14ac:dyDescent="0.25">
      <c r="A116" t="s">
        <v>178</v>
      </c>
      <c r="B116" s="5">
        <f t="shared" si="44"/>
        <v>344917.47020718479</v>
      </c>
      <c r="C116" s="5">
        <f t="shared" si="40"/>
        <v>771.39899852025451</v>
      </c>
      <c r="D116" s="5">
        <f t="shared" si="41"/>
        <v>1307.8120745355757</v>
      </c>
      <c r="E116" s="5">
        <f t="shared" si="42"/>
        <v>2079.2110730558302</v>
      </c>
      <c r="F116" s="5">
        <f t="shared" si="43"/>
        <v>344146.07120866451</v>
      </c>
    </row>
    <row r="117" spans="1:7" x14ac:dyDescent="0.25">
      <c r="A117" t="s">
        <v>180</v>
      </c>
      <c r="B117" s="5">
        <f t="shared" si="44"/>
        <v>344146.07120866451</v>
      </c>
      <c r="C117" s="5">
        <f t="shared" si="40"/>
        <v>774.3238863896438</v>
      </c>
      <c r="D117" s="5">
        <f t="shared" si="41"/>
        <v>1304.8871866661864</v>
      </c>
      <c r="E117" s="5">
        <f t="shared" si="42"/>
        <v>2079.2110730558302</v>
      </c>
      <c r="F117" s="5">
        <f t="shared" si="43"/>
        <v>343371.74732227484</v>
      </c>
    </row>
    <row r="118" spans="1:7" x14ac:dyDescent="0.25">
      <c r="A118" t="s">
        <v>182</v>
      </c>
      <c r="B118" s="5">
        <f t="shared" si="44"/>
        <v>343371.74732227484</v>
      </c>
      <c r="C118" s="5">
        <f t="shared" si="40"/>
        <v>777.25986445887133</v>
      </c>
      <c r="D118" s="5">
        <f t="shared" si="41"/>
        <v>1301.9512085969588</v>
      </c>
      <c r="E118" s="5">
        <f t="shared" si="42"/>
        <v>2079.2110730558302</v>
      </c>
      <c r="F118" s="5">
        <f t="shared" si="43"/>
        <v>342594.48745781597</v>
      </c>
    </row>
    <row r="119" spans="1:7" x14ac:dyDescent="0.25">
      <c r="A119" t="s">
        <v>184</v>
      </c>
      <c r="B119" s="5">
        <f t="shared" si="44"/>
        <v>342594.48745781597</v>
      </c>
      <c r="C119" s="5">
        <f t="shared" si="40"/>
        <v>780.20697477827798</v>
      </c>
      <c r="D119" s="5">
        <f t="shared" si="41"/>
        <v>1299.0040982775522</v>
      </c>
      <c r="E119" s="5">
        <f t="shared" si="42"/>
        <v>2079.2110730558302</v>
      </c>
      <c r="F119" s="5">
        <f t="shared" si="43"/>
        <v>341814.2804830377</v>
      </c>
    </row>
    <row r="120" spans="1:7" x14ac:dyDescent="0.25">
      <c r="A120" t="s">
        <v>186</v>
      </c>
      <c r="B120" s="5">
        <f t="shared" si="44"/>
        <v>341814.2804830377</v>
      </c>
      <c r="C120" s="5">
        <f t="shared" si="40"/>
        <v>783.16525955764564</v>
      </c>
      <c r="D120" s="5">
        <f t="shared" si="41"/>
        <v>1296.0458134981845</v>
      </c>
      <c r="E120" s="5">
        <f t="shared" si="42"/>
        <v>2079.2110730558302</v>
      </c>
      <c r="F120" s="5">
        <f t="shared" si="43"/>
        <v>341031.11522348004</v>
      </c>
    </row>
    <row r="121" spans="1:7" x14ac:dyDescent="0.25">
      <c r="A121" t="s">
        <v>187</v>
      </c>
      <c r="B121" s="5">
        <f t="shared" si="44"/>
        <v>341031.11522348004</v>
      </c>
      <c r="C121" s="5">
        <f t="shared" si="40"/>
        <v>786.13476116680158</v>
      </c>
      <c r="D121" s="5">
        <f t="shared" si="41"/>
        <v>1293.0763118890286</v>
      </c>
      <c r="E121" s="5">
        <f t="shared" si="42"/>
        <v>2079.2110730558302</v>
      </c>
      <c r="F121" s="5">
        <f t="shared" si="43"/>
        <v>340244.98046231322</v>
      </c>
    </row>
    <row r="122" spans="1:7" x14ac:dyDescent="0.25">
      <c r="A122" t="s">
        <v>188</v>
      </c>
      <c r="B122" s="5">
        <f t="shared" si="44"/>
        <v>340244.98046231322</v>
      </c>
      <c r="C122" s="5">
        <f t="shared" si="40"/>
        <v>789.11552213622576</v>
      </c>
      <c r="D122" s="5">
        <f t="shared" si="41"/>
        <v>1290.0955509196044</v>
      </c>
      <c r="E122" s="5">
        <f t="shared" si="42"/>
        <v>2079.2110730558302</v>
      </c>
      <c r="F122" s="5">
        <f t="shared" si="43"/>
        <v>339455.86494017701</v>
      </c>
    </row>
    <row r="123" spans="1:7" x14ac:dyDescent="0.25">
      <c r="A123" t="s">
        <v>189</v>
      </c>
      <c r="B123" s="5">
        <f t="shared" si="44"/>
        <v>339455.86494017701</v>
      </c>
      <c r="C123" s="5">
        <f t="shared" si="40"/>
        <v>792.10758515765906</v>
      </c>
      <c r="D123" s="5">
        <f t="shared" si="41"/>
        <v>1287.1034878981711</v>
      </c>
      <c r="E123" s="5">
        <f t="shared" si="42"/>
        <v>2079.2110730558302</v>
      </c>
      <c r="F123" s="5">
        <f t="shared" si="43"/>
        <v>338663.75735501933</v>
      </c>
    </row>
    <row r="124" spans="1:7" x14ac:dyDescent="0.25">
      <c r="A124" t="s">
        <v>190</v>
      </c>
      <c r="B124" s="5">
        <f t="shared" si="44"/>
        <v>338663.75735501933</v>
      </c>
      <c r="C124" s="5">
        <f t="shared" si="40"/>
        <v>795.11099308471512</v>
      </c>
      <c r="D124" s="5">
        <f t="shared" si="41"/>
        <v>1284.1000799711151</v>
      </c>
      <c r="E124" s="5">
        <f t="shared" si="42"/>
        <v>2079.2110730558302</v>
      </c>
      <c r="F124" s="5">
        <f t="shared" si="43"/>
        <v>337868.6463619346</v>
      </c>
    </row>
    <row r="125" spans="1:7" x14ac:dyDescent="0.25">
      <c r="A125" t="s">
        <v>191</v>
      </c>
      <c r="B125" s="5">
        <f t="shared" si="44"/>
        <v>337868.6463619346</v>
      </c>
      <c r="C125" s="5">
        <f t="shared" si="40"/>
        <v>798.12578893349473</v>
      </c>
      <c r="D125" s="5">
        <f t="shared" si="41"/>
        <v>1281.0852841223355</v>
      </c>
      <c r="E125" s="5">
        <f t="shared" si="42"/>
        <v>2079.2110730558302</v>
      </c>
      <c r="F125" s="5">
        <f t="shared" si="43"/>
        <v>337070.52057300112</v>
      </c>
      <c r="G125">
        <v>9</v>
      </c>
    </row>
    <row r="126" spans="1:7" x14ac:dyDescent="0.25">
      <c r="A126" t="s">
        <v>192</v>
      </c>
      <c r="C126" s="5">
        <f>SUM(C114:C125)</f>
        <v>9381.017119116008</v>
      </c>
      <c r="D126" s="5">
        <f>SUM(D114:D125)</f>
        <v>15569.515757553952</v>
      </c>
    </row>
    <row r="128" spans="1:7" x14ac:dyDescent="0.25">
      <c r="A128" t="s">
        <v>174</v>
      </c>
      <c r="B128" s="5">
        <f>F125</f>
        <v>337070.52057300112</v>
      </c>
      <c r="C128" s="5">
        <f t="shared" ref="C128:C139" si="45">E128-D128</f>
        <v>801.15201588320087</v>
      </c>
      <c r="D128" s="5">
        <f t="shared" ref="D128:D139" si="46">B128*$I$2</f>
        <v>1278.0590571726293</v>
      </c>
      <c r="E128" s="5">
        <f t="shared" ref="E128:E139" si="47">-$I$9</f>
        <v>2079.2110730558302</v>
      </c>
      <c r="F128" s="5">
        <f t="shared" ref="F128:F139" si="48">B128-C128</f>
        <v>336269.36855711794</v>
      </c>
    </row>
    <row r="129" spans="1:7" x14ac:dyDescent="0.25">
      <c r="A129" t="s">
        <v>176</v>
      </c>
      <c r="B129" s="5">
        <f t="shared" ref="B129:B139" si="49">F128</f>
        <v>336269.36855711794</v>
      </c>
      <c r="C129" s="5">
        <f t="shared" si="45"/>
        <v>804.18971727675807</v>
      </c>
      <c r="D129" s="5">
        <f t="shared" si="46"/>
        <v>1275.0213557790721</v>
      </c>
      <c r="E129" s="5">
        <f t="shared" si="47"/>
        <v>2079.2110730558302</v>
      </c>
      <c r="F129" s="5">
        <f t="shared" si="48"/>
        <v>335465.17883984116</v>
      </c>
    </row>
    <row r="130" spans="1:7" x14ac:dyDescent="0.25">
      <c r="A130" t="s">
        <v>178</v>
      </c>
      <c r="B130" s="5">
        <f t="shared" si="49"/>
        <v>335465.17883984116</v>
      </c>
      <c r="C130" s="5">
        <f t="shared" si="45"/>
        <v>807.23893662143246</v>
      </c>
      <c r="D130" s="5">
        <f t="shared" si="46"/>
        <v>1271.9721364343977</v>
      </c>
      <c r="E130" s="5">
        <f t="shared" si="47"/>
        <v>2079.2110730558302</v>
      </c>
      <c r="F130" s="5">
        <f t="shared" si="48"/>
        <v>334657.93990321975</v>
      </c>
    </row>
    <row r="131" spans="1:7" x14ac:dyDescent="0.25">
      <c r="A131" t="s">
        <v>180</v>
      </c>
      <c r="B131" s="5">
        <f t="shared" si="49"/>
        <v>334657.93990321975</v>
      </c>
      <c r="C131" s="5">
        <f t="shared" si="45"/>
        <v>810.29971758945521</v>
      </c>
      <c r="D131" s="5">
        <f t="shared" si="46"/>
        <v>1268.911355466375</v>
      </c>
      <c r="E131" s="5">
        <f t="shared" si="47"/>
        <v>2079.2110730558302</v>
      </c>
      <c r="F131" s="5">
        <f t="shared" si="48"/>
        <v>333847.6401856303</v>
      </c>
    </row>
    <row r="132" spans="1:7" x14ac:dyDescent="0.25">
      <c r="A132" t="s">
        <v>182</v>
      </c>
      <c r="B132" s="5">
        <f t="shared" si="49"/>
        <v>333847.6401856303</v>
      </c>
      <c r="C132" s="5">
        <f t="shared" si="45"/>
        <v>813.37210401864854</v>
      </c>
      <c r="D132" s="5">
        <f t="shared" si="46"/>
        <v>1265.8389690371816</v>
      </c>
      <c r="E132" s="5">
        <f t="shared" si="47"/>
        <v>2079.2110730558302</v>
      </c>
      <c r="F132" s="5">
        <f t="shared" si="48"/>
        <v>333034.26808161166</v>
      </c>
    </row>
    <row r="133" spans="1:7" x14ac:dyDescent="0.25">
      <c r="A133" t="s">
        <v>184</v>
      </c>
      <c r="B133" s="5">
        <f t="shared" si="49"/>
        <v>333034.26808161166</v>
      </c>
      <c r="C133" s="5">
        <f t="shared" si="45"/>
        <v>816.45613991305254</v>
      </c>
      <c r="D133" s="5">
        <f t="shared" si="46"/>
        <v>1262.7549331427776</v>
      </c>
      <c r="E133" s="5">
        <f t="shared" si="47"/>
        <v>2079.2110730558302</v>
      </c>
      <c r="F133" s="5">
        <f t="shared" si="48"/>
        <v>332217.8119416986</v>
      </c>
    </row>
    <row r="134" spans="1:7" x14ac:dyDescent="0.25">
      <c r="A134" t="s">
        <v>186</v>
      </c>
      <c r="B134" s="5">
        <f t="shared" si="49"/>
        <v>332217.8119416986</v>
      </c>
      <c r="C134" s="5">
        <f t="shared" si="45"/>
        <v>819.55186944355637</v>
      </c>
      <c r="D134" s="5">
        <f t="shared" si="46"/>
        <v>1259.6592036122738</v>
      </c>
      <c r="E134" s="5">
        <f t="shared" si="47"/>
        <v>2079.2110730558302</v>
      </c>
      <c r="F134" s="5">
        <f t="shared" si="48"/>
        <v>331398.26007225504</v>
      </c>
    </row>
    <row r="135" spans="1:7" x14ac:dyDescent="0.25">
      <c r="A135" t="s">
        <v>187</v>
      </c>
      <c r="B135" s="5">
        <f t="shared" si="49"/>
        <v>331398.26007225504</v>
      </c>
      <c r="C135" s="5">
        <f t="shared" si="45"/>
        <v>822.6593369485297</v>
      </c>
      <c r="D135" s="5">
        <f t="shared" si="46"/>
        <v>1256.5517361073005</v>
      </c>
      <c r="E135" s="5">
        <f t="shared" si="47"/>
        <v>2079.2110730558302</v>
      </c>
      <c r="F135" s="5">
        <f t="shared" si="48"/>
        <v>330575.60073530651</v>
      </c>
    </row>
    <row r="136" spans="1:7" x14ac:dyDescent="0.25">
      <c r="A136" t="s">
        <v>188</v>
      </c>
      <c r="B136" s="5">
        <f t="shared" si="49"/>
        <v>330575.60073530651</v>
      </c>
      <c r="C136" s="5">
        <f t="shared" si="45"/>
        <v>825.77858693445955</v>
      </c>
      <c r="D136" s="5">
        <f t="shared" si="46"/>
        <v>1253.4324861213706</v>
      </c>
      <c r="E136" s="5">
        <f t="shared" si="47"/>
        <v>2079.2110730558302</v>
      </c>
      <c r="F136" s="5">
        <f t="shared" si="48"/>
        <v>329749.82214837207</v>
      </c>
    </row>
    <row r="137" spans="1:7" x14ac:dyDescent="0.25">
      <c r="A137" t="s">
        <v>189</v>
      </c>
      <c r="B137" s="5">
        <f t="shared" si="49"/>
        <v>329749.82214837207</v>
      </c>
      <c r="C137" s="5">
        <f t="shared" si="45"/>
        <v>828.90966407658607</v>
      </c>
      <c r="D137" s="5">
        <f t="shared" si="46"/>
        <v>1250.3014089792441</v>
      </c>
      <c r="E137" s="5">
        <f t="shared" si="47"/>
        <v>2079.2110730558302</v>
      </c>
      <c r="F137" s="5">
        <f t="shared" si="48"/>
        <v>328920.91248429549</v>
      </c>
    </row>
    <row r="138" spans="1:7" x14ac:dyDescent="0.25">
      <c r="A138" t="s">
        <v>190</v>
      </c>
      <c r="B138" s="5">
        <f t="shared" si="49"/>
        <v>328920.91248429549</v>
      </c>
      <c r="C138" s="5">
        <f t="shared" si="45"/>
        <v>832.05261321954299</v>
      </c>
      <c r="D138" s="5">
        <f t="shared" si="46"/>
        <v>1247.1584598362872</v>
      </c>
      <c r="E138" s="5">
        <f t="shared" si="47"/>
        <v>2079.2110730558302</v>
      </c>
      <c r="F138" s="5">
        <f t="shared" si="48"/>
        <v>328088.85987107595</v>
      </c>
    </row>
    <row r="139" spans="1:7" x14ac:dyDescent="0.25">
      <c r="A139" t="s">
        <v>191</v>
      </c>
      <c r="B139" s="5">
        <f t="shared" si="49"/>
        <v>328088.85987107595</v>
      </c>
      <c r="C139" s="5">
        <f t="shared" si="45"/>
        <v>835.20747937800047</v>
      </c>
      <c r="D139" s="5">
        <f t="shared" si="46"/>
        <v>1244.0035936778297</v>
      </c>
      <c r="E139" s="5">
        <f t="shared" si="47"/>
        <v>2079.2110730558302</v>
      </c>
      <c r="F139" s="5">
        <f t="shared" si="48"/>
        <v>327253.65239169798</v>
      </c>
      <c r="G139">
        <v>10</v>
      </c>
    </row>
    <row r="140" spans="1:7" x14ac:dyDescent="0.25">
      <c r="A140" t="s">
        <v>192</v>
      </c>
      <c r="C140" s="5">
        <f>SUM(C128:C139)</f>
        <v>9816.8681813032235</v>
      </c>
      <c r="D140" s="5">
        <f>SUM(D128:D139)</f>
        <v>15133.664695366739</v>
      </c>
    </row>
    <row r="142" spans="1:7" x14ac:dyDescent="0.25">
      <c r="A142" t="s">
        <v>174</v>
      </c>
      <c r="B142" s="5">
        <f>F139</f>
        <v>327253.65239169798</v>
      </c>
      <c r="C142" s="5">
        <f t="shared" ref="C142:C153" si="50">E142-D142</f>
        <v>838.37430773730875</v>
      </c>
      <c r="D142" s="5">
        <f t="shared" ref="D142:D153" si="51">B142*$I$2</f>
        <v>1240.8367653185214</v>
      </c>
      <c r="E142" s="5">
        <f t="shared" ref="E142:E153" si="52">-$I$9</f>
        <v>2079.2110730558302</v>
      </c>
      <c r="F142" s="5">
        <f t="shared" ref="F142:F153" si="53">B142-C142</f>
        <v>326415.27808396064</v>
      </c>
    </row>
    <row r="143" spans="1:7" x14ac:dyDescent="0.25">
      <c r="A143" t="s">
        <v>176</v>
      </c>
      <c r="B143" s="5">
        <f t="shared" ref="B143:B153" si="54">F142</f>
        <v>326415.27808396064</v>
      </c>
      <c r="C143" s="5">
        <f t="shared" si="50"/>
        <v>841.55314365414597</v>
      </c>
      <c r="D143" s="5">
        <f t="shared" si="51"/>
        <v>1237.6579294016842</v>
      </c>
      <c r="E143" s="5">
        <f t="shared" si="52"/>
        <v>2079.2110730558302</v>
      </c>
      <c r="F143" s="5">
        <f t="shared" si="53"/>
        <v>325573.72494030651</v>
      </c>
    </row>
    <row r="144" spans="1:7" x14ac:dyDescent="0.25">
      <c r="A144" t="s">
        <v>178</v>
      </c>
      <c r="B144" s="5">
        <f t="shared" si="54"/>
        <v>325573.72494030651</v>
      </c>
      <c r="C144" s="5">
        <f t="shared" si="50"/>
        <v>844.74403265716796</v>
      </c>
      <c r="D144" s="5">
        <f t="shared" si="51"/>
        <v>1234.4670403986622</v>
      </c>
      <c r="E144" s="5">
        <f t="shared" si="52"/>
        <v>2079.2110730558302</v>
      </c>
      <c r="F144" s="5">
        <f t="shared" si="53"/>
        <v>324728.98090764933</v>
      </c>
    </row>
    <row r="145" spans="1:7" x14ac:dyDescent="0.25">
      <c r="A145" t="s">
        <v>180</v>
      </c>
      <c r="B145" s="5">
        <f t="shared" si="54"/>
        <v>324728.98090764933</v>
      </c>
      <c r="C145" s="5">
        <f t="shared" si="50"/>
        <v>847.94702044765972</v>
      </c>
      <c r="D145" s="5">
        <f t="shared" si="51"/>
        <v>1231.2640526081705</v>
      </c>
      <c r="E145" s="5">
        <f t="shared" si="52"/>
        <v>2079.2110730558302</v>
      </c>
      <c r="F145" s="5">
        <f t="shared" si="53"/>
        <v>323881.03388720169</v>
      </c>
    </row>
    <row r="146" spans="1:7" x14ac:dyDescent="0.25">
      <c r="A146" t="s">
        <v>182</v>
      </c>
      <c r="B146" s="5">
        <f t="shared" si="54"/>
        <v>323881.03388720169</v>
      </c>
      <c r="C146" s="5">
        <f t="shared" si="50"/>
        <v>851.16215290019045</v>
      </c>
      <c r="D146" s="5">
        <f t="shared" si="51"/>
        <v>1228.0489201556397</v>
      </c>
      <c r="E146" s="5">
        <f t="shared" si="52"/>
        <v>2079.2110730558302</v>
      </c>
      <c r="F146" s="5">
        <f t="shared" si="53"/>
        <v>323029.8717343015</v>
      </c>
    </row>
    <row r="147" spans="1:7" x14ac:dyDescent="0.25">
      <c r="A147" t="s">
        <v>184</v>
      </c>
      <c r="B147" s="5">
        <f t="shared" si="54"/>
        <v>323029.8717343015</v>
      </c>
      <c r="C147" s="5">
        <f t="shared" si="50"/>
        <v>854.38947606327042</v>
      </c>
      <c r="D147" s="5">
        <f t="shared" si="51"/>
        <v>1224.8215969925598</v>
      </c>
      <c r="E147" s="5">
        <f t="shared" si="52"/>
        <v>2079.2110730558302</v>
      </c>
      <c r="F147" s="5">
        <f t="shared" si="53"/>
        <v>322175.48225823825</v>
      </c>
    </row>
    <row r="148" spans="1:7" x14ac:dyDescent="0.25">
      <c r="A148" t="s">
        <v>186</v>
      </c>
      <c r="B148" s="5">
        <f t="shared" si="54"/>
        <v>322175.48225823825</v>
      </c>
      <c r="C148" s="5">
        <f t="shared" si="50"/>
        <v>857.62903616001017</v>
      </c>
      <c r="D148" s="5">
        <f t="shared" si="51"/>
        <v>1221.58203689582</v>
      </c>
      <c r="E148" s="5">
        <f t="shared" si="52"/>
        <v>2079.2110730558302</v>
      </c>
      <c r="F148" s="5">
        <f t="shared" si="53"/>
        <v>321317.85322207824</v>
      </c>
    </row>
    <row r="149" spans="1:7" x14ac:dyDescent="0.25">
      <c r="A149" t="s">
        <v>187</v>
      </c>
      <c r="B149" s="5">
        <f t="shared" si="54"/>
        <v>321317.85322207824</v>
      </c>
      <c r="C149" s="5">
        <f t="shared" si="50"/>
        <v>860.8808795887835</v>
      </c>
      <c r="D149" s="5">
        <f t="shared" si="51"/>
        <v>1218.3301934670467</v>
      </c>
      <c r="E149" s="5">
        <f t="shared" si="52"/>
        <v>2079.2110730558302</v>
      </c>
      <c r="F149" s="5">
        <f t="shared" si="53"/>
        <v>320456.97234248946</v>
      </c>
    </row>
    <row r="150" spans="1:7" x14ac:dyDescent="0.25">
      <c r="A150" t="s">
        <v>188</v>
      </c>
      <c r="B150" s="5">
        <f t="shared" si="54"/>
        <v>320456.97234248946</v>
      </c>
      <c r="C150" s="5">
        <f t="shared" si="50"/>
        <v>864.14505292389094</v>
      </c>
      <c r="D150" s="5">
        <f t="shared" si="51"/>
        <v>1215.0660201319392</v>
      </c>
      <c r="E150" s="5">
        <f t="shared" si="52"/>
        <v>2079.2110730558302</v>
      </c>
      <c r="F150" s="5">
        <f t="shared" si="53"/>
        <v>319592.82728956558</v>
      </c>
    </row>
    <row r="151" spans="1:7" x14ac:dyDescent="0.25">
      <c r="A151" t="s">
        <v>189</v>
      </c>
      <c r="B151" s="5">
        <f t="shared" si="54"/>
        <v>319592.82728956558</v>
      </c>
      <c r="C151" s="5">
        <f t="shared" si="50"/>
        <v>867.42160291622736</v>
      </c>
      <c r="D151" s="5">
        <f t="shared" si="51"/>
        <v>1211.7894701396028</v>
      </c>
      <c r="E151" s="5">
        <f t="shared" si="52"/>
        <v>2079.2110730558302</v>
      </c>
      <c r="F151" s="5">
        <f t="shared" si="53"/>
        <v>318725.40568664938</v>
      </c>
    </row>
    <row r="152" spans="1:7" x14ac:dyDescent="0.25">
      <c r="A152" t="s">
        <v>190</v>
      </c>
      <c r="B152" s="5">
        <f t="shared" si="54"/>
        <v>318725.40568664938</v>
      </c>
      <c r="C152" s="5">
        <f t="shared" si="50"/>
        <v>870.71057649395129</v>
      </c>
      <c r="D152" s="5">
        <f t="shared" si="51"/>
        <v>1208.5004965618789</v>
      </c>
      <c r="E152" s="5">
        <f t="shared" si="52"/>
        <v>2079.2110730558302</v>
      </c>
      <c r="F152" s="5">
        <f t="shared" si="53"/>
        <v>317854.69511015544</v>
      </c>
    </row>
    <row r="153" spans="1:7" x14ac:dyDescent="0.25">
      <c r="A153" t="s">
        <v>191</v>
      </c>
      <c r="B153" s="5">
        <f t="shared" si="54"/>
        <v>317854.69511015544</v>
      </c>
      <c r="C153" s="5">
        <f t="shared" si="50"/>
        <v>874.01202076315735</v>
      </c>
      <c r="D153" s="5">
        <f t="shared" si="51"/>
        <v>1205.1990522926728</v>
      </c>
      <c r="E153" s="5">
        <f t="shared" si="52"/>
        <v>2079.2110730558302</v>
      </c>
      <c r="F153" s="5">
        <f t="shared" si="53"/>
        <v>316980.68308939226</v>
      </c>
      <c r="G153">
        <v>11</v>
      </c>
    </row>
    <row r="154" spans="1:7" x14ac:dyDescent="0.25">
      <c r="A154" t="s">
        <v>192</v>
      </c>
      <c r="C154" s="5">
        <f>SUM(C142:C153)</f>
        <v>10272.969302305764</v>
      </c>
      <c r="D154" s="5">
        <f>SUM(D142:D153)</f>
        <v>14677.5635743642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31D3F-9687-4A12-AC70-086F70D53D38}">
  <dimension ref="A2:C13"/>
  <sheetViews>
    <sheetView workbookViewId="0">
      <selection activeCell="B14" sqref="B14"/>
    </sheetView>
  </sheetViews>
  <sheetFormatPr defaultRowHeight="15" x14ac:dyDescent="0.25"/>
  <cols>
    <col min="1" max="1" width="11.140625" bestFit="1" customWidth="1"/>
    <col min="2" max="2" width="33.7109375" bestFit="1" customWidth="1"/>
    <col min="3" max="3" width="126.28515625" bestFit="1" customWidth="1"/>
  </cols>
  <sheetData>
    <row r="2" spans="1:3" x14ac:dyDescent="0.25">
      <c r="B2" t="s">
        <v>193</v>
      </c>
      <c r="C2" s="3" t="s">
        <v>194</v>
      </c>
    </row>
    <row r="3" spans="1:3" x14ac:dyDescent="0.25">
      <c r="B3" t="s">
        <v>195</v>
      </c>
      <c r="C3" s="3" t="s">
        <v>196</v>
      </c>
    </row>
    <row r="4" spans="1:3" x14ac:dyDescent="0.25">
      <c r="B4" t="s">
        <v>197</v>
      </c>
      <c r="C4" s="3" t="s">
        <v>198</v>
      </c>
    </row>
    <row r="5" spans="1:3" x14ac:dyDescent="0.25">
      <c r="B5" t="s">
        <v>199</v>
      </c>
      <c r="C5" s="3" t="s">
        <v>200</v>
      </c>
    </row>
    <row r="6" spans="1:3" x14ac:dyDescent="0.25">
      <c r="B6" t="s">
        <v>201</v>
      </c>
      <c r="C6" s="3" t="s">
        <v>202</v>
      </c>
    </row>
    <row r="7" spans="1:3" x14ac:dyDescent="0.25">
      <c r="B7" t="s">
        <v>203</v>
      </c>
      <c r="C7" s="3" t="s">
        <v>204</v>
      </c>
    </row>
    <row r="8" spans="1:3" x14ac:dyDescent="0.25">
      <c r="A8" s="2">
        <v>86000</v>
      </c>
      <c r="B8" t="s">
        <v>205</v>
      </c>
      <c r="C8" s="3" t="s">
        <v>206</v>
      </c>
    </row>
    <row r="9" spans="1:3" x14ac:dyDescent="0.25">
      <c r="A9" s="4">
        <v>0.05</v>
      </c>
      <c r="B9" t="s">
        <v>207</v>
      </c>
      <c r="C9" s="3" t="s">
        <v>208</v>
      </c>
    </row>
    <row r="10" spans="1:3" x14ac:dyDescent="0.25">
      <c r="B10" t="s">
        <v>209</v>
      </c>
      <c r="C10" s="3" t="s">
        <v>210</v>
      </c>
    </row>
    <row r="11" spans="1:3" x14ac:dyDescent="0.25">
      <c r="B11" t="s">
        <v>211</v>
      </c>
      <c r="C11" s="3" t="s">
        <v>212</v>
      </c>
    </row>
    <row r="12" spans="1:3" x14ac:dyDescent="0.25">
      <c r="B12" t="s">
        <v>213</v>
      </c>
      <c r="C12" s="3" t="s">
        <v>214</v>
      </c>
    </row>
    <row r="13" spans="1:3" x14ac:dyDescent="0.25">
      <c r="B13" t="s">
        <v>215</v>
      </c>
      <c r="C13" s="3" t="s">
        <v>216</v>
      </c>
    </row>
  </sheetData>
  <hyperlinks>
    <hyperlink ref="C2" r:id="rId1" xr:uid="{C68768A4-4162-4C5A-8B88-1F0331735B98}"/>
    <hyperlink ref="C3" r:id="rId2" xr:uid="{8E39F3D4-4748-46B3-84A2-AAEB2A86E1C7}"/>
    <hyperlink ref="C4" r:id="rId3" location="photo0" xr:uid="{6289B2FA-CB74-43E6-A989-677FA941B00C}"/>
    <hyperlink ref="C5" r:id="rId4" xr:uid="{982B2298-577F-4418-8F71-09E90E6979FD}"/>
    <hyperlink ref="C6" r:id="rId5" xr:uid="{B0105A4A-5833-4CE3-86FC-6DB6EA1FBB8A}"/>
    <hyperlink ref="C7" r:id="rId6" xr:uid="{6C60E5DE-0FB6-49E3-9EF3-C4AE9EF15E54}"/>
    <hyperlink ref="C8" r:id="rId7" xr:uid="{C13FE19C-4865-464C-84E0-058DC2068E7F}"/>
    <hyperlink ref="C9" r:id="rId8" xr:uid="{E336C2FD-5CCC-4D48-B21C-756C3836C7EB}"/>
    <hyperlink ref="C10" r:id="rId9" xr:uid="{7C1D402A-4981-4D78-B867-8D12A865BEED}"/>
    <hyperlink ref="C11" r:id="rId10" xr:uid="{FD9C8900-9721-43A4-A5DA-C95270546474}"/>
    <hyperlink ref="C12" r:id="rId11" xr:uid="{6355C7BC-A89C-4ECA-AA45-556E579CF7A4}"/>
    <hyperlink ref="C13" r:id="rId12" xr:uid="{D35900B6-F070-4031-87AA-25A5596FDD86}"/>
  </hyperlinks>
  <pageMargins left="0.7" right="0.7" top="0.75" bottom="0.75" header="0.3" footer="0.3"/>
  <pageSetup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Forecasts</vt:lpstr>
      <vt:lpstr>Real Options</vt:lpstr>
      <vt:lpstr>Real Options 2</vt:lpstr>
      <vt:lpstr>Amortization Table</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2023-09-25T17:16:43Z</dcterms:created>
  <dcterms:modified xsi:type="dcterms:W3CDTF">2023-09-25T17:17:04Z</dcterms:modified>
  <cp:category/>
  <cp:contentStatus/>
</cp:coreProperties>
</file>