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autoCompressPictures="0"/>
  <xr:revisionPtr revIDLastSave="1" documentId="13_ncr:1_{A80BD6F9-DF03-4589-867D-32B0DB6DE915}" xr6:coauthVersionLast="47" xr6:coauthVersionMax="47" xr10:uidLastSave="{350071AF-41B1-4F1F-934A-B8CAE2C02B95}"/>
  <bookViews>
    <workbookView xWindow="-120" yWindow="-120" windowWidth="23280" windowHeight="15000" tabRatio="500" xr2:uid="{00000000-000D-0000-FFFF-FFFF00000000}"/>
  </bookViews>
  <sheets>
    <sheet name="TirePenz" sheetId="4" r:id="rId1"/>
    <sheet name="Decision Tree" sheetId="5" r:id="rId2"/>
    <sheet name="Amortization Table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4" i="4" l="1"/>
  <c r="E40" i="4"/>
  <c r="E41" i="4"/>
  <c r="E42" i="4"/>
  <c r="E66" i="4"/>
  <c r="D107" i="4"/>
  <c r="D108" i="4"/>
  <c r="E68" i="4"/>
  <c r="D109" i="4"/>
  <c r="E43" i="4"/>
  <c r="E69" i="4"/>
  <c r="D110" i="4"/>
  <c r="E80" i="4"/>
  <c r="D111" i="4"/>
  <c r="E11" i="4"/>
  <c r="E47" i="4"/>
  <c r="E48" i="4"/>
  <c r="E73" i="4"/>
  <c r="E49" i="4"/>
  <c r="E50" i="4"/>
  <c r="E99" i="4"/>
  <c r="E51" i="4"/>
  <c r="E100" i="4"/>
  <c r="E101" i="4"/>
  <c r="E35" i="4"/>
  <c r="E102" i="4"/>
  <c r="D112" i="4"/>
  <c r="E72" i="4"/>
  <c r="D115" i="4"/>
  <c r="D119" i="4"/>
  <c r="D125" i="4"/>
  <c r="F142" i="4"/>
  <c r="B150" i="4"/>
  <c r="E103" i="4"/>
  <c r="F37" i="4"/>
  <c r="F7" i="4"/>
  <c r="F5" i="4"/>
  <c r="F40" i="4"/>
  <c r="F4" i="4"/>
  <c r="F6" i="4"/>
  <c r="F41" i="4"/>
  <c r="F42" i="4"/>
  <c r="F66" i="4"/>
  <c r="E107" i="4"/>
  <c r="E108" i="4"/>
  <c r="F33" i="4"/>
  <c r="F68" i="4"/>
  <c r="E109" i="4"/>
  <c r="F8" i="4"/>
  <c r="F43" i="4"/>
  <c r="F31" i="4"/>
  <c r="F69" i="4"/>
  <c r="E110" i="4"/>
  <c r="F32" i="4"/>
  <c r="F80" i="4"/>
  <c r="E111" i="4"/>
  <c r="F11" i="4"/>
  <c r="F12" i="4"/>
  <c r="F47" i="4"/>
  <c r="F9" i="4"/>
  <c r="F48" i="4"/>
  <c r="F73" i="4"/>
  <c r="F20" i="4"/>
  <c r="F49" i="4"/>
  <c r="F21" i="4"/>
  <c r="F50" i="4"/>
  <c r="F99" i="4"/>
  <c r="F36" i="4"/>
  <c r="F51" i="4"/>
  <c r="F100" i="4"/>
  <c r="F101" i="4"/>
  <c r="F35" i="4"/>
  <c r="F102" i="4"/>
  <c r="E112" i="4"/>
  <c r="F72" i="4"/>
  <c r="E115" i="4"/>
  <c r="E119" i="4"/>
  <c r="E125" i="4"/>
  <c r="G144" i="4"/>
  <c r="B2" i="3"/>
  <c r="I2" i="3"/>
  <c r="I5" i="3"/>
  <c r="I9" i="3"/>
  <c r="E2" i="3"/>
  <c r="D2" i="3"/>
  <c r="C2" i="3"/>
  <c r="F2" i="3"/>
  <c r="B3" i="3"/>
  <c r="E3" i="3"/>
  <c r="D3" i="3"/>
  <c r="C3" i="3"/>
  <c r="F3" i="3"/>
  <c r="B4" i="3"/>
  <c r="E4" i="3"/>
  <c r="D4" i="3"/>
  <c r="C4" i="3"/>
  <c r="F4" i="3"/>
  <c r="B5" i="3"/>
  <c r="E5" i="3"/>
  <c r="D5" i="3"/>
  <c r="C5" i="3"/>
  <c r="F5" i="3"/>
  <c r="B6" i="3"/>
  <c r="E6" i="3"/>
  <c r="D6" i="3"/>
  <c r="C6" i="3"/>
  <c r="F6" i="3"/>
  <c r="B7" i="3"/>
  <c r="E7" i="3"/>
  <c r="D7" i="3"/>
  <c r="C7" i="3"/>
  <c r="F7" i="3"/>
  <c r="B8" i="3"/>
  <c r="E8" i="3"/>
  <c r="D8" i="3"/>
  <c r="C8" i="3"/>
  <c r="F8" i="3"/>
  <c r="B9" i="3"/>
  <c r="E9" i="3"/>
  <c r="D9" i="3"/>
  <c r="C9" i="3"/>
  <c r="F9" i="3"/>
  <c r="B10" i="3"/>
  <c r="E10" i="3"/>
  <c r="D10" i="3"/>
  <c r="C10" i="3"/>
  <c r="F10" i="3"/>
  <c r="B11" i="3"/>
  <c r="E11" i="3"/>
  <c r="D11" i="3"/>
  <c r="C11" i="3"/>
  <c r="F11" i="3"/>
  <c r="B12" i="3"/>
  <c r="E12" i="3"/>
  <c r="D12" i="3"/>
  <c r="C12" i="3"/>
  <c r="F12" i="3"/>
  <c r="B13" i="3"/>
  <c r="E13" i="3"/>
  <c r="D13" i="3"/>
  <c r="C13" i="3"/>
  <c r="F13" i="3"/>
  <c r="E84" i="4"/>
  <c r="B16" i="3"/>
  <c r="E16" i="3"/>
  <c r="D16" i="3"/>
  <c r="C16" i="3"/>
  <c r="F16" i="3"/>
  <c r="B17" i="3"/>
  <c r="E17" i="3"/>
  <c r="D17" i="3"/>
  <c r="C17" i="3"/>
  <c r="F17" i="3"/>
  <c r="B18" i="3"/>
  <c r="E18" i="3"/>
  <c r="D18" i="3"/>
  <c r="C18" i="3"/>
  <c r="F18" i="3"/>
  <c r="B19" i="3"/>
  <c r="E19" i="3"/>
  <c r="D19" i="3"/>
  <c r="C19" i="3"/>
  <c r="F19" i="3"/>
  <c r="B20" i="3"/>
  <c r="E20" i="3"/>
  <c r="D20" i="3"/>
  <c r="C20" i="3"/>
  <c r="F20" i="3"/>
  <c r="B21" i="3"/>
  <c r="E21" i="3"/>
  <c r="D21" i="3"/>
  <c r="C21" i="3"/>
  <c r="F21" i="3"/>
  <c r="B22" i="3"/>
  <c r="E22" i="3"/>
  <c r="D22" i="3"/>
  <c r="C22" i="3"/>
  <c r="F22" i="3"/>
  <c r="B23" i="3"/>
  <c r="E23" i="3"/>
  <c r="D23" i="3"/>
  <c r="C23" i="3"/>
  <c r="F23" i="3"/>
  <c r="B24" i="3"/>
  <c r="E24" i="3"/>
  <c r="D24" i="3"/>
  <c r="C24" i="3"/>
  <c r="F24" i="3"/>
  <c r="B25" i="3"/>
  <c r="E25" i="3"/>
  <c r="D25" i="3"/>
  <c r="C25" i="3"/>
  <c r="F25" i="3"/>
  <c r="B26" i="3"/>
  <c r="E26" i="3"/>
  <c r="D26" i="3"/>
  <c r="C26" i="3"/>
  <c r="F26" i="3"/>
  <c r="B27" i="3"/>
  <c r="E27" i="3"/>
  <c r="D27" i="3"/>
  <c r="C27" i="3"/>
  <c r="F27" i="3"/>
  <c r="F84" i="4"/>
  <c r="B30" i="3"/>
  <c r="E30" i="3"/>
  <c r="D30" i="3"/>
  <c r="C30" i="3"/>
  <c r="F30" i="3"/>
  <c r="B31" i="3"/>
  <c r="E31" i="3"/>
  <c r="D31" i="3"/>
  <c r="C31" i="3"/>
  <c r="F31" i="3"/>
  <c r="B32" i="3"/>
  <c r="E32" i="3"/>
  <c r="D32" i="3"/>
  <c r="C32" i="3"/>
  <c r="F32" i="3"/>
  <c r="B33" i="3"/>
  <c r="E33" i="3"/>
  <c r="D33" i="3"/>
  <c r="C33" i="3"/>
  <c r="F33" i="3"/>
  <c r="B34" i="3"/>
  <c r="E34" i="3"/>
  <c r="D34" i="3"/>
  <c r="C34" i="3"/>
  <c r="F34" i="3"/>
  <c r="B35" i="3"/>
  <c r="E35" i="3"/>
  <c r="D35" i="3"/>
  <c r="C35" i="3"/>
  <c r="F35" i="3"/>
  <c r="B36" i="3"/>
  <c r="E36" i="3"/>
  <c r="D36" i="3"/>
  <c r="C36" i="3"/>
  <c r="F36" i="3"/>
  <c r="B37" i="3"/>
  <c r="E37" i="3"/>
  <c r="D37" i="3"/>
  <c r="C37" i="3"/>
  <c r="F37" i="3"/>
  <c r="B38" i="3"/>
  <c r="E38" i="3"/>
  <c r="D38" i="3"/>
  <c r="C38" i="3"/>
  <c r="F38" i="3"/>
  <c r="B39" i="3"/>
  <c r="E39" i="3"/>
  <c r="D39" i="3"/>
  <c r="C39" i="3"/>
  <c r="F39" i="3"/>
  <c r="B40" i="3"/>
  <c r="E40" i="3"/>
  <c r="D40" i="3"/>
  <c r="C40" i="3"/>
  <c r="F40" i="3"/>
  <c r="B41" i="3"/>
  <c r="E41" i="3"/>
  <c r="D41" i="3"/>
  <c r="C41" i="3"/>
  <c r="F41" i="3"/>
  <c r="G84" i="4"/>
  <c r="B44" i="3"/>
  <c r="E44" i="3"/>
  <c r="D44" i="3"/>
  <c r="C44" i="3"/>
  <c r="F44" i="3"/>
  <c r="B45" i="3"/>
  <c r="E45" i="3"/>
  <c r="D45" i="3"/>
  <c r="C45" i="3"/>
  <c r="F45" i="3"/>
  <c r="B46" i="3"/>
  <c r="E46" i="3"/>
  <c r="D46" i="3"/>
  <c r="C46" i="3"/>
  <c r="F46" i="3"/>
  <c r="B47" i="3"/>
  <c r="E47" i="3"/>
  <c r="D47" i="3"/>
  <c r="C47" i="3"/>
  <c r="F47" i="3"/>
  <c r="B48" i="3"/>
  <c r="E48" i="3"/>
  <c r="D48" i="3"/>
  <c r="C48" i="3"/>
  <c r="F48" i="3"/>
  <c r="B49" i="3"/>
  <c r="E49" i="3"/>
  <c r="D49" i="3"/>
  <c r="C49" i="3"/>
  <c r="F49" i="3"/>
  <c r="B50" i="3"/>
  <c r="E50" i="3"/>
  <c r="D50" i="3"/>
  <c r="C50" i="3"/>
  <c r="F50" i="3"/>
  <c r="B51" i="3"/>
  <c r="E51" i="3"/>
  <c r="D51" i="3"/>
  <c r="C51" i="3"/>
  <c r="F51" i="3"/>
  <c r="B52" i="3"/>
  <c r="E52" i="3"/>
  <c r="D52" i="3"/>
  <c r="C52" i="3"/>
  <c r="F52" i="3"/>
  <c r="B53" i="3"/>
  <c r="E53" i="3"/>
  <c r="D53" i="3"/>
  <c r="C53" i="3"/>
  <c r="F53" i="3"/>
  <c r="B54" i="3"/>
  <c r="E54" i="3"/>
  <c r="D54" i="3"/>
  <c r="C54" i="3"/>
  <c r="F54" i="3"/>
  <c r="B55" i="3"/>
  <c r="E55" i="3"/>
  <c r="D55" i="3"/>
  <c r="C55" i="3"/>
  <c r="F55" i="3"/>
  <c r="H84" i="4"/>
  <c r="B58" i="3"/>
  <c r="E58" i="3"/>
  <c r="D58" i="3"/>
  <c r="C58" i="3"/>
  <c r="F58" i="3"/>
  <c r="B59" i="3"/>
  <c r="E59" i="3"/>
  <c r="D59" i="3"/>
  <c r="C59" i="3"/>
  <c r="F59" i="3"/>
  <c r="B60" i="3"/>
  <c r="E60" i="3"/>
  <c r="D60" i="3"/>
  <c r="C60" i="3"/>
  <c r="F60" i="3"/>
  <c r="B61" i="3"/>
  <c r="E61" i="3"/>
  <c r="D61" i="3"/>
  <c r="C61" i="3"/>
  <c r="F61" i="3"/>
  <c r="B62" i="3"/>
  <c r="E62" i="3"/>
  <c r="D62" i="3"/>
  <c r="C62" i="3"/>
  <c r="F62" i="3"/>
  <c r="B63" i="3"/>
  <c r="E63" i="3"/>
  <c r="D63" i="3"/>
  <c r="C63" i="3"/>
  <c r="F63" i="3"/>
  <c r="B64" i="3"/>
  <c r="E64" i="3"/>
  <c r="D64" i="3"/>
  <c r="C64" i="3"/>
  <c r="F64" i="3"/>
  <c r="B65" i="3"/>
  <c r="E65" i="3"/>
  <c r="D65" i="3"/>
  <c r="C65" i="3"/>
  <c r="F65" i="3"/>
  <c r="B66" i="3"/>
  <c r="E66" i="3"/>
  <c r="D66" i="3"/>
  <c r="C66" i="3"/>
  <c r="F66" i="3"/>
  <c r="B67" i="3"/>
  <c r="E67" i="3"/>
  <c r="D67" i="3"/>
  <c r="C67" i="3"/>
  <c r="F67" i="3"/>
  <c r="B68" i="3"/>
  <c r="E68" i="3"/>
  <c r="D68" i="3"/>
  <c r="C68" i="3"/>
  <c r="F68" i="3"/>
  <c r="B69" i="3"/>
  <c r="E69" i="3"/>
  <c r="D69" i="3"/>
  <c r="C69" i="3"/>
  <c r="F69" i="3"/>
  <c r="I84" i="4"/>
  <c r="B72" i="3"/>
  <c r="E72" i="3"/>
  <c r="D72" i="3"/>
  <c r="C72" i="3"/>
  <c r="F72" i="3"/>
  <c r="B73" i="3"/>
  <c r="E73" i="3"/>
  <c r="D73" i="3"/>
  <c r="C73" i="3"/>
  <c r="F73" i="3"/>
  <c r="B74" i="3"/>
  <c r="E74" i="3"/>
  <c r="D74" i="3"/>
  <c r="C74" i="3"/>
  <c r="F74" i="3"/>
  <c r="B75" i="3"/>
  <c r="E75" i="3"/>
  <c r="D75" i="3"/>
  <c r="C75" i="3"/>
  <c r="F75" i="3"/>
  <c r="B76" i="3"/>
  <c r="E76" i="3"/>
  <c r="D76" i="3"/>
  <c r="C76" i="3"/>
  <c r="F76" i="3"/>
  <c r="B77" i="3"/>
  <c r="E77" i="3"/>
  <c r="D77" i="3"/>
  <c r="C77" i="3"/>
  <c r="F77" i="3"/>
  <c r="B78" i="3"/>
  <c r="E78" i="3"/>
  <c r="D78" i="3"/>
  <c r="C78" i="3"/>
  <c r="F78" i="3"/>
  <c r="B79" i="3"/>
  <c r="E79" i="3"/>
  <c r="D79" i="3"/>
  <c r="C79" i="3"/>
  <c r="F79" i="3"/>
  <c r="B80" i="3"/>
  <c r="E80" i="3"/>
  <c r="D80" i="3"/>
  <c r="C80" i="3"/>
  <c r="F80" i="3"/>
  <c r="B81" i="3"/>
  <c r="E81" i="3"/>
  <c r="D81" i="3"/>
  <c r="C81" i="3"/>
  <c r="F81" i="3"/>
  <c r="B82" i="3"/>
  <c r="E82" i="3"/>
  <c r="D82" i="3"/>
  <c r="C82" i="3"/>
  <c r="F82" i="3"/>
  <c r="B83" i="3"/>
  <c r="E83" i="3"/>
  <c r="D83" i="3"/>
  <c r="C83" i="3"/>
  <c r="F83" i="3"/>
  <c r="J84" i="4"/>
  <c r="B86" i="3"/>
  <c r="E86" i="3"/>
  <c r="D86" i="3"/>
  <c r="C86" i="3"/>
  <c r="F86" i="3"/>
  <c r="B87" i="3"/>
  <c r="E87" i="3"/>
  <c r="D87" i="3"/>
  <c r="C87" i="3"/>
  <c r="F87" i="3"/>
  <c r="B88" i="3"/>
  <c r="E88" i="3"/>
  <c r="D88" i="3"/>
  <c r="C88" i="3"/>
  <c r="F88" i="3"/>
  <c r="B89" i="3"/>
  <c r="E89" i="3"/>
  <c r="D89" i="3"/>
  <c r="C89" i="3"/>
  <c r="F89" i="3"/>
  <c r="B90" i="3"/>
  <c r="E90" i="3"/>
  <c r="D90" i="3"/>
  <c r="C90" i="3"/>
  <c r="F90" i="3"/>
  <c r="B91" i="3"/>
  <c r="E91" i="3"/>
  <c r="D91" i="3"/>
  <c r="C91" i="3"/>
  <c r="F91" i="3"/>
  <c r="B92" i="3"/>
  <c r="E92" i="3"/>
  <c r="D92" i="3"/>
  <c r="C92" i="3"/>
  <c r="F92" i="3"/>
  <c r="B93" i="3"/>
  <c r="E93" i="3"/>
  <c r="D93" i="3"/>
  <c r="C93" i="3"/>
  <c r="F93" i="3"/>
  <c r="B94" i="3"/>
  <c r="E94" i="3"/>
  <c r="D94" i="3"/>
  <c r="C94" i="3"/>
  <c r="F94" i="3"/>
  <c r="B95" i="3"/>
  <c r="E95" i="3"/>
  <c r="D95" i="3"/>
  <c r="C95" i="3"/>
  <c r="F95" i="3"/>
  <c r="B96" i="3"/>
  <c r="E96" i="3"/>
  <c r="D96" i="3"/>
  <c r="C96" i="3"/>
  <c r="F96" i="3"/>
  <c r="B97" i="3"/>
  <c r="E97" i="3"/>
  <c r="D97" i="3"/>
  <c r="C97" i="3"/>
  <c r="F97" i="3"/>
  <c r="K84" i="4"/>
  <c r="B100" i="3"/>
  <c r="E100" i="3"/>
  <c r="D100" i="3"/>
  <c r="C100" i="3"/>
  <c r="F100" i="3"/>
  <c r="B101" i="3"/>
  <c r="E101" i="3"/>
  <c r="D101" i="3"/>
  <c r="C101" i="3"/>
  <c r="F101" i="3"/>
  <c r="B102" i="3"/>
  <c r="E102" i="3"/>
  <c r="D102" i="3"/>
  <c r="C102" i="3"/>
  <c r="F102" i="3"/>
  <c r="B103" i="3"/>
  <c r="E103" i="3"/>
  <c r="D103" i="3"/>
  <c r="C103" i="3"/>
  <c r="F103" i="3"/>
  <c r="B104" i="3"/>
  <c r="E104" i="3"/>
  <c r="D104" i="3"/>
  <c r="C104" i="3"/>
  <c r="F104" i="3"/>
  <c r="B105" i="3"/>
  <c r="E105" i="3"/>
  <c r="D105" i="3"/>
  <c r="C105" i="3"/>
  <c r="F105" i="3"/>
  <c r="B106" i="3"/>
  <c r="E106" i="3"/>
  <c r="D106" i="3"/>
  <c r="C106" i="3"/>
  <c r="F106" i="3"/>
  <c r="B107" i="3"/>
  <c r="E107" i="3"/>
  <c r="D107" i="3"/>
  <c r="C107" i="3"/>
  <c r="F107" i="3"/>
  <c r="B108" i="3"/>
  <c r="E108" i="3"/>
  <c r="D108" i="3"/>
  <c r="C108" i="3"/>
  <c r="F108" i="3"/>
  <c r="B109" i="3"/>
  <c r="E109" i="3"/>
  <c r="D109" i="3"/>
  <c r="C109" i="3"/>
  <c r="F109" i="3"/>
  <c r="B110" i="3"/>
  <c r="E110" i="3"/>
  <c r="D110" i="3"/>
  <c r="C110" i="3"/>
  <c r="F110" i="3"/>
  <c r="B111" i="3"/>
  <c r="E111" i="3"/>
  <c r="D111" i="3"/>
  <c r="C111" i="3"/>
  <c r="F111" i="3"/>
  <c r="L84" i="4"/>
  <c r="B114" i="3"/>
  <c r="E114" i="3"/>
  <c r="D114" i="3"/>
  <c r="C114" i="3"/>
  <c r="F114" i="3"/>
  <c r="B115" i="3"/>
  <c r="E115" i="3"/>
  <c r="D115" i="3"/>
  <c r="C115" i="3"/>
  <c r="F115" i="3"/>
  <c r="B116" i="3"/>
  <c r="E116" i="3"/>
  <c r="D116" i="3"/>
  <c r="C116" i="3"/>
  <c r="F116" i="3"/>
  <c r="B117" i="3"/>
  <c r="E117" i="3"/>
  <c r="D117" i="3"/>
  <c r="C117" i="3"/>
  <c r="F117" i="3"/>
  <c r="B118" i="3"/>
  <c r="E118" i="3"/>
  <c r="D118" i="3"/>
  <c r="C118" i="3"/>
  <c r="F118" i="3"/>
  <c r="B119" i="3"/>
  <c r="E119" i="3"/>
  <c r="D119" i="3"/>
  <c r="C119" i="3"/>
  <c r="F119" i="3"/>
  <c r="B120" i="3"/>
  <c r="E120" i="3"/>
  <c r="D120" i="3"/>
  <c r="C120" i="3"/>
  <c r="F120" i="3"/>
  <c r="B121" i="3"/>
  <c r="E121" i="3"/>
  <c r="D121" i="3"/>
  <c r="C121" i="3"/>
  <c r="F121" i="3"/>
  <c r="B122" i="3"/>
  <c r="E122" i="3"/>
  <c r="D122" i="3"/>
  <c r="C122" i="3"/>
  <c r="F122" i="3"/>
  <c r="B123" i="3"/>
  <c r="E123" i="3"/>
  <c r="D123" i="3"/>
  <c r="C123" i="3"/>
  <c r="F123" i="3"/>
  <c r="B124" i="3"/>
  <c r="E124" i="3"/>
  <c r="D124" i="3"/>
  <c r="C124" i="3"/>
  <c r="F124" i="3"/>
  <c r="B125" i="3"/>
  <c r="E125" i="3"/>
  <c r="D125" i="3"/>
  <c r="C125" i="3"/>
  <c r="F125" i="3"/>
  <c r="M84" i="4"/>
  <c r="B128" i="3"/>
  <c r="E128" i="3"/>
  <c r="D128" i="3"/>
  <c r="C128" i="3"/>
  <c r="F128" i="3"/>
  <c r="B129" i="3"/>
  <c r="E129" i="3"/>
  <c r="D129" i="3"/>
  <c r="C129" i="3"/>
  <c r="F129" i="3"/>
  <c r="B130" i="3"/>
  <c r="E130" i="3"/>
  <c r="D130" i="3"/>
  <c r="C130" i="3"/>
  <c r="F130" i="3"/>
  <c r="B131" i="3"/>
  <c r="E131" i="3"/>
  <c r="D131" i="3"/>
  <c r="C131" i="3"/>
  <c r="F131" i="3"/>
  <c r="B132" i="3"/>
  <c r="E132" i="3"/>
  <c r="D132" i="3"/>
  <c r="C132" i="3"/>
  <c r="F132" i="3"/>
  <c r="B133" i="3"/>
  <c r="E133" i="3"/>
  <c r="D133" i="3"/>
  <c r="C133" i="3"/>
  <c r="F133" i="3"/>
  <c r="B134" i="3"/>
  <c r="E134" i="3"/>
  <c r="D134" i="3"/>
  <c r="C134" i="3"/>
  <c r="F134" i="3"/>
  <c r="B135" i="3"/>
  <c r="E135" i="3"/>
  <c r="D135" i="3"/>
  <c r="C135" i="3"/>
  <c r="F135" i="3"/>
  <c r="B136" i="3"/>
  <c r="E136" i="3"/>
  <c r="D136" i="3"/>
  <c r="C136" i="3"/>
  <c r="F136" i="3"/>
  <c r="B137" i="3"/>
  <c r="E137" i="3"/>
  <c r="D137" i="3"/>
  <c r="C137" i="3"/>
  <c r="F137" i="3"/>
  <c r="B138" i="3"/>
  <c r="E138" i="3"/>
  <c r="D138" i="3"/>
  <c r="C138" i="3"/>
  <c r="F138" i="3"/>
  <c r="B139" i="3"/>
  <c r="E139" i="3"/>
  <c r="D139" i="3"/>
  <c r="C139" i="3"/>
  <c r="F139" i="3"/>
  <c r="N84" i="4"/>
  <c r="Q86" i="4"/>
  <c r="Q87" i="4"/>
  <c r="E89" i="4"/>
  <c r="F89" i="4"/>
  <c r="G89" i="4"/>
  <c r="H89" i="4"/>
  <c r="I89" i="4"/>
  <c r="J89" i="4"/>
  <c r="K89" i="4"/>
  <c r="L89" i="4"/>
  <c r="M89" i="4"/>
  <c r="N89" i="4"/>
  <c r="Q91" i="4"/>
  <c r="Q94" i="4"/>
  <c r="R86" i="4"/>
  <c r="R74" i="4"/>
  <c r="S86" i="4"/>
  <c r="G35" i="4"/>
  <c r="H35" i="4"/>
  <c r="I35" i="4"/>
  <c r="J35" i="4"/>
  <c r="K35" i="4"/>
  <c r="L35" i="4"/>
  <c r="M35" i="4"/>
  <c r="N35" i="4"/>
  <c r="R78" i="4"/>
  <c r="T86" i="4"/>
  <c r="U86" i="4"/>
  <c r="R87" i="4"/>
  <c r="R75" i="4"/>
  <c r="S87" i="4"/>
  <c r="T87" i="4"/>
  <c r="U87" i="4"/>
  <c r="R91" i="4"/>
  <c r="R80" i="4"/>
  <c r="R83" i="4"/>
  <c r="S91" i="4"/>
  <c r="T91" i="4"/>
  <c r="U91" i="4"/>
  <c r="U94" i="4"/>
  <c r="D126" i="4"/>
  <c r="F103" i="4"/>
  <c r="G37" i="4"/>
  <c r="G7" i="4"/>
  <c r="G5" i="4"/>
  <c r="G40" i="4"/>
  <c r="G4" i="4"/>
  <c r="G6" i="4"/>
  <c r="G41" i="4"/>
  <c r="G42" i="4"/>
  <c r="G66" i="4"/>
  <c r="F107" i="4"/>
  <c r="F108" i="4"/>
  <c r="G33" i="4"/>
  <c r="G68" i="4"/>
  <c r="F109" i="4"/>
  <c r="G8" i="4"/>
  <c r="G43" i="4"/>
  <c r="G31" i="4"/>
  <c r="G69" i="4"/>
  <c r="F110" i="4"/>
  <c r="G32" i="4"/>
  <c r="G80" i="4"/>
  <c r="F111" i="4"/>
  <c r="G11" i="4"/>
  <c r="G12" i="4"/>
  <c r="G47" i="4"/>
  <c r="G9" i="4"/>
  <c r="G48" i="4"/>
  <c r="G73" i="4"/>
  <c r="G20" i="4"/>
  <c r="G49" i="4"/>
  <c r="G21" i="4"/>
  <c r="G50" i="4"/>
  <c r="G99" i="4"/>
  <c r="G36" i="4"/>
  <c r="G51" i="4"/>
  <c r="G100" i="4"/>
  <c r="G101" i="4"/>
  <c r="G102" i="4"/>
  <c r="F112" i="4"/>
  <c r="G72" i="4"/>
  <c r="F115" i="4"/>
  <c r="F119" i="4"/>
  <c r="F125" i="4"/>
  <c r="G103" i="4"/>
  <c r="H37" i="4"/>
  <c r="H7" i="4"/>
  <c r="H5" i="4"/>
  <c r="H40" i="4"/>
  <c r="H4" i="4"/>
  <c r="H6" i="4"/>
  <c r="H41" i="4"/>
  <c r="H42" i="4"/>
  <c r="H66" i="4"/>
  <c r="G107" i="4"/>
  <c r="G108" i="4"/>
  <c r="H33" i="4"/>
  <c r="H68" i="4"/>
  <c r="G109" i="4"/>
  <c r="H8" i="4"/>
  <c r="H43" i="4"/>
  <c r="H31" i="4"/>
  <c r="H69" i="4"/>
  <c r="G110" i="4"/>
  <c r="H32" i="4"/>
  <c r="H80" i="4"/>
  <c r="G111" i="4"/>
  <c r="H11" i="4"/>
  <c r="H12" i="4"/>
  <c r="H47" i="4"/>
  <c r="H9" i="4"/>
  <c r="H48" i="4"/>
  <c r="H73" i="4"/>
  <c r="H20" i="4"/>
  <c r="H49" i="4"/>
  <c r="H21" i="4"/>
  <c r="H50" i="4"/>
  <c r="H99" i="4"/>
  <c r="H36" i="4"/>
  <c r="H51" i="4"/>
  <c r="H100" i="4"/>
  <c r="H101" i="4"/>
  <c r="H102" i="4"/>
  <c r="G112" i="4"/>
  <c r="H72" i="4"/>
  <c r="G115" i="4"/>
  <c r="G119" i="4"/>
  <c r="G125" i="4"/>
  <c r="H103" i="4"/>
  <c r="I37" i="4"/>
  <c r="I7" i="4"/>
  <c r="I5" i="4"/>
  <c r="I40" i="4"/>
  <c r="I4" i="4"/>
  <c r="I6" i="4"/>
  <c r="I41" i="4"/>
  <c r="I42" i="4"/>
  <c r="I66" i="4"/>
  <c r="H107" i="4"/>
  <c r="H108" i="4"/>
  <c r="I33" i="4"/>
  <c r="I68" i="4"/>
  <c r="H109" i="4"/>
  <c r="I8" i="4"/>
  <c r="I43" i="4"/>
  <c r="I31" i="4"/>
  <c r="I69" i="4"/>
  <c r="H110" i="4"/>
  <c r="I32" i="4"/>
  <c r="I80" i="4"/>
  <c r="H111" i="4"/>
  <c r="I11" i="4"/>
  <c r="I12" i="4"/>
  <c r="I47" i="4"/>
  <c r="I9" i="4"/>
  <c r="I48" i="4"/>
  <c r="I73" i="4"/>
  <c r="I20" i="4"/>
  <c r="I49" i="4"/>
  <c r="I21" i="4"/>
  <c r="I50" i="4"/>
  <c r="I99" i="4"/>
  <c r="I36" i="4"/>
  <c r="I51" i="4"/>
  <c r="I100" i="4"/>
  <c r="I101" i="4"/>
  <c r="I102" i="4"/>
  <c r="H112" i="4"/>
  <c r="I72" i="4"/>
  <c r="H115" i="4"/>
  <c r="H119" i="4"/>
  <c r="H125" i="4"/>
  <c r="I103" i="4"/>
  <c r="J37" i="4"/>
  <c r="J7" i="4"/>
  <c r="J5" i="4"/>
  <c r="J40" i="4"/>
  <c r="J4" i="4"/>
  <c r="J6" i="4"/>
  <c r="J41" i="4"/>
  <c r="J42" i="4"/>
  <c r="J66" i="4"/>
  <c r="I107" i="4"/>
  <c r="I108" i="4"/>
  <c r="J33" i="4"/>
  <c r="J68" i="4"/>
  <c r="I109" i="4"/>
  <c r="J8" i="4"/>
  <c r="J43" i="4"/>
  <c r="J31" i="4"/>
  <c r="J69" i="4"/>
  <c r="I110" i="4"/>
  <c r="J32" i="4"/>
  <c r="J80" i="4"/>
  <c r="I111" i="4"/>
  <c r="J11" i="4"/>
  <c r="J12" i="4"/>
  <c r="J47" i="4"/>
  <c r="J9" i="4"/>
  <c r="J48" i="4"/>
  <c r="J73" i="4"/>
  <c r="J20" i="4"/>
  <c r="J49" i="4"/>
  <c r="J21" i="4"/>
  <c r="J50" i="4"/>
  <c r="J99" i="4"/>
  <c r="J36" i="4"/>
  <c r="J51" i="4"/>
  <c r="J100" i="4"/>
  <c r="J101" i="4"/>
  <c r="J102" i="4"/>
  <c r="I112" i="4"/>
  <c r="J72" i="4"/>
  <c r="I115" i="4"/>
  <c r="I119" i="4"/>
  <c r="I125" i="4"/>
  <c r="J103" i="4"/>
  <c r="K37" i="4"/>
  <c r="K7" i="4"/>
  <c r="K5" i="4"/>
  <c r="K40" i="4"/>
  <c r="K4" i="4"/>
  <c r="K6" i="4"/>
  <c r="K41" i="4"/>
  <c r="K42" i="4"/>
  <c r="K66" i="4"/>
  <c r="J107" i="4"/>
  <c r="J108" i="4"/>
  <c r="K33" i="4"/>
  <c r="K68" i="4"/>
  <c r="J109" i="4"/>
  <c r="K8" i="4"/>
  <c r="K43" i="4"/>
  <c r="K31" i="4"/>
  <c r="K69" i="4"/>
  <c r="J110" i="4"/>
  <c r="K32" i="4"/>
  <c r="K80" i="4"/>
  <c r="J111" i="4"/>
  <c r="K11" i="4"/>
  <c r="K12" i="4"/>
  <c r="K47" i="4"/>
  <c r="K9" i="4"/>
  <c r="K48" i="4"/>
  <c r="K73" i="4"/>
  <c r="K20" i="4"/>
  <c r="K49" i="4"/>
  <c r="K21" i="4"/>
  <c r="K50" i="4"/>
  <c r="K99" i="4"/>
  <c r="K36" i="4"/>
  <c r="K51" i="4"/>
  <c r="K100" i="4"/>
  <c r="K101" i="4"/>
  <c r="K102" i="4"/>
  <c r="J112" i="4"/>
  <c r="K72" i="4"/>
  <c r="J115" i="4"/>
  <c r="J119" i="4"/>
  <c r="J125" i="4"/>
  <c r="K103" i="4"/>
  <c r="L37" i="4"/>
  <c r="L7" i="4"/>
  <c r="L5" i="4"/>
  <c r="L40" i="4"/>
  <c r="L4" i="4"/>
  <c r="L6" i="4"/>
  <c r="L41" i="4"/>
  <c r="L42" i="4"/>
  <c r="L66" i="4"/>
  <c r="K107" i="4"/>
  <c r="K108" i="4"/>
  <c r="L33" i="4"/>
  <c r="L68" i="4"/>
  <c r="K109" i="4"/>
  <c r="L8" i="4"/>
  <c r="L43" i="4"/>
  <c r="L31" i="4"/>
  <c r="L69" i="4"/>
  <c r="K110" i="4"/>
  <c r="L32" i="4"/>
  <c r="L80" i="4"/>
  <c r="K111" i="4"/>
  <c r="L11" i="4"/>
  <c r="L12" i="4"/>
  <c r="L47" i="4"/>
  <c r="L9" i="4"/>
  <c r="L48" i="4"/>
  <c r="L73" i="4"/>
  <c r="L20" i="4"/>
  <c r="L49" i="4"/>
  <c r="L21" i="4"/>
  <c r="L50" i="4"/>
  <c r="L99" i="4"/>
  <c r="L36" i="4"/>
  <c r="L51" i="4"/>
  <c r="L100" i="4"/>
  <c r="L101" i="4"/>
  <c r="L102" i="4"/>
  <c r="K112" i="4"/>
  <c r="L72" i="4"/>
  <c r="K115" i="4"/>
  <c r="K119" i="4"/>
  <c r="K125" i="4"/>
  <c r="L103" i="4"/>
  <c r="M37" i="4"/>
  <c r="M7" i="4"/>
  <c r="M5" i="4"/>
  <c r="M40" i="4"/>
  <c r="M4" i="4"/>
  <c r="M6" i="4"/>
  <c r="M41" i="4"/>
  <c r="M42" i="4"/>
  <c r="M66" i="4"/>
  <c r="L107" i="4"/>
  <c r="L108" i="4"/>
  <c r="M33" i="4"/>
  <c r="M68" i="4"/>
  <c r="L109" i="4"/>
  <c r="M8" i="4"/>
  <c r="M43" i="4"/>
  <c r="M31" i="4"/>
  <c r="M69" i="4"/>
  <c r="L110" i="4"/>
  <c r="M32" i="4"/>
  <c r="M80" i="4"/>
  <c r="L111" i="4"/>
  <c r="M11" i="4"/>
  <c r="M12" i="4"/>
  <c r="M47" i="4"/>
  <c r="M9" i="4"/>
  <c r="M48" i="4"/>
  <c r="M73" i="4"/>
  <c r="M20" i="4"/>
  <c r="M49" i="4"/>
  <c r="M21" i="4"/>
  <c r="M50" i="4"/>
  <c r="M99" i="4"/>
  <c r="M36" i="4"/>
  <c r="M51" i="4"/>
  <c r="M100" i="4"/>
  <c r="M101" i="4"/>
  <c r="M102" i="4"/>
  <c r="L112" i="4"/>
  <c r="M72" i="4"/>
  <c r="L115" i="4"/>
  <c r="L119" i="4"/>
  <c r="L125" i="4"/>
  <c r="M103" i="4"/>
  <c r="N37" i="4"/>
  <c r="N7" i="4"/>
  <c r="N5" i="4"/>
  <c r="N40" i="4"/>
  <c r="N4" i="4"/>
  <c r="N6" i="4"/>
  <c r="N41" i="4"/>
  <c r="N42" i="4"/>
  <c r="N66" i="4"/>
  <c r="M107" i="4"/>
  <c r="M108" i="4"/>
  <c r="N33" i="4"/>
  <c r="N68" i="4"/>
  <c r="M109" i="4"/>
  <c r="N8" i="4"/>
  <c r="N43" i="4"/>
  <c r="N31" i="4"/>
  <c r="N69" i="4"/>
  <c r="M110" i="4"/>
  <c r="N32" i="4"/>
  <c r="N80" i="4"/>
  <c r="M111" i="4"/>
  <c r="N11" i="4"/>
  <c r="N12" i="4"/>
  <c r="N47" i="4"/>
  <c r="N9" i="4"/>
  <c r="N48" i="4"/>
  <c r="N73" i="4"/>
  <c r="N20" i="4"/>
  <c r="N49" i="4"/>
  <c r="N21" i="4"/>
  <c r="N50" i="4"/>
  <c r="N99" i="4"/>
  <c r="N36" i="4"/>
  <c r="N51" i="4"/>
  <c r="N100" i="4"/>
  <c r="N101" i="4"/>
  <c r="N102" i="4"/>
  <c r="M112" i="4"/>
  <c r="N72" i="4"/>
  <c r="M115" i="4"/>
  <c r="M119" i="4"/>
  <c r="M125" i="4"/>
  <c r="N103" i="4"/>
  <c r="N107" i="4"/>
  <c r="N108" i="4"/>
  <c r="N109" i="4"/>
  <c r="N110" i="4"/>
  <c r="N111" i="4"/>
  <c r="N112" i="4"/>
  <c r="N115" i="4"/>
  <c r="N116" i="4"/>
  <c r="Q116" i="4"/>
  <c r="Q117" i="4"/>
  <c r="N117" i="4"/>
  <c r="N119" i="4"/>
  <c r="N120" i="4"/>
  <c r="E74" i="4"/>
  <c r="F74" i="4"/>
  <c r="G74" i="4"/>
  <c r="H74" i="4"/>
  <c r="I74" i="4"/>
  <c r="J74" i="4"/>
  <c r="K74" i="4"/>
  <c r="L74" i="4"/>
  <c r="M74" i="4"/>
  <c r="N74" i="4"/>
  <c r="Q120" i="4"/>
  <c r="Q121" i="4"/>
  <c r="N121" i="4"/>
  <c r="N125" i="4"/>
  <c r="D128" i="4"/>
  <c r="D127" i="4"/>
  <c r="H144" i="4"/>
  <c r="I144" i="4"/>
  <c r="J144" i="4"/>
  <c r="K144" i="4"/>
  <c r="L144" i="4"/>
  <c r="M144" i="4"/>
  <c r="N144" i="4"/>
  <c r="O144" i="4"/>
  <c r="P144" i="4"/>
  <c r="D145" i="4"/>
  <c r="B138" i="5"/>
  <c r="B139" i="5"/>
  <c r="B137" i="5"/>
  <c r="G161" i="5"/>
  <c r="D142" i="5"/>
  <c r="G165" i="5"/>
  <c r="D151" i="5"/>
  <c r="G167" i="5"/>
  <c r="D156" i="5"/>
  <c r="F7" i="5"/>
  <c r="G7" i="5"/>
  <c r="H7" i="5"/>
  <c r="F5" i="5"/>
  <c r="G5" i="5"/>
  <c r="H5" i="5"/>
  <c r="H40" i="5"/>
  <c r="F4" i="5"/>
  <c r="G4" i="5"/>
  <c r="H4" i="5"/>
  <c r="F6" i="5"/>
  <c r="G6" i="5"/>
  <c r="H6" i="5"/>
  <c r="H41" i="5"/>
  <c r="H42" i="5"/>
  <c r="E11" i="5"/>
  <c r="F11" i="5"/>
  <c r="G11" i="5"/>
  <c r="H11" i="5"/>
  <c r="F12" i="5"/>
  <c r="G12" i="5"/>
  <c r="H12" i="5"/>
  <c r="H47" i="5"/>
  <c r="F9" i="5"/>
  <c r="G9" i="5"/>
  <c r="H9" i="5"/>
  <c r="H48" i="5"/>
  <c r="E73" i="5"/>
  <c r="F73" i="5"/>
  <c r="G73" i="5"/>
  <c r="H73" i="5"/>
  <c r="F20" i="5"/>
  <c r="G20" i="5"/>
  <c r="H20" i="5"/>
  <c r="H49" i="5"/>
  <c r="F21" i="5"/>
  <c r="G21" i="5"/>
  <c r="H21" i="5"/>
  <c r="H50" i="5"/>
  <c r="H99" i="5"/>
  <c r="F36" i="5"/>
  <c r="G36" i="5"/>
  <c r="H36" i="5"/>
  <c r="H51" i="5"/>
  <c r="H100" i="5"/>
  <c r="H101" i="5"/>
  <c r="H35" i="5"/>
  <c r="H102" i="5"/>
  <c r="H103" i="5"/>
  <c r="F37" i="5"/>
  <c r="G37" i="5"/>
  <c r="H37" i="5"/>
  <c r="I37" i="5"/>
  <c r="I7" i="5"/>
  <c r="I5" i="5"/>
  <c r="I40" i="5"/>
  <c r="I4" i="5"/>
  <c r="I6" i="5"/>
  <c r="I41" i="5"/>
  <c r="I42" i="5"/>
  <c r="I66" i="5"/>
  <c r="H66" i="5"/>
  <c r="H107" i="5"/>
  <c r="H108" i="5"/>
  <c r="F33" i="5"/>
  <c r="G33" i="5"/>
  <c r="H33" i="5"/>
  <c r="I33" i="5"/>
  <c r="I68" i="5"/>
  <c r="H68" i="5"/>
  <c r="H109" i="5"/>
  <c r="F8" i="5"/>
  <c r="G8" i="5"/>
  <c r="H8" i="5"/>
  <c r="I8" i="5"/>
  <c r="I43" i="5"/>
  <c r="F31" i="5"/>
  <c r="G31" i="5"/>
  <c r="H31" i="5"/>
  <c r="I31" i="5"/>
  <c r="I69" i="5"/>
  <c r="H43" i="5"/>
  <c r="H69" i="5"/>
  <c r="H110" i="5"/>
  <c r="F32" i="5"/>
  <c r="G32" i="5"/>
  <c r="H32" i="5"/>
  <c r="I32" i="5"/>
  <c r="I80" i="5"/>
  <c r="H80" i="5"/>
  <c r="H111" i="5"/>
  <c r="I11" i="5"/>
  <c r="I12" i="5"/>
  <c r="I47" i="5"/>
  <c r="I9" i="5"/>
  <c r="I48" i="5"/>
  <c r="I73" i="5"/>
  <c r="I20" i="5"/>
  <c r="I49" i="5"/>
  <c r="I21" i="5"/>
  <c r="I50" i="5"/>
  <c r="I99" i="5"/>
  <c r="I36" i="5"/>
  <c r="I51" i="5"/>
  <c r="I100" i="5"/>
  <c r="I101" i="5"/>
  <c r="I35" i="5"/>
  <c r="I102" i="5"/>
  <c r="H112" i="5"/>
  <c r="E72" i="5"/>
  <c r="F72" i="5"/>
  <c r="G72" i="5"/>
  <c r="H72" i="5"/>
  <c r="I72" i="5"/>
  <c r="H115" i="5"/>
  <c r="H119" i="5"/>
  <c r="H125" i="5"/>
  <c r="H136" i="5"/>
  <c r="H140" i="5"/>
  <c r="E84" i="5"/>
  <c r="F84" i="5"/>
  <c r="G84" i="5"/>
  <c r="H84" i="5"/>
  <c r="I84" i="5"/>
  <c r="J84" i="5"/>
  <c r="K84" i="5"/>
  <c r="L84" i="5"/>
  <c r="M84" i="5"/>
  <c r="N84" i="5"/>
  <c r="Q86" i="5"/>
  <c r="Q87" i="5"/>
  <c r="E40" i="5"/>
  <c r="E41" i="5"/>
  <c r="E42" i="5"/>
  <c r="E89" i="5"/>
  <c r="F89" i="5"/>
  <c r="G89" i="5"/>
  <c r="H89" i="5"/>
  <c r="I89" i="5"/>
  <c r="J89" i="5"/>
  <c r="K89" i="5"/>
  <c r="L89" i="5"/>
  <c r="M89" i="5"/>
  <c r="N89" i="5"/>
  <c r="Q91" i="5"/>
  <c r="Q94" i="5"/>
  <c r="R86" i="5"/>
  <c r="R74" i="5"/>
  <c r="S86" i="5"/>
  <c r="E35" i="5"/>
  <c r="F35" i="5"/>
  <c r="G35" i="5"/>
  <c r="J35" i="5"/>
  <c r="K35" i="5"/>
  <c r="L35" i="5"/>
  <c r="M35" i="5"/>
  <c r="N35" i="5"/>
  <c r="R78" i="5"/>
  <c r="T86" i="5"/>
  <c r="U86" i="5"/>
  <c r="R87" i="5"/>
  <c r="R75" i="5"/>
  <c r="S87" i="5"/>
  <c r="T87" i="5"/>
  <c r="U87" i="5"/>
  <c r="R91" i="5"/>
  <c r="R80" i="5"/>
  <c r="R83" i="5"/>
  <c r="S91" i="5"/>
  <c r="T91" i="5"/>
  <c r="U91" i="5"/>
  <c r="U94" i="5"/>
  <c r="D126" i="5"/>
  <c r="E47" i="5"/>
  <c r="E48" i="5"/>
  <c r="E49" i="5"/>
  <c r="E50" i="5"/>
  <c r="E99" i="5"/>
  <c r="E51" i="5"/>
  <c r="E100" i="5"/>
  <c r="E101" i="5"/>
  <c r="E102" i="5"/>
  <c r="E103" i="5"/>
  <c r="F40" i="5"/>
  <c r="F41" i="5"/>
  <c r="F42" i="5"/>
  <c r="F66" i="5"/>
  <c r="E66" i="5"/>
  <c r="E107" i="5"/>
  <c r="E108" i="5"/>
  <c r="F68" i="5"/>
  <c r="E68" i="5"/>
  <c r="E109" i="5"/>
  <c r="F43" i="5"/>
  <c r="F69" i="5"/>
  <c r="E43" i="5"/>
  <c r="E69" i="5"/>
  <c r="E110" i="5"/>
  <c r="F80" i="5"/>
  <c r="E80" i="5"/>
  <c r="E111" i="5"/>
  <c r="F47" i="5"/>
  <c r="F48" i="5"/>
  <c r="F49" i="5"/>
  <c r="F50" i="5"/>
  <c r="F99" i="5"/>
  <c r="F51" i="5"/>
  <c r="F100" i="5"/>
  <c r="F101" i="5"/>
  <c r="F102" i="5"/>
  <c r="E112" i="5"/>
  <c r="E115" i="5"/>
  <c r="E119" i="5"/>
  <c r="E125" i="5"/>
  <c r="E136" i="5"/>
  <c r="E140" i="5"/>
  <c r="F103" i="5"/>
  <c r="G40" i="5"/>
  <c r="G41" i="5"/>
  <c r="G42" i="5"/>
  <c r="G66" i="5"/>
  <c r="F107" i="5"/>
  <c r="F108" i="5"/>
  <c r="G68" i="5"/>
  <c r="F109" i="5"/>
  <c r="G43" i="5"/>
  <c r="G69" i="5"/>
  <c r="F110" i="5"/>
  <c r="G80" i="5"/>
  <c r="F111" i="5"/>
  <c r="G47" i="5"/>
  <c r="G48" i="5"/>
  <c r="G49" i="5"/>
  <c r="G50" i="5"/>
  <c r="G99" i="5"/>
  <c r="G51" i="5"/>
  <c r="G100" i="5"/>
  <c r="G101" i="5"/>
  <c r="G102" i="5"/>
  <c r="F112" i="5"/>
  <c r="F115" i="5"/>
  <c r="F119" i="5"/>
  <c r="F125" i="5"/>
  <c r="F136" i="5"/>
  <c r="F140" i="5"/>
  <c r="G103" i="5"/>
  <c r="G107" i="5"/>
  <c r="G108" i="5"/>
  <c r="G109" i="5"/>
  <c r="G110" i="5"/>
  <c r="G111" i="5"/>
  <c r="G112" i="5"/>
  <c r="G115" i="5"/>
  <c r="G119" i="5"/>
  <c r="G125" i="5"/>
  <c r="G136" i="5"/>
  <c r="G140" i="5"/>
  <c r="I103" i="5"/>
  <c r="J37" i="5"/>
  <c r="J7" i="5"/>
  <c r="J5" i="5"/>
  <c r="J40" i="5"/>
  <c r="J4" i="5"/>
  <c r="J6" i="5"/>
  <c r="J41" i="5"/>
  <c r="J42" i="5"/>
  <c r="J66" i="5"/>
  <c r="I107" i="5"/>
  <c r="I108" i="5"/>
  <c r="J33" i="5"/>
  <c r="J68" i="5"/>
  <c r="I109" i="5"/>
  <c r="J8" i="5"/>
  <c r="J43" i="5"/>
  <c r="J31" i="5"/>
  <c r="J69" i="5"/>
  <c r="I110" i="5"/>
  <c r="J32" i="5"/>
  <c r="J80" i="5"/>
  <c r="I111" i="5"/>
  <c r="J11" i="5"/>
  <c r="J12" i="5"/>
  <c r="J47" i="5"/>
  <c r="J9" i="5"/>
  <c r="J48" i="5"/>
  <c r="J73" i="5"/>
  <c r="J20" i="5"/>
  <c r="J49" i="5"/>
  <c r="J21" i="5"/>
  <c r="J50" i="5"/>
  <c r="J99" i="5"/>
  <c r="J36" i="5"/>
  <c r="J51" i="5"/>
  <c r="J100" i="5"/>
  <c r="J101" i="5"/>
  <c r="J102" i="5"/>
  <c r="I112" i="5"/>
  <c r="J72" i="5"/>
  <c r="I115" i="5"/>
  <c r="I119" i="5"/>
  <c r="I125" i="5"/>
  <c r="I136" i="5"/>
  <c r="I140" i="5"/>
  <c r="J103" i="5"/>
  <c r="K37" i="5"/>
  <c r="K7" i="5"/>
  <c r="K5" i="5"/>
  <c r="K40" i="5"/>
  <c r="K4" i="5"/>
  <c r="K6" i="5"/>
  <c r="K41" i="5"/>
  <c r="K42" i="5"/>
  <c r="K66" i="5"/>
  <c r="J107" i="5"/>
  <c r="J108" i="5"/>
  <c r="K33" i="5"/>
  <c r="K68" i="5"/>
  <c r="J109" i="5"/>
  <c r="K8" i="5"/>
  <c r="K43" i="5"/>
  <c r="K31" i="5"/>
  <c r="K69" i="5"/>
  <c r="J110" i="5"/>
  <c r="K32" i="5"/>
  <c r="K80" i="5"/>
  <c r="J111" i="5"/>
  <c r="K11" i="5"/>
  <c r="K12" i="5"/>
  <c r="K47" i="5"/>
  <c r="K9" i="5"/>
  <c r="K48" i="5"/>
  <c r="K73" i="5"/>
  <c r="K20" i="5"/>
  <c r="K49" i="5"/>
  <c r="K21" i="5"/>
  <c r="K50" i="5"/>
  <c r="K99" i="5"/>
  <c r="K36" i="5"/>
  <c r="K51" i="5"/>
  <c r="K100" i="5"/>
  <c r="K101" i="5"/>
  <c r="K102" i="5"/>
  <c r="J112" i="5"/>
  <c r="K72" i="5"/>
  <c r="J115" i="5"/>
  <c r="J119" i="5"/>
  <c r="J125" i="5"/>
  <c r="J136" i="5"/>
  <c r="J140" i="5"/>
  <c r="K103" i="5"/>
  <c r="L37" i="5"/>
  <c r="L7" i="5"/>
  <c r="L5" i="5"/>
  <c r="L40" i="5"/>
  <c r="L4" i="5"/>
  <c r="L6" i="5"/>
  <c r="L41" i="5"/>
  <c r="L42" i="5"/>
  <c r="L66" i="5"/>
  <c r="K107" i="5"/>
  <c r="K108" i="5"/>
  <c r="L33" i="5"/>
  <c r="L68" i="5"/>
  <c r="K109" i="5"/>
  <c r="L8" i="5"/>
  <c r="L43" i="5"/>
  <c r="L31" i="5"/>
  <c r="L69" i="5"/>
  <c r="K110" i="5"/>
  <c r="L32" i="5"/>
  <c r="L80" i="5"/>
  <c r="K111" i="5"/>
  <c r="L11" i="5"/>
  <c r="L12" i="5"/>
  <c r="L47" i="5"/>
  <c r="L9" i="5"/>
  <c r="L48" i="5"/>
  <c r="L73" i="5"/>
  <c r="L20" i="5"/>
  <c r="L49" i="5"/>
  <c r="L21" i="5"/>
  <c r="L50" i="5"/>
  <c r="L99" i="5"/>
  <c r="L36" i="5"/>
  <c r="L51" i="5"/>
  <c r="L100" i="5"/>
  <c r="L101" i="5"/>
  <c r="L102" i="5"/>
  <c r="K112" i="5"/>
  <c r="L72" i="5"/>
  <c r="K115" i="5"/>
  <c r="K119" i="5"/>
  <c r="K125" i="5"/>
  <c r="K136" i="5"/>
  <c r="K140" i="5"/>
  <c r="L103" i="5"/>
  <c r="M37" i="5"/>
  <c r="M7" i="5"/>
  <c r="M5" i="5"/>
  <c r="M40" i="5"/>
  <c r="M4" i="5"/>
  <c r="M6" i="5"/>
  <c r="M41" i="5"/>
  <c r="M42" i="5"/>
  <c r="M66" i="5"/>
  <c r="L107" i="5"/>
  <c r="L108" i="5"/>
  <c r="M33" i="5"/>
  <c r="M68" i="5"/>
  <c r="L109" i="5"/>
  <c r="M8" i="5"/>
  <c r="M43" i="5"/>
  <c r="M31" i="5"/>
  <c r="M69" i="5"/>
  <c r="L110" i="5"/>
  <c r="M32" i="5"/>
  <c r="M80" i="5"/>
  <c r="L111" i="5"/>
  <c r="M11" i="5"/>
  <c r="M12" i="5"/>
  <c r="M47" i="5"/>
  <c r="M9" i="5"/>
  <c r="M48" i="5"/>
  <c r="M73" i="5"/>
  <c r="M20" i="5"/>
  <c r="M49" i="5"/>
  <c r="M21" i="5"/>
  <c r="M50" i="5"/>
  <c r="M99" i="5"/>
  <c r="M36" i="5"/>
  <c r="M51" i="5"/>
  <c r="M100" i="5"/>
  <c r="M101" i="5"/>
  <c r="M102" i="5"/>
  <c r="L112" i="5"/>
  <c r="M72" i="5"/>
  <c r="L115" i="5"/>
  <c r="L119" i="5"/>
  <c r="L125" i="5"/>
  <c r="L136" i="5"/>
  <c r="L140" i="5"/>
  <c r="M103" i="5"/>
  <c r="N37" i="5"/>
  <c r="N7" i="5"/>
  <c r="N5" i="5"/>
  <c r="N40" i="5"/>
  <c r="N4" i="5"/>
  <c r="N6" i="5"/>
  <c r="N41" i="5"/>
  <c r="N42" i="5"/>
  <c r="N66" i="5"/>
  <c r="M107" i="5"/>
  <c r="M108" i="5"/>
  <c r="N33" i="5"/>
  <c r="N68" i="5"/>
  <c r="M109" i="5"/>
  <c r="N8" i="5"/>
  <c r="N43" i="5"/>
  <c r="N31" i="5"/>
  <c r="N69" i="5"/>
  <c r="M110" i="5"/>
  <c r="N32" i="5"/>
  <c r="N80" i="5"/>
  <c r="M111" i="5"/>
  <c r="N11" i="5"/>
  <c r="N12" i="5"/>
  <c r="N47" i="5"/>
  <c r="N9" i="5"/>
  <c r="N48" i="5"/>
  <c r="N73" i="5"/>
  <c r="N20" i="5"/>
  <c r="N49" i="5"/>
  <c r="N21" i="5"/>
  <c r="N50" i="5"/>
  <c r="N99" i="5"/>
  <c r="N36" i="5"/>
  <c r="N51" i="5"/>
  <c r="N100" i="5"/>
  <c r="N101" i="5"/>
  <c r="N102" i="5"/>
  <c r="M112" i="5"/>
  <c r="N72" i="5"/>
  <c r="M115" i="5"/>
  <c r="M119" i="5"/>
  <c r="M125" i="5"/>
  <c r="M136" i="5"/>
  <c r="M140" i="5"/>
  <c r="N103" i="5"/>
  <c r="N107" i="5"/>
  <c r="N108" i="5"/>
  <c r="N109" i="5"/>
  <c r="N110" i="5"/>
  <c r="N111" i="5"/>
  <c r="N112" i="5"/>
  <c r="N115" i="5"/>
  <c r="N116" i="5"/>
  <c r="Q116" i="5"/>
  <c r="Q117" i="5"/>
  <c r="N117" i="5"/>
  <c r="N119" i="5"/>
  <c r="N120" i="5"/>
  <c r="E74" i="5"/>
  <c r="F74" i="5"/>
  <c r="G74" i="5"/>
  <c r="H74" i="5"/>
  <c r="I74" i="5"/>
  <c r="J74" i="5"/>
  <c r="K74" i="5"/>
  <c r="L74" i="5"/>
  <c r="M74" i="5"/>
  <c r="N74" i="5"/>
  <c r="Q120" i="5"/>
  <c r="Q121" i="5"/>
  <c r="N121" i="5"/>
  <c r="N125" i="5"/>
  <c r="N136" i="5"/>
  <c r="N140" i="5"/>
  <c r="D107" i="5"/>
  <c r="D108" i="5"/>
  <c r="D109" i="5"/>
  <c r="D110" i="5"/>
  <c r="D111" i="5"/>
  <c r="D112" i="5"/>
  <c r="D115" i="5"/>
  <c r="D119" i="5"/>
  <c r="D125" i="5"/>
  <c r="D136" i="5"/>
  <c r="D140" i="5"/>
  <c r="D141" i="5"/>
  <c r="H146" i="5"/>
  <c r="H145" i="5"/>
  <c r="H149" i="5"/>
  <c r="E145" i="5"/>
  <c r="E149" i="5"/>
  <c r="F145" i="5"/>
  <c r="F149" i="5"/>
  <c r="G145" i="5"/>
  <c r="G149" i="5"/>
  <c r="I145" i="5"/>
  <c r="I149" i="5"/>
  <c r="J145" i="5"/>
  <c r="J149" i="5"/>
  <c r="K145" i="5"/>
  <c r="K149" i="5"/>
  <c r="L145" i="5"/>
  <c r="L149" i="5"/>
  <c r="M145" i="5"/>
  <c r="M149" i="5"/>
  <c r="N145" i="5"/>
  <c r="N149" i="5"/>
  <c r="D145" i="5"/>
  <c r="D149" i="5"/>
  <c r="D150" i="5"/>
  <c r="E154" i="5"/>
  <c r="F154" i="5"/>
  <c r="G154" i="5"/>
  <c r="H154" i="5"/>
  <c r="D154" i="5"/>
  <c r="D155" i="5"/>
  <c r="D158" i="5"/>
  <c r="G169" i="5"/>
  <c r="D128" i="5"/>
  <c r="D127" i="5"/>
  <c r="P112" i="5"/>
  <c r="P111" i="5"/>
  <c r="P110" i="5"/>
  <c r="P109" i="5"/>
  <c r="P108" i="5"/>
  <c r="P107" i="5"/>
  <c r="R94" i="5"/>
  <c r="N70" i="5"/>
  <c r="N76" i="5"/>
  <c r="N44" i="5"/>
  <c r="N52" i="5"/>
  <c r="N54" i="5"/>
  <c r="D140" i="3"/>
  <c r="N56" i="5"/>
  <c r="F27" i="5"/>
  <c r="G27" i="5"/>
  <c r="H27" i="5"/>
  <c r="I27" i="5"/>
  <c r="J27" i="5"/>
  <c r="K27" i="5"/>
  <c r="L27" i="5"/>
  <c r="M27" i="5"/>
  <c r="N27" i="5"/>
  <c r="N57" i="5"/>
  <c r="N59" i="5"/>
  <c r="N60" i="5"/>
  <c r="N81" i="5"/>
  <c r="N82" i="5"/>
  <c r="N87" i="5"/>
  <c r="E44" i="5"/>
  <c r="E52" i="5"/>
  <c r="E54" i="5"/>
  <c r="D14" i="3"/>
  <c r="E56" i="5"/>
  <c r="E57" i="5"/>
  <c r="E59" i="5"/>
  <c r="E60" i="5"/>
  <c r="E61" i="5"/>
  <c r="E90" i="5"/>
  <c r="F44" i="5"/>
  <c r="F52" i="5"/>
  <c r="F54" i="5"/>
  <c r="D28" i="3"/>
  <c r="F56" i="5"/>
  <c r="F57" i="5"/>
  <c r="F59" i="5"/>
  <c r="F60" i="5"/>
  <c r="F61" i="5"/>
  <c r="F90" i="5"/>
  <c r="G44" i="5"/>
  <c r="G52" i="5"/>
  <c r="G54" i="5"/>
  <c r="D42" i="3"/>
  <c r="G56" i="5"/>
  <c r="G57" i="5"/>
  <c r="G59" i="5"/>
  <c r="G60" i="5"/>
  <c r="G61" i="5"/>
  <c r="G90" i="5"/>
  <c r="H44" i="5"/>
  <c r="H52" i="5"/>
  <c r="H54" i="5"/>
  <c r="D56" i="3"/>
  <c r="H56" i="5"/>
  <c r="H57" i="5"/>
  <c r="H59" i="5"/>
  <c r="H60" i="5"/>
  <c r="H61" i="5"/>
  <c r="H90" i="5"/>
  <c r="I44" i="5"/>
  <c r="I52" i="5"/>
  <c r="I54" i="5"/>
  <c r="D70" i="3"/>
  <c r="I56" i="5"/>
  <c r="I57" i="5"/>
  <c r="I59" i="5"/>
  <c r="I60" i="5"/>
  <c r="I61" i="5"/>
  <c r="I90" i="5"/>
  <c r="J44" i="5"/>
  <c r="J52" i="5"/>
  <c r="J54" i="5"/>
  <c r="D84" i="3"/>
  <c r="J56" i="5"/>
  <c r="J57" i="5"/>
  <c r="J59" i="5"/>
  <c r="J60" i="5"/>
  <c r="J61" i="5"/>
  <c r="J90" i="5"/>
  <c r="K44" i="5"/>
  <c r="K52" i="5"/>
  <c r="K54" i="5"/>
  <c r="D98" i="3"/>
  <c r="K56" i="5"/>
  <c r="K57" i="5"/>
  <c r="K59" i="5"/>
  <c r="K60" i="5"/>
  <c r="K61" i="5"/>
  <c r="K90" i="5"/>
  <c r="L44" i="5"/>
  <c r="L52" i="5"/>
  <c r="L54" i="5"/>
  <c r="D112" i="3"/>
  <c r="L56" i="5"/>
  <c r="L57" i="5"/>
  <c r="L59" i="5"/>
  <c r="L60" i="5"/>
  <c r="L61" i="5"/>
  <c r="L90" i="5"/>
  <c r="M44" i="5"/>
  <c r="M52" i="5"/>
  <c r="M54" i="5"/>
  <c r="D126" i="3"/>
  <c r="M56" i="5"/>
  <c r="M57" i="5"/>
  <c r="M59" i="5"/>
  <c r="M60" i="5"/>
  <c r="M61" i="5"/>
  <c r="M90" i="5"/>
  <c r="N61" i="5"/>
  <c r="N90" i="5"/>
  <c r="N92" i="5"/>
  <c r="N94" i="5"/>
  <c r="M70" i="5"/>
  <c r="M76" i="5"/>
  <c r="M81" i="5"/>
  <c r="M82" i="5"/>
  <c r="M87" i="5"/>
  <c r="M92" i="5"/>
  <c r="M94" i="5"/>
  <c r="L70" i="5"/>
  <c r="L76" i="5"/>
  <c r="L81" i="5"/>
  <c r="L82" i="5"/>
  <c r="L87" i="5"/>
  <c r="L92" i="5"/>
  <c r="L94" i="5"/>
  <c r="K70" i="5"/>
  <c r="K76" i="5"/>
  <c r="K81" i="5"/>
  <c r="K82" i="5"/>
  <c r="K87" i="5"/>
  <c r="K92" i="5"/>
  <c r="K94" i="5"/>
  <c r="J70" i="5"/>
  <c r="J76" i="5"/>
  <c r="J81" i="5"/>
  <c r="J82" i="5"/>
  <c r="J87" i="5"/>
  <c r="J92" i="5"/>
  <c r="J94" i="5"/>
  <c r="I70" i="5"/>
  <c r="I76" i="5"/>
  <c r="I81" i="5"/>
  <c r="I82" i="5"/>
  <c r="I87" i="5"/>
  <c r="I92" i="5"/>
  <c r="I94" i="5"/>
  <c r="H70" i="5"/>
  <c r="H76" i="5"/>
  <c r="H81" i="5"/>
  <c r="H82" i="5"/>
  <c r="H87" i="5"/>
  <c r="H92" i="5"/>
  <c r="H94" i="5"/>
  <c r="G70" i="5"/>
  <c r="G76" i="5"/>
  <c r="G81" i="5"/>
  <c r="G82" i="5"/>
  <c r="G87" i="5"/>
  <c r="G92" i="5"/>
  <c r="G94" i="5"/>
  <c r="F70" i="5"/>
  <c r="F76" i="5"/>
  <c r="F81" i="5"/>
  <c r="F82" i="5"/>
  <c r="F87" i="5"/>
  <c r="F92" i="5"/>
  <c r="F94" i="5"/>
  <c r="E70" i="5"/>
  <c r="E76" i="5"/>
  <c r="E81" i="5"/>
  <c r="E82" i="5"/>
  <c r="E87" i="5"/>
  <c r="E92" i="5"/>
  <c r="E94" i="5"/>
  <c r="W80" i="5"/>
  <c r="W79" i="5"/>
  <c r="W71" i="5"/>
  <c r="W70" i="5"/>
  <c r="R70" i="5"/>
  <c r="E29" i="5"/>
  <c r="E26" i="5"/>
  <c r="E16" i="5"/>
  <c r="A150" i="4"/>
  <c r="F150" i="4"/>
  <c r="W71" i="4"/>
  <c r="W70" i="4"/>
  <c r="W80" i="4"/>
  <c r="W79" i="4"/>
  <c r="F27" i="4"/>
  <c r="G27" i="4"/>
  <c r="H27" i="4"/>
  <c r="I27" i="4"/>
  <c r="J27" i="4"/>
  <c r="K27" i="4"/>
  <c r="L27" i="4"/>
  <c r="M27" i="4"/>
  <c r="N27" i="4"/>
  <c r="N57" i="4"/>
  <c r="N44" i="4"/>
  <c r="N52" i="4"/>
  <c r="N54" i="4"/>
  <c r="N56" i="4"/>
  <c r="N59" i="4"/>
  <c r="N60" i="4"/>
  <c r="N61" i="4"/>
  <c r="E44" i="4"/>
  <c r="E52" i="4"/>
  <c r="E54" i="4"/>
  <c r="E56" i="4"/>
  <c r="E57" i="4"/>
  <c r="E59" i="4"/>
  <c r="E60" i="4"/>
  <c r="E61" i="4"/>
  <c r="E90" i="4"/>
  <c r="F44" i="4"/>
  <c r="F52" i="4"/>
  <c r="F54" i="4"/>
  <c r="F56" i="4"/>
  <c r="F57" i="4"/>
  <c r="F59" i="4"/>
  <c r="F60" i="4"/>
  <c r="F61" i="4"/>
  <c r="F90" i="4"/>
  <c r="G44" i="4"/>
  <c r="G52" i="4"/>
  <c r="G54" i="4"/>
  <c r="G56" i="4"/>
  <c r="G57" i="4"/>
  <c r="G59" i="4"/>
  <c r="G60" i="4"/>
  <c r="G61" i="4"/>
  <c r="G90" i="4"/>
  <c r="H44" i="4"/>
  <c r="H52" i="4"/>
  <c r="H54" i="4"/>
  <c r="H56" i="4"/>
  <c r="H57" i="4"/>
  <c r="H59" i="4"/>
  <c r="H60" i="4"/>
  <c r="H61" i="4"/>
  <c r="H90" i="4"/>
  <c r="I44" i="4"/>
  <c r="I52" i="4"/>
  <c r="I54" i="4"/>
  <c r="I56" i="4"/>
  <c r="I57" i="4"/>
  <c r="I59" i="4"/>
  <c r="I60" i="4"/>
  <c r="I61" i="4"/>
  <c r="I90" i="4"/>
  <c r="J44" i="4"/>
  <c r="J52" i="4"/>
  <c r="J54" i="4"/>
  <c r="J56" i="4"/>
  <c r="J57" i="4"/>
  <c r="J59" i="4"/>
  <c r="J60" i="4"/>
  <c r="J61" i="4"/>
  <c r="J90" i="4"/>
  <c r="K44" i="4"/>
  <c r="K52" i="4"/>
  <c r="K54" i="4"/>
  <c r="K56" i="4"/>
  <c r="K57" i="4"/>
  <c r="K59" i="4"/>
  <c r="K60" i="4"/>
  <c r="K61" i="4"/>
  <c r="K90" i="4"/>
  <c r="L44" i="4"/>
  <c r="L52" i="4"/>
  <c r="L54" i="4"/>
  <c r="L56" i="4"/>
  <c r="L57" i="4"/>
  <c r="L59" i="4"/>
  <c r="L60" i="4"/>
  <c r="L61" i="4"/>
  <c r="L90" i="4"/>
  <c r="M44" i="4"/>
  <c r="M52" i="4"/>
  <c r="M54" i="4"/>
  <c r="M56" i="4"/>
  <c r="M57" i="4"/>
  <c r="M59" i="4"/>
  <c r="M60" i="4"/>
  <c r="M61" i="4"/>
  <c r="M90" i="4"/>
  <c r="N90" i="4"/>
  <c r="P107" i="4"/>
  <c r="P112" i="4"/>
  <c r="P111" i="4"/>
  <c r="P110" i="4"/>
  <c r="P109" i="4"/>
  <c r="P108" i="4"/>
  <c r="E81" i="4"/>
  <c r="F81" i="4"/>
  <c r="E82" i="4"/>
  <c r="E87" i="4"/>
  <c r="E92" i="4"/>
  <c r="E70" i="4"/>
  <c r="E76" i="4"/>
  <c r="E94" i="4"/>
  <c r="N81" i="4"/>
  <c r="R70" i="4"/>
  <c r="G81" i="4"/>
  <c r="H81" i="4"/>
  <c r="I81" i="4"/>
  <c r="J81" i="4"/>
  <c r="K81" i="4"/>
  <c r="L81" i="4"/>
  <c r="M81" i="4"/>
  <c r="E29" i="4"/>
  <c r="E26" i="4"/>
  <c r="E16" i="4"/>
  <c r="R94" i="4"/>
  <c r="F70" i="4"/>
  <c r="F76" i="4"/>
  <c r="G82" i="4"/>
  <c r="G87" i="4"/>
  <c r="F82" i="4"/>
  <c r="F87" i="4"/>
  <c r="G70" i="4"/>
  <c r="G76" i="4"/>
  <c r="H70" i="4"/>
  <c r="H76" i="4"/>
  <c r="F92" i="4"/>
  <c r="F94" i="4"/>
  <c r="I70" i="4"/>
  <c r="I76" i="4"/>
  <c r="H82" i="4"/>
  <c r="H87" i="4"/>
  <c r="H92" i="4"/>
  <c r="H94" i="4"/>
  <c r="J70" i="4"/>
  <c r="J76" i="4"/>
  <c r="I82" i="4"/>
  <c r="I87" i="4"/>
  <c r="I92" i="4"/>
  <c r="I94" i="4"/>
  <c r="G92" i="4"/>
  <c r="G94" i="4"/>
  <c r="J82" i="4"/>
  <c r="J87" i="4"/>
  <c r="K70" i="4"/>
  <c r="K76" i="4"/>
  <c r="L70" i="4"/>
  <c r="L76" i="4"/>
  <c r="J92" i="4"/>
  <c r="J94" i="4"/>
  <c r="K82" i="4"/>
  <c r="K87" i="4"/>
  <c r="L82" i="4"/>
  <c r="L87" i="4"/>
  <c r="M70" i="4"/>
  <c r="M76" i="4"/>
  <c r="N70" i="4"/>
  <c r="N76" i="4"/>
  <c r="M82" i="4"/>
  <c r="M87" i="4"/>
  <c r="N82" i="4"/>
  <c r="N87" i="4"/>
  <c r="K92" i="4"/>
  <c r="K94" i="4"/>
  <c r="L92" i="4"/>
  <c r="L94" i="4"/>
  <c r="N92" i="4"/>
  <c r="N94" i="4"/>
  <c r="M92" i="4"/>
  <c r="M94" i="4"/>
  <c r="G27" i="3"/>
  <c r="G41" i="3"/>
  <c r="G55" i="3"/>
  <c r="G69" i="3"/>
  <c r="G83" i="3"/>
  <c r="G97" i="3"/>
  <c r="G111" i="3"/>
  <c r="G125" i="3"/>
  <c r="G139" i="3"/>
  <c r="C14" i="3"/>
  <c r="C28" i="3"/>
  <c r="C42" i="3"/>
  <c r="C56" i="3"/>
  <c r="C70" i="3"/>
  <c r="C84" i="3"/>
  <c r="C98" i="3"/>
  <c r="C112" i="3"/>
  <c r="C126" i="3"/>
  <c r="C140" i="3"/>
</calcChain>
</file>

<file path=xl/sharedStrings.xml><?xml version="1.0" encoding="utf-8"?>
<sst xmlns="http://schemas.openxmlformats.org/spreadsheetml/2006/main" count="526" uniqueCount="195">
  <si>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</si>
  <si>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</si>
  <si>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</si>
  <si>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</si>
  <si>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</si>
  <si>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</si>
  <si>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</si>
  <si>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</si>
  <si>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</si>
  <si>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</si>
  <si>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INCOME STATEMENT</t>
  </si>
  <si>
    <t>Sales Revenue</t>
  </si>
  <si>
    <t>Cost of Good Sold</t>
  </si>
  <si>
    <t>Gross Profit</t>
  </si>
  <si>
    <t xml:space="preserve">Expenses </t>
  </si>
  <si>
    <t>Salaries and Wages</t>
  </si>
  <si>
    <t>General and Administrative</t>
  </si>
  <si>
    <t>Total Expenses</t>
  </si>
  <si>
    <t>Income Before Interest and Taxes</t>
  </si>
  <si>
    <t>Taxable Income</t>
  </si>
  <si>
    <t>Income Tax Expense</t>
  </si>
  <si>
    <t>BALANCE SHEET</t>
  </si>
  <si>
    <t xml:space="preserve">ASSETS </t>
  </si>
  <si>
    <t>Current Assets</t>
  </si>
  <si>
    <t xml:space="preserve">Inventory </t>
  </si>
  <si>
    <t>Land</t>
  </si>
  <si>
    <t>Less Accumulated Depreciation</t>
  </si>
  <si>
    <t xml:space="preserve">LIABILITIES </t>
  </si>
  <si>
    <t>Current Liabilities</t>
  </si>
  <si>
    <t>Common Stock</t>
  </si>
  <si>
    <t>Total Liabilities and Shareholders Equity</t>
  </si>
  <si>
    <t>Number of competing stores in city</t>
  </si>
  <si>
    <t>yearly change</t>
  </si>
  <si>
    <t xml:space="preserve">Average number of labor hours per year needed </t>
  </si>
  <si>
    <t>Building Maintenance</t>
  </si>
  <si>
    <t>Cost per acre for land</t>
  </si>
  <si>
    <t>Cost per square foot for store building</t>
  </si>
  <si>
    <t>Square footage of building</t>
  </si>
  <si>
    <t>Depeciation Expense</t>
  </si>
  <si>
    <t>Mortgage Interest Expense</t>
  </si>
  <si>
    <t>Extra Bank Loan Interest Expense</t>
  </si>
  <si>
    <t>Buildings</t>
  </si>
  <si>
    <t>Average maintenance cost per year, per square foot of buildings</t>
  </si>
  <si>
    <t>Average cost of insurance and property tax, % of building value</t>
  </si>
  <si>
    <t>Building Insurance and Property Taxes</t>
  </si>
  <si>
    <t>Days of receivables (credit card use assumed for all revenue)</t>
  </si>
  <si>
    <t>Beg Balance</t>
  </si>
  <si>
    <t>Principal</t>
  </si>
  <si>
    <t xml:space="preserve">Interest </t>
  </si>
  <si>
    <t>Payment</t>
  </si>
  <si>
    <t>End Balance</t>
  </si>
  <si>
    <t>Rate</t>
  </si>
  <si>
    <t>Jan</t>
  </si>
  <si>
    <t>Per Rate</t>
  </si>
  <si>
    <t>Feb</t>
  </si>
  <si>
    <t>FV</t>
  </si>
  <si>
    <t>Mar</t>
  </si>
  <si>
    <t>Years</t>
  </si>
  <si>
    <t>Apr</t>
  </si>
  <si>
    <t>Per</t>
  </si>
  <si>
    <t>May</t>
  </si>
  <si>
    <t>Type</t>
  </si>
  <si>
    <t>Jun</t>
  </si>
  <si>
    <t>PV</t>
  </si>
  <si>
    <t>Jul</t>
  </si>
  <si>
    <t>Aug</t>
  </si>
  <si>
    <t>Sep</t>
  </si>
  <si>
    <t>Oct</t>
  </si>
  <si>
    <t>Nov</t>
  </si>
  <si>
    <t>Dec</t>
  </si>
  <si>
    <t>TOTALS</t>
  </si>
  <si>
    <t>ASSUMPTIONS</t>
  </si>
  <si>
    <t>Income Taxes Payable</t>
  </si>
  <si>
    <t>Average total cost per labor hour (wage + withholdings)</t>
  </si>
  <si>
    <t>Acres of land</t>
  </si>
  <si>
    <t>Mortgage loan interest rate</t>
  </si>
  <si>
    <t>Mortgage loan length (in years)</t>
  </si>
  <si>
    <t>Mortgage loan starting balance, % of total land and buildings</t>
  </si>
  <si>
    <t>Mortgage loan starting balance (PV)</t>
  </si>
  <si>
    <t>Extra bank loan interest rate</t>
  </si>
  <si>
    <t>Common stock starting balance, percent of total assets first year</t>
  </si>
  <si>
    <t>Days of inventory</t>
  </si>
  <si>
    <t>Days of accounts payable (COGS expense)</t>
  </si>
  <si>
    <t>General and Administrative as percent of sales</t>
  </si>
  <si>
    <t>COGS as percent of sales</t>
  </si>
  <si>
    <t>Income tax rate (state plus federal)</t>
  </si>
  <si>
    <t>Depriciation years</t>
  </si>
  <si>
    <t>Minimum cash as % of sales</t>
  </si>
  <si>
    <t>Net Income</t>
  </si>
  <si>
    <t>Minimum Cash Balance</t>
  </si>
  <si>
    <t>Extra Cash</t>
  </si>
  <si>
    <t>Accounts Receivable</t>
  </si>
  <si>
    <t>Total Current Assets</t>
  </si>
  <si>
    <t>Total Assets</t>
  </si>
  <si>
    <t>Accounts Payable (COGS Expense)</t>
  </si>
  <si>
    <t>Total Current Liabilities</t>
  </si>
  <si>
    <t>Mortgage Loan</t>
  </si>
  <si>
    <t>Extra Bank Loan</t>
  </si>
  <si>
    <t>Total Liabilities</t>
  </si>
  <si>
    <t>Retained Earnings</t>
  </si>
  <si>
    <t>DFN</t>
  </si>
  <si>
    <t>FREE CASH FLOWS</t>
  </si>
  <si>
    <t>Cash From Operatoins</t>
  </si>
  <si>
    <t>Operating Profit</t>
  </si>
  <si>
    <t>Less: Depreciation</t>
  </si>
  <si>
    <t>Taxable Operating Profit</t>
  </si>
  <si>
    <t>Taxes on Operations</t>
  </si>
  <si>
    <t>Cash from Changes in Balance Sheet</t>
  </si>
  <si>
    <t>Working Capital</t>
  </si>
  <si>
    <t>Fixed Assets</t>
  </si>
  <si>
    <t>Adjustment for Sale</t>
  </si>
  <si>
    <t>Taxes on Sale</t>
  </si>
  <si>
    <t>Total Cash from Operations</t>
  </si>
  <si>
    <t>Total Free Cash Flows</t>
  </si>
  <si>
    <t>WACC</t>
  </si>
  <si>
    <t>IRR</t>
  </si>
  <si>
    <t>NPV</t>
  </si>
  <si>
    <t>Average</t>
  </si>
  <si>
    <t>Proportion</t>
  </si>
  <si>
    <t>Tax Adjusted</t>
  </si>
  <si>
    <t>Weighted</t>
  </si>
  <si>
    <t>Unlevered Beta</t>
  </si>
  <si>
    <t>Relevered Beta</t>
  </si>
  <si>
    <t>S&amp;P 500 Return</t>
  </si>
  <si>
    <t>T-Bill Return</t>
  </si>
  <si>
    <t>Equity Cost</t>
  </si>
  <si>
    <t>Average Tax Rate</t>
  </si>
  <si>
    <t>Based on this company's forecasted debt and equity</t>
  </si>
  <si>
    <t>Average over all years of forecast</t>
  </si>
  <si>
    <t>Book</t>
  </si>
  <si>
    <t>Gain</t>
  </si>
  <si>
    <t>Goodwill Description:   The goodwill of this company would come from the following</t>
  </si>
  <si>
    <t>Terminal Value: The Terminal Value chosen was a pretend sale at the end of 10 years, based on the following:</t>
  </si>
  <si>
    <t>Goodwill At Purchase</t>
  </si>
  <si>
    <t>CREDIT RATING</t>
  </si>
  <si>
    <t>ADJUSTMENT OF CREDIT RATING</t>
  </si>
  <si>
    <t>Coverage Ratio</t>
  </si>
  <si>
    <t>Used worst ratio, in first year of operation</t>
  </si>
  <si>
    <t>Credit Rating</t>
  </si>
  <si>
    <t>BB</t>
  </si>
  <si>
    <t>From NYU Stern chart for this industry, adjusted up</t>
  </si>
  <si>
    <t>Spread Above T-Bill</t>
  </si>
  <si>
    <t>From NYU Stern chart based on adjusted rating</t>
  </si>
  <si>
    <t>Mortage Loan</t>
  </si>
  <si>
    <t>T-Bill Rate plus Spread based on Credit Rating</t>
  </si>
  <si>
    <t>Add 3% to Mortgage Loan Rate</t>
  </si>
  <si>
    <t>CAPM</t>
  </si>
  <si>
    <t>ADJUSTMENT OF UNLEVLERED BETA</t>
  </si>
  <si>
    <t>From NYU Stern chart for this industry, adjusted down</t>
  </si>
  <si>
    <t>Tire Penz</t>
  </si>
  <si>
    <t>Anaylsis</t>
  </si>
  <si>
    <t>Popluation of the city</t>
  </si>
  <si>
    <t>Average price</t>
  </si>
  <si>
    <t>Amazon sales</t>
  </si>
  <si>
    <t>Land Cost</t>
  </si>
  <si>
    <t>Common stock starting balance minimum, if at least as above</t>
  </si>
  <si>
    <t>Amazon</t>
  </si>
  <si>
    <t>Store</t>
  </si>
  <si>
    <t>Year 0</t>
  </si>
  <si>
    <t>- Their product is innovative and fills a need for customers - see customer review on home page</t>
  </si>
  <si>
    <t>- It sounds like they are a family-owned business, established in a garage, so they probably have a pretty good feel for the Colorado area around their store</t>
  </si>
  <si>
    <t>- The company is near Denver and Boulder, both areas that should keep growing over the next few years, so the land should increase in value</t>
  </si>
  <si>
    <t>- If well-maintained, the building should increase in value</t>
  </si>
  <si>
    <t>- Owners have trade secrets, given their paint formula that works on rubber and paint</t>
  </si>
  <si>
    <t>- Product is selling online on Amazon</t>
  </si>
  <si>
    <t>Because the WACC and IRR are so close, the NPV is almost zero, meaning the operations of the company is not earning more than WACC except by a very small amount (just $925 over the 10 year period)</t>
  </si>
  <si>
    <t>Risk Free T-Bill Rate used in WACC Calculation</t>
  </si>
  <si>
    <t>Relevered Beta Used in WACC calculation</t>
  </si>
  <si>
    <t>OPTION TO BUY THE COMPANY IN 2 YEARS, WITH AN EXERCISE PRICE OF THE CURRENT PURCHASE PRICE</t>
  </si>
  <si>
    <t>Exercise Price</t>
  </si>
  <si>
    <t>Cash Flows if Exercised</t>
  </si>
  <si>
    <t>Black-Sholes Computation area provided for you:</t>
  </si>
  <si>
    <t>S</t>
  </si>
  <si>
    <t>X</t>
  </si>
  <si>
    <t>t</t>
  </si>
  <si>
    <t>STDEV(%)</t>
  </si>
  <si>
    <t>r</t>
  </si>
  <si>
    <t>VALUE</t>
  </si>
  <si>
    <t>SCENARIOS OF COMPANY</t>
  </si>
  <si>
    <t>Success - Success</t>
  </si>
  <si>
    <t>Normal Forecasted Operations</t>
  </si>
  <si>
    <t>TOTAL</t>
  </si>
  <si>
    <t>Probability</t>
  </si>
  <si>
    <t>Success - Failure</t>
  </si>
  <si>
    <t>Failure</t>
  </si>
  <si>
    <t>Adjusted Forecasted Operations</t>
  </si>
  <si>
    <t>Total Expected NPV</t>
  </si>
  <si>
    <t>Expansion is Good</t>
  </si>
  <si>
    <t>Good -Expand</t>
  </si>
  <si>
    <t>Decision Tree</t>
  </si>
  <si>
    <t>Expansion is Bad</t>
  </si>
  <si>
    <t>Bad - Stop Co.</t>
  </si>
  <si>
    <t>Opened New Product Line</t>
  </si>
  <si>
    <t>Additional Revenues from New Product Line</t>
  </si>
  <si>
    <t>Sell New Product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</si>
</sst>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[$$-409]#,##0.00;[Red]\-[$$-409]#,##0.00"/>
    <numFmt numFmtId="168" formatCode="_(\$* #,##0_);_(\$* \(#,##0\);_(\$* \-??_);_(@_)"/>
  </numFmts>
  <fonts count="1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u/>
      <sz val="12"/>
      <color rgb="FF000000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0" fontId="4" fillId="0" borderId="0" xfId="3" applyNumberFormat="1" applyFont="1" applyAlignment="1"/>
    <xf numFmtId="43" fontId="4" fillId="0" borderId="0" xfId="1" applyFont="1" applyAlignment="1"/>
    <xf numFmtId="0" fontId="7" fillId="0" borderId="0" xfId="0" applyFont="1"/>
    <xf numFmtId="10" fontId="7" fillId="0" borderId="0" xfId="0" applyNumberFormat="1" applyFont="1"/>
    <xf numFmtId="17" fontId="7" fillId="0" borderId="0" xfId="0" quotePrefix="1" applyNumberFormat="1" applyFont="1" applyAlignment="1">
      <alignment wrapText="1"/>
    </xf>
    <xf numFmtId="44" fontId="8" fillId="0" borderId="0" xfId="2" applyFont="1"/>
    <xf numFmtId="0" fontId="7" fillId="0" borderId="0" xfId="0" applyFont="1" applyAlignment="1">
      <alignment wrapText="1"/>
    </xf>
    <xf numFmtId="167" fontId="7" fillId="0" borderId="0" xfId="0" applyNumberFormat="1" applyFont="1"/>
    <xf numFmtId="0" fontId="9" fillId="0" borderId="0" xfId="0" applyFont="1" applyAlignment="1">
      <alignment wrapText="1"/>
    </xf>
    <xf numFmtId="43" fontId="7" fillId="0" borderId="0" xfId="0" applyNumberFormat="1" applyFont="1"/>
    <xf numFmtId="165" fontId="4" fillId="0" borderId="0" xfId="2" applyNumberFormat="1" applyFont="1" applyAlignment="1"/>
    <xf numFmtId="0" fontId="9" fillId="0" borderId="0" xfId="0" applyFont="1"/>
    <xf numFmtId="0" fontId="10" fillId="0" borderId="0" xfId="0" applyFont="1" applyAlignment="1">
      <alignment horizontal="center"/>
    </xf>
    <xf numFmtId="10" fontId="4" fillId="0" borderId="0" xfId="0" applyNumberFormat="1" applyFont="1"/>
    <xf numFmtId="10" fontId="3" fillId="0" borderId="0" xfId="3" applyNumberFormat="1" applyFont="1" applyAlignment="1"/>
    <xf numFmtId="10" fontId="3" fillId="0" borderId="0" xfId="0" applyNumberFormat="1" applyFont="1"/>
    <xf numFmtId="0" fontId="3" fillId="3" borderId="0" xfId="0" applyFont="1" applyFill="1"/>
    <xf numFmtId="0" fontId="4" fillId="3" borderId="0" xfId="0" applyFont="1" applyFill="1"/>
    <xf numFmtId="0" fontId="3" fillId="3" borderId="0" xfId="0" quotePrefix="1" applyFont="1" applyFill="1"/>
    <xf numFmtId="0" fontId="4" fillId="0" borderId="0" xfId="0" applyFont="1" applyAlignment="1">
      <alignment horizontal="right"/>
    </xf>
    <xf numFmtId="0" fontId="3" fillId="0" borderId="0" xfId="4" applyFont="1"/>
    <xf numFmtId="0" fontId="4" fillId="0" borderId="0" xfId="4" applyFont="1"/>
    <xf numFmtId="0" fontId="4" fillId="0" borderId="0" xfId="4" applyFont="1" applyAlignment="1">
      <alignment wrapText="1"/>
    </xf>
    <xf numFmtId="0" fontId="6" fillId="0" borderId="1" xfId="4" applyFont="1" applyBorder="1" applyAlignment="1">
      <alignment horizontal="center"/>
    </xf>
    <xf numFmtId="0" fontId="6" fillId="0" borderId="4" xfId="4" applyFont="1" applyBorder="1" applyAlignment="1">
      <alignment wrapText="1"/>
    </xf>
    <xf numFmtId="166" fontId="4" fillId="0" borderId="0" xfId="5" applyNumberFormat="1" applyFont="1"/>
    <xf numFmtId="166" fontId="4" fillId="0" borderId="0" xfId="5" applyNumberFormat="1" applyFont="1" applyAlignment="1"/>
    <xf numFmtId="9" fontId="4" fillId="0" borderId="0" xfId="4" applyNumberFormat="1" applyFont="1"/>
    <xf numFmtId="44" fontId="4" fillId="0" borderId="0" xfId="6" applyFont="1"/>
    <xf numFmtId="44" fontId="4" fillId="0" borderId="0" xfId="6" applyFont="1" applyAlignment="1"/>
    <xf numFmtId="43" fontId="4" fillId="0" borderId="0" xfId="5" applyFont="1"/>
    <xf numFmtId="43" fontId="4" fillId="0" borderId="0" xfId="5" applyFont="1" applyAlignment="1"/>
    <xf numFmtId="10" fontId="4" fillId="0" borderId="0" xfId="7" applyNumberFormat="1" applyFont="1" applyAlignment="1"/>
    <xf numFmtId="0" fontId="4" fillId="4" borderId="0" xfId="4" applyFont="1" applyFill="1" applyAlignment="1">
      <alignment wrapText="1"/>
    </xf>
    <xf numFmtId="164" fontId="4" fillId="0" borderId="0" xfId="7" applyNumberFormat="1" applyFont="1" applyAlignment="1"/>
    <xf numFmtId="164" fontId="4" fillId="0" borderId="0" xfId="4" applyNumberFormat="1" applyFont="1"/>
    <xf numFmtId="165" fontId="4" fillId="0" borderId="0" xfId="6" applyNumberFormat="1" applyFont="1" applyAlignment="1"/>
    <xf numFmtId="0" fontId="5" fillId="0" borderId="0" xfId="4" applyFont="1"/>
    <xf numFmtId="2" fontId="4" fillId="0" borderId="0" xfId="4" applyNumberFormat="1" applyFont="1"/>
    <xf numFmtId="165" fontId="4" fillId="0" borderId="0" xfId="4" applyNumberFormat="1" applyFont="1"/>
    <xf numFmtId="165" fontId="4" fillId="0" borderId="2" xfId="4" applyNumberFormat="1" applyFont="1" applyBorder="1"/>
    <xf numFmtId="6" fontId="4" fillId="0" borderId="0" xfId="4" applyNumberFormat="1" applyFont="1"/>
    <xf numFmtId="165" fontId="5" fillId="2" borderId="3" xfId="6" applyNumberFormat="1" applyFont="1" applyFill="1" applyBorder="1" applyAlignment="1"/>
    <xf numFmtId="165" fontId="3" fillId="0" borderId="0" xfId="4" applyNumberFormat="1" applyFont="1"/>
    <xf numFmtId="165" fontId="4" fillId="0" borderId="3" xfId="4" applyNumberFormat="1" applyFont="1" applyBorder="1"/>
    <xf numFmtId="44" fontId="4" fillId="0" borderId="0" xfId="4" applyNumberFormat="1" applyFont="1"/>
    <xf numFmtId="44" fontId="4" fillId="0" borderId="0" xfId="0" applyNumberFormat="1" applyFont="1"/>
    <xf numFmtId="166" fontId="4" fillId="0" borderId="0" xfId="1" applyNumberFormat="1" applyFont="1"/>
    <xf numFmtId="0" fontId="11" fillId="0" borderId="0" xfId="0" applyFont="1"/>
    <xf numFmtId="44" fontId="2" fillId="0" borderId="0" xfId="2"/>
    <xf numFmtId="0" fontId="12" fillId="0" borderId="0" xfId="0" applyFont="1"/>
    <xf numFmtId="10" fontId="11" fillId="0" borderId="0" xfId="3" applyNumberFormat="1" applyFont="1" applyFill="1"/>
    <xf numFmtId="164" fontId="11" fillId="0" borderId="0" xfId="3" applyNumberFormat="1" applyFont="1" applyFill="1"/>
    <xf numFmtId="43" fontId="11" fillId="0" borderId="0" xfId="1" applyFont="1" applyFill="1"/>
    <xf numFmtId="0" fontId="11" fillId="0" borderId="3" xfId="0" applyFont="1" applyBorder="1"/>
    <xf numFmtId="43" fontId="11" fillId="0" borderId="3" xfId="1" applyFont="1" applyBorder="1"/>
    <xf numFmtId="0" fontId="13" fillId="0" borderId="3" xfId="0" applyFont="1" applyBorder="1"/>
    <xf numFmtId="0" fontId="11" fillId="0" borderId="0" xfId="0" applyFont="1" applyAlignment="1">
      <alignment horizontal="center"/>
    </xf>
    <xf numFmtId="10" fontId="11" fillId="0" borderId="0" xfId="0" applyNumberFormat="1" applyFont="1"/>
    <xf numFmtId="0" fontId="14" fillId="0" borderId="0" xfId="0" applyFont="1"/>
    <xf numFmtId="168" fontId="11" fillId="0" borderId="0" xfId="0" applyNumberFormat="1" applyFont="1"/>
    <xf numFmtId="9" fontId="11" fillId="0" borderId="0" xfId="0" applyNumberFormat="1" applyFont="1"/>
    <xf numFmtId="168" fontId="15" fillId="0" borderId="0" xfId="2" applyNumberFormat="1" applyFont="1" applyFill="1"/>
    <xf numFmtId="44" fontId="15" fillId="0" borderId="0" xfId="2" applyFont="1" applyFill="1"/>
    <xf numFmtId="9" fontId="16" fillId="0" borderId="0" xfId="0" applyNumberFormat="1" applyFont="1"/>
    <xf numFmtId="0" fontId="0" fillId="0" borderId="4" xfId="0" applyBorder="1"/>
    <xf numFmtId="44" fontId="0" fillId="0" borderId="4" xfId="2" applyFont="1" applyBorder="1"/>
    <xf numFmtId="9" fontId="0" fillId="0" borderId="4" xfId="3" applyFont="1" applyBorder="1"/>
    <xf numFmtId="165" fontId="2" fillId="0" borderId="4" xfId="2" applyNumberFormat="1" applyBorder="1"/>
    <xf numFmtId="165" fontId="11" fillId="0" borderId="0" xfId="0" applyNumberFormat="1" applyFont="1"/>
    <xf numFmtId="168" fontId="2" fillId="0" borderId="0" xfId="2" applyNumberFormat="1"/>
    <xf numFmtId="165" fontId="15" fillId="0" borderId="0" xfId="2" applyNumberFormat="1" applyFont="1" applyFill="1"/>
    <xf numFmtId="8" fontId="15" fillId="0" borderId="0" xfId="2" applyNumberFormat="1" applyFont="1" applyFill="1"/>
    <xf numFmtId="164" fontId="4" fillId="0" borderId="0" xfId="3" applyNumberFormat="1" applyFont="1" applyAlignment="1"/>
    <xf numFmtId="9" fontId="2" fillId="0" borderId="0" xfId="3"/>
    <xf numFmtId="168" fontId="2" fillId="0" borderId="5" xfId="2" applyNumberFormat="1" applyBorder="1"/>
    <xf numFmtId="0" fontId="11" fillId="0" borderId="6" xfId="0" applyFont="1" applyBorder="1"/>
    <xf numFmtId="0" fontId="11" fillId="0" borderId="7" xfId="0" applyFont="1" applyBorder="1"/>
    <xf numFmtId="168" fontId="2" fillId="0" borderId="6" xfId="2" applyNumberFormat="1" applyBorder="1"/>
    <xf numFmtId="9" fontId="11" fillId="0" borderId="3" xfId="0" applyNumberFormat="1" applyFont="1" applyBorder="1"/>
    <xf numFmtId="43" fontId="2" fillId="0" borderId="0" xfId="2" applyNumberFormat="1"/>
  </cellXfs>
  <cellStyles count="8">
    <cellStyle name="Comma" xfId="1" builtinId="3"/>
    <cellStyle name="Comma 2" xfId="5" xr:uid="{28E207C7-E34E-46C6-AA8F-7421527BBC2F}"/>
    <cellStyle name="Currency" xfId="2" builtinId="4"/>
    <cellStyle name="Currency 2" xfId="6" xr:uid="{98A111D3-C24A-460E-992B-8A15F05496D4}"/>
    <cellStyle name="Normal" xfId="0" builtinId="0"/>
    <cellStyle name="Normal 2" xfId="4" xr:uid="{67210CE0-98D7-42CA-A729-E81DBA8A8E20}"/>
    <cellStyle name="Percent" xfId="3" builtinId="5"/>
    <cellStyle name="Percent 2" xfId="7" xr:uid="{78C7B7E8-2F67-45D2-913A-701FE1EBFD67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0EBCA-BCAD-4BCC-A95A-E22F59559318}">
  <dimension ref="A1:AG159"/>
  <sheetViews>
    <sheetView tabSelected="1" zoomScale="70" zoomScaleNormal="70" workbookViewId="0">
      <pane ySplit="2" topLeftCell="A128" activePane="bottomLeft" state="frozen"/>
      <selection pane="bottomLeft" activeCell="C135" sqref="C135"/>
    </sheetView>
  </sheetViews>
  <sheetFormatPr defaultColWidth="15.140625" defaultRowHeight="15.75" x14ac:dyDescent="0.25"/>
  <cols>
    <col min="1" max="1" width="15.85546875" style="26" customWidth="1"/>
    <col min="2" max="2" width="40.42578125" style="26" customWidth="1"/>
    <col min="3" max="3" width="14.5703125" style="26" bestFit="1" customWidth="1"/>
    <col min="4" max="4" width="16.28515625" style="26" bestFit="1" customWidth="1"/>
    <col min="5" max="5" width="13.5703125" style="26" bestFit="1" customWidth="1"/>
    <col min="6" max="6" width="14.28515625" style="26" bestFit="1" customWidth="1"/>
    <col min="7" max="9" width="13.28515625" style="26" bestFit="1" customWidth="1"/>
    <col min="10" max="10" width="12.28515625" style="26" bestFit="1" customWidth="1"/>
    <col min="11" max="14" width="13.28515625" style="26" bestFit="1" customWidth="1"/>
    <col min="15" max="16" width="11.7109375" style="26" bestFit="1" customWidth="1"/>
    <col min="17" max="17" width="23.140625" style="26" bestFit="1" customWidth="1"/>
    <col min="18" max="18" width="20.85546875" style="27" customWidth="1"/>
    <col min="19" max="20" width="15.140625" style="26"/>
    <col min="21" max="21" width="24.5703125" style="26" bestFit="1" customWidth="1"/>
    <col min="22" max="16384" width="15.140625" style="26"/>
  </cols>
  <sheetData>
    <row r="1" spans="1:18" ht="15" customHeight="1" x14ac:dyDescent="0.25">
      <c r="A1" s="25" t="s">
        <v>149</v>
      </c>
    </row>
    <row r="2" spans="1:18" ht="13.5" customHeight="1" x14ac:dyDescent="0.25">
      <c r="D2" s="28" t="s">
        <v>158</v>
      </c>
      <c r="E2" s="28" t="s">
        <v>0</v>
      </c>
      <c r="F2" s="28" t="s">
        <v>1</v>
      </c>
      <c r="G2" s="28" t="s">
        <v>2</v>
      </c>
      <c r="H2" s="28" t="s">
        <v>3</v>
      </c>
      <c r="I2" s="28" t="s">
        <v>4</v>
      </c>
      <c r="J2" s="28" t="s">
        <v>5</v>
      </c>
      <c r="K2" s="28" t="s">
        <v>6</v>
      </c>
      <c r="L2" s="28" t="s">
        <v>7</v>
      </c>
      <c r="M2" s="28" t="s">
        <v>8</v>
      </c>
      <c r="N2" s="28" t="s">
        <v>9</v>
      </c>
      <c r="R2" s="29" t="s">
        <v>150</v>
      </c>
    </row>
    <row r="3" spans="1:18" ht="13.5" customHeight="1" x14ac:dyDescent="0.25">
      <c r="A3" s="25" t="s">
        <v>71</v>
      </c>
      <c r="I3" s="25"/>
    </row>
    <row r="4" spans="1:18" ht="13.5" customHeight="1" x14ac:dyDescent="0.25">
      <c r="A4" s="26" t="s">
        <v>151</v>
      </c>
      <c r="E4" s="30">
        <v>92858</v>
      </c>
      <c r="F4" s="31">
        <f t="shared" ref="F4:N9" si="0">E4*(1+$P4)</f>
        <v>95643.74</v>
      </c>
      <c r="G4" s="31">
        <f t="shared" si="0"/>
        <v>98513.052200000006</v>
      </c>
      <c r="H4" s="31">
        <f t="shared" si="0"/>
        <v>101468.44376600001</v>
      </c>
      <c r="I4" s="31">
        <f t="shared" si="0"/>
        <v>104512.49707898001</v>
      </c>
      <c r="J4" s="31">
        <f t="shared" si="0"/>
        <v>107647.87199134941</v>
      </c>
      <c r="K4" s="31">
        <f t="shared" si="0"/>
        <v>110877.30815108989</v>
      </c>
      <c r="L4" s="31">
        <f t="shared" si="0"/>
        <v>114203.62739562259</v>
      </c>
      <c r="M4" s="31">
        <f t="shared" si="0"/>
        <v>117629.73621749127</v>
      </c>
      <c r="N4" s="31">
        <f t="shared" si="0"/>
        <v>121158.62830401601</v>
      </c>
      <c r="P4" s="32">
        <v>0.03</v>
      </c>
      <c r="Q4" s="26" t="s">
        <v>32</v>
      </c>
    </row>
    <row r="5" spans="1:18" ht="13.5" customHeight="1" x14ac:dyDescent="0.25">
      <c r="A5" s="26" t="s">
        <v>152</v>
      </c>
      <c r="E5" s="33">
        <v>27</v>
      </c>
      <c r="F5" s="34">
        <f>E5*(1+$P5)</f>
        <v>28.35</v>
      </c>
      <c r="G5" s="34">
        <f t="shared" si="0"/>
        <v>29.767500000000002</v>
      </c>
      <c r="H5" s="34">
        <f t="shared" si="0"/>
        <v>31.255875000000003</v>
      </c>
      <c r="I5" s="34">
        <f t="shared" si="0"/>
        <v>32.818668750000008</v>
      </c>
      <c r="J5" s="34">
        <f t="shared" si="0"/>
        <v>34.45960218750001</v>
      </c>
      <c r="K5" s="34">
        <f t="shared" si="0"/>
        <v>36.182582296875012</v>
      </c>
      <c r="L5" s="34">
        <f t="shared" si="0"/>
        <v>37.991711411718761</v>
      </c>
      <c r="M5" s="34">
        <f t="shared" si="0"/>
        <v>39.891296982304702</v>
      </c>
      <c r="N5" s="34">
        <f t="shared" si="0"/>
        <v>41.885861831419938</v>
      </c>
      <c r="P5" s="32">
        <v>0.05</v>
      </c>
      <c r="Q5" s="26" t="s">
        <v>32</v>
      </c>
    </row>
    <row r="6" spans="1:18" ht="13.5" customHeight="1" x14ac:dyDescent="0.25">
      <c r="A6" s="26" t="s">
        <v>31</v>
      </c>
      <c r="E6" s="35">
        <v>3</v>
      </c>
      <c r="F6" s="36">
        <f t="shared" si="0"/>
        <v>3</v>
      </c>
      <c r="G6" s="36">
        <f t="shared" si="0"/>
        <v>3</v>
      </c>
      <c r="H6" s="36">
        <f t="shared" si="0"/>
        <v>3</v>
      </c>
      <c r="I6" s="36">
        <f t="shared" si="0"/>
        <v>3</v>
      </c>
      <c r="J6" s="36">
        <f t="shared" si="0"/>
        <v>3</v>
      </c>
      <c r="K6" s="36">
        <f t="shared" si="0"/>
        <v>3</v>
      </c>
      <c r="L6" s="36">
        <f t="shared" si="0"/>
        <v>3</v>
      </c>
      <c r="M6" s="36">
        <f t="shared" si="0"/>
        <v>3</v>
      </c>
      <c r="N6" s="36">
        <f t="shared" si="0"/>
        <v>3</v>
      </c>
      <c r="O6" s="36"/>
      <c r="P6" s="32">
        <v>0</v>
      </c>
      <c r="Q6" s="26" t="s">
        <v>32</v>
      </c>
    </row>
    <row r="7" spans="1:18" ht="13.5" customHeight="1" x14ac:dyDescent="0.25">
      <c r="A7" s="26" t="s">
        <v>153</v>
      </c>
      <c r="E7" s="35">
        <v>2700</v>
      </c>
      <c r="F7" s="36">
        <f>E7*(1+$P$7)</f>
        <v>2727</v>
      </c>
      <c r="G7" s="36">
        <f t="shared" ref="G7:N7" si="1">F7*(1+$P$7)</f>
        <v>2754.27</v>
      </c>
      <c r="H7" s="36">
        <f t="shared" si="1"/>
        <v>2781.8126999999999</v>
      </c>
      <c r="I7" s="36">
        <f t="shared" si="1"/>
        <v>2809.630827</v>
      </c>
      <c r="J7" s="36">
        <f t="shared" si="1"/>
        <v>2837.72713527</v>
      </c>
      <c r="K7" s="36">
        <f t="shared" si="1"/>
        <v>2866.1044066227</v>
      </c>
      <c r="L7" s="36">
        <f t="shared" si="1"/>
        <v>2894.7654506889271</v>
      </c>
      <c r="M7" s="36">
        <f t="shared" si="1"/>
        <v>2923.7131051958163</v>
      </c>
      <c r="N7" s="36">
        <f t="shared" si="1"/>
        <v>2952.9502362477747</v>
      </c>
      <c r="O7" s="36"/>
      <c r="P7" s="32">
        <v>0.01</v>
      </c>
      <c r="Q7" s="26" t="s">
        <v>32</v>
      </c>
    </row>
    <row r="8" spans="1:18" ht="13.5" customHeight="1" x14ac:dyDescent="0.25">
      <c r="A8" s="26" t="s">
        <v>84</v>
      </c>
      <c r="E8" s="37">
        <v>0.45</v>
      </c>
      <c r="F8" s="37">
        <f>E8*(1+$P8)</f>
        <v>0.45</v>
      </c>
      <c r="G8" s="37">
        <f t="shared" si="0"/>
        <v>0.45</v>
      </c>
      <c r="H8" s="37">
        <f t="shared" si="0"/>
        <v>0.45</v>
      </c>
      <c r="I8" s="37">
        <f t="shared" si="0"/>
        <v>0.45</v>
      </c>
      <c r="J8" s="37">
        <f t="shared" si="0"/>
        <v>0.45</v>
      </c>
      <c r="K8" s="37">
        <f t="shared" si="0"/>
        <v>0.45</v>
      </c>
      <c r="L8" s="37">
        <f t="shared" si="0"/>
        <v>0.45</v>
      </c>
      <c r="M8" s="37">
        <f t="shared" si="0"/>
        <v>0.45</v>
      </c>
      <c r="N8" s="37">
        <f>M8*(1+$P8)</f>
        <v>0.45</v>
      </c>
      <c r="P8" s="32">
        <v>0</v>
      </c>
      <c r="Q8" s="26" t="s">
        <v>32</v>
      </c>
    </row>
    <row r="9" spans="1:18" ht="13.5" customHeight="1" x14ac:dyDescent="0.25">
      <c r="A9" s="26" t="s">
        <v>83</v>
      </c>
      <c r="E9" s="37">
        <v>0.25</v>
      </c>
      <c r="F9" s="37">
        <f t="shared" si="0"/>
        <v>0.25</v>
      </c>
      <c r="G9" s="37">
        <f t="shared" si="0"/>
        <v>0.25</v>
      </c>
      <c r="H9" s="37">
        <f t="shared" si="0"/>
        <v>0.25</v>
      </c>
      <c r="I9" s="37">
        <f t="shared" si="0"/>
        <v>0.25</v>
      </c>
      <c r="J9" s="37">
        <f t="shared" si="0"/>
        <v>0.25</v>
      </c>
      <c r="K9" s="37">
        <f t="shared" si="0"/>
        <v>0.25</v>
      </c>
      <c r="L9" s="37">
        <f t="shared" si="0"/>
        <v>0.25</v>
      </c>
      <c r="M9" s="37">
        <f t="shared" si="0"/>
        <v>0.25</v>
      </c>
      <c r="N9" s="37">
        <f t="shared" si="0"/>
        <v>0.25</v>
      </c>
      <c r="P9" s="32">
        <v>0</v>
      </c>
      <c r="Q9" s="26" t="s">
        <v>32</v>
      </c>
    </row>
    <row r="10" spans="1:18" ht="13.5" customHeight="1" x14ac:dyDescent="0.25">
      <c r="E10" s="32"/>
      <c r="P10" s="32"/>
    </row>
    <row r="11" spans="1:18" ht="13.5" customHeight="1" x14ac:dyDescent="0.25">
      <c r="A11" s="26" t="s">
        <v>33</v>
      </c>
      <c r="E11" s="36">
        <f>3*8*5*52</f>
        <v>6240</v>
      </c>
      <c r="F11" s="36">
        <f t="shared" ref="F11:N12" si="2">E11*(1+$P11)</f>
        <v>6240</v>
      </c>
      <c r="G11" s="36">
        <f t="shared" si="2"/>
        <v>6240</v>
      </c>
      <c r="H11" s="36">
        <f t="shared" si="2"/>
        <v>6240</v>
      </c>
      <c r="I11" s="36">
        <f t="shared" si="2"/>
        <v>6240</v>
      </c>
      <c r="J11" s="36">
        <f t="shared" si="2"/>
        <v>6240</v>
      </c>
      <c r="K11" s="36">
        <f t="shared" si="2"/>
        <v>6240</v>
      </c>
      <c r="L11" s="36">
        <f t="shared" si="2"/>
        <v>6240</v>
      </c>
      <c r="M11" s="36">
        <f t="shared" si="2"/>
        <v>6240</v>
      </c>
      <c r="N11" s="36">
        <f t="shared" si="2"/>
        <v>6240</v>
      </c>
      <c r="P11" s="32">
        <v>0</v>
      </c>
      <c r="Q11" s="26" t="s">
        <v>32</v>
      </c>
    </row>
    <row r="12" spans="1:18" ht="13.5" customHeight="1" x14ac:dyDescent="0.25">
      <c r="A12" s="26" t="s">
        <v>73</v>
      </c>
      <c r="E12" s="34">
        <v>14</v>
      </c>
      <c r="F12" s="34">
        <f t="shared" si="2"/>
        <v>14.280000000000001</v>
      </c>
      <c r="G12" s="34">
        <f t="shared" si="2"/>
        <v>14.565600000000002</v>
      </c>
      <c r="H12" s="34">
        <f t="shared" si="2"/>
        <v>14.856912000000001</v>
      </c>
      <c r="I12" s="34">
        <f t="shared" si="2"/>
        <v>15.154050240000002</v>
      </c>
      <c r="J12" s="34">
        <f t="shared" si="2"/>
        <v>15.457131244800003</v>
      </c>
      <c r="K12" s="34">
        <f t="shared" si="2"/>
        <v>15.766273869696004</v>
      </c>
      <c r="L12" s="34">
        <f t="shared" si="2"/>
        <v>16.081599347089924</v>
      </c>
      <c r="M12" s="34">
        <f t="shared" si="2"/>
        <v>16.403231334031723</v>
      </c>
      <c r="N12" s="34">
        <f t="shared" si="2"/>
        <v>16.731295960712359</v>
      </c>
      <c r="P12" s="32">
        <v>0.02</v>
      </c>
      <c r="Q12" s="26" t="s">
        <v>32</v>
      </c>
      <c r="R12" s="38"/>
    </row>
    <row r="13" spans="1:18" ht="13.5" customHeight="1" x14ac:dyDescent="0.25">
      <c r="E13" s="32"/>
      <c r="P13" s="32"/>
    </row>
    <row r="14" spans="1:18" ht="13.5" customHeight="1" x14ac:dyDescent="0.25">
      <c r="A14" s="26" t="s">
        <v>35</v>
      </c>
      <c r="E14" s="34">
        <v>200000</v>
      </c>
      <c r="P14" s="32"/>
    </row>
    <row r="15" spans="1:18" ht="13.5" customHeight="1" x14ac:dyDescent="0.25">
      <c r="A15" s="26" t="s">
        <v>74</v>
      </c>
      <c r="E15" s="36">
        <v>1</v>
      </c>
      <c r="P15" s="32"/>
    </row>
    <row r="16" spans="1:18" ht="13.5" customHeight="1" x14ac:dyDescent="0.25">
      <c r="A16" s="26" t="s">
        <v>154</v>
      </c>
      <c r="E16" s="36">
        <f>E14*E15</f>
        <v>200000</v>
      </c>
      <c r="P16" s="32"/>
    </row>
    <row r="17" spans="1:18" ht="13.5" customHeight="1" x14ac:dyDescent="0.25">
      <c r="A17" s="26" t="s">
        <v>36</v>
      </c>
      <c r="E17" s="34">
        <v>150</v>
      </c>
      <c r="P17" s="32"/>
      <c r="R17" s="38"/>
    </row>
    <row r="18" spans="1:18" ht="13.5" customHeight="1" x14ac:dyDescent="0.25">
      <c r="A18" s="26" t="s">
        <v>37</v>
      </c>
      <c r="E18" s="36">
        <v>1500</v>
      </c>
      <c r="P18" s="32"/>
    </row>
    <row r="19" spans="1:18" ht="13.5" customHeight="1" x14ac:dyDescent="0.25">
      <c r="E19" s="36"/>
      <c r="P19" s="32"/>
    </row>
    <row r="20" spans="1:18" ht="13.5" customHeight="1" x14ac:dyDescent="0.25">
      <c r="A20" s="26" t="s">
        <v>43</v>
      </c>
      <c r="E20" s="39">
        <v>0.03</v>
      </c>
      <c r="F20" s="39">
        <f t="shared" ref="F20:N21" si="3">E20*(1+$P20)</f>
        <v>3.09E-2</v>
      </c>
      <c r="G20" s="39">
        <f t="shared" si="3"/>
        <v>3.1827000000000001E-2</v>
      </c>
      <c r="H20" s="39">
        <f t="shared" si="3"/>
        <v>3.2781810000000002E-2</v>
      </c>
      <c r="I20" s="39">
        <f t="shared" si="3"/>
        <v>3.37652643E-2</v>
      </c>
      <c r="J20" s="39">
        <f t="shared" si="3"/>
        <v>3.4778222229000004E-2</v>
      </c>
      <c r="K20" s="39">
        <f t="shared" si="3"/>
        <v>3.5821568895870008E-2</v>
      </c>
      <c r="L20" s="39">
        <f t="shared" si="3"/>
        <v>3.6896215962746108E-2</v>
      </c>
      <c r="M20" s="39">
        <f t="shared" si="3"/>
        <v>3.8003102441628495E-2</v>
      </c>
      <c r="N20" s="39">
        <f t="shared" si="3"/>
        <v>3.9143195514877348E-2</v>
      </c>
      <c r="P20" s="32">
        <v>0.03</v>
      </c>
      <c r="Q20" s="26" t="s">
        <v>32</v>
      </c>
    </row>
    <row r="21" spans="1:18" ht="13.5" customHeight="1" x14ac:dyDescent="0.25">
      <c r="A21" s="26" t="s">
        <v>42</v>
      </c>
      <c r="E21" s="34">
        <v>0.6</v>
      </c>
      <c r="F21" s="34">
        <f t="shared" si="3"/>
        <v>0.61199999999999999</v>
      </c>
      <c r="G21" s="34">
        <f t="shared" si="3"/>
        <v>0.62424000000000002</v>
      </c>
      <c r="H21" s="34">
        <f t="shared" si="3"/>
        <v>0.63672479999999998</v>
      </c>
      <c r="I21" s="34">
        <f t="shared" si="3"/>
        <v>0.64945929599999996</v>
      </c>
      <c r="J21" s="34">
        <f t="shared" si="3"/>
        <v>0.66244848191999994</v>
      </c>
      <c r="K21" s="34">
        <f t="shared" si="3"/>
        <v>0.6756974515584</v>
      </c>
      <c r="L21" s="34">
        <f t="shared" si="3"/>
        <v>0.68921140058956798</v>
      </c>
      <c r="M21" s="34">
        <f t="shared" si="3"/>
        <v>0.70299562860135933</v>
      </c>
      <c r="N21" s="34">
        <f t="shared" si="3"/>
        <v>0.71705554117338655</v>
      </c>
      <c r="P21" s="32">
        <v>0.02</v>
      </c>
      <c r="Q21" s="26" t="s">
        <v>32</v>
      </c>
    </row>
    <row r="22" spans="1:18" ht="13.5" customHeight="1" x14ac:dyDescent="0.25">
      <c r="E22" s="32"/>
      <c r="P22" s="32"/>
    </row>
    <row r="23" spans="1:18" ht="13.5" customHeight="1" x14ac:dyDescent="0.25">
      <c r="A23" s="26" t="s">
        <v>75</v>
      </c>
      <c r="E23" s="39">
        <v>4.2299999999999997E-2</v>
      </c>
      <c r="F23" s="39"/>
      <c r="G23" s="39"/>
      <c r="H23" s="39"/>
      <c r="I23" s="39"/>
      <c r="J23" s="39"/>
      <c r="K23" s="39"/>
      <c r="L23" s="39"/>
      <c r="M23" s="39"/>
      <c r="N23" s="39"/>
      <c r="P23" s="32"/>
    </row>
    <row r="24" spans="1:18" ht="13.5" customHeight="1" x14ac:dyDescent="0.25">
      <c r="A24" s="26" t="s">
        <v>76</v>
      </c>
      <c r="E24" s="36">
        <v>30</v>
      </c>
      <c r="F24" s="39"/>
      <c r="G24" s="39"/>
      <c r="H24" s="39"/>
      <c r="I24" s="39"/>
      <c r="J24" s="39"/>
      <c r="K24" s="39"/>
      <c r="L24" s="39"/>
      <c r="M24" s="39"/>
      <c r="N24" s="39"/>
      <c r="P24" s="32"/>
    </row>
    <row r="25" spans="1:18" ht="13.5" customHeight="1" x14ac:dyDescent="0.25">
      <c r="A25" s="26" t="s">
        <v>77</v>
      </c>
      <c r="E25" s="40">
        <v>0.4</v>
      </c>
      <c r="F25" s="39"/>
      <c r="G25" s="39"/>
      <c r="H25" s="39"/>
      <c r="I25" s="39"/>
      <c r="J25" s="39"/>
      <c r="K25" s="39"/>
      <c r="L25" s="39"/>
      <c r="M25" s="39"/>
      <c r="N25" s="39"/>
      <c r="P25" s="32"/>
    </row>
    <row r="26" spans="1:18" ht="13.5" customHeight="1" x14ac:dyDescent="0.25">
      <c r="A26" s="26" t="s">
        <v>78</v>
      </c>
      <c r="E26" s="41">
        <f>E25*(E72+E73)</f>
        <v>170000</v>
      </c>
      <c r="F26" s="39"/>
      <c r="G26" s="39"/>
      <c r="H26" s="39"/>
      <c r="I26" s="39"/>
      <c r="J26" s="39"/>
      <c r="K26" s="39"/>
      <c r="L26" s="39"/>
      <c r="M26" s="39"/>
      <c r="N26" s="39"/>
      <c r="P26" s="32"/>
    </row>
    <row r="27" spans="1:18" ht="13.5" customHeight="1" x14ac:dyDescent="0.25">
      <c r="A27" s="26" t="s">
        <v>79</v>
      </c>
      <c r="E27" s="39">
        <v>4.8399999999999999E-2</v>
      </c>
      <c r="F27" s="39">
        <f t="shared" ref="F27:N27" si="4">E27*(1+$P27)</f>
        <v>4.8399999999999999E-2</v>
      </c>
      <c r="G27" s="39">
        <f t="shared" si="4"/>
        <v>4.8399999999999999E-2</v>
      </c>
      <c r="H27" s="39">
        <f t="shared" si="4"/>
        <v>4.8399999999999999E-2</v>
      </c>
      <c r="I27" s="39">
        <f t="shared" si="4"/>
        <v>4.8399999999999999E-2</v>
      </c>
      <c r="J27" s="39">
        <f t="shared" si="4"/>
        <v>4.8399999999999999E-2</v>
      </c>
      <c r="K27" s="39">
        <f t="shared" si="4"/>
        <v>4.8399999999999999E-2</v>
      </c>
      <c r="L27" s="39">
        <f t="shared" si="4"/>
        <v>4.8399999999999999E-2</v>
      </c>
      <c r="M27" s="39">
        <f t="shared" si="4"/>
        <v>4.8399999999999999E-2</v>
      </c>
      <c r="N27" s="39">
        <f t="shared" si="4"/>
        <v>4.8399999999999999E-2</v>
      </c>
      <c r="P27" s="32">
        <v>0</v>
      </c>
      <c r="Q27" s="26" t="s">
        <v>32</v>
      </c>
      <c r="R27" s="38"/>
    </row>
    <row r="28" spans="1:18" ht="13.5" customHeight="1" x14ac:dyDescent="0.25">
      <c r="A28" s="26" t="s">
        <v>80</v>
      </c>
      <c r="E28" s="39">
        <v>0.2</v>
      </c>
      <c r="F28" s="39"/>
      <c r="G28" s="39"/>
      <c r="H28" s="39"/>
      <c r="I28" s="39"/>
      <c r="J28" s="39"/>
      <c r="K28" s="39"/>
      <c r="L28" s="39"/>
      <c r="M28" s="39"/>
      <c r="N28" s="39"/>
      <c r="P28" s="32"/>
    </row>
    <row r="29" spans="1:18" ht="13.5" customHeight="1" x14ac:dyDescent="0.25">
      <c r="A29" s="26" t="s">
        <v>155</v>
      </c>
      <c r="E29" s="41">
        <f>E28*E76</f>
        <v>283924.0760786974</v>
      </c>
      <c r="F29" s="39"/>
      <c r="G29" s="39"/>
      <c r="H29" s="39"/>
      <c r="I29" s="39"/>
      <c r="J29" s="39"/>
      <c r="K29" s="39"/>
      <c r="L29" s="39"/>
      <c r="M29" s="39"/>
      <c r="N29" s="39"/>
      <c r="P29" s="32"/>
    </row>
    <row r="30" spans="1:18" ht="13.5" customHeight="1" x14ac:dyDescent="0.25">
      <c r="E30" s="40"/>
      <c r="P30" s="32"/>
    </row>
    <row r="31" spans="1:18" ht="16.5" customHeight="1" x14ac:dyDescent="0.25">
      <c r="A31" s="42" t="s">
        <v>81</v>
      </c>
      <c r="B31" s="42"/>
      <c r="C31" s="42"/>
      <c r="D31" s="42"/>
      <c r="E31" s="36">
        <v>120</v>
      </c>
      <c r="F31" s="36">
        <f t="shared" ref="F31:N33" si="5">E31*(1+$P31)</f>
        <v>120</v>
      </c>
      <c r="G31" s="36">
        <f t="shared" si="5"/>
        <v>120</v>
      </c>
      <c r="H31" s="36">
        <f t="shared" si="5"/>
        <v>120</v>
      </c>
      <c r="I31" s="36">
        <f t="shared" si="5"/>
        <v>120</v>
      </c>
      <c r="J31" s="36">
        <f t="shared" si="5"/>
        <v>120</v>
      </c>
      <c r="K31" s="36">
        <f t="shared" si="5"/>
        <v>120</v>
      </c>
      <c r="L31" s="36">
        <f t="shared" si="5"/>
        <v>120</v>
      </c>
      <c r="M31" s="36">
        <f t="shared" si="5"/>
        <v>120</v>
      </c>
      <c r="N31" s="36">
        <f t="shared" si="5"/>
        <v>120</v>
      </c>
      <c r="P31" s="32">
        <v>0</v>
      </c>
      <c r="Q31" s="26" t="s">
        <v>32</v>
      </c>
    </row>
    <row r="32" spans="1:18" ht="16.5" customHeight="1" x14ac:dyDescent="0.25">
      <c r="A32" s="42" t="s">
        <v>82</v>
      </c>
      <c r="B32" s="42"/>
      <c r="C32" s="42"/>
      <c r="D32" s="42"/>
      <c r="E32" s="36">
        <v>30</v>
      </c>
      <c r="F32" s="36">
        <f t="shared" si="5"/>
        <v>30</v>
      </c>
      <c r="G32" s="36">
        <f t="shared" si="5"/>
        <v>30</v>
      </c>
      <c r="H32" s="36">
        <f t="shared" si="5"/>
        <v>30</v>
      </c>
      <c r="I32" s="36">
        <f t="shared" si="5"/>
        <v>30</v>
      </c>
      <c r="J32" s="36">
        <f t="shared" si="5"/>
        <v>30</v>
      </c>
      <c r="K32" s="36">
        <f t="shared" si="5"/>
        <v>30</v>
      </c>
      <c r="L32" s="36">
        <f t="shared" si="5"/>
        <v>30</v>
      </c>
      <c r="M32" s="36">
        <f t="shared" si="5"/>
        <v>30</v>
      </c>
      <c r="N32" s="36">
        <f t="shared" si="5"/>
        <v>30</v>
      </c>
      <c r="P32" s="32">
        <v>0</v>
      </c>
      <c r="Q32" s="26" t="s">
        <v>32</v>
      </c>
    </row>
    <row r="33" spans="1:18" ht="16.5" customHeight="1" x14ac:dyDescent="0.25">
      <c r="A33" s="42" t="s">
        <v>45</v>
      </c>
      <c r="B33" s="42"/>
      <c r="C33" s="42"/>
      <c r="D33" s="42"/>
      <c r="E33" s="36">
        <v>7</v>
      </c>
      <c r="F33" s="36">
        <f t="shared" si="5"/>
        <v>7</v>
      </c>
      <c r="G33" s="36">
        <f t="shared" si="5"/>
        <v>7</v>
      </c>
      <c r="H33" s="36">
        <f t="shared" si="5"/>
        <v>7</v>
      </c>
      <c r="I33" s="36">
        <f t="shared" si="5"/>
        <v>7</v>
      </c>
      <c r="J33" s="36">
        <f t="shared" si="5"/>
        <v>7</v>
      </c>
      <c r="K33" s="36">
        <f t="shared" si="5"/>
        <v>7</v>
      </c>
      <c r="L33" s="36">
        <f t="shared" si="5"/>
        <v>7</v>
      </c>
      <c r="M33" s="36">
        <f t="shared" si="5"/>
        <v>7</v>
      </c>
      <c r="N33" s="36">
        <f t="shared" si="5"/>
        <v>7</v>
      </c>
      <c r="P33" s="32">
        <v>0</v>
      </c>
      <c r="Q33" s="26" t="s">
        <v>32</v>
      </c>
    </row>
    <row r="34" spans="1:18" ht="16.5" customHeight="1" x14ac:dyDescent="0.25">
      <c r="A34" s="42"/>
      <c r="B34" s="42"/>
      <c r="C34" s="42"/>
      <c r="D34" s="42"/>
      <c r="E34" s="43"/>
      <c r="P34" s="32"/>
    </row>
    <row r="35" spans="1:18" ht="16.5" customHeight="1" x14ac:dyDescent="0.25">
      <c r="A35" s="42" t="s">
        <v>85</v>
      </c>
      <c r="B35" s="42"/>
      <c r="C35" s="42"/>
      <c r="D35" s="42"/>
      <c r="E35" s="37">
        <f>0.09+0.0453</f>
        <v>0.1353</v>
      </c>
      <c r="F35" s="37">
        <f t="shared" ref="F35:N35" si="6">0.09+0.0453</f>
        <v>0.1353</v>
      </c>
      <c r="G35" s="37">
        <f t="shared" si="6"/>
        <v>0.1353</v>
      </c>
      <c r="H35" s="37">
        <f t="shared" si="6"/>
        <v>0.1353</v>
      </c>
      <c r="I35" s="37">
        <f t="shared" si="6"/>
        <v>0.1353</v>
      </c>
      <c r="J35" s="37">
        <f t="shared" si="6"/>
        <v>0.1353</v>
      </c>
      <c r="K35" s="37">
        <f t="shared" si="6"/>
        <v>0.1353</v>
      </c>
      <c r="L35" s="37">
        <f t="shared" si="6"/>
        <v>0.1353</v>
      </c>
      <c r="M35" s="37">
        <f t="shared" si="6"/>
        <v>0.1353</v>
      </c>
      <c r="N35" s="37">
        <f t="shared" si="6"/>
        <v>0.1353</v>
      </c>
      <c r="P35" s="32">
        <v>0</v>
      </c>
      <c r="Q35" s="26" t="s">
        <v>32</v>
      </c>
      <c r="R35" s="38"/>
    </row>
    <row r="36" spans="1:18" ht="16.5" customHeight="1" x14ac:dyDescent="0.25">
      <c r="A36" s="42" t="s">
        <v>86</v>
      </c>
      <c r="B36" s="42"/>
      <c r="C36" s="42"/>
      <c r="D36" s="42"/>
      <c r="E36" s="26">
        <v>30</v>
      </c>
      <c r="F36" s="26">
        <f t="shared" ref="F36:N37" si="7">E36*(1+$P36)</f>
        <v>30</v>
      </c>
      <c r="G36" s="26">
        <f t="shared" si="7"/>
        <v>30</v>
      </c>
      <c r="H36" s="26">
        <f t="shared" si="7"/>
        <v>30</v>
      </c>
      <c r="I36" s="26">
        <f t="shared" si="7"/>
        <v>30</v>
      </c>
      <c r="J36" s="26">
        <f t="shared" si="7"/>
        <v>30</v>
      </c>
      <c r="K36" s="26">
        <f t="shared" si="7"/>
        <v>30</v>
      </c>
      <c r="L36" s="26">
        <f t="shared" si="7"/>
        <v>30</v>
      </c>
      <c r="M36" s="26">
        <f t="shared" si="7"/>
        <v>30</v>
      </c>
      <c r="N36" s="26">
        <f t="shared" si="7"/>
        <v>30</v>
      </c>
      <c r="P36" s="32">
        <v>0</v>
      </c>
      <c r="Q36" s="26" t="s">
        <v>32</v>
      </c>
    </row>
    <row r="37" spans="1:18" ht="16.5" customHeight="1" x14ac:dyDescent="0.25">
      <c r="A37" s="42" t="s">
        <v>87</v>
      </c>
      <c r="B37" s="42"/>
      <c r="C37" s="42"/>
      <c r="D37" s="42"/>
      <c r="E37" s="39">
        <v>0.02</v>
      </c>
      <c r="F37" s="39">
        <f t="shared" si="7"/>
        <v>0.02</v>
      </c>
      <c r="G37" s="39">
        <f t="shared" si="7"/>
        <v>0.02</v>
      </c>
      <c r="H37" s="39">
        <f t="shared" si="7"/>
        <v>0.02</v>
      </c>
      <c r="I37" s="39">
        <f t="shared" si="7"/>
        <v>0.02</v>
      </c>
      <c r="J37" s="39">
        <f t="shared" si="7"/>
        <v>0.02</v>
      </c>
      <c r="K37" s="39">
        <f t="shared" si="7"/>
        <v>0.02</v>
      </c>
      <c r="L37" s="39">
        <f t="shared" si="7"/>
        <v>0.02</v>
      </c>
      <c r="M37" s="39">
        <f t="shared" si="7"/>
        <v>0.02</v>
      </c>
      <c r="N37" s="39">
        <f t="shared" si="7"/>
        <v>0.02</v>
      </c>
      <c r="P37" s="32">
        <v>0</v>
      </c>
      <c r="Q37" s="26" t="s">
        <v>32</v>
      </c>
    </row>
    <row r="38" spans="1:18" ht="16.5" customHeight="1" x14ac:dyDescent="0.25">
      <c r="A38" s="42"/>
      <c r="B38" s="42"/>
      <c r="C38" s="42"/>
      <c r="D38" s="42"/>
      <c r="I38" s="25"/>
    </row>
    <row r="39" spans="1:18" ht="13.5" customHeight="1" x14ac:dyDescent="0.25">
      <c r="A39" s="25" t="s">
        <v>10</v>
      </c>
    </row>
    <row r="40" spans="1:18" ht="13.5" customHeight="1" x14ac:dyDescent="0.25">
      <c r="A40" s="25"/>
      <c r="C40" s="26" t="s">
        <v>156</v>
      </c>
      <c r="E40" s="52">
        <f>E7*E5</f>
        <v>72900</v>
      </c>
      <c r="F40" s="26">
        <f t="shared" ref="F40:N40" si="8">F7*F5</f>
        <v>77310.45</v>
      </c>
      <c r="G40" s="26">
        <f t="shared" si="8"/>
        <v>81987.732225</v>
      </c>
      <c r="H40" s="26">
        <f t="shared" si="8"/>
        <v>86947.990024612503</v>
      </c>
      <c r="I40" s="26">
        <f t="shared" si="8"/>
        <v>92208.34342110157</v>
      </c>
      <c r="J40" s="26">
        <f t="shared" si="8"/>
        <v>97786.948198078229</v>
      </c>
      <c r="K40" s="26">
        <f t="shared" si="8"/>
        <v>103703.05856406197</v>
      </c>
      <c r="L40" s="26">
        <f t="shared" si="8"/>
        <v>109977.09360718771</v>
      </c>
      <c r="M40" s="26">
        <f t="shared" si="8"/>
        <v>116630.70777042258</v>
      </c>
      <c r="N40" s="26">
        <f t="shared" si="8"/>
        <v>123686.86559053315</v>
      </c>
    </row>
    <row r="41" spans="1:18" ht="13.5" customHeight="1" x14ac:dyDescent="0.25">
      <c r="A41" s="25"/>
      <c r="C41" s="26" t="s">
        <v>157</v>
      </c>
      <c r="E41" s="44">
        <f>(E4*E5/E6)*0.11</f>
        <v>91929.42</v>
      </c>
      <c r="F41" s="44">
        <f t="shared" ref="F41:N41" si="9">(F4*F5/F6)*0.11</f>
        <v>99421.667730000001</v>
      </c>
      <c r="G41" s="44">
        <f t="shared" si="9"/>
        <v>107524.53364999501</v>
      </c>
      <c r="H41" s="44">
        <f t="shared" si="9"/>
        <v>116287.78314246962</v>
      </c>
      <c r="I41" s="44">
        <f t="shared" si="9"/>
        <v>125765.2374685809</v>
      </c>
      <c r="J41" s="44">
        <f t="shared" si="9"/>
        <v>136015.10432227029</v>
      </c>
      <c r="K41" s="44">
        <f t="shared" si="9"/>
        <v>147100.33532453529</v>
      </c>
      <c r="L41" s="44">
        <f t="shared" si="9"/>
        <v>159089.01265348491</v>
      </c>
      <c r="M41" s="44">
        <f t="shared" si="9"/>
        <v>172054.76718474392</v>
      </c>
      <c r="N41" s="44">
        <f t="shared" si="9"/>
        <v>186077.23071030059</v>
      </c>
    </row>
    <row r="42" spans="1:18" ht="13.5" customHeight="1" x14ac:dyDescent="0.25">
      <c r="A42" s="26" t="s">
        <v>11</v>
      </c>
      <c r="E42" s="44">
        <f>E40+E41</f>
        <v>164829.41999999998</v>
      </c>
      <c r="F42" s="44">
        <f>F40+F41</f>
        <v>176732.11773</v>
      </c>
      <c r="G42" s="44">
        <f t="shared" ref="G42:N42" si="10">G40+G41</f>
        <v>189512.26587499501</v>
      </c>
      <c r="H42" s="44">
        <f t="shared" si="10"/>
        <v>203235.77316708211</v>
      </c>
      <c r="I42" s="44">
        <f t="shared" si="10"/>
        <v>217973.58088968246</v>
      </c>
      <c r="J42" s="44">
        <f t="shared" si="10"/>
        <v>233802.05252034852</v>
      </c>
      <c r="K42" s="44">
        <f t="shared" si="10"/>
        <v>250803.39388859726</v>
      </c>
      <c r="L42" s="44">
        <f t="shared" si="10"/>
        <v>269066.10626067262</v>
      </c>
      <c r="M42" s="44">
        <f t="shared" si="10"/>
        <v>288685.47495516652</v>
      </c>
      <c r="N42" s="44">
        <f t="shared" si="10"/>
        <v>309764.09630083374</v>
      </c>
    </row>
    <row r="43" spans="1:18" ht="13.5" customHeight="1" x14ac:dyDescent="0.25">
      <c r="A43" s="26" t="s">
        <v>12</v>
      </c>
      <c r="E43" s="45">
        <f>E42*E8</f>
        <v>74173.239000000001</v>
      </c>
      <c r="F43" s="45">
        <f t="shared" ref="F43:N43" si="11">F42*F8</f>
        <v>79529.452978500005</v>
      </c>
      <c r="G43" s="45">
        <f t="shared" si="11"/>
        <v>85280.519643747757</v>
      </c>
      <c r="H43" s="45">
        <f t="shared" si="11"/>
        <v>91456.097925186958</v>
      </c>
      <c r="I43" s="45">
        <f t="shared" si="11"/>
        <v>98088.111400357113</v>
      </c>
      <c r="J43" s="45">
        <f t="shared" si="11"/>
        <v>105210.92363415683</v>
      </c>
      <c r="K43" s="45">
        <f t="shared" si="11"/>
        <v>112861.52724986877</v>
      </c>
      <c r="L43" s="45">
        <f t="shared" si="11"/>
        <v>121079.74781730268</v>
      </c>
      <c r="M43" s="45">
        <f t="shared" si="11"/>
        <v>129908.46372982493</v>
      </c>
      <c r="N43" s="45">
        <f t="shared" si="11"/>
        <v>139393.84333537519</v>
      </c>
    </row>
    <row r="44" spans="1:18" ht="13.5" customHeight="1" x14ac:dyDescent="0.25">
      <c r="A44" s="26" t="s">
        <v>13</v>
      </c>
      <c r="E44" s="44">
        <f>E42-E43</f>
        <v>90656.180999999982</v>
      </c>
      <c r="F44" s="44">
        <f t="shared" ref="F44:N44" si="12">F42-F43</f>
        <v>97202.664751499993</v>
      </c>
      <c r="G44" s="44">
        <f t="shared" si="12"/>
        <v>104231.74623124725</v>
      </c>
      <c r="H44" s="44">
        <f t="shared" si="12"/>
        <v>111779.67524189515</v>
      </c>
      <c r="I44" s="44">
        <f t="shared" si="12"/>
        <v>119885.46948932535</v>
      </c>
      <c r="J44" s="44">
        <f t="shared" si="12"/>
        <v>128591.12888619168</v>
      </c>
      <c r="K44" s="44">
        <f t="shared" si="12"/>
        <v>137941.86663872848</v>
      </c>
      <c r="L44" s="44">
        <f t="shared" si="12"/>
        <v>147986.35844336994</v>
      </c>
      <c r="M44" s="44">
        <f t="shared" si="12"/>
        <v>158777.01122534159</v>
      </c>
      <c r="N44" s="44">
        <f t="shared" si="12"/>
        <v>170370.25296545855</v>
      </c>
    </row>
    <row r="45" spans="1:18" ht="13.5" customHeight="1" x14ac:dyDescent="0.25">
      <c r="E45" s="44"/>
      <c r="F45" s="44"/>
      <c r="G45" s="44"/>
      <c r="H45" s="44"/>
      <c r="I45" s="44"/>
      <c r="J45" s="44"/>
    </row>
    <row r="46" spans="1:18" ht="13.5" customHeight="1" x14ac:dyDescent="0.25">
      <c r="A46" s="26" t="s">
        <v>14</v>
      </c>
      <c r="E46" s="44"/>
      <c r="F46" s="44"/>
      <c r="G46" s="44"/>
      <c r="H46" s="44"/>
      <c r="I46" s="44"/>
      <c r="J46" s="44"/>
    </row>
    <row r="47" spans="1:18" ht="13.5" customHeight="1" x14ac:dyDescent="0.25">
      <c r="B47" s="26" t="s">
        <v>15</v>
      </c>
      <c r="E47" s="44">
        <f>E11*E12</f>
        <v>87360</v>
      </c>
      <c r="F47" s="44">
        <f t="shared" ref="F47:N47" si="13">F11*F12</f>
        <v>89107.200000000012</v>
      </c>
      <c r="G47" s="44">
        <f t="shared" si="13"/>
        <v>90889.344000000012</v>
      </c>
      <c r="H47" s="44">
        <f t="shared" si="13"/>
        <v>92707.130880000012</v>
      </c>
      <c r="I47" s="44">
        <f t="shared" si="13"/>
        <v>94561.273497600007</v>
      </c>
      <c r="J47" s="44">
        <f t="shared" si="13"/>
        <v>96452.498967552019</v>
      </c>
      <c r="K47" s="44">
        <f t="shared" si="13"/>
        <v>98381.548946903073</v>
      </c>
      <c r="L47" s="44">
        <f t="shared" si="13"/>
        <v>100349.17992584112</v>
      </c>
      <c r="M47" s="44">
        <f t="shared" si="13"/>
        <v>102356.16352435795</v>
      </c>
      <c r="N47" s="44">
        <f t="shared" si="13"/>
        <v>104403.28679484512</v>
      </c>
    </row>
    <row r="48" spans="1:18" ht="13.5" customHeight="1" x14ac:dyDescent="0.25">
      <c r="B48" s="26" t="s">
        <v>16</v>
      </c>
      <c r="E48" s="44">
        <f t="shared" ref="E48:N48" si="14">E42*E9</f>
        <v>41207.354999999996</v>
      </c>
      <c r="F48" s="44">
        <f t="shared" si="14"/>
        <v>44183.0294325</v>
      </c>
      <c r="G48" s="44">
        <f t="shared" si="14"/>
        <v>47378.066468748752</v>
      </c>
      <c r="H48" s="44">
        <f t="shared" si="14"/>
        <v>50808.943291770527</v>
      </c>
      <c r="I48" s="44">
        <f t="shared" si="14"/>
        <v>54493.395222420615</v>
      </c>
      <c r="J48" s="44">
        <f t="shared" si="14"/>
        <v>58450.513130087129</v>
      </c>
      <c r="K48" s="44">
        <f t="shared" si="14"/>
        <v>62700.848472149315</v>
      </c>
      <c r="L48" s="44">
        <f t="shared" si="14"/>
        <v>67266.526565168155</v>
      </c>
      <c r="M48" s="44">
        <f t="shared" si="14"/>
        <v>72171.368738791629</v>
      </c>
      <c r="N48" s="44">
        <f t="shared" si="14"/>
        <v>77441.024075208436</v>
      </c>
      <c r="P48" s="32"/>
    </row>
    <row r="49" spans="1:14" ht="13.5" customHeight="1" x14ac:dyDescent="0.25">
      <c r="B49" s="26" t="s">
        <v>44</v>
      </c>
      <c r="E49" s="44">
        <f t="shared" ref="E49:N49" si="15">E73*E20</f>
        <v>6750</v>
      </c>
      <c r="F49" s="44">
        <f t="shared" si="15"/>
        <v>6952.5</v>
      </c>
      <c r="G49" s="44">
        <f t="shared" si="15"/>
        <v>7161.0749999999998</v>
      </c>
      <c r="H49" s="44">
        <f t="shared" si="15"/>
        <v>7375.9072500000002</v>
      </c>
      <c r="I49" s="44">
        <f t="shared" si="15"/>
        <v>7597.1844675000002</v>
      </c>
      <c r="J49" s="44">
        <f t="shared" si="15"/>
        <v>7825.1000015250011</v>
      </c>
      <c r="K49" s="44">
        <f t="shared" si="15"/>
        <v>8059.853001570752</v>
      </c>
      <c r="L49" s="44">
        <f t="shared" si="15"/>
        <v>8301.6485916178735</v>
      </c>
      <c r="M49" s="44">
        <f t="shared" si="15"/>
        <v>8550.6980493664105</v>
      </c>
      <c r="N49" s="44">
        <f t="shared" si="15"/>
        <v>8807.2189908474029</v>
      </c>
    </row>
    <row r="50" spans="1:14" ht="13.5" customHeight="1" x14ac:dyDescent="0.25">
      <c r="B50" s="26" t="s">
        <v>34</v>
      </c>
      <c r="E50" s="44">
        <f>$E$18*E21</f>
        <v>900</v>
      </c>
      <c r="F50" s="44">
        <f t="shared" ref="F50:N50" si="16">$E$18*F21</f>
        <v>918</v>
      </c>
      <c r="G50" s="44">
        <f t="shared" si="16"/>
        <v>936.36</v>
      </c>
      <c r="H50" s="44">
        <f t="shared" si="16"/>
        <v>955.08719999999994</v>
      </c>
      <c r="I50" s="44">
        <f t="shared" si="16"/>
        <v>974.18894399999999</v>
      </c>
      <c r="J50" s="44">
        <f t="shared" si="16"/>
        <v>993.67272287999992</v>
      </c>
      <c r="K50" s="44">
        <f t="shared" si="16"/>
        <v>1013.5461773375999</v>
      </c>
      <c r="L50" s="44">
        <f t="shared" si="16"/>
        <v>1033.8171008843519</v>
      </c>
      <c r="M50" s="44">
        <f t="shared" si="16"/>
        <v>1054.4934429020391</v>
      </c>
      <c r="N50" s="44">
        <f t="shared" si="16"/>
        <v>1075.5833117600798</v>
      </c>
    </row>
    <row r="51" spans="1:14" ht="13.5" customHeight="1" x14ac:dyDescent="0.25">
      <c r="B51" s="26" t="s">
        <v>38</v>
      </c>
      <c r="E51" s="45">
        <f>E73/E36</f>
        <v>7500</v>
      </c>
      <c r="F51" s="45">
        <f t="shared" ref="F51:N51" si="17">F73/F36</f>
        <v>7500</v>
      </c>
      <c r="G51" s="45">
        <f t="shared" si="17"/>
        <v>7500</v>
      </c>
      <c r="H51" s="45">
        <f t="shared" si="17"/>
        <v>7500</v>
      </c>
      <c r="I51" s="45">
        <f t="shared" si="17"/>
        <v>7500</v>
      </c>
      <c r="J51" s="45">
        <f t="shared" si="17"/>
        <v>7500</v>
      </c>
      <c r="K51" s="45">
        <f t="shared" si="17"/>
        <v>7500</v>
      </c>
      <c r="L51" s="45">
        <f t="shared" si="17"/>
        <v>7500</v>
      </c>
      <c r="M51" s="45">
        <f t="shared" si="17"/>
        <v>7500</v>
      </c>
      <c r="N51" s="45">
        <f t="shared" si="17"/>
        <v>7500</v>
      </c>
    </row>
    <row r="52" spans="1:14" ht="13.5" customHeight="1" x14ac:dyDescent="0.25">
      <c r="A52" s="26" t="s">
        <v>17</v>
      </c>
      <c r="E52" s="44">
        <f>SUM(E47:E51)</f>
        <v>143717.35499999998</v>
      </c>
      <c r="F52" s="44">
        <f t="shared" ref="F52:N52" si="18">SUM(F47:F51)</f>
        <v>148660.72943250003</v>
      </c>
      <c r="G52" s="44">
        <f t="shared" si="18"/>
        <v>153864.84546874877</v>
      </c>
      <c r="H52" s="44">
        <f t="shared" si="18"/>
        <v>159347.06862177054</v>
      </c>
      <c r="I52" s="44">
        <f t="shared" si="18"/>
        <v>165126.0421315206</v>
      </c>
      <c r="J52" s="44">
        <f t="shared" si="18"/>
        <v>171221.78482204414</v>
      </c>
      <c r="K52" s="44">
        <f t="shared" si="18"/>
        <v>177655.79659796073</v>
      </c>
      <c r="L52" s="44">
        <f t="shared" si="18"/>
        <v>184451.17218351152</v>
      </c>
      <c r="M52" s="44">
        <f t="shared" si="18"/>
        <v>191632.72375541803</v>
      </c>
      <c r="N52" s="44">
        <f t="shared" si="18"/>
        <v>199227.11317266102</v>
      </c>
    </row>
    <row r="53" spans="1:14" ht="13.5" customHeight="1" x14ac:dyDescent="0.25">
      <c r="E53" s="44"/>
      <c r="F53" s="44"/>
      <c r="G53" s="44"/>
      <c r="H53" s="44"/>
      <c r="I53" s="44"/>
      <c r="J53" s="44"/>
    </row>
    <row r="54" spans="1:14" ht="13.5" customHeight="1" x14ac:dyDescent="0.25">
      <c r="A54" s="26" t="s">
        <v>18</v>
      </c>
      <c r="E54" s="44">
        <f>E44-E52</f>
        <v>-53061.173999999999</v>
      </c>
      <c r="F54" s="44">
        <f t="shared" ref="F54:N54" si="19">F44-F52</f>
        <v>-51458.064681000033</v>
      </c>
      <c r="G54" s="44">
        <f t="shared" si="19"/>
        <v>-49633.099237501519</v>
      </c>
      <c r="H54" s="44">
        <f t="shared" si="19"/>
        <v>-47567.393379875386</v>
      </c>
      <c r="I54" s="44">
        <f t="shared" si="19"/>
        <v>-45240.572642195257</v>
      </c>
      <c r="J54" s="44">
        <f t="shared" si="19"/>
        <v>-42630.655935852454</v>
      </c>
      <c r="K54" s="44">
        <f t="shared" si="19"/>
        <v>-39713.92995923225</v>
      </c>
      <c r="L54" s="44">
        <f t="shared" si="19"/>
        <v>-36464.813740141573</v>
      </c>
      <c r="M54" s="44">
        <f t="shared" si="19"/>
        <v>-32855.712530076446</v>
      </c>
      <c r="N54" s="44">
        <f t="shared" si="19"/>
        <v>-28856.860207202466</v>
      </c>
    </row>
    <row r="55" spans="1:14" ht="13.5" customHeight="1" x14ac:dyDescent="0.25">
      <c r="E55" s="44"/>
      <c r="F55" s="44"/>
      <c r="G55" s="44"/>
      <c r="H55" s="44"/>
      <c r="I55" s="44"/>
      <c r="J55" s="44"/>
    </row>
    <row r="56" spans="1:14" ht="13.5" customHeight="1" x14ac:dyDescent="0.25">
      <c r="A56" s="26" t="s">
        <v>39</v>
      </c>
      <c r="E56" s="44">
        <f>'Amortization Table'!D14</f>
        <v>59995.360338481871</v>
      </c>
      <c r="F56" s="44">
        <f>'Amortization Table'!D28</f>
        <v>58910.540536080654</v>
      </c>
      <c r="G56" s="44">
        <f>'Amortization Table'!D42</f>
        <v>57781.523501139658</v>
      </c>
      <c r="H56" s="44">
        <f>'Amortization Table'!D56</f>
        <v>56606.508570212449</v>
      </c>
      <c r="I56" s="44">
        <f>'Amortization Table'!D70</f>
        <v>55383.621718045462</v>
      </c>
      <c r="J56" s="44">
        <f>'Amortization Table'!D84</f>
        <v>54110.912568704902</v>
      </c>
      <c r="K56" s="44">
        <f>'Amortization Table'!D98</f>
        <v>52786.351284932047</v>
      </c>
      <c r="L56" s="44">
        <f>'Amortization Table'!D112</f>
        <v>51407.825330766478</v>
      </c>
      <c r="M56" s="44">
        <f>'Amortization Table'!D126</f>
        <v>49973.136102273224</v>
      </c>
      <c r="N56" s="44">
        <f>'Amortization Table'!D140</f>
        <v>48479.995421000771</v>
      </c>
    </row>
    <row r="57" spans="1:14" ht="13.5" customHeight="1" x14ac:dyDescent="0.25">
      <c r="A57" s="26" t="s">
        <v>40</v>
      </c>
      <c r="E57" s="44">
        <f>E85*E27</f>
        <v>0</v>
      </c>
      <c r="F57" s="44">
        <f t="shared" ref="F57:N57" si="20">F85*F27</f>
        <v>0</v>
      </c>
      <c r="G57" s="44">
        <f t="shared" si="20"/>
        <v>0</v>
      </c>
      <c r="H57" s="44">
        <f t="shared" si="20"/>
        <v>0</v>
      </c>
      <c r="I57" s="44">
        <f t="shared" si="20"/>
        <v>0</v>
      </c>
      <c r="J57" s="44">
        <f t="shared" si="20"/>
        <v>0</v>
      </c>
      <c r="K57" s="44">
        <f t="shared" si="20"/>
        <v>0</v>
      </c>
      <c r="L57" s="44">
        <f t="shared" si="20"/>
        <v>0</v>
      </c>
      <c r="M57" s="44">
        <f t="shared" si="20"/>
        <v>0</v>
      </c>
      <c r="N57" s="44">
        <f t="shared" si="20"/>
        <v>805.24993733435747</v>
      </c>
    </row>
    <row r="58" spans="1:14" ht="13.5" customHeight="1" x14ac:dyDescent="0.25"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14" ht="13.5" customHeight="1" x14ac:dyDescent="0.25">
      <c r="A59" s="26" t="s">
        <v>19</v>
      </c>
      <c r="E59" s="44">
        <f>E54-E56-E57</f>
        <v>-113056.53433848187</v>
      </c>
      <c r="F59" s="44">
        <f t="shared" ref="F59:N59" si="21">F54-F56-F57</f>
        <v>-110368.60521708068</v>
      </c>
      <c r="G59" s="44">
        <f t="shared" si="21"/>
        <v>-107414.62273864118</v>
      </c>
      <c r="H59" s="44">
        <f t="shared" si="21"/>
        <v>-104173.90195008783</v>
      </c>
      <c r="I59" s="44">
        <f t="shared" si="21"/>
        <v>-100624.19436024071</v>
      </c>
      <c r="J59" s="44">
        <f t="shared" si="21"/>
        <v>-96741.568504557363</v>
      </c>
      <c r="K59" s="44">
        <f t="shared" si="21"/>
        <v>-92500.281244164304</v>
      </c>
      <c r="L59" s="44">
        <f t="shared" si="21"/>
        <v>-87872.639070908044</v>
      </c>
      <c r="M59" s="44">
        <f t="shared" si="21"/>
        <v>-82828.848632349662</v>
      </c>
      <c r="N59" s="44">
        <f t="shared" si="21"/>
        <v>-78142.105565537597</v>
      </c>
    </row>
    <row r="60" spans="1:14" ht="13.5" customHeight="1" x14ac:dyDescent="0.25">
      <c r="A60" s="26" t="s">
        <v>20</v>
      </c>
      <c r="E60" s="45">
        <f>E59*E35</f>
        <v>-15296.549095996597</v>
      </c>
      <c r="F60" s="45">
        <f t="shared" ref="F60:N60" si="22">F59*F35</f>
        <v>-14932.872285871017</v>
      </c>
      <c r="G60" s="45">
        <f t="shared" si="22"/>
        <v>-14533.198456538152</v>
      </c>
      <c r="H60" s="45">
        <f t="shared" si="22"/>
        <v>-14094.728933846884</v>
      </c>
      <c r="I60" s="45">
        <f t="shared" si="22"/>
        <v>-13614.453496940569</v>
      </c>
      <c r="J60" s="45">
        <f t="shared" si="22"/>
        <v>-13089.134218666612</v>
      </c>
      <c r="K60" s="45">
        <f t="shared" si="22"/>
        <v>-12515.288052335431</v>
      </c>
      <c r="L60" s="45">
        <f t="shared" si="22"/>
        <v>-11889.168066293858</v>
      </c>
      <c r="M60" s="45">
        <f t="shared" si="22"/>
        <v>-11206.74321995691</v>
      </c>
      <c r="N60" s="45">
        <f t="shared" si="22"/>
        <v>-10572.626883017238</v>
      </c>
    </row>
    <row r="61" spans="1:14" ht="13.5" customHeight="1" x14ac:dyDescent="0.25">
      <c r="A61" s="26" t="s">
        <v>88</v>
      </c>
      <c r="E61" s="44">
        <f>E59-E60</f>
        <v>-97759.985242485272</v>
      </c>
      <c r="F61" s="44">
        <f t="shared" ref="F61:N61" si="23">F59-F60</f>
        <v>-95435.73293120967</v>
      </c>
      <c r="G61" s="44">
        <f t="shared" si="23"/>
        <v>-92881.42428210302</v>
      </c>
      <c r="H61" s="44">
        <f t="shared" si="23"/>
        <v>-90079.173016240951</v>
      </c>
      <c r="I61" s="44">
        <f t="shared" si="23"/>
        <v>-87009.740863300147</v>
      </c>
      <c r="J61" s="44">
        <f t="shared" si="23"/>
        <v>-83652.434285890748</v>
      </c>
      <c r="K61" s="44">
        <f t="shared" si="23"/>
        <v>-79984.993191828878</v>
      </c>
      <c r="L61" s="44">
        <f t="shared" si="23"/>
        <v>-75983.471004614184</v>
      </c>
      <c r="M61" s="44">
        <f t="shared" si="23"/>
        <v>-71622.105412392746</v>
      </c>
      <c r="N61" s="44">
        <f t="shared" si="23"/>
        <v>-67569.478682520363</v>
      </c>
    </row>
    <row r="62" spans="1:14" ht="13.5" customHeight="1" x14ac:dyDescent="0.25">
      <c r="E62" s="44"/>
      <c r="F62" s="44"/>
      <c r="G62" s="44"/>
      <c r="H62" s="44"/>
      <c r="I62" s="44"/>
      <c r="J62" s="44"/>
    </row>
    <row r="63" spans="1:14" ht="13.5" customHeight="1" x14ac:dyDescent="0.25">
      <c r="A63" s="25" t="s">
        <v>21</v>
      </c>
      <c r="F63" s="46"/>
      <c r="H63" s="44"/>
      <c r="I63" s="44"/>
      <c r="J63" s="44"/>
    </row>
    <row r="64" spans="1:14" ht="13.5" customHeight="1" x14ac:dyDescent="0.25">
      <c r="A64" s="26" t="s">
        <v>22</v>
      </c>
      <c r="E64" s="44"/>
      <c r="F64" s="44"/>
      <c r="G64" s="44"/>
      <c r="H64" s="44"/>
      <c r="I64" s="44"/>
      <c r="J64" s="44"/>
    </row>
    <row r="65" spans="1:32" ht="13.5" customHeight="1" x14ac:dyDescent="0.25">
      <c r="A65" s="26" t="s">
        <v>23</v>
      </c>
      <c r="E65" s="44"/>
      <c r="F65" s="44"/>
      <c r="G65" s="44"/>
      <c r="H65" s="44"/>
      <c r="I65" s="44"/>
      <c r="J65" s="44"/>
    </row>
    <row r="66" spans="1:32" ht="13.5" customHeight="1" x14ac:dyDescent="0.25">
      <c r="B66" s="26" t="s">
        <v>89</v>
      </c>
      <c r="E66" s="44">
        <f>E37*E42</f>
        <v>3296.5883999999996</v>
      </c>
      <c r="F66" s="44">
        <f t="shared" ref="F66:N66" si="24">F37*F42</f>
        <v>3534.6423546000001</v>
      </c>
      <c r="G66" s="44">
        <f t="shared" si="24"/>
        <v>3790.2453174999</v>
      </c>
      <c r="H66" s="44">
        <f t="shared" si="24"/>
        <v>4064.7154633416421</v>
      </c>
      <c r="I66" s="44">
        <f t="shared" si="24"/>
        <v>4359.4716177936489</v>
      </c>
      <c r="J66" s="44">
        <f t="shared" si="24"/>
        <v>4676.0410504069705</v>
      </c>
      <c r="K66" s="44">
        <f t="shared" si="24"/>
        <v>5016.0678777719449</v>
      </c>
      <c r="L66" s="44">
        <f t="shared" si="24"/>
        <v>5381.3221252134526</v>
      </c>
      <c r="M66" s="44">
        <f t="shared" si="24"/>
        <v>5773.70949910333</v>
      </c>
      <c r="N66" s="44">
        <f t="shared" si="24"/>
        <v>6195.2819260166752</v>
      </c>
    </row>
    <row r="67" spans="1:32" ht="13.5" customHeight="1" x14ac:dyDescent="0.25">
      <c r="B67" s="26" t="s">
        <v>90</v>
      </c>
      <c r="E67" s="44">
        <v>971276.95741814433</v>
      </c>
      <c r="F67" s="44">
        <v>854206.17545784893</v>
      </c>
      <c r="G67" s="44">
        <v>738464.94436999108</v>
      </c>
      <c r="H67" s="44">
        <v>624248.11221108213</v>
      </c>
      <c r="I67" s="44">
        <v>511767.34725732013</v>
      </c>
      <c r="J67" s="44">
        <v>401252.47458077036</v>
      </c>
      <c r="K67" s="44">
        <v>292952.91747484205</v>
      </c>
      <c r="L67" s="44">
        <v>187139.25198055094</v>
      </c>
      <c r="M67" s="44">
        <v>84104.883418588521</v>
      </c>
      <c r="N67" s="44"/>
    </row>
    <row r="68" spans="1:32" ht="13.5" customHeight="1" x14ac:dyDescent="0.25">
      <c r="B68" s="26" t="s">
        <v>91</v>
      </c>
      <c r="E68" s="44">
        <f>(E42/365)*E33</f>
        <v>3161.1121643835613</v>
      </c>
      <c r="F68" s="44">
        <f t="shared" ref="F68:N68" si="25">(F42/365)*F33</f>
        <v>3389.3830797534247</v>
      </c>
      <c r="G68" s="44">
        <f t="shared" si="25"/>
        <v>3634.4818113012743</v>
      </c>
      <c r="H68" s="44">
        <f t="shared" si="25"/>
        <v>3897.6723621084238</v>
      </c>
      <c r="I68" s="44">
        <f t="shared" si="25"/>
        <v>4180.3152499391163</v>
      </c>
      <c r="J68" s="44">
        <f t="shared" si="25"/>
        <v>4483.8749798422996</v>
      </c>
      <c r="K68" s="44">
        <f t="shared" si="25"/>
        <v>4809.9281019730979</v>
      </c>
      <c r="L68" s="44">
        <f t="shared" si="25"/>
        <v>5160.1719008896116</v>
      </c>
      <c r="M68" s="44">
        <f t="shared" si="25"/>
        <v>5536.433766263468</v>
      </c>
      <c r="N68" s="44">
        <f t="shared" si="25"/>
        <v>5940.6812989200998</v>
      </c>
    </row>
    <row r="69" spans="1:32" ht="13.5" customHeight="1" x14ac:dyDescent="0.25">
      <c r="B69" s="26" t="s">
        <v>24</v>
      </c>
      <c r="E69" s="47">
        <f>E43/365*E31</f>
        <v>24385.722410958904</v>
      </c>
      <c r="F69" s="47">
        <f t="shared" ref="F69:N69" si="26">F43/365*F31</f>
        <v>26146.669472383564</v>
      </c>
      <c r="G69" s="47">
        <f t="shared" si="26"/>
        <v>28037.431115752686</v>
      </c>
      <c r="H69" s="47">
        <f t="shared" si="26"/>
        <v>30067.758221979271</v>
      </c>
      <c r="I69" s="47">
        <f t="shared" si="26"/>
        <v>32248.146213816035</v>
      </c>
      <c r="J69" s="47">
        <f t="shared" si="26"/>
        <v>34589.892701640601</v>
      </c>
      <c r="K69" s="47">
        <f t="shared" si="26"/>
        <v>37105.159643792475</v>
      </c>
      <c r="L69" s="47">
        <f t="shared" si="26"/>
        <v>39807.040378291291</v>
      </c>
      <c r="M69" s="47">
        <f t="shared" si="26"/>
        <v>42709.631911175326</v>
      </c>
      <c r="N69" s="47">
        <f t="shared" si="26"/>
        <v>45828.112877383624</v>
      </c>
      <c r="Q69" s="1" t="s">
        <v>134</v>
      </c>
      <c r="R69" s="2"/>
      <c r="S69" s="2"/>
      <c r="T69" s="2"/>
      <c r="U69" s="2"/>
      <c r="V69" s="2"/>
      <c r="W69" s="21" t="s">
        <v>135</v>
      </c>
      <c r="X69" s="22"/>
      <c r="Y69" s="22"/>
      <c r="Z69" s="22"/>
      <c r="AA69" s="22"/>
      <c r="AB69" s="22"/>
      <c r="AC69" s="22"/>
      <c r="AD69" s="22"/>
      <c r="AE69" s="22"/>
      <c r="AF69" s="2"/>
    </row>
    <row r="70" spans="1:32" ht="13.5" customHeight="1" x14ac:dyDescent="0.25">
      <c r="A70" s="26" t="s">
        <v>92</v>
      </c>
      <c r="E70" s="44">
        <f>SUM(E66:E69)</f>
        <v>1002120.3803934868</v>
      </c>
      <c r="F70" s="44">
        <f t="shared" ref="F70:N70" si="27">SUM(F66:F69)</f>
        <v>887276.87036458589</v>
      </c>
      <c r="G70" s="44">
        <f t="shared" si="27"/>
        <v>773927.10261454491</v>
      </c>
      <c r="H70" s="44">
        <f t="shared" si="27"/>
        <v>662278.25825851155</v>
      </c>
      <c r="I70" s="44">
        <f t="shared" si="27"/>
        <v>552555.28033886896</v>
      </c>
      <c r="J70" s="44">
        <f t="shared" si="27"/>
        <v>445002.28331266023</v>
      </c>
      <c r="K70" s="44">
        <f t="shared" si="27"/>
        <v>339884.07309837959</v>
      </c>
      <c r="L70" s="44">
        <f t="shared" si="27"/>
        <v>237487.78638494527</v>
      </c>
      <c r="M70" s="44">
        <f t="shared" si="27"/>
        <v>138124.65859513066</v>
      </c>
      <c r="N70" s="44">
        <f t="shared" si="27"/>
        <v>57964.076102320396</v>
      </c>
      <c r="Q70" s="2" t="s">
        <v>136</v>
      </c>
      <c r="R70" s="6">
        <f>E54/(E56+E57)</f>
        <v>-0.8844212902571037</v>
      </c>
      <c r="S70" s="2" t="s">
        <v>137</v>
      </c>
      <c r="T70" s="2"/>
      <c r="U70" s="2"/>
      <c r="V70" s="2"/>
      <c r="W70" s="23" t="str">
        <f>S125</f>
        <v>- Their product is innovative and fills a need for customers - see customer review on home page</v>
      </c>
      <c r="X70" s="22"/>
      <c r="Y70" s="22"/>
      <c r="Z70" s="22"/>
      <c r="AA70" s="22"/>
      <c r="AB70" s="22"/>
      <c r="AC70" s="22"/>
      <c r="AD70" s="22"/>
      <c r="AE70" s="22"/>
      <c r="AF70" s="2"/>
    </row>
    <row r="71" spans="1:32" ht="13.5" customHeight="1" x14ac:dyDescent="0.25">
      <c r="E71" s="44"/>
      <c r="F71" s="44"/>
      <c r="G71" s="44"/>
      <c r="H71" s="48"/>
      <c r="I71" s="48"/>
      <c r="J71" s="44"/>
      <c r="K71" s="44"/>
      <c r="L71" s="44"/>
      <c r="M71" s="44"/>
      <c r="N71" s="44"/>
      <c r="Q71" s="2" t="s">
        <v>138</v>
      </c>
      <c r="R71" s="24" t="s">
        <v>139</v>
      </c>
      <c r="S71" s="2" t="s">
        <v>140</v>
      </c>
      <c r="T71" s="2"/>
      <c r="U71" s="2"/>
      <c r="V71" s="2"/>
      <c r="W71" s="23" t="str">
        <f>S127</f>
        <v>- Product is selling online on Amazon</v>
      </c>
      <c r="X71" s="22"/>
      <c r="Y71" s="22"/>
      <c r="Z71" s="22"/>
      <c r="AA71" s="22"/>
      <c r="AB71" s="22"/>
      <c r="AC71" s="22"/>
      <c r="AD71" s="22"/>
      <c r="AE71" s="22"/>
      <c r="AF71" s="2"/>
    </row>
    <row r="72" spans="1:32" ht="13.5" customHeight="1" x14ac:dyDescent="0.25">
      <c r="B72" s="26" t="s">
        <v>25</v>
      </c>
      <c r="E72" s="44">
        <f>E14*E15</f>
        <v>200000</v>
      </c>
      <c r="F72" s="44">
        <f>E72</f>
        <v>200000</v>
      </c>
      <c r="G72" s="44">
        <f t="shared" ref="G72:N73" si="28">F72</f>
        <v>200000</v>
      </c>
      <c r="H72" s="44">
        <f t="shared" si="28"/>
        <v>200000</v>
      </c>
      <c r="I72" s="44">
        <f t="shared" si="28"/>
        <v>200000</v>
      </c>
      <c r="J72" s="44">
        <f t="shared" si="28"/>
        <v>200000</v>
      </c>
      <c r="K72" s="44">
        <f t="shared" si="28"/>
        <v>200000</v>
      </c>
      <c r="L72" s="44">
        <f t="shared" si="28"/>
        <v>200000</v>
      </c>
      <c r="M72" s="44">
        <f t="shared" si="28"/>
        <v>200000</v>
      </c>
      <c r="N72" s="44">
        <f t="shared" si="28"/>
        <v>200000</v>
      </c>
      <c r="Q72" s="2" t="s">
        <v>141</v>
      </c>
      <c r="R72" s="18">
        <v>0.01</v>
      </c>
      <c r="S72" s="2" t="s">
        <v>142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3.5" customHeight="1" x14ac:dyDescent="0.25">
      <c r="B73" s="26" t="s">
        <v>41</v>
      </c>
      <c r="E73" s="44">
        <f>E18*E17</f>
        <v>225000</v>
      </c>
      <c r="F73" s="44">
        <f>E73</f>
        <v>225000</v>
      </c>
      <c r="G73" s="44">
        <f t="shared" si="28"/>
        <v>225000</v>
      </c>
      <c r="H73" s="44">
        <f t="shared" si="28"/>
        <v>225000</v>
      </c>
      <c r="I73" s="44">
        <f t="shared" si="28"/>
        <v>225000</v>
      </c>
      <c r="J73" s="44">
        <f t="shared" si="28"/>
        <v>225000</v>
      </c>
      <c r="K73" s="44">
        <f t="shared" si="28"/>
        <v>225000</v>
      </c>
      <c r="L73" s="44">
        <f t="shared" si="28"/>
        <v>225000</v>
      </c>
      <c r="M73" s="44">
        <f t="shared" si="28"/>
        <v>225000</v>
      </c>
      <c r="N73" s="44">
        <f t="shared" si="28"/>
        <v>225000</v>
      </c>
      <c r="Q73" s="2" t="s">
        <v>124</v>
      </c>
      <c r="R73" s="18">
        <v>0.03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3.5" customHeight="1" x14ac:dyDescent="0.25">
      <c r="B74" s="26" t="s">
        <v>26</v>
      </c>
      <c r="E74" s="49">
        <f>C74+E51</f>
        <v>7500</v>
      </c>
      <c r="F74" s="49">
        <f t="shared" ref="F74:N74" si="29">E74+F51</f>
        <v>15000</v>
      </c>
      <c r="G74" s="49">
        <f t="shared" si="29"/>
        <v>22500</v>
      </c>
      <c r="H74" s="49">
        <f t="shared" si="29"/>
        <v>30000</v>
      </c>
      <c r="I74" s="49">
        <f t="shared" si="29"/>
        <v>37500</v>
      </c>
      <c r="J74" s="49">
        <f t="shared" si="29"/>
        <v>45000</v>
      </c>
      <c r="K74" s="49">
        <f t="shared" si="29"/>
        <v>52500</v>
      </c>
      <c r="L74" s="49">
        <f t="shared" si="29"/>
        <v>60000</v>
      </c>
      <c r="M74" s="49">
        <f t="shared" si="29"/>
        <v>67500</v>
      </c>
      <c r="N74" s="49">
        <f t="shared" si="29"/>
        <v>75000</v>
      </c>
      <c r="Q74" s="2" t="s">
        <v>143</v>
      </c>
      <c r="R74" s="18">
        <f>R72+R73</f>
        <v>0.04</v>
      </c>
      <c r="S74" s="2" t="s">
        <v>144</v>
      </c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3.5" customHeight="1" x14ac:dyDescent="0.25">
      <c r="E75" s="44"/>
      <c r="F75" s="44"/>
      <c r="G75" s="44"/>
      <c r="H75" s="48"/>
      <c r="I75" s="48"/>
      <c r="J75" s="44"/>
      <c r="K75" s="44"/>
      <c r="L75" s="44"/>
      <c r="M75" s="44"/>
      <c r="N75" s="44"/>
      <c r="Q75" s="2" t="s">
        <v>97</v>
      </c>
      <c r="R75" s="18">
        <f>R74+3%</f>
        <v>7.0000000000000007E-2</v>
      </c>
      <c r="S75" s="2" t="s">
        <v>145</v>
      </c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3.5" customHeight="1" x14ac:dyDescent="0.25">
      <c r="A76" s="26" t="s">
        <v>93</v>
      </c>
      <c r="E76" s="44">
        <f>E70+E72+E73-E74</f>
        <v>1419620.3803934869</v>
      </c>
      <c r="F76" s="44">
        <f t="shared" ref="F76:N76" si="30">F70+F72+F73-F74</f>
        <v>1297276.8703645859</v>
      </c>
      <c r="G76" s="44">
        <f t="shared" si="30"/>
        <v>1176427.1026145448</v>
      </c>
      <c r="H76" s="44">
        <f t="shared" si="30"/>
        <v>1057278.2582585115</v>
      </c>
      <c r="I76" s="44">
        <f t="shared" si="30"/>
        <v>940055.28033886896</v>
      </c>
      <c r="J76" s="44">
        <f t="shared" si="30"/>
        <v>825002.28331266018</v>
      </c>
      <c r="K76" s="44">
        <f t="shared" si="30"/>
        <v>712384.07309837965</v>
      </c>
      <c r="L76" s="44">
        <f t="shared" si="30"/>
        <v>602487.78638494527</v>
      </c>
      <c r="M76" s="44">
        <f t="shared" si="30"/>
        <v>495624.65859513066</v>
      </c>
      <c r="N76" s="44">
        <f t="shared" si="30"/>
        <v>407964.0761023204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3.5" customHeight="1" x14ac:dyDescent="0.25">
      <c r="H77" s="44"/>
      <c r="I77" s="44"/>
      <c r="J77" s="44"/>
      <c r="Q77" s="1" t="s">
        <v>146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3.5" customHeight="1" x14ac:dyDescent="0.25">
      <c r="A78" s="26" t="s">
        <v>27</v>
      </c>
      <c r="E78" s="44"/>
      <c r="F78" s="44"/>
      <c r="G78" s="44"/>
      <c r="H78" s="44"/>
      <c r="I78" s="44"/>
      <c r="J78" s="44"/>
      <c r="Q78" s="2" t="s">
        <v>126</v>
      </c>
      <c r="R78" s="18">
        <f>AVERAGE(E35:N35)</f>
        <v>0.1353</v>
      </c>
      <c r="S78" s="2" t="s">
        <v>128</v>
      </c>
      <c r="T78" s="2"/>
      <c r="U78" s="2"/>
      <c r="V78" s="2"/>
      <c r="W78" s="21" t="s">
        <v>147</v>
      </c>
      <c r="X78" s="22"/>
      <c r="Y78" s="22"/>
      <c r="Z78" s="22"/>
      <c r="AA78" s="22"/>
      <c r="AB78" s="22"/>
      <c r="AC78" s="22"/>
      <c r="AD78" s="22"/>
      <c r="AE78" s="22"/>
      <c r="AF78" s="2"/>
    </row>
    <row r="79" spans="1:32" ht="13.5" customHeight="1" x14ac:dyDescent="0.25">
      <c r="A79" s="26" t="s">
        <v>28</v>
      </c>
      <c r="E79" s="44"/>
      <c r="F79" s="44"/>
      <c r="G79" s="44"/>
      <c r="H79" s="44"/>
      <c r="I79" s="44"/>
      <c r="J79" s="44"/>
      <c r="Q79" s="2" t="s">
        <v>121</v>
      </c>
      <c r="R79" s="2">
        <v>0.72</v>
      </c>
      <c r="S79" s="2" t="s">
        <v>148</v>
      </c>
      <c r="T79" s="2"/>
      <c r="U79" s="2"/>
      <c r="V79" s="2"/>
      <c r="W79" s="23" t="str">
        <f>S124</f>
        <v>- It sounds like they are a family-owned business, established in a garage, so they probably have a pretty good feel for the Colorado area around their store</v>
      </c>
      <c r="X79" s="22"/>
      <c r="Y79" s="22"/>
      <c r="Z79" s="22"/>
      <c r="AA79" s="22"/>
      <c r="AB79" s="22"/>
      <c r="AC79" s="22"/>
      <c r="AD79" s="22"/>
      <c r="AE79" s="22"/>
      <c r="AF79" s="2"/>
    </row>
    <row r="80" spans="1:32" ht="13.5" customHeight="1" x14ac:dyDescent="0.25">
      <c r="B80" s="26" t="s">
        <v>94</v>
      </c>
      <c r="E80" s="44">
        <f>E43/365*E32</f>
        <v>6096.4306027397261</v>
      </c>
      <c r="F80" s="44">
        <f t="shared" ref="F80:N80" si="31">F43/365*F32</f>
        <v>6536.6673680958911</v>
      </c>
      <c r="G80" s="44">
        <f t="shared" si="31"/>
        <v>7009.3577789381716</v>
      </c>
      <c r="H80" s="44">
        <f t="shared" si="31"/>
        <v>7516.9395554948178</v>
      </c>
      <c r="I80" s="44">
        <f t="shared" si="31"/>
        <v>8062.0365534540088</v>
      </c>
      <c r="J80" s="44">
        <f t="shared" si="31"/>
        <v>8647.4731754101504</v>
      </c>
      <c r="K80" s="44">
        <f t="shared" si="31"/>
        <v>9276.2899109481186</v>
      </c>
      <c r="L80" s="44">
        <f t="shared" si="31"/>
        <v>9951.7600945728227</v>
      </c>
      <c r="M80" s="44">
        <f t="shared" si="31"/>
        <v>10677.407977793831</v>
      </c>
      <c r="N80" s="44">
        <f t="shared" si="31"/>
        <v>11457.028219345906</v>
      </c>
      <c r="Q80" s="2" t="s">
        <v>122</v>
      </c>
      <c r="R80" s="6">
        <f>R79*(1+(1-R78)*((R86+R87)/R91))</f>
        <v>21.082889240586013</v>
      </c>
      <c r="S80" s="2" t="s">
        <v>127</v>
      </c>
      <c r="T80" s="2"/>
      <c r="U80" s="2"/>
      <c r="V80" s="2"/>
      <c r="W80" s="23" t="str">
        <f>S126</f>
        <v>- Owners have trade secrets, given their paint formula that works on rubber and paint</v>
      </c>
      <c r="X80" s="22"/>
      <c r="Y80" s="22"/>
      <c r="Z80" s="22"/>
      <c r="AA80" s="22"/>
      <c r="AB80" s="22"/>
      <c r="AC80" s="22"/>
      <c r="AD80" s="22"/>
      <c r="AE80" s="22"/>
      <c r="AF80" s="2"/>
    </row>
    <row r="81" spans="1:33" ht="13.5" customHeight="1" x14ac:dyDescent="0.25">
      <c r="B81" s="26" t="s">
        <v>72</v>
      </c>
      <c r="E81" s="49">
        <f>E60</f>
        <v>-15296.549095996597</v>
      </c>
      <c r="F81" s="49">
        <f t="shared" ref="F81:N81" si="32">F60</f>
        <v>-14932.872285871017</v>
      </c>
      <c r="G81" s="49">
        <f t="shared" si="32"/>
        <v>-14533.198456538152</v>
      </c>
      <c r="H81" s="49">
        <f t="shared" si="32"/>
        <v>-14094.728933846884</v>
      </c>
      <c r="I81" s="49">
        <f t="shared" si="32"/>
        <v>-13614.453496940569</v>
      </c>
      <c r="J81" s="49">
        <f t="shared" si="32"/>
        <v>-13089.134218666612</v>
      </c>
      <c r="K81" s="49">
        <f t="shared" si="32"/>
        <v>-12515.288052335431</v>
      </c>
      <c r="L81" s="49">
        <f t="shared" si="32"/>
        <v>-11889.168066293858</v>
      </c>
      <c r="M81" s="49">
        <f t="shared" si="32"/>
        <v>-11206.74321995691</v>
      </c>
      <c r="N81" s="49">
        <f t="shared" si="32"/>
        <v>-10572.626883017238</v>
      </c>
      <c r="Q81" s="2" t="s">
        <v>123</v>
      </c>
      <c r="R81" s="18">
        <v>8.5000000000000006E-2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3" ht="13.5" customHeight="1" x14ac:dyDescent="0.25">
      <c r="A82" s="26" t="s">
        <v>95</v>
      </c>
      <c r="E82" s="44">
        <f>SUM(E80:E81)</f>
        <v>-9200.1184932568722</v>
      </c>
      <c r="F82" s="44">
        <f t="shared" ref="F82:N82" si="33">SUM(F80:F81)</f>
        <v>-8396.2049177751251</v>
      </c>
      <c r="G82" s="44">
        <f t="shared" si="33"/>
        <v>-7523.8406775999802</v>
      </c>
      <c r="H82" s="44">
        <f t="shared" si="33"/>
        <v>-6577.7893783520658</v>
      </c>
      <c r="I82" s="44">
        <f t="shared" si="33"/>
        <v>-5552.4169434865598</v>
      </c>
      <c r="J82" s="44">
        <f t="shared" si="33"/>
        <v>-4441.6610432564612</v>
      </c>
      <c r="K82" s="44">
        <f t="shared" si="33"/>
        <v>-3238.998141387312</v>
      </c>
      <c r="L82" s="44">
        <f t="shared" si="33"/>
        <v>-1937.4079717210352</v>
      </c>
      <c r="M82" s="44">
        <f t="shared" si="33"/>
        <v>-529.33524216307887</v>
      </c>
      <c r="N82" s="44">
        <f t="shared" si="33"/>
        <v>884.40133632866855</v>
      </c>
      <c r="Q82" s="2" t="s">
        <v>124</v>
      </c>
      <c r="R82" s="18">
        <v>0.03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3" ht="13.5" customHeight="1" x14ac:dyDescent="0.25">
      <c r="E83" s="44"/>
      <c r="F83" s="44"/>
      <c r="G83" s="44"/>
      <c r="H83" s="44"/>
      <c r="I83" s="44"/>
      <c r="J83" s="44"/>
      <c r="Q83" s="2" t="s">
        <v>125</v>
      </c>
      <c r="R83" s="5">
        <f>R82+R80*(R81-R82)</f>
        <v>1.1895589082322309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3" ht="13.5" customHeight="1" x14ac:dyDescent="0.25">
      <c r="A84" s="26" t="s">
        <v>96</v>
      </c>
      <c r="E84" s="44">
        <f>'Amortization Table'!F13</f>
        <v>1485373.1291292289</v>
      </c>
      <c r="F84" s="44">
        <f>'Amortization Table'!F27</f>
        <v>1457661.4384560562</v>
      </c>
      <c r="G84" s="44">
        <f>'Amortization Table'!F41</f>
        <v>1428820.7307479426</v>
      </c>
      <c r="H84" s="44">
        <f>'Amortization Table'!F55</f>
        <v>1398805.0081089023</v>
      </c>
      <c r="I84" s="44">
        <f>'Amortization Table'!F69</f>
        <v>1367566.3986176946</v>
      </c>
      <c r="J84" s="44">
        <f>'Amortization Table'!F83</f>
        <v>1335055.0799771468</v>
      </c>
      <c r="K84" s="44">
        <f>'Amortization Table'!F97</f>
        <v>1301219.2000528255</v>
      </c>
      <c r="L84" s="44">
        <f>'Amortization Table'!F111</f>
        <v>1266004.7941743392</v>
      </c>
      <c r="M84" s="44">
        <f>'Amortization Table'!F125</f>
        <v>1229355.6990673593</v>
      </c>
      <c r="N84" s="44">
        <f>'Amortization Table'!F139</f>
        <v>1191213.4632791074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3" ht="13.5" customHeight="1" x14ac:dyDescent="0.25">
      <c r="A85" s="26" t="s">
        <v>97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16637.395399470195</v>
      </c>
      <c r="Q85" s="2" t="s">
        <v>117</v>
      </c>
      <c r="R85" s="2" t="s">
        <v>118</v>
      </c>
      <c r="S85" s="2" t="s">
        <v>51</v>
      </c>
      <c r="T85" s="2" t="s">
        <v>119</v>
      </c>
      <c r="U85" s="2" t="s">
        <v>120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3" ht="13.5" customHeight="1" x14ac:dyDescent="0.25">
      <c r="E86" s="44"/>
      <c r="F86" s="44"/>
      <c r="G86" s="44"/>
      <c r="H86" s="48"/>
      <c r="I86" s="48"/>
      <c r="J86" s="44"/>
      <c r="Q86" s="4">
        <f>AVERAGE(E84:N84)</f>
        <v>1346107.4941610605</v>
      </c>
      <c r="R86" s="5">
        <f>Q86/Q94</f>
        <v>0.96913480532479568</v>
      </c>
      <c r="S86" s="3">
        <f>R74</f>
        <v>0.04</v>
      </c>
      <c r="T86" s="5">
        <f>S86*(1-$R$78)</f>
        <v>3.4588000000000001E-2</v>
      </c>
      <c r="U86" s="5">
        <f>R86*T86</f>
        <v>3.3520434646574032E-2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3" ht="13.5" customHeight="1" x14ac:dyDescent="0.25">
      <c r="A87" s="26" t="s">
        <v>98</v>
      </c>
      <c r="E87" s="44">
        <f>SUM(E82,E84,E85)</f>
        <v>1476173.010635972</v>
      </c>
      <c r="F87" s="44">
        <f t="shared" ref="F87:N87" si="34">SUM(F82,F84,F85)</f>
        <v>1449265.2335382809</v>
      </c>
      <c r="G87" s="44">
        <f t="shared" si="34"/>
        <v>1421296.8900703427</v>
      </c>
      <c r="H87" s="44">
        <f t="shared" si="34"/>
        <v>1392227.2187305503</v>
      </c>
      <c r="I87" s="44">
        <f t="shared" si="34"/>
        <v>1362013.9816742081</v>
      </c>
      <c r="J87" s="44">
        <f t="shared" si="34"/>
        <v>1330613.4189338903</v>
      </c>
      <c r="K87" s="44">
        <f t="shared" si="34"/>
        <v>1297980.2019114383</v>
      </c>
      <c r="L87" s="44">
        <f t="shared" si="34"/>
        <v>1264067.386202618</v>
      </c>
      <c r="M87" s="44">
        <f t="shared" si="34"/>
        <v>1228826.3638251962</v>
      </c>
      <c r="N87" s="44">
        <f t="shared" si="34"/>
        <v>1208735.2600149061</v>
      </c>
      <c r="Q87" s="4">
        <f>AVERAGE(E85:N85)</f>
        <v>1663.7395399470195</v>
      </c>
      <c r="R87" s="5">
        <f>Q87/Q94</f>
        <v>1.197815109232873E-3</v>
      </c>
      <c r="S87" s="3">
        <f>R75</f>
        <v>7.0000000000000007E-2</v>
      </c>
      <c r="T87" s="5">
        <f>S87*(1-$R$78)</f>
        <v>6.0529000000000006E-2</v>
      </c>
      <c r="U87" s="5">
        <f>R87*T87</f>
        <v>7.2502550746756582E-5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3" ht="13.5" customHeight="1" x14ac:dyDescent="0.25">
      <c r="E88" s="44"/>
      <c r="F88" s="44"/>
      <c r="G88" s="44"/>
      <c r="H88" s="44"/>
      <c r="I88" s="44"/>
      <c r="J88" s="44"/>
      <c r="Q88" s="2"/>
      <c r="R88" s="5"/>
      <c r="S88" s="2"/>
      <c r="T88" s="5"/>
      <c r="U88" s="5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3" ht="13.5" customHeight="1" x14ac:dyDescent="0.25">
      <c r="A89" s="26" t="s">
        <v>29</v>
      </c>
      <c r="E89" s="50">
        <f>E42*25%</f>
        <v>41207.354999999996</v>
      </c>
      <c r="F89" s="44">
        <f>E89</f>
        <v>41207.354999999996</v>
      </c>
      <c r="G89" s="44">
        <f t="shared" ref="G89:N89" si="35">F89</f>
        <v>41207.354999999996</v>
      </c>
      <c r="H89" s="44">
        <f t="shared" si="35"/>
        <v>41207.354999999996</v>
      </c>
      <c r="I89" s="44">
        <f t="shared" si="35"/>
        <v>41207.354999999996</v>
      </c>
      <c r="J89" s="44">
        <f t="shared" si="35"/>
        <v>41207.354999999996</v>
      </c>
      <c r="K89" s="44">
        <f t="shared" si="35"/>
        <v>41207.354999999996</v>
      </c>
      <c r="L89" s="44">
        <f t="shared" si="35"/>
        <v>41207.354999999996</v>
      </c>
      <c r="M89" s="44">
        <f t="shared" si="35"/>
        <v>41207.354999999996</v>
      </c>
      <c r="N89" s="44">
        <f t="shared" si="35"/>
        <v>41207.354999999996</v>
      </c>
      <c r="Q89" s="2"/>
      <c r="R89" s="5"/>
      <c r="S89" s="2"/>
      <c r="T89" s="5"/>
      <c r="U89" s="5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3" ht="13.5" customHeight="1" x14ac:dyDescent="0.25">
      <c r="A90" s="26" t="s">
        <v>99</v>
      </c>
      <c r="E90" s="45">
        <f>C90+E61</f>
        <v>-97759.985242485272</v>
      </c>
      <c r="F90" s="45">
        <f t="shared" ref="F90:N90" si="36">E90+F61</f>
        <v>-193195.71817369494</v>
      </c>
      <c r="G90" s="45">
        <f t="shared" si="36"/>
        <v>-286077.14245579799</v>
      </c>
      <c r="H90" s="45">
        <f t="shared" si="36"/>
        <v>-376156.31547203893</v>
      </c>
      <c r="I90" s="45">
        <f t="shared" si="36"/>
        <v>-463166.05633533909</v>
      </c>
      <c r="J90" s="45">
        <f t="shared" si="36"/>
        <v>-546818.49062122987</v>
      </c>
      <c r="K90" s="45">
        <f t="shared" si="36"/>
        <v>-626803.4838130587</v>
      </c>
      <c r="L90" s="45">
        <f t="shared" si="36"/>
        <v>-702786.95481767284</v>
      </c>
      <c r="M90" s="45">
        <f t="shared" si="36"/>
        <v>-774409.0602300656</v>
      </c>
      <c r="N90" s="45">
        <f t="shared" si="36"/>
        <v>-841978.53891258594</v>
      </c>
      <c r="Q90" s="2"/>
      <c r="R90" s="5"/>
      <c r="S90" s="2"/>
      <c r="T90" s="5"/>
      <c r="U90" s="5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3" ht="13.5" customHeight="1" x14ac:dyDescent="0.25">
      <c r="E91" s="44"/>
      <c r="F91" s="44"/>
      <c r="G91" s="44"/>
      <c r="H91" s="44"/>
      <c r="I91" s="44"/>
      <c r="J91" s="44"/>
      <c r="Q91" s="4">
        <f>AVERAGE(E89:N89)</f>
        <v>41207.354999999989</v>
      </c>
      <c r="R91" s="5">
        <f>SUM(Q91:Q92)/Q94</f>
        <v>2.9667379565971343E-2</v>
      </c>
      <c r="S91" s="18">
        <f>R83</f>
        <v>1.1895589082322309</v>
      </c>
      <c r="T91" s="5">
        <f>S91</f>
        <v>1.1895589082322309</v>
      </c>
      <c r="U91" s="78">
        <f>R91*T91</f>
        <v>3.5291095646608067E-2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3" ht="13.5" customHeight="1" x14ac:dyDescent="0.25">
      <c r="A92" s="26" t="s">
        <v>30</v>
      </c>
      <c r="E92" s="44">
        <f>E87+E90+E89</f>
        <v>1419620.3803934867</v>
      </c>
      <c r="F92" s="44">
        <f t="shared" ref="F92:N92" si="37">F87+F90+F89</f>
        <v>1297276.8703645859</v>
      </c>
      <c r="G92" s="44">
        <f t="shared" si="37"/>
        <v>1176427.1026145448</v>
      </c>
      <c r="H92" s="44">
        <f t="shared" si="37"/>
        <v>1057278.2582585113</v>
      </c>
      <c r="I92" s="44">
        <f t="shared" si="37"/>
        <v>940055.28033886896</v>
      </c>
      <c r="J92" s="44">
        <f t="shared" si="37"/>
        <v>825002.28331266041</v>
      </c>
      <c r="K92" s="44">
        <f t="shared" si="37"/>
        <v>712384.07309837954</v>
      </c>
      <c r="L92" s="44">
        <f t="shared" si="37"/>
        <v>602487.78638494515</v>
      </c>
      <c r="M92" s="44">
        <f t="shared" si="37"/>
        <v>495624.65859513055</v>
      </c>
      <c r="N92" s="44">
        <f t="shared" si="37"/>
        <v>407964.0761023201</v>
      </c>
      <c r="Q92" s="4"/>
      <c r="R92" s="5"/>
      <c r="S92" s="2"/>
      <c r="T92" s="2"/>
      <c r="U92" s="5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3" ht="13.5" customHeight="1" x14ac:dyDescent="0.25">
      <c r="H93" s="44"/>
      <c r="I93" s="44"/>
      <c r="J93" s="44"/>
      <c r="Q93" s="2"/>
      <c r="R93" s="5"/>
      <c r="S93" s="2"/>
      <c r="T93" s="2"/>
      <c r="U93" s="5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3" ht="13.5" customHeight="1" x14ac:dyDescent="0.25">
      <c r="A94" s="26" t="s">
        <v>100</v>
      </c>
      <c r="E94" s="44">
        <f>E76-E92</f>
        <v>0</v>
      </c>
      <c r="F94" s="44">
        <f t="shared" ref="F94:N94" si="38">F76-F92</f>
        <v>0</v>
      </c>
      <c r="G94" s="44">
        <f t="shared" si="38"/>
        <v>0</v>
      </c>
      <c r="H94" s="44">
        <f t="shared" si="38"/>
        <v>0</v>
      </c>
      <c r="I94" s="44">
        <f t="shared" si="38"/>
        <v>0</v>
      </c>
      <c r="J94" s="44">
        <f t="shared" si="38"/>
        <v>0</v>
      </c>
      <c r="K94" s="44">
        <f t="shared" si="38"/>
        <v>0</v>
      </c>
      <c r="L94" s="44">
        <f t="shared" si="38"/>
        <v>0</v>
      </c>
      <c r="M94" s="44">
        <f t="shared" si="38"/>
        <v>0</v>
      </c>
      <c r="N94" s="44">
        <f t="shared" si="38"/>
        <v>0</v>
      </c>
      <c r="Q94" s="4">
        <f>SUM(Q86:Q92)</f>
        <v>1388978.5887010077</v>
      </c>
      <c r="R94" s="5">
        <f>SUM(R86:R92)</f>
        <v>0.99999999999999989</v>
      </c>
      <c r="S94" s="2"/>
      <c r="T94" s="2"/>
      <c r="U94" s="19">
        <f>SUM(U86:U91)</f>
        <v>6.8884032843928855E-2</v>
      </c>
      <c r="V94" s="1" t="s">
        <v>114</v>
      </c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3" x14ac:dyDescent="0.25">
      <c r="Q95" s="2"/>
      <c r="R95" s="2"/>
      <c r="S95" s="2"/>
      <c r="T95" s="2"/>
      <c r="U95" s="5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3" x14ac:dyDescent="0.25">
      <c r="A96" s="1" t="s">
        <v>101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AG96" s="2"/>
    </row>
    <row r="97" spans="1:3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AG97" s="2"/>
    </row>
    <row r="98" spans="1:33" x14ac:dyDescent="0.25">
      <c r="A98" s="1" t="s">
        <v>102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x14ac:dyDescent="0.25">
      <c r="A99" s="2"/>
      <c r="B99" s="2" t="s">
        <v>103</v>
      </c>
      <c r="C99" s="2"/>
      <c r="D99" s="2"/>
      <c r="E99" s="15">
        <f t="shared" ref="E99:M99" si="39">E42-E46-E47-E48-E49-E50</f>
        <v>28612.064999999988</v>
      </c>
      <c r="F99" s="15">
        <f t="shared" si="39"/>
        <v>35571.388297499987</v>
      </c>
      <c r="G99" s="15">
        <f t="shared" si="39"/>
        <v>43147.420406246245</v>
      </c>
      <c r="H99" s="15">
        <f t="shared" si="39"/>
        <v>51388.704545311564</v>
      </c>
      <c r="I99" s="15">
        <f t="shared" si="39"/>
        <v>60347.538758161834</v>
      </c>
      <c r="J99" s="15">
        <f t="shared" si="39"/>
        <v>70080.267698304349</v>
      </c>
      <c r="K99" s="15">
        <f t="shared" si="39"/>
        <v>80647.597290636506</v>
      </c>
      <c r="L99" s="15">
        <f t="shared" si="39"/>
        <v>92114.934077161131</v>
      </c>
      <c r="M99" s="15">
        <f t="shared" si="39"/>
        <v>104552.75119974848</v>
      </c>
      <c r="N99" s="15">
        <f>N42-N46-N47-N48-N49-N50</f>
        <v>118036.98312817268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x14ac:dyDescent="0.25">
      <c r="A100" s="2"/>
      <c r="B100" s="2" t="s">
        <v>104</v>
      </c>
      <c r="C100" s="2"/>
      <c r="D100" s="2"/>
      <c r="E100" s="15">
        <f t="shared" ref="E100:M100" si="40">E51</f>
        <v>7500</v>
      </c>
      <c r="F100" s="15">
        <f t="shared" si="40"/>
        <v>7500</v>
      </c>
      <c r="G100" s="15">
        <f t="shared" si="40"/>
        <v>7500</v>
      </c>
      <c r="H100" s="15">
        <f t="shared" si="40"/>
        <v>7500</v>
      </c>
      <c r="I100" s="15">
        <f t="shared" si="40"/>
        <v>7500</v>
      </c>
      <c r="J100" s="15">
        <f t="shared" si="40"/>
        <v>7500</v>
      </c>
      <c r="K100" s="15">
        <f t="shared" si="40"/>
        <v>7500</v>
      </c>
      <c r="L100" s="15">
        <f t="shared" si="40"/>
        <v>7500</v>
      </c>
      <c r="M100" s="15">
        <f t="shared" si="40"/>
        <v>7500</v>
      </c>
      <c r="N100" s="15">
        <f>N51</f>
        <v>7500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x14ac:dyDescent="0.25">
      <c r="A101" s="2"/>
      <c r="B101" s="2" t="s">
        <v>105</v>
      </c>
      <c r="C101" s="2"/>
      <c r="D101" s="2"/>
      <c r="E101" s="15">
        <f>E99-E100</f>
        <v>21112.064999999988</v>
      </c>
      <c r="F101" s="15">
        <f t="shared" ref="F101:M101" si="41">F99-F100</f>
        <v>28071.388297499987</v>
      </c>
      <c r="G101" s="15">
        <f t="shared" si="41"/>
        <v>35647.420406246245</v>
      </c>
      <c r="H101" s="15">
        <f t="shared" si="41"/>
        <v>43888.704545311564</v>
      </c>
      <c r="I101" s="15">
        <f t="shared" si="41"/>
        <v>52847.538758161834</v>
      </c>
      <c r="J101" s="15">
        <f t="shared" si="41"/>
        <v>62580.267698304349</v>
      </c>
      <c r="K101" s="15">
        <f t="shared" si="41"/>
        <v>73147.597290636506</v>
      </c>
      <c r="L101" s="15">
        <f t="shared" si="41"/>
        <v>84614.934077161131</v>
      </c>
      <c r="M101" s="15">
        <f t="shared" si="41"/>
        <v>97052.751199748483</v>
      </c>
      <c r="N101" s="15">
        <f>N99-N100</f>
        <v>110536.98312817268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x14ac:dyDescent="0.25">
      <c r="A102" s="2"/>
      <c r="B102" s="2" t="s">
        <v>106</v>
      </c>
      <c r="C102" s="2"/>
      <c r="D102" s="2"/>
      <c r="E102" s="15">
        <f>E101*E35</f>
        <v>2856.4623944999985</v>
      </c>
      <c r="F102" s="15">
        <f t="shared" ref="F102:M102" si="42">F101*F35</f>
        <v>3798.0588366517482</v>
      </c>
      <c r="G102" s="15">
        <f t="shared" si="42"/>
        <v>4823.0959809651167</v>
      </c>
      <c r="H102" s="15">
        <f t="shared" si="42"/>
        <v>5938.1417249806545</v>
      </c>
      <c r="I102" s="15">
        <f t="shared" si="42"/>
        <v>7150.271993979296</v>
      </c>
      <c r="J102" s="15">
        <f t="shared" si="42"/>
        <v>8467.1102195805779</v>
      </c>
      <c r="K102" s="15">
        <f t="shared" si="42"/>
        <v>9896.8699134231192</v>
      </c>
      <c r="L102" s="15">
        <f t="shared" si="42"/>
        <v>11448.400580639902</v>
      </c>
      <c r="M102" s="15">
        <f t="shared" si="42"/>
        <v>13131.23723732597</v>
      </c>
      <c r="N102" s="15">
        <f>N101*N35</f>
        <v>14955.653817241764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x14ac:dyDescent="0.25">
      <c r="A103" s="2"/>
      <c r="B103" s="2" t="s">
        <v>112</v>
      </c>
      <c r="C103" s="2"/>
      <c r="D103" s="2"/>
      <c r="E103" s="15">
        <f>E99-E102</f>
        <v>25755.602605499989</v>
      </c>
      <c r="F103" s="15">
        <f t="shared" ref="F103:M103" si="43">F99-F102</f>
        <v>31773.329460848239</v>
      </c>
      <c r="G103" s="15">
        <f t="shared" si="43"/>
        <v>38324.324425281127</v>
      </c>
      <c r="H103" s="15">
        <f t="shared" si="43"/>
        <v>45450.56282033091</v>
      </c>
      <c r="I103" s="15">
        <f t="shared" si="43"/>
        <v>53197.266764182539</v>
      </c>
      <c r="J103" s="15">
        <f t="shared" si="43"/>
        <v>61613.15747872377</v>
      </c>
      <c r="K103" s="15">
        <f t="shared" si="43"/>
        <v>70750.727377213392</v>
      </c>
      <c r="L103" s="15">
        <f t="shared" si="43"/>
        <v>80666.533496521224</v>
      </c>
      <c r="M103" s="15">
        <f t="shared" si="43"/>
        <v>91421.513962422512</v>
      </c>
      <c r="N103" s="15">
        <f>N99-N102</f>
        <v>103081.32931093092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x14ac:dyDescent="0.25">
      <c r="A105" s="1" t="s">
        <v>107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x14ac:dyDescent="0.25">
      <c r="A106" s="2" t="s">
        <v>108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x14ac:dyDescent="0.25">
      <c r="A107" s="2"/>
      <c r="B107" s="2" t="s">
        <v>89</v>
      </c>
      <c r="C107" s="2"/>
      <c r="D107" s="4">
        <f>-(E66-D66)</f>
        <v>-3296.5883999999996</v>
      </c>
      <c r="E107" s="4">
        <f t="shared" ref="E107:N107" si="44">-(F66-E66)</f>
        <v>-238.05395460000045</v>
      </c>
      <c r="F107" s="4">
        <f t="shared" si="44"/>
        <v>-255.60296289989992</v>
      </c>
      <c r="G107" s="4">
        <f t="shared" si="44"/>
        <v>-274.47014584174212</v>
      </c>
      <c r="H107" s="4">
        <f t="shared" si="44"/>
        <v>-294.75615445200674</v>
      </c>
      <c r="I107" s="4">
        <f t="shared" si="44"/>
        <v>-316.56943261332162</v>
      </c>
      <c r="J107" s="4">
        <f t="shared" si="44"/>
        <v>-340.02682736497445</v>
      </c>
      <c r="K107" s="4">
        <f t="shared" si="44"/>
        <v>-365.25424744150769</v>
      </c>
      <c r="L107" s="4">
        <f t="shared" si="44"/>
        <v>-392.38737388987738</v>
      </c>
      <c r="M107" s="4">
        <f t="shared" si="44"/>
        <v>-421.57242691334523</v>
      </c>
      <c r="N107" s="4">
        <f t="shared" si="44"/>
        <v>6195.2819260166752</v>
      </c>
      <c r="O107" s="2"/>
      <c r="P107" s="4">
        <f>SUM(D107:N107)</f>
        <v>0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x14ac:dyDescent="0.25">
      <c r="A108" s="2"/>
      <c r="B108" s="2" t="s">
        <v>90</v>
      </c>
      <c r="C108" s="2"/>
      <c r="D108" s="4">
        <f>-(E67-D67)</f>
        <v>-971276.95741814433</v>
      </c>
      <c r="E108" s="4">
        <f>-(F67-E67)</f>
        <v>117070.7819602954</v>
      </c>
      <c r="F108" s="4">
        <f>-(G67-F67)</f>
        <v>115741.23108785786</v>
      </c>
      <c r="G108" s="4">
        <f t="shared" ref="G108:G110" si="45">-(H67-G67)</f>
        <v>114216.83215890895</v>
      </c>
      <c r="H108" s="4">
        <f t="shared" ref="H108:H110" si="46">-(I67-H67)</f>
        <v>112480.764953762</v>
      </c>
      <c r="I108" s="4">
        <f t="shared" ref="I108:I110" si="47">-(J67-I67)</f>
        <v>110514.87267654977</v>
      </c>
      <c r="J108" s="4">
        <f t="shared" ref="J108:J110" si="48">-(K67-J67)</f>
        <v>108299.55710592831</v>
      </c>
      <c r="K108" s="4">
        <f t="shared" ref="K108:K110" si="49">-(L67-K67)</f>
        <v>105813.66549429111</v>
      </c>
      <c r="L108" s="4">
        <f t="shared" ref="L108:L110" si="50">-(M67-L67)</f>
        <v>103034.36856196242</v>
      </c>
      <c r="M108" s="4">
        <f>-(N67-M67)</f>
        <v>84104.883418588521</v>
      </c>
      <c r="N108" s="4">
        <f>-(O67-N67)</f>
        <v>0</v>
      </c>
      <c r="O108" s="2"/>
      <c r="P108" s="4">
        <f t="shared" ref="P108:P112" si="51">SUM(D108:N108)</f>
        <v>0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x14ac:dyDescent="0.25">
      <c r="A109" s="2"/>
      <c r="B109" s="2" t="s">
        <v>91</v>
      </c>
      <c r="C109" s="2"/>
      <c r="D109" s="4">
        <f>-(E68-D68)</f>
        <v>-3161.1121643835613</v>
      </c>
      <c r="E109" s="4">
        <f t="shared" ref="E109:E110" si="52">-(F68-E68)</f>
        <v>-228.27091536986336</v>
      </c>
      <c r="F109" s="4">
        <f t="shared" ref="F109:F110" si="53">-(G68-F68)</f>
        <v>-245.09873154784964</v>
      </c>
      <c r="G109" s="4">
        <f t="shared" si="45"/>
        <v>-263.19055080714952</v>
      </c>
      <c r="H109" s="4">
        <f t="shared" si="46"/>
        <v>-282.64288783069242</v>
      </c>
      <c r="I109" s="4">
        <f t="shared" si="47"/>
        <v>-303.55972990318332</v>
      </c>
      <c r="J109" s="4">
        <f t="shared" si="48"/>
        <v>-326.05312213079833</v>
      </c>
      <c r="K109" s="4">
        <f t="shared" si="49"/>
        <v>-350.2437989165137</v>
      </c>
      <c r="L109" s="4">
        <f t="shared" si="50"/>
        <v>-376.26186537385638</v>
      </c>
      <c r="M109" s="4">
        <f t="shared" ref="M109:N110" si="54">-(N68-M68)</f>
        <v>-404.24753265663185</v>
      </c>
      <c r="N109" s="4">
        <f t="shared" si="54"/>
        <v>5940.6812989200998</v>
      </c>
      <c r="O109" s="2"/>
      <c r="P109" s="4">
        <f t="shared" si="51"/>
        <v>0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x14ac:dyDescent="0.25">
      <c r="A110" s="2"/>
      <c r="B110" s="2" t="s">
        <v>24</v>
      </c>
      <c r="C110" s="2"/>
      <c r="D110" s="4">
        <f>-(E69-D69)</f>
        <v>-24385.722410958904</v>
      </c>
      <c r="E110" s="4">
        <f t="shared" si="52"/>
        <v>-1760.9470614246602</v>
      </c>
      <c r="F110" s="4">
        <f t="shared" si="53"/>
        <v>-1890.7616433691219</v>
      </c>
      <c r="G110" s="4">
        <f t="shared" si="45"/>
        <v>-2030.3271062265849</v>
      </c>
      <c r="H110" s="4">
        <f t="shared" si="46"/>
        <v>-2180.3879918367638</v>
      </c>
      <c r="I110" s="4">
        <f t="shared" si="47"/>
        <v>-2341.7464878245664</v>
      </c>
      <c r="J110" s="4">
        <f t="shared" si="48"/>
        <v>-2515.2669421518731</v>
      </c>
      <c r="K110" s="4">
        <f t="shared" si="49"/>
        <v>-2701.8807344988163</v>
      </c>
      <c r="L110" s="4">
        <f t="shared" si="50"/>
        <v>-2902.5915328840347</v>
      </c>
      <c r="M110" s="4">
        <f t="shared" si="54"/>
        <v>-3118.4809662082989</v>
      </c>
      <c r="N110" s="4">
        <f t="shared" si="54"/>
        <v>45828.112877383624</v>
      </c>
      <c r="O110" s="2"/>
      <c r="P110" s="4">
        <f t="shared" si="51"/>
        <v>0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x14ac:dyDescent="0.25">
      <c r="A111" s="2"/>
      <c r="B111" s="2" t="s">
        <v>94</v>
      </c>
      <c r="C111" s="2"/>
      <c r="D111" s="4">
        <f>(E80-D80)</f>
        <v>6096.4306027397261</v>
      </c>
      <c r="E111" s="4">
        <f t="shared" ref="E111" si="55">(F80-E80)</f>
        <v>440.23676535616505</v>
      </c>
      <c r="F111" s="4">
        <f t="shared" ref="F111" si="56">(G80-F80)</f>
        <v>472.69041084228047</v>
      </c>
      <c r="G111" s="4">
        <f t="shared" ref="G111" si="57">(H80-G80)</f>
        <v>507.58177655664622</v>
      </c>
      <c r="H111" s="4">
        <f t="shared" ref="H111" si="58">(I80-H80)</f>
        <v>545.09699795919096</v>
      </c>
      <c r="I111" s="4">
        <f t="shared" ref="I111" si="59">(J80-I80)</f>
        <v>585.43662195614161</v>
      </c>
      <c r="J111" s="4">
        <f t="shared" ref="J111" si="60">(K80-J80)</f>
        <v>628.81673553796827</v>
      </c>
      <c r="K111" s="4">
        <f t="shared" ref="K111" si="61">(L80-K80)</f>
        <v>675.47018362470408</v>
      </c>
      <c r="L111" s="4">
        <f t="shared" ref="L111" si="62">(M80-L80)</f>
        <v>725.64788322100867</v>
      </c>
      <c r="M111" s="4">
        <f t="shared" ref="M111:N111" si="63">(N80-M80)</f>
        <v>779.62024155207473</v>
      </c>
      <c r="N111" s="4">
        <f t="shared" si="63"/>
        <v>-11457.028219345906</v>
      </c>
      <c r="O111" s="2"/>
      <c r="P111" s="4">
        <f t="shared" si="51"/>
        <v>0</v>
      </c>
      <c r="Q111" s="2"/>
      <c r="R111" s="2"/>
      <c r="S111" s="21" t="s">
        <v>132</v>
      </c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</row>
    <row r="112" spans="1:33" x14ac:dyDescent="0.25">
      <c r="A112" s="2"/>
      <c r="B112" s="2" t="s">
        <v>72</v>
      </c>
      <c r="C112" s="2"/>
      <c r="D112" s="4">
        <f>E102-D102</f>
        <v>2856.4623944999985</v>
      </c>
      <c r="E112" s="4">
        <f t="shared" ref="E112:N112" si="64">F102-E102</f>
        <v>941.59644215174967</v>
      </c>
      <c r="F112" s="4">
        <f t="shared" si="64"/>
        <v>1025.0371443133686</v>
      </c>
      <c r="G112" s="4">
        <f t="shared" si="64"/>
        <v>1115.0457440155378</v>
      </c>
      <c r="H112" s="4">
        <f t="shared" si="64"/>
        <v>1212.1302689986414</v>
      </c>
      <c r="I112" s="4">
        <f t="shared" si="64"/>
        <v>1316.8382256012819</v>
      </c>
      <c r="J112" s="4">
        <f t="shared" si="64"/>
        <v>1429.7596938425413</v>
      </c>
      <c r="K112" s="4">
        <f t="shared" si="64"/>
        <v>1551.5306672167826</v>
      </c>
      <c r="L112" s="4">
        <f t="shared" si="64"/>
        <v>1682.8366566860677</v>
      </c>
      <c r="M112" s="4">
        <f t="shared" si="64"/>
        <v>1824.4165799157945</v>
      </c>
      <c r="N112" s="4">
        <f t="shared" si="64"/>
        <v>-14955.653817241764</v>
      </c>
      <c r="O112" s="2"/>
      <c r="P112" s="4">
        <f t="shared" si="51"/>
        <v>0</v>
      </c>
      <c r="Q112" s="2"/>
      <c r="R112" s="2"/>
      <c r="S112" s="23" t="s">
        <v>161</v>
      </c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</row>
    <row r="113" spans="1:3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3" t="s">
        <v>162</v>
      </c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</row>
    <row r="114" spans="1:33" x14ac:dyDescent="0.25">
      <c r="A114" s="2" t="s">
        <v>109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x14ac:dyDescent="0.25">
      <c r="A115" s="2"/>
      <c r="B115" s="2" t="s">
        <v>25</v>
      </c>
      <c r="C115" s="2"/>
      <c r="D115" s="4">
        <f>-(E72-D72)</f>
        <v>-200000</v>
      </c>
      <c r="E115" s="4">
        <f t="shared" ref="E115" si="65">-(F72-E72)</f>
        <v>0</v>
      </c>
      <c r="F115" s="4">
        <f t="shared" ref="F115" si="66">-(G72-F72)</f>
        <v>0</v>
      </c>
      <c r="G115" s="4">
        <f t="shared" ref="G115" si="67">-(H72-G72)</f>
        <v>0</v>
      </c>
      <c r="H115" s="4">
        <f t="shared" ref="H115" si="68">-(I72-H72)</f>
        <v>0</v>
      </c>
      <c r="I115" s="4">
        <f t="shared" ref="I115" si="69">-(J72-I72)</f>
        <v>0</v>
      </c>
      <c r="J115" s="4">
        <f t="shared" ref="J115" si="70">-(K72-J72)</f>
        <v>0</v>
      </c>
      <c r="K115" s="4">
        <f t="shared" ref="K115" si="71">-(L72-K72)</f>
        <v>0</v>
      </c>
      <c r="L115" s="4">
        <f t="shared" ref="L115" si="72">-(M72-L72)</f>
        <v>0</v>
      </c>
      <c r="M115" s="4">
        <f>-(N72-M72)</f>
        <v>0</v>
      </c>
      <c r="N115" s="4">
        <f>-(O72-N72)</f>
        <v>200000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x14ac:dyDescent="0.25">
      <c r="A116" s="2"/>
      <c r="B116" s="2" t="s">
        <v>110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51"/>
      <c r="N116" s="4">
        <f>N115*0.35</f>
        <v>70000</v>
      </c>
      <c r="O116" s="2"/>
      <c r="P116" s="2" t="s">
        <v>129</v>
      </c>
      <c r="Q116" s="4">
        <f>M72</f>
        <v>200000</v>
      </c>
      <c r="R116" s="4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x14ac:dyDescent="0.25">
      <c r="A117" s="2"/>
      <c r="B117" s="2" t="s">
        <v>111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51"/>
      <c r="N117" s="4">
        <f>-N35*Q117</f>
        <v>-9471</v>
      </c>
      <c r="O117" s="2"/>
      <c r="P117" s="2" t="s">
        <v>130</v>
      </c>
      <c r="Q117" s="4">
        <f>N115+N116-Q116</f>
        <v>70000</v>
      </c>
      <c r="R117" s="4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x14ac:dyDescent="0.25">
      <c r="A119" s="2"/>
      <c r="B119" s="2" t="s">
        <v>41</v>
      </c>
      <c r="C119" s="2"/>
      <c r="D119" s="4">
        <f t="shared" ref="D119" si="73">-(E72-D72)</f>
        <v>-200000</v>
      </c>
      <c r="E119" s="4">
        <f t="shared" ref="E119" si="74">-(F72-E72)</f>
        <v>0</v>
      </c>
      <c r="F119" s="4">
        <f t="shared" ref="F119" si="75">-(G72-F72)</f>
        <v>0</v>
      </c>
      <c r="G119" s="4">
        <f t="shared" ref="G119" si="76">-(H72-G72)</f>
        <v>0</v>
      </c>
      <c r="H119" s="4">
        <f t="shared" ref="H119" si="77">-(I72-H72)</f>
        <v>0</v>
      </c>
      <c r="I119" s="4">
        <f t="shared" ref="I119" si="78">-(J72-I72)</f>
        <v>0</v>
      </c>
      <c r="J119" s="4">
        <f t="shared" ref="J119" si="79">-(K72-J72)</f>
        <v>0</v>
      </c>
      <c r="K119" s="4">
        <f t="shared" ref="K119" si="80">-(L72-K72)</f>
        <v>0</v>
      </c>
      <c r="L119" s="4">
        <f t="shared" ref="L119:M119" si="81">-(M72-L72)</f>
        <v>0</v>
      </c>
      <c r="M119" s="4">
        <f t="shared" si="81"/>
        <v>0</v>
      </c>
      <c r="N119" s="4">
        <f>N73</f>
        <v>225000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x14ac:dyDescent="0.25">
      <c r="A120" s="2"/>
      <c r="B120" s="2" t="s">
        <v>110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51"/>
      <c r="N120" s="15">
        <f>N119*0.35</f>
        <v>78750</v>
      </c>
      <c r="O120" s="2"/>
      <c r="P120" s="2" t="s">
        <v>129</v>
      </c>
      <c r="Q120" s="4">
        <f>N73-N74</f>
        <v>150000</v>
      </c>
      <c r="R120" s="4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x14ac:dyDescent="0.25">
      <c r="A121" s="2"/>
      <c r="B121" s="2" t="s">
        <v>111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51"/>
      <c r="N121" s="51">
        <f>-N35*Q121</f>
        <v>-20802.375</v>
      </c>
      <c r="O121" s="2"/>
      <c r="P121" s="2" t="s">
        <v>130</v>
      </c>
      <c r="Q121" s="4">
        <f>N119+N120-Q120</f>
        <v>153750</v>
      </c>
      <c r="R121" s="4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4"/>
      <c r="O122" s="2"/>
      <c r="P122" s="2"/>
      <c r="Q122" s="15"/>
      <c r="R122" s="15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x14ac:dyDescent="0.25">
      <c r="A123" s="2" t="s">
        <v>133</v>
      </c>
      <c r="B123" s="2"/>
      <c r="C123" s="2"/>
      <c r="D123" s="4">
        <v>-3164.79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2"/>
      <c r="P123" s="2"/>
      <c r="Q123" s="2"/>
      <c r="R123" s="2"/>
      <c r="S123" s="21" t="s">
        <v>131</v>
      </c>
      <c r="T123" s="21"/>
      <c r="U123" s="21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</row>
    <row r="124" spans="1:3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3" t="s">
        <v>160</v>
      </c>
      <c r="T124" s="21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</row>
    <row r="125" spans="1:33" x14ac:dyDescent="0.25">
      <c r="A125" s="1" t="s">
        <v>113</v>
      </c>
      <c r="B125" s="2"/>
      <c r="C125" s="2"/>
      <c r="D125" s="15">
        <f>SUM(D103:D124)</f>
        <v>-1396332.2773962473</v>
      </c>
      <c r="E125" s="15">
        <f t="shared" ref="E125:L125" si="82">SUM(E103:E124)</f>
        <v>141980.94584190878</v>
      </c>
      <c r="F125" s="15">
        <f t="shared" si="82"/>
        <v>146620.82476604485</v>
      </c>
      <c r="G125" s="15">
        <f t="shared" si="82"/>
        <v>151595.79630188679</v>
      </c>
      <c r="H125" s="15">
        <f t="shared" si="82"/>
        <v>156930.76800693129</v>
      </c>
      <c r="I125" s="15">
        <f t="shared" si="82"/>
        <v>162652.53863794866</v>
      </c>
      <c r="J125" s="15">
        <f t="shared" si="82"/>
        <v>168789.94412238494</v>
      </c>
      <c r="K125" s="15">
        <f t="shared" si="82"/>
        <v>175374.01494148915</v>
      </c>
      <c r="L125" s="15">
        <f t="shared" si="82"/>
        <v>182438.14582624298</v>
      </c>
      <c r="M125" s="15">
        <f>SUM(M103:M124)</f>
        <v>174186.13327670062</v>
      </c>
      <c r="N125" s="15">
        <f>SUM(N103:N124)</f>
        <v>678109.34837666363</v>
      </c>
      <c r="O125" s="2"/>
      <c r="P125" s="2"/>
      <c r="Q125" s="2"/>
      <c r="R125" s="2"/>
      <c r="S125" s="23" t="s">
        <v>159</v>
      </c>
      <c r="T125" s="21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</row>
    <row r="126" spans="1:33" x14ac:dyDescent="0.25">
      <c r="A126" s="1" t="s">
        <v>114</v>
      </c>
      <c r="B126" s="2"/>
      <c r="C126" s="2"/>
      <c r="D126" s="18">
        <f>U94</f>
        <v>6.8884032843928855E-2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3" t="s">
        <v>163</v>
      </c>
      <c r="T126" s="21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 spans="1:33" x14ac:dyDescent="0.25">
      <c r="A127" s="1" t="s">
        <v>115</v>
      </c>
      <c r="B127" s="2"/>
      <c r="C127" s="2"/>
      <c r="D127" s="20">
        <f>IRR(D125:N125)</f>
        <v>6.8884032893830494E-2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3" t="s">
        <v>164</v>
      </c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 spans="1:33" x14ac:dyDescent="0.25">
      <c r="A128" s="1" t="s">
        <v>116</v>
      </c>
      <c r="B128" s="2"/>
      <c r="C128" s="2"/>
      <c r="D128" s="51">
        <f>NPV(D126,E125:N125)+D125</f>
        <v>3.9568496868014336E-4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x14ac:dyDescent="0.25">
      <c r="A131" s="53" t="s">
        <v>165</v>
      </c>
      <c r="B131" s="53"/>
      <c r="C131" s="54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x14ac:dyDescent="0.25">
      <c r="A132" s="55"/>
      <c r="B132" s="53"/>
      <c r="C132" s="54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x14ac:dyDescent="0.25">
      <c r="A133" s="55"/>
      <c r="B133" s="53"/>
      <c r="C133" s="56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x14ac:dyDescent="0.25">
      <c r="A134" s="55" t="s">
        <v>166</v>
      </c>
      <c r="B134" s="53"/>
      <c r="C134" s="57">
        <f>R82</f>
        <v>0.03</v>
      </c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x14ac:dyDescent="0.25">
      <c r="A135" s="55" t="s">
        <v>167</v>
      </c>
      <c r="B135" s="53"/>
      <c r="C135" s="58">
        <v>1.9</v>
      </c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x14ac:dyDescent="0.25">
      <c r="A136" s="55"/>
      <c r="B136" s="53"/>
      <c r="C136" s="57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x14ac:dyDescent="0.25">
      <c r="A137" s="59"/>
      <c r="B137" s="60"/>
      <c r="C137" s="59"/>
      <c r="D137" s="59"/>
      <c r="E137" s="61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x14ac:dyDescent="0.25">
      <c r="A138" s="55" t="s">
        <v>168</v>
      </c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x14ac:dyDescent="0.25">
      <c r="A140" s="53"/>
      <c r="B140" s="53"/>
      <c r="D140" s="62">
        <v>0</v>
      </c>
      <c r="E140" s="62">
        <v>1</v>
      </c>
      <c r="F140" s="62">
        <v>2</v>
      </c>
      <c r="G140" s="62">
        <v>3</v>
      </c>
      <c r="H140" s="62">
        <v>4</v>
      </c>
      <c r="I140" s="62">
        <v>5</v>
      </c>
      <c r="J140" s="62">
        <v>6</v>
      </c>
      <c r="K140" s="62">
        <v>7</v>
      </c>
      <c r="L140" s="62">
        <v>8</v>
      </c>
      <c r="M140" s="62">
        <v>9</v>
      </c>
      <c r="N140" s="62">
        <v>10</v>
      </c>
      <c r="O140" s="53">
        <v>11</v>
      </c>
      <c r="P140" s="53">
        <v>12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x14ac:dyDescent="0.25">
      <c r="A141" s="53"/>
      <c r="B141" s="63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x14ac:dyDescent="0.25">
      <c r="A142" s="64" t="s">
        <v>169</v>
      </c>
      <c r="B142" s="53"/>
      <c r="D142" s="53"/>
      <c r="E142" s="53"/>
      <c r="F142" s="65">
        <f>D125</f>
        <v>-1396332.2773962473</v>
      </c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x14ac:dyDescent="0.25">
      <c r="A143" s="66"/>
      <c r="B143" s="53"/>
      <c r="D143" s="67"/>
      <c r="E143" s="53"/>
      <c r="F143" s="67"/>
      <c r="G143" s="67"/>
      <c r="H143" s="67"/>
      <c r="I143" s="68"/>
      <c r="J143" s="68"/>
      <c r="K143" s="68"/>
      <c r="L143" s="68"/>
      <c r="M143" s="68"/>
      <c r="N143" s="68"/>
      <c r="O143" s="68"/>
      <c r="P143" s="53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x14ac:dyDescent="0.25">
      <c r="A144" s="53" t="s">
        <v>170</v>
      </c>
      <c r="B144" s="53"/>
      <c r="D144" s="67">
        <v>0</v>
      </c>
      <c r="E144" s="54">
        <v>0</v>
      </c>
      <c r="F144" s="68">
        <v>0</v>
      </c>
      <c r="G144" s="76">
        <f>E125</f>
        <v>141980.94584190878</v>
      </c>
      <c r="H144" s="76">
        <f t="shared" ref="H144:P144" si="83">F125</f>
        <v>146620.82476604485</v>
      </c>
      <c r="I144" s="76">
        <f t="shared" si="83"/>
        <v>151595.79630188679</v>
      </c>
      <c r="J144" s="76">
        <f t="shared" si="83"/>
        <v>156930.76800693129</v>
      </c>
      <c r="K144" s="76">
        <f t="shared" si="83"/>
        <v>162652.53863794866</v>
      </c>
      <c r="L144" s="76">
        <f t="shared" si="83"/>
        <v>168789.94412238494</v>
      </c>
      <c r="M144" s="76">
        <f t="shared" si="83"/>
        <v>175374.01494148915</v>
      </c>
      <c r="N144" s="76">
        <f t="shared" si="83"/>
        <v>182438.14582624298</v>
      </c>
      <c r="O144" s="76">
        <f t="shared" si="83"/>
        <v>174186.13327670062</v>
      </c>
      <c r="P144" s="76">
        <f t="shared" si="83"/>
        <v>678109.34837666363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x14ac:dyDescent="0.25">
      <c r="A145" s="64" t="s">
        <v>116</v>
      </c>
      <c r="B145" s="53"/>
      <c r="D145" s="77">
        <f>NPV(D126,E144:P144)+D144</f>
        <v>1222158.6846826007</v>
      </c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53"/>
      <c r="P145" s="53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x14ac:dyDescent="0.25">
      <c r="A146" s="69"/>
      <c r="B146" s="53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53"/>
      <c r="P146" s="53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x14ac:dyDescent="0.25">
      <c r="A147" s="53"/>
      <c r="B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x14ac:dyDescent="0.25">
      <c r="A148" s="53" t="s">
        <v>171</v>
      </c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x14ac:dyDescent="0.25">
      <c r="A149" s="70" t="s">
        <v>172</v>
      </c>
      <c r="B149" s="70" t="s">
        <v>173</v>
      </c>
      <c r="C149" s="70" t="s">
        <v>174</v>
      </c>
      <c r="D149" s="70" t="s">
        <v>175</v>
      </c>
      <c r="E149" s="70" t="s">
        <v>176</v>
      </c>
      <c r="F149" s="70" t="s">
        <v>177</v>
      </c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x14ac:dyDescent="0.25">
      <c r="A150" s="71">
        <f>D145</f>
        <v>1222158.6846826007</v>
      </c>
      <c r="B150" s="71">
        <f>-F142</f>
        <v>1396332.2773962473</v>
      </c>
      <c r="C150" s="70">
        <v>2</v>
      </c>
      <c r="D150" s="72">
        <v>0.25</v>
      </c>
      <c r="E150" s="72">
        <v>7.0000000000000007E-2</v>
      </c>
      <c r="F150" s="73">
        <f>(A150*_xlfn.NORM.DIST((LN(A150/B150)+(E150+((D150^2)/2))*C150)/(D150*SQRT(C150)),0,1,TRUE))-((B150*EXP(-E150*C150))*_xlfn.NORM.DIST((LN(A150/B150)+(E150+((D150^2)/2))*C150)/(D150*SQRT(C150))-(D150*(SQRT(C150))),0,1,TRUE))</f>
        <v>175064.02868922451</v>
      </c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x14ac:dyDescent="0.25">
      <c r="A152" s="53"/>
      <c r="B152" s="65"/>
      <c r="C152" s="74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x14ac:dyDescent="0.25">
      <c r="A153" s="53"/>
      <c r="B153" s="65"/>
      <c r="C153" s="75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C78BA-92EF-4C9A-8ECD-5C0DA4FFC56F}">
  <dimension ref="A1:AG180"/>
  <sheetViews>
    <sheetView topLeftCell="A120" zoomScale="70" zoomScaleNormal="70" workbookViewId="0">
      <selection activeCell="H138" sqref="H138"/>
    </sheetView>
  </sheetViews>
  <sheetFormatPr defaultColWidth="15.140625" defaultRowHeight="15.75" x14ac:dyDescent="0.25"/>
  <cols>
    <col min="1" max="1" width="15.85546875" style="26" customWidth="1"/>
    <col min="2" max="2" width="40.42578125" style="26" customWidth="1"/>
    <col min="3" max="4" width="14.5703125" style="26" bestFit="1" customWidth="1"/>
    <col min="5" max="5" width="13.5703125" style="26" bestFit="1" customWidth="1"/>
    <col min="6" max="6" width="19.28515625" style="26" customWidth="1"/>
    <col min="7" max="9" width="13.28515625" style="26" bestFit="1" customWidth="1"/>
    <col min="10" max="10" width="12.28515625" style="26" bestFit="1" customWidth="1"/>
    <col min="11" max="14" width="13.28515625" style="26" bestFit="1" customWidth="1"/>
    <col min="15" max="16" width="10.7109375" style="26" bestFit="1" customWidth="1"/>
    <col min="17" max="17" width="23.140625" style="26" bestFit="1" customWidth="1"/>
    <col min="18" max="18" width="20.85546875" style="27" customWidth="1"/>
    <col min="19" max="20" width="15.140625" style="26"/>
    <col min="21" max="21" width="24.5703125" style="26" bestFit="1" customWidth="1"/>
    <col min="22" max="16384" width="15.140625" style="26"/>
  </cols>
  <sheetData>
    <row r="1" spans="1:18" ht="15" customHeight="1" x14ac:dyDescent="0.25">
      <c r="A1" s="25" t="s">
        <v>149</v>
      </c>
    </row>
    <row r="2" spans="1:18" ht="13.5" customHeight="1" x14ac:dyDescent="0.25">
      <c r="D2" s="28" t="s">
        <v>158</v>
      </c>
      <c r="E2" s="28" t="s">
        <v>0</v>
      </c>
      <c r="F2" s="28" t="s">
        <v>1</v>
      </c>
      <c r="G2" s="28" t="s">
        <v>2</v>
      </c>
      <c r="H2" s="28" t="s">
        <v>3</v>
      </c>
      <c r="I2" s="28" t="s">
        <v>4</v>
      </c>
      <c r="J2" s="28" t="s">
        <v>5</v>
      </c>
      <c r="K2" s="28" t="s">
        <v>6</v>
      </c>
      <c r="L2" s="28" t="s">
        <v>7</v>
      </c>
      <c r="M2" s="28" t="s">
        <v>8</v>
      </c>
      <c r="N2" s="28" t="s">
        <v>9</v>
      </c>
      <c r="R2" s="29" t="s">
        <v>150</v>
      </c>
    </row>
    <row r="3" spans="1:18" ht="13.5" customHeight="1" x14ac:dyDescent="0.25">
      <c r="A3" s="25" t="s">
        <v>71</v>
      </c>
      <c r="I3" s="25"/>
    </row>
    <row r="4" spans="1:18" ht="13.5" customHeight="1" x14ac:dyDescent="0.25">
      <c r="A4" s="26" t="s">
        <v>151</v>
      </c>
      <c r="E4" s="30">
        <v>92858</v>
      </c>
      <c r="F4" s="31">
        <f t="shared" ref="F4:N9" si="0">E4*(1+$P4)</f>
        <v>95643.74</v>
      </c>
      <c r="G4" s="31">
        <f t="shared" si="0"/>
        <v>98513.052200000006</v>
      </c>
      <c r="H4" s="31">
        <f t="shared" si="0"/>
        <v>101468.44376600001</v>
      </c>
      <c r="I4" s="31">
        <f t="shared" si="0"/>
        <v>104512.49707898001</v>
      </c>
      <c r="J4" s="31">
        <f t="shared" si="0"/>
        <v>107647.87199134941</v>
      </c>
      <c r="K4" s="31">
        <f t="shared" si="0"/>
        <v>110877.30815108989</v>
      </c>
      <c r="L4" s="31">
        <f t="shared" si="0"/>
        <v>114203.62739562259</v>
      </c>
      <c r="M4" s="31">
        <f t="shared" si="0"/>
        <v>117629.73621749127</v>
      </c>
      <c r="N4" s="31">
        <f t="shared" si="0"/>
        <v>121158.62830401601</v>
      </c>
      <c r="P4" s="32">
        <v>0.03</v>
      </c>
      <c r="Q4" s="26" t="s">
        <v>32</v>
      </c>
    </row>
    <row r="5" spans="1:18" ht="13.5" customHeight="1" x14ac:dyDescent="0.25">
      <c r="A5" s="26" t="s">
        <v>152</v>
      </c>
      <c r="E5" s="33">
        <v>27</v>
      </c>
      <c r="F5" s="34">
        <f>E5*(1+$P5)</f>
        <v>28.35</v>
      </c>
      <c r="G5" s="34">
        <f t="shared" si="0"/>
        <v>29.767500000000002</v>
      </c>
      <c r="H5" s="34">
        <f t="shared" si="0"/>
        <v>31.255875000000003</v>
      </c>
      <c r="I5" s="34">
        <f t="shared" si="0"/>
        <v>32.818668750000008</v>
      </c>
      <c r="J5" s="34">
        <f t="shared" si="0"/>
        <v>34.45960218750001</v>
      </c>
      <c r="K5" s="34">
        <f t="shared" si="0"/>
        <v>36.182582296875012</v>
      </c>
      <c r="L5" s="34">
        <f t="shared" si="0"/>
        <v>37.991711411718761</v>
      </c>
      <c r="M5" s="34">
        <f t="shared" si="0"/>
        <v>39.891296982304702</v>
      </c>
      <c r="N5" s="34">
        <f t="shared" si="0"/>
        <v>41.885861831419938</v>
      </c>
      <c r="P5" s="32">
        <v>0.05</v>
      </c>
      <c r="Q5" s="26" t="s">
        <v>32</v>
      </c>
    </row>
    <row r="6" spans="1:18" ht="13.5" customHeight="1" x14ac:dyDescent="0.25">
      <c r="A6" s="26" t="s">
        <v>31</v>
      </c>
      <c r="E6" s="35">
        <v>3</v>
      </c>
      <c r="F6" s="36">
        <f t="shared" si="0"/>
        <v>3</v>
      </c>
      <c r="G6" s="36">
        <f t="shared" si="0"/>
        <v>3</v>
      </c>
      <c r="H6" s="36">
        <f t="shared" si="0"/>
        <v>3</v>
      </c>
      <c r="I6" s="36">
        <f t="shared" si="0"/>
        <v>3</v>
      </c>
      <c r="J6" s="36">
        <f t="shared" si="0"/>
        <v>3</v>
      </c>
      <c r="K6" s="36">
        <f t="shared" si="0"/>
        <v>3</v>
      </c>
      <c r="L6" s="36">
        <f t="shared" si="0"/>
        <v>3</v>
      </c>
      <c r="M6" s="36">
        <f t="shared" si="0"/>
        <v>3</v>
      </c>
      <c r="N6" s="36">
        <f t="shared" si="0"/>
        <v>3</v>
      </c>
      <c r="O6" s="36"/>
      <c r="P6" s="32">
        <v>0</v>
      </c>
      <c r="Q6" s="26" t="s">
        <v>32</v>
      </c>
    </row>
    <row r="7" spans="1:18" ht="13.5" customHeight="1" x14ac:dyDescent="0.25">
      <c r="A7" s="26" t="s">
        <v>153</v>
      </c>
      <c r="E7" s="35">
        <v>2700</v>
      </c>
      <c r="F7" s="36">
        <f>E7*(1+$P$7)</f>
        <v>2727</v>
      </c>
      <c r="G7" s="36">
        <f t="shared" ref="G7:N7" si="1">F7*(1+$P$7)</f>
        <v>2754.27</v>
      </c>
      <c r="H7" s="36">
        <f t="shared" si="1"/>
        <v>2781.8126999999999</v>
      </c>
      <c r="I7" s="36">
        <f t="shared" si="1"/>
        <v>2809.630827</v>
      </c>
      <c r="J7" s="36">
        <f t="shared" si="1"/>
        <v>2837.72713527</v>
      </c>
      <c r="K7" s="36">
        <f t="shared" si="1"/>
        <v>2866.1044066227</v>
      </c>
      <c r="L7" s="36">
        <f t="shared" si="1"/>
        <v>2894.7654506889271</v>
      </c>
      <c r="M7" s="36">
        <f t="shared" si="1"/>
        <v>2923.7131051958163</v>
      </c>
      <c r="N7" s="36">
        <f t="shared" si="1"/>
        <v>2952.9502362477747</v>
      </c>
      <c r="O7" s="36"/>
      <c r="P7" s="32">
        <v>0.01</v>
      </c>
      <c r="Q7" s="26" t="s">
        <v>32</v>
      </c>
    </row>
    <row r="8" spans="1:18" ht="13.5" customHeight="1" x14ac:dyDescent="0.25">
      <c r="A8" s="26" t="s">
        <v>84</v>
      </c>
      <c r="E8" s="37">
        <v>0.45</v>
      </c>
      <c r="F8" s="37">
        <f>E8*(1+$P8)</f>
        <v>0.45</v>
      </c>
      <c r="G8" s="37">
        <f t="shared" si="0"/>
        <v>0.45</v>
      </c>
      <c r="H8" s="37">
        <f t="shared" si="0"/>
        <v>0.45</v>
      </c>
      <c r="I8" s="37">
        <f t="shared" si="0"/>
        <v>0.45</v>
      </c>
      <c r="J8" s="37">
        <f t="shared" si="0"/>
        <v>0.45</v>
      </c>
      <c r="K8" s="37">
        <f t="shared" si="0"/>
        <v>0.45</v>
      </c>
      <c r="L8" s="37">
        <f t="shared" si="0"/>
        <v>0.45</v>
      </c>
      <c r="M8" s="37">
        <f t="shared" si="0"/>
        <v>0.45</v>
      </c>
      <c r="N8" s="37">
        <f>M8*(1+$P8)</f>
        <v>0.45</v>
      </c>
      <c r="P8" s="32">
        <v>0</v>
      </c>
      <c r="Q8" s="26" t="s">
        <v>32</v>
      </c>
    </row>
    <row r="9" spans="1:18" ht="13.5" customHeight="1" x14ac:dyDescent="0.25">
      <c r="A9" s="26" t="s">
        <v>83</v>
      </c>
      <c r="E9" s="37">
        <v>0.25</v>
      </c>
      <c r="F9" s="37">
        <f t="shared" si="0"/>
        <v>0.25</v>
      </c>
      <c r="G9" s="37">
        <f t="shared" si="0"/>
        <v>0.25</v>
      </c>
      <c r="H9" s="37">
        <f t="shared" si="0"/>
        <v>0.25</v>
      </c>
      <c r="I9" s="37">
        <f t="shared" si="0"/>
        <v>0.25</v>
      </c>
      <c r="J9" s="37">
        <f t="shared" si="0"/>
        <v>0.25</v>
      </c>
      <c r="K9" s="37">
        <f t="shared" si="0"/>
        <v>0.25</v>
      </c>
      <c r="L9" s="37">
        <f t="shared" si="0"/>
        <v>0.25</v>
      </c>
      <c r="M9" s="37">
        <f t="shared" si="0"/>
        <v>0.25</v>
      </c>
      <c r="N9" s="37">
        <f t="shared" si="0"/>
        <v>0.25</v>
      </c>
      <c r="P9" s="32">
        <v>0</v>
      </c>
      <c r="Q9" s="26" t="s">
        <v>32</v>
      </c>
    </row>
    <row r="10" spans="1:18" ht="13.5" customHeight="1" x14ac:dyDescent="0.25">
      <c r="E10" s="32"/>
      <c r="P10" s="32"/>
    </row>
    <row r="11" spans="1:18" ht="13.5" customHeight="1" x14ac:dyDescent="0.25">
      <c r="A11" s="26" t="s">
        <v>33</v>
      </c>
      <c r="E11" s="36">
        <f>3*8*5*52</f>
        <v>6240</v>
      </c>
      <c r="F11" s="36">
        <f t="shared" ref="F11:N12" si="2">E11*(1+$P11)</f>
        <v>6240</v>
      </c>
      <c r="G11" s="36">
        <f t="shared" si="2"/>
        <v>6240</v>
      </c>
      <c r="H11" s="36">
        <f t="shared" si="2"/>
        <v>6240</v>
      </c>
      <c r="I11" s="36">
        <f t="shared" si="2"/>
        <v>6240</v>
      </c>
      <c r="J11" s="36">
        <f t="shared" si="2"/>
        <v>6240</v>
      </c>
      <c r="K11" s="36">
        <f t="shared" si="2"/>
        <v>6240</v>
      </c>
      <c r="L11" s="36">
        <f t="shared" si="2"/>
        <v>6240</v>
      </c>
      <c r="M11" s="36">
        <f t="shared" si="2"/>
        <v>6240</v>
      </c>
      <c r="N11" s="36">
        <f t="shared" si="2"/>
        <v>6240</v>
      </c>
      <c r="P11" s="32">
        <v>0</v>
      </c>
      <c r="Q11" s="26" t="s">
        <v>32</v>
      </c>
    </row>
    <row r="12" spans="1:18" ht="13.5" customHeight="1" x14ac:dyDescent="0.25">
      <c r="A12" s="26" t="s">
        <v>73</v>
      </c>
      <c r="E12" s="34">
        <v>14</v>
      </c>
      <c r="F12" s="34">
        <f t="shared" si="2"/>
        <v>14.280000000000001</v>
      </c>
      <c r="G12" s="34">
        <f t="shared" si="2"/>
        <v>14.565600000000002</v>
      </c>
      <c r="H12" s="34">
        <f t="shared" si="2"/>
        <v>14.856912000000001</v>
      </c>
      <c r="I12" s="34">
        <f t="shared" si="2"/>
        <v>15.154050240000002</v>
      </c>
      <c r="J12" s="34">
        <f t="shared" si="2"/>
        <v>15.457131244800003</v>
      </c>
      <c r="K12" s="34">
        <f t="shared" si="2"/>
        <v>15.766273869696004</v>
      </c>
      <c r="L12" s="34">
        <f t="shared" si="2"/>
        <v>16.081599347089924</v>
      </c>
      <c r="M12" s="34">
        <f t="shared" si="2"/>
        <v>16.403231334031723</v>
      </c>
      <c r="N12" s="34">
        <f t="shared" si="2"/>
        <v>16.731295960712359</v>
      </c>
      <c r="P12" s="32">
        <v>0.02</v>
      </c>
      <c r="Q12" s="26" t="s">
        <v>32</v>
      </c>
      <c r="R12" s="38"/>
    </row>
    <row r="13" spans="1:18" ht="13.5" customHeight="1" x14ac:dyDescent="0.25">
      <c r="E13" s="32"/>
      <c r="P13" s="32"/>
    </row>
    <row r="14" spans="1:18" ht="13.5" customHeight="1" x14ac:dyDescent="0.25">
      <c r="A14" s="26" t="s">
        <v>35</v>
      </c>
      <c r="E14" s="34">
        <v>200000</v>
      </c>
      <c r="P14" s="32"/>
    </row>
    <row r="15" spans="1:18" ht="13.5" customHeight="1" x14ac:dyDescent="0.25">
      <c r="A15" s="26" t="s">
        <v>74</v>
      </c>
      <c r="E15" s="36">
        <v>1</v>
      </c>
      <c r="P15" s="32"/>
    </row>
    <row r="16" spans="1:18" ht="13.5" customHeight="1" x14ac:dyDescent="0.25">
      <c r="A16" s="26" t="s">
        <v>154</v>
      </c>
      <c r="E16" s="36">
        <f>E14*E15</f>
        <v>200000</v>
      </c>
      <c r="P16" s="32"/>
    </row>
    <row r="17" spans="1:18" ht="13.5" customHeight="1" x14ac:dyDescent="0.25">
      <c r="A17" s="26" t="s">
        <v>36</v>
      </c>
      <c r="E17" s="34">
        <v>150</v>
      </c>
      <c r="P17" s="32"/>
      <c r="R17" s="38"/>
    </row>
    <row r="18" spans="1:18" ht="13.5" customHeight="1" x14ac:dyDescent="0.25">
      <c r="A18" s="26" t="s">
        <v>37</v>
      </c>
      <c r="E18" s="36">
        <v>1500</v>
      </c>
      <c r="P18" s="32"/>
    </row>
    <row r="19" spans="1:18" ht="13.5" customHeight="1" x14ac:dyDescent="0.25">
      <c r="E19" s="36"/>
      <c r="P19" s="32"/>
    </row>
    <row r="20" spans="1:18" ht="13.5" customHeight="1" x14ac:dyDescent="0.25">
      <c r="A20" s="26" t="s">
        <v>43</v>
      </c>
      <c r="E20" s="39">
        <v>0.03</v>
      </c>
      <c r="F20" s="39">
        <f t="shared" ref="F20:N21" si="3">E20*(1+$P20)</f>
        <v>3.09E-2</v>
      </c>
      <c r="G20" s="39">
        <f t="shared" si="3"/>
        <v>3.1827000000000001E-2</v>
      </c>
      <c r="H20" s="39">
        <f t="shared" si="3"/>
        <v>3.2781810000000002E-2</v>
      </c>
      <c r="I20" s="39">
        <f t="shared" si="3"/>
        <v>3.37652643E-2</v>
      </c>
      <c r="J20" s="39">
        <f t="shared" si="3"/>
        <v>3.4778222229000004E-2</v>
      </c>
      <c r="K20" s="39">
        <f t="shared" si="3"/>
        <v>3.5821568895870008E-2</v>
      </c>
      <c r="L20" s="39">
        <f t="shared" si="3"/>
        <v>3.6896215962746108E-2</v>
      </c>
      <c r="M20" s="39">
        <f t="shared" si="3"/>
        <v>3.8003102441628495E-2</v>
      </c>
      <c r="N20" s="39">
        <f t="shared" si="3"/>
        <v>3.9143195514877348E-2</v>
      </c>
      <c r="P20" s="32">
        <v>0.03</v>
      </c>
      <c r="Q20" s="26" t="s">
        <v>32</v>
      </c>
    </row>
    <row r="21" spans="1:18" ht="13.5" customHeight="1" x14ac:dyDescent="0.25">
      <c r="A21" s="26" t="s">
        <v>42</v>
      </c>
      <c r="E21" s="34">
        <v>0.6</v>
      </c>
      <c r="F21" s="34">
        <f t="shared" si="3"/>
        <v>0.61199999999999999</v>
      </c>
      <c r="G21" s="34">
        <f t="shared" si="3"/>
        <v>0.62424000000000002</v>
      </c>
      <c r="H21" s="34">
        <f t="shared" si="3"/>
        <v>0.63672479999999998</v>
      </c>
      <c r="I21" s="34">
        <f t="shared" si="3"/>
        <v>0.64945929599999996</v>
      </c>
      <c r="J21" s="34">
        <f t="shared" si="3"/>
        <v>0.66244848191999994</v>
      </c>
      <c r="K21" s="34">
        <f t="shared" si="3"/>
        <v>0.6756974515584</v>
      </c>
      <c r="L21" s="34">
        <f t="shared" si="3"/>
        <v>0.68921140058956798</v>
      </c>
      <c r="M21" s="34">
        <f t="shared" si="3"/>
        <v>0.70299562860135933</v>
      </c>
      <c r="N21" s="34">
        <f t="shared" si="3"/>
        <v>0.71705554117338655</v>
      </c>
      <c r="P21" s="32">
        <v>0.02</v>
      </c>
      <c r="Q21" s="26" t="s">
        <v>32</v>
      </c>
    </row>
    <row r="22" spans="1:18" ht="13.5" customHeight="1" x14ac:dyDescent="0.25">
      <c r="E22" s="32"/>
      <c r="P22" s="32"/>
    </row>
    <row r="23" spans="1:18" ht="13.5" customHeight="1" x14ac:dyDescent="0.25">
      <c r="A23" s="26" t="s">
        <v>75</v>
      </c>
      <c r="E23" s="39">
        <v>4.2299999999999997E-2</v>
      </c>
      <c r="F23" s="39"/>
      <c r="G23" s="39"/>
      <c r="H23" s="39"/>
      <c r="I23" s="39"/>
      <c r="J23" s="39"/>
      <c r="K23" s="39"/>
      <c r="L23" s="39"/>
      <c r="M23" s="39"/>
      <c r="N23" s="39"/>
      <c r="P23" s="32"/>
    </row>
    <row r="24" spans="1:18" ht="13.5" customHeight="1" x14ac:dyDescent="0.25">
      <c r="A24" s="26" t="s">
        <v>76</v>
      </c>
      <c r="E24" s="36">
        <v>30</v>
      </c>
      <c r="F24" s="39"/>
      <c r="G24" s="39"/>
      <c r="H24" s="39"/>
      <c r="I24" s="39"/>
      <c r="J24" s="39"/>
      <c r="K24" s="39"/>
      <c r="L24" s="39"/>
      <c r="M24" s="39"/>
      <c r="N24" s="39"/>
      <c r="P24" s="32"/>
    </row>
    <row r="25" spans="1:18" ht="13.5" customHeight="1" x14ac:dyDescent="0.25">
      <c r="A25" s="26" t="s">
        <v>77</v>
      </c>
      <c r="E25" s="40">
        <v>0.4</v>
      </c>
      <c r="F25" s="39"/>
      <c r="G25" s="39"/>
      <c r="H25" s="39"/>
      <c r="I25" s="39"/>
      <c r="J25" s="39"/>
      <c r="K25" s="39"/>
      <c r="L25" s="39"/>
      <c r="M25" s="39"/>
      <c r="N25" s="39"/>
      <c r="P25" s="32"/>
    </row>
    <row r="26" spans="1:18" ht="13.5" customHeight="1" x14ac:dyDescent="0.25">
      <c r="A26" s="26" t="s">
        <v>78</v>
      </c>
      <c r="E26" s="41">
        <f>E25*(E72+E73)</f>
        <v>170000</v>
      </c>
      <c r="F26" s="39"/>
      <c r="G26" s="39"/>
      <c r="H26" s="39"/>
      <c r="I26" s="39"/>
      <c r="J26" s="39"/>
      <c r="K26" s="39"/>
      <c r="L26" s="39"/>
      <c r="M26" s="39"/>
      <c r="N26" s="39"/>
      <c r="P26" s="32"/>
    </row>
    <row r="27" spans="1:18" ht="13.5" customHeight="1" x14ac:dyDescent="0.25">
      <c r="A27" s="26" t="s">
        <v>79</v>
      </c>
      <c r="E27" s="39">
        <v>4.8399999999999999E-2</v>
      </c>
      <c r="F27" s="39">
        <f t="shared" ref="F27:N27" si="4">E27*(1+$P27)</f>
        <v>4.8399999999999999E-2</v>
      </c>
      <c r="G27" s="39">
        <f t="shared" si="4"/>
        <v>4.8399999999999999E-2</v>
      </c>
      <c r="H27" s="39">
        <f t="shared" si="4"/>
        <v>4.8399999999999999E-2</v>
      </c>
      <c r="I27" s="39">
        <f t="shared" si="4"/>
        <v>4.8399999999999999E-2</v>
      </c>
      <c r="J27" s="39">
        <f t="shared" si="4"/>
        <v>4.8399999999999999E-2</v>
      </c>
      <c r="K27" s="39">
        <f t="shared" si="4"/>
        <v>4.8399999999999999E-2</v>
      </c>
      <c r="L27" s="39">
        <f t="shared" si="4"/>
        <v>4.8399999999999999E-2</v>
      </c>
      <c r="M27" s="39">
        <f t="shared" si="4"/>
        <v>4.8399999999999999E-2</v>
      </c>
      <c r="N27" s="39">
        <f t="shared" si="4"/>
        <v>4.8399999999999999E-2</v>
      </c>
      <c r="P27" s="32">
        <v>0</v>
      </c>
      <c r="Q27" s="26" t="s">
        <v>32</v>
      </c>
      <c r="R27" s="38"/>
    </row>
    <row r="28" spans="1:18" ht="13.5" customHeight="1" x14ac:dyDescent="0.25">
      <c r="A28" s="26" t="s">
        <v>80</v>
      </c>
      <c r="E28" s="39">
        <v>0.2</v>
      </c>
      <c r="F28" s="39"/>
      <c r="G28" s="39"/>
      <c r="H28" s="39"/>
      <c r="I28" s="39"/>
      <c r="J28" s="39"/>
      <c r="K28" s="39"/>
      <c r="L28" s="39"/>
      <c r="M28" s="39"/>
      <c r="N28" s="39"/>
      <c r="P28" s="32"/>
    </row>
    <row r="29" spans="1:18" ht="13.5" customHeight="1" x14ac:dyDescent="0.25">
      <c r="A29" s="26" t="s">
        <v>155</v>
      </c>
      <c r="E29" s="41">
        <f>E28*E76</f>
        <v>283924.0760786974</v>
      </c>
      <c r="F29" s="39"/>
      <c r="G29" s="39"/>
      <c r="H29" s="39"/>
      <c r="I29" s="39"/>
      <c r="J29" s="39"/>
      <c r="K29" s="39"/>
      <c r="L29" s="39"/>
      <c r="M29" s="39"/>
      <c r="N29" s="39"/>
      <c r="P29" s="32"/>
    </row>
    <row r="30" spans="1:18" ht="13.5" customHeight="1" x14ac:dyDescent="0.25">
      <c r="E30" s="40"/>
      <c r="P30" s="32"/>
    </row>
    <row r="31" spans="1:18" ht="16.5" customHeight="1" x14ac:dyDescent="0.25">
      <c r="A31" s="42" t="s">
        <v>81</v>
      </c>
      <c r="B31" s="42"/>
      <c r="C31" s="42"/>
      <c r="D31" s="42"/>
      <c r="E31" s="36">
        <v>120</v>
      </c>
      <c r="F31" s="36">
        <f t="shared" ref="F31:N33" si="5">E31*(1+$P31)</f>
        <v>120</v>
      </c>
      <c r="G31" s="36">
        <f t="shared" si="5"/>
        <v>120</v>
      </c>
      <c r="H31" s="36">
        <f t="shared" si="5"/>
        <v>120</v>
      </c>
      <c r="I31" s="36">
        <f t="shared" si="5"/>
        <v>120</v>
      </c>
      <c r="J31" s="36">
        <f t="shared" si="5"/>
        <v>120</v>
      </c>
      <c r="K31" s="36">
        <f t="shared" si="5"/>
        <v>120</v>
      </c>
      <c r="L31" s="36">
        <f t="shared" si="5"/>
        <v>120</v>
      </c>
      <c r="M31" s="36">
        <f t="shared" si="5"/>
        <v>120</v>
      </c>
      <c r="N31" s="36">
        <f t="shared" si="5"/>
        <v>120</v>
      </c>
      <c r="P31" s="32">
        <v>0</v>
      </c>
      <c r="Q31" s="26" t="s">
        <v>32</v>
      </c>
    </row>
    <row r="32" spans="1:18" ht="16.5" customHeight="1" x14ac:dyDescent="0.25">
      <c r="A32" s="42" t="s">
        <v>82</v>
      </c>
      <c r="B32" s="42"/>
      <c r="C32" s="42"/>
      <c r="D32" s="42"/>
      <c r="E32" s="36">
        <v>30</v>
      </c>
      <c r="F32" s="36">
        <f t="shared" si="5"/>
        <v>30</v>
      </c>
      <c r="G32" s="36">
        <f t="shared" si="5"/>
        <v>30</v>
      </c>
      <c r="H32" s="36">
        <f t="shared" si="5"/>
        <v>30</v>
      </c>
      <c r="I32" s="36">
        <f t="shared" si="5"/>
        <v>30</v>
      </c>
      <c r="J32" s="36">
        <f t="shared" si="5"/>
        <v>30</v>
      </c>
      <c r="K32" s="36">
        <f t="shared" si="5"/>
        <v>30</v>
      </c>
      <c r="L32" s="36">
        <f t="shared" si="5"/>
        <v>30</v>
      </c>
      <c r="M32" s="36">
        <f t="shared" si="5"/>
        <v>30</v>
      </c>
      <c r="N32" s="36">
        <f t="shared" si="5"/>
        <v>30</v>
      </c>
      <c r="P32" s="32">
        <v>0</v>
      </c>
      <c r="Q32" s="26" t="s">
        <v>32</v>
      </c>
    </row>
    <row r="33" spans="1:18" ht="16.5" customHeight="1" x14ac:dyDescent="0.25">
      <c r="A33" s="42" t="s">
        <v>45</v>
      </c>
      <c r="B33" s="42"/>
      <c r="C33" s="42"/>
      <c r="D33" s="42"/>
      <c r="E33" s="36">
        <v>7</v>
      </c>
      <c r="F33" s="36">
        <f t="shared" si="5"/>
        <v>7</v>
      </c>
      <c r="G33" s="36">
        <f t="shared" si="5"/>
        <v>7</v>
      </c>
      <c r="H33" s="36">
        <f t="shared" si="5"/>
        <v>7</v>
      </c>
      <c r="I33" s="36">
        <f t="shared" si="5"/>
        <v>7</v>
      </c>
      <c r="J33" s="36">
        <f t="shared" si="5"/>
        <v>7</v>
      </c>
      <c r="K33" s="36">
        <f t="shared" si="5"/>
        <v>7</v>
      </c>
      <c r="L33" s="36">
        <f t="shared" si="5"/>
        <v>7</v>
      </c>
      <c r="M33" s="36">
        <f t="shared" si="5"/>
        <v>7</v>
      </c>
      <c r="N33" s="36">
        <f t="shared" si="5"/>
        <v>7</v>
      </c>
      <c r="P33" s="32">
        <v>0</v>
      </c>
      <c r="Q33" s="26" t="s">
        <v>32</v>
      </c>
    </row>
    <row r="34" spans="1:18" ht="16.5" customHeight="1" x14ac:dyDescent="0.25">
      <c r="A34" s="42"/>
      <c r="B34" s="42"/>
      <c r="C34" s="42"/>
      <c r="D34" s="42"/>
      <c r="E34" s="43"/>
      <c r="P34" s="32"/>
    </row>
    <row r="35" spans="1:18" ht="16.5" customHeight="1" x14ac:dyDescent="0.25">
      <c r="A35" s="42" t="s">
        <v>85</v>
      </c>
      <c r="B35" s="42"/>
      <c r="C35" s="42"/>
      <c r="D35" s="42"/>
      <c r="E35" s="37">
        <f>0.09+0.0453</f>
        <v>0.1353</v>
      </c>
      <c r="F35" s="37">
        <f t="shared" ref="F35:N35" si="6">0.09+0.0453</f>
        <v>0.1353</v>
      </c>
      <c r="G35" s="37">
        <f t="shared" si="6"/>
        <v>0.1353</v>
      </c>
      <c r="H35" s="37">
        <f t="shared" si="6"/>
        <v>0.1353</v>
      </c>
      <c r="I35" s="37">
        <f t="shared" si="6"/>
        <v>0.1353</v>
      </c>
      <c r="J35" s="37">
        <f t="shared" si="6"/>
        <v>0.1353</v>
      </c>
      <c r="K35" s="37">
        <f t="shared" si="6"/>
        <v>0.1353</v>
      </c>
      <c r="L35" s="37">
        <f t="shared" si="6"/>
        <v>0.1353</v>
      </c>
      <c r="M35" s="37">
        <f t="shared" si="6"/>
        <v>0.1353</v>
      </c>
      <c r="N35" s="37">
        <f t="shared" si="6"/>
        <v>0.1353</v>
      </c>
      <c r="P35" s="32">
        <v>0</v>
      </c>
      <c r="Q35" s="26" t="s">
        <v>32</v>
      </c>
      <c r="R35" s="38"/>
    </row>
    <row r="36" spans="1:18" ht="16.5" customHeight="1" x14ac:dyDescent="0.25">
      <c r="A36" s="42" t="s">
        <v>86</v>
      </c>
      <c r="B36" s="42"/>
      <c r="C36" s="42"/>
      <c r="D36" s="42"/>
      <c r="E36" s="26">
        <v>30</v>
      </c>
      <c r="F36" s="26">
        <f t="shared" ref="F36:N37" si="7">E36*(1+$P36)</f>
        <v>30</v>
      </c>
      <c r="G36" s="26">
        <f t="shared" si="7"/>
        <v>30</v>
      </c>
      <c r="H36" s="26">
        <f t="shared" si="7"/>
        <v>30</v>
      </c>
      <c r="I36" s="26">
        <f t="shared" si="7"/>
        <v>30</v>
      </c>
      <c r="J36" s="26">
        <f t="shared" si="7"/>
        <v>30</v>
      </c>
      <c r="K36" s="26">
        <f t="shared" si="7"/>
        <v>30</v>
      </c>
      <c r="L36" s="26">
        <f t="shared" si="7"/>
        <v>30</v>
      </c>
      <c r="M36" s="26">
        <f t="shared" si="7"/>
        <v>30</v>
      </c>
      <c r="N36" s="26">
        <f t="shared" si="7"/>
        <v>30</v>
      </c>
      <c r="P36" s="32">
        <v>0</v>
      </c>
      <c r="Q36" s="26" t="s">
        <v>32</v>
      </c>
    </row>
    <row r="37" spans="1:18" ht="16.5" customHeight="1" x14ac:dyDescent="0.25">
      <c r="A37" s="42" t="s">
        <v>87</v>
      </c>
      <c r="B37" s="42"/>
      <c r="C37" s="42"/>
      <c r="D37" s="42"/>
      <c r="E37" s="39">
        <v>0.02</v>
      </c>
      <c r="F37" s="39">
        <f t="shared" si="7"/>
        <v>0.02</v>
      </c>
      <c r="G37" s="39">
        <f t="shared" si="7"/>
        <v>0.02</v>
      </c>
      <c r="H37" s="39">
        <f t="shared" si="7"/>
        <v>0.02</v>
      </c>
      <c r="I37" s="39">
        <f t="shared" si="7"/>
        <v>0.02</v>
      </c>
      <c r="J37" s="39">
        <f t="shared" si="7"/>
        <v>0.02</v>
      </c>
      <c r="K37" s="39">
        <f t="shared" si="7"/>
        <v>0.02</v>
      </c>
      <c r="L37" s="39">
        <f t="shared" si="7"/>
        <v>0.02</v>
      </c>
      <c r="M37" s="39">
        <f t="shared" si="7"/>
        <v>0.02</v>
      </c>
      <c r="N37" s="39">
        <f t="shared" si="7"/>
        <v>0.02</v>
      </c>
      <c r="P37" s="32">
        <v>0</v>
      </c>
      <c r="Q37" s="26" t="s">
        <v>32</v>
      </c>
    </row>
    <row r="38" spans="1:18" ht="16.5" customHeight="1" x14ac:dyDescent="0.25">
      <c r="A38" s="42"/>
      <c r="B38" s="42"/>
      <c r="C38" s="42"/>
      <c r="D38" s="42"/>
      <c r="I38" s="25"/>
    </row>
    <row r="39" spans="1:18" ht="13.5" customHeight="1" x14ac:dyDescent="0.25">
      <c r="A39" s="25" t="s">
        <v>10</v>
      </c>
    </row>
    <row r="40" spans="1:18" ht="13.5" customHeight="1" x14ac:dyDescent="0.25">
      <c r="A40" s="25"/>
      <c r="C40" s="26" t="s">
        <v>156</v>
      </c>
      <c r="E40" s="52">
        <f>E7*E5</f>
        <v>72900</v>
      </c>
      <c r="F40" s="26">
        <f t="shared" ref="F40:N40" si="8">F7*F5</f>
        <v>77310.45</v>
      </c>
      <c r="G40" s="26">
        <f t="shared" si="8"/>
        <v>81987.732225</v>
      </c>
      <c r="H40" s="26">
        <f t="shared" si="8"/>
        <v>86947.990024612503</v>
      </c>
      <c r="I40" s="26">
        <f t="shared" si="8"/>
        <v>92208.34342110157</v>
      </c>
      <c r="J40" s="26">
        <f t="shared" si="8"/>
        <v>97786.948198078229</v>
      </c>
      <c r="K40" s="26">
        <f t="shared" si="8"/>
        <v>103703.05856406197</v>
      </c>
      <c r="L40" s="26">
        <f t="shared" si="8"/>
        <v>109977.09360718771</v>
      </c>
      <c r="M40" s="26">
        <f t="shared" si="8"/>
        <v>116630.70777042258</v>
      </c>
      <c r="N40" s="26">
        <f t="shared" si="8"/>
        <v>123686.86559053315</v>
      </c>
    </row>
    <row r="41" spans="1:18" ht="13.5" customHeight="1" x14ac:dyDescent="0.25">
      <c r="A41" s="25"/>
      <c r="C41" s="26" t="s">
        <v>157</v>
      </c>
      <c r="E41" s="44">
        <f>(E4*E5/E6)*0.11</f>
        <v>91929.42</v>
      </c>
      <c r="F41" s="44">
        <f t="shared" ref="F41:N41" si="9">(F4*F5/F6)*0.11</f>
        <v>99421.667730000001</v>
      </c>
      <c r="G41" s="44">
        <f t="shared" si="9"/>
        <v>107524.53364999501</v>
      </c>
      <c r="H41" s="44">
        <f t="shared" si="9"/>
        <v>116287.78314246962</v>
      </c>
      <c r="I41" s="44">
        <f t="shared" si="9"/>
        <v>125765.2374685809</v>
      </c>
      <c r="J41" s="44">
        <f t="shared" si="9"/>
        <v>136015.10432227029</v>
      </c>
      <c r="K41" s="44">
        <f t="shared" si="9"/>
        <v>147100.33532453529</v>
      </c>
      <c r="L41" s="44">
        <f t="shared" si="9"/>
        <v>159089.01265348491</v>
      </c>
      <c r="M41" s="44">
        <f t="shared" si="9"/>
        <v>172054.76718474392</v>
      </c>
      <c r="N41" s="44">
        <f t="shared" si="9"/>
        <v>186077.23071030059</v>
      </c>
    </row>
    <row r="42" spans="1:18" ht="13.5" customHeight="1" x14ac:dyDescent="0.25">
      <c r="A42" s="26" t="s">
        <v>11</v>
      </c>
      <c r="E42" s="44">
        <f>E40+E41</f>
        <v>164829.41999999998</v>
      </c>
      <c r="F42" s="44">
        <f>F40+F41</f>
        <v>176732.11773</v>
      </c>
      <c r="G42" s="44">
        <f t="shared" ref="G42:N42" si="10">G40+G41</f>
        <v>189512.26587499501</v>
      </c>
      <c r="H42" s="44">
        <f t="shared" si="10"/>
        <v>203235.77316708211</v>
      </c>
      <c r="I42" s="44">
        <f t="shared" si="10"/>
        <v>217973.58088968246</v>
      </c>
      <c r="J42" s="44">
        <f t="shared" si="10"/>
        <v>233802.05252034852</v>
      </c>
      <c r="K42" s="44">
        <f t="shared" si="10"/>
        <v>250803.39388859726</v>
      </c>
      <c r="L42" s="44">
        <f t="shared" si="10"/>
        <v>269066.10626067262</v>
      </c>
      <c r="M42" s="44">
        <f t="shared" si="10"/>
        <v>288685.47495516652</v>
      </c>
      <c r="N42" s="44">
        <f t="shared" si="10"/>
        <v>309764.09630083374</v>
      </c>
    </row>
    <row r="43" spans="1:18" ht="13.5" customHeight="1" x14ac:dyDescent="0.25">
      <c r="A43" s="26" t="s">
        <v>12</v>
      </c>
      <c r="E43" s="45">
        <f>E42*E8</f>
        <v>74173.239000000001</v>
      </c>
      <c r="F43" s="45">
        <f t="shared" ref="F43:N43" si="11">F42*F8</f>
        <v>79529.452978500005</v>
      </c>
      <c r="G43" s="45">
        <f t="shared" si="11"/>
        <v>85280.519643747757</v>
      </c>
      <c r="H43" s="45">
        <f t="shared" si="11"/>
        <v>91456.097925186958</v>
      </c>
      <c r="I43" s="45">
        <f t="shared" si="11"/>
        <v>98088.111400357113</v>
      </c>
      <c r="J43" s="45">
        <f t="shared" si="11"/>
        <v>105210.92363415683</v>
      </c>
      <c r="K43" s="45">
        <f t="shared" si="11"/>
        <v>112861.52724986877</v>
      </c>
      <c r="L43" s="45">
        <f t="shared" si="11"/>
        <v>121079.74781730268</v>
      </c>
      <c r="M43" s="45">
        <f t="shared" si="11"/>
        <v>129908.46372982493</v>
      </c>
      <c r="N43" s="45">
        <f t="shared" si="11"/>
        <v>139393.84333537519</v>
      </c>
    </row>
    <row r="44" spans="1:18" ht="13.5" customHeight="1" x14ac:dyDescent="0.25">
      <c r="A44" s="26" t="s">
        <v>13</v>
      </c>
      <c r="E44" s="44">
        <f>E42-E43</f>
        <v>90656.180999999982</v>
      </c>
      <c r="F44" s="44">
        <f t="shared" ref="F44:N44" si="12">F42-F43</f>
        <v>97202.664751499993</v>
      </c>
      <c r="G44" s="44">
        <f t="shared" si="12"/>
        <v>104231.74623124725</v>
      </c>
      <c r="H44" s="44">
        <f t="shared" si="12"/>
        <v>111779.67524189515</v>
      </c>
      <c r="I44" s="44">
        <f t="shared" si="12"/>
        <v>119885.46948932535</v>
      </c>
      <c r="J44" s="44">
        <f t="shared" si="12"/>
        <v>128591.12888619168</v>
      </c>
      <c r="K44" s="44">
        <f t="shared" si="12"/>
        <v>137941.86663872848</v>
      </c>
      <c r="L44" s="44">
        <f t="shared" si="12"/>
        <v>147986.35844336994</v>
      </c>
      <c r="M44" s="44">
        <f t="shared" si="12"/>
        <v>158777.01122534159</v>
      </c>
      <c r="N44" s="44">
        <f t="shared" si="12"/>
        <v>170370.25296545855</v>
      </c>
    </row>
    <row r="45" spans="1:18" ht="13.5" customHeight="1" x14ac:dyDescent="0.25">
      <c r="E45" s="44"/>
      <c r="F45" s="44"/>
      <c r="G45" s="44"/>
      <c r="H45" s="44"/>
      <c r="I45" s="44"/>
      <c r="J45" s="44"/>
    </row>
    <row r="46" spans="1:18" ht="13.5" customHeight="1" x14ac:dyDescent="0.25">
      <c r="A46" s="26" t="s">
        <v>14</v>
      </c>
      <c r="E46" s="44"/>
      <c r="F46" s="44"/>
      <c r="G46" s="44"/>
      <c r="H46" s="44"/>
      <c r="I46" s="44"/>
      <c r="J46" s="44"/>
    </row>
    <row r="47" spans="1:18" ht="13.5" customHeight="1" x14ac:dyDescent="0.25">
      <c r="B47" s="26" t="s">
        <v>15</v>
      </c>
      <c r="E47" s="44">
        <f>E11*E12</f>
        <v>87360</v>
      </c>
      <c r="F47" s="44">
        <f t="shared" ref="F47:N47" si="13">F11*F12</f>
        <v>89107.200000000012</v>
      </c>
      <c r="G47" s="44">
        <f t="shared" si="13"/>
        <v>90889.344000000012</v>
      </c>
      <c r="H47" s="44">
        <f t="shared" si="13"/>
        <v>92707.130880000012</v>
      </c>
      <c r="I47" s="44">
        <f t="shared" si="13"/>
        <v>94561.273497600007</v>
      </c>
      <c r="J47" s="44">
        <f t="shared" si="13"/>
        <v>96452.498967552019</v>
      </c>
      <c r="K47" s="44">
        <f t="shared" si="13"/>
        <v>98381.548946903073</v>
      </c>
      <c r="L47" s="44">
        <f t="shared" si="13"/>
        <v>100349.17992584112</v>
      </c>
      <c r="M47" s="44">
        <f t="shared" si="13"/>
        <v>102356.16352435795</v>
      </c>
      <c r="N47" s="44">
        <f t="shared" si="13"/>
        <v>104403.28679484512</v>
      </c>
    </row>
    <row r="48" spans="1:18" ht="13.5" customHeight="1" x14ac:dyDescent="0.25">
      <c r="B48" s="26" t="s">
        <v>16</v>
      </c>
      <c r="E48" s="44">
        <f t="shared" ref="E48:N48" si="14">E42*E9</f>
        <v>41207.354999999996</v>
      </c>
      <c r="F48" s="44">
        <f t="shared" si="14"/>
        <v>44183.0294325</v>
      </c>
      <c r="G48" s="44">
        <f t="shared" si="14"/>
        <v>47378.066468748752</v>
      </c>
      <c r="H48" s="44">
        <f t="shared" si="14"/>
        <v>50808.943291770527</v>
      </c>
      <c r="I48" s="44">
        <f t="shared" si="14"/>
        <v>54493.395222420615</v>
      </c>
      <c r="J48" s="44">
        <f t="shared" si="14"/>
        <v>58450.513130087129</v>
      </c>
      <c r="K48" s="44">
        <f t="shared" si="14"/>
        <v>62700.848472149315</v>
      </c>
      <c r="L48" s="44">
        <f t="shared" si="14"/>
        <v>67266.526565168155</v>
      </c>
      <c r="M48" s="44">
        <f t="shared" si="14"/>
        <v>72171.368738791629</v>
      </c>
      <c r="N48" s="44">
        <f t="shared" si="14"/>
        <v>77441.024075208436</v>
      </c>
      <c r="P48" s="32"/>
    </row>
    <row r="49" spans="1:14" ht="13.5" customHeight="1" x14ac:dyDescent="0.25">
      <c r="B49" s="26" t="s">
        <v>44</v>
      </c>
      <c r="E49" s="44">
        <f t="shared" ref="E49:N49" si="15">E73*E20</f>
        <v>6750</v>
      </c>
      <c r="F49" s="44">
        <f t="shared" si="15"/>
        <v>6952.5</v>
      </c>
      <c r="G49" s="44">
        <f t="shared" si="15"/>
        <v>7161.0749999999998</v>
      </c>
      <c r="H49" s="44">
        <f t="shared" si="15"/>
        <v>7375.9072500000002</v>
      </c>
      <c r="I49" s="44">
        <f t="shared" si="15"/>
        <v>7597.1844675000002</v>
      </c>
      <c r="J49" s="44">
        <f t="shared" si="15"/>
        <v>7825.1000015250011</v>
      </c>
      <c r="K49" s="44">
        <f t="shared" si="15"/>
        <v>8059.853001570752</v>
      </c>
      <c r="L49" s="44">
        <f t="shared" si="15"/>
        <v>8301.6485916178735</v>
      </c>
      <c r="M49" s="44">
        <f t="shared" si="15"/>
        <v>8550.6980493664105</v>
      </c>
      <c r="N49" s="44">
        <f t="shared" si="15"/>
        <v>8807.2189908474029</v>
      </c>
    </row>
    <row r="50" spans="1:14" ht="13.5" customHeight="1" x14ac:dyDescent="0.25">
      <c r="B50" s="26" t="s">
        <v>34</v>
      </c>
      <c r="E50" s="44">
        <f>$E$18*E21</f>
        <v>900</v>
      </c>
      <c r="F50" s="44">
        <f t="shared" ref="F50:N50" si="16">$E$18*F21</f>
        <v>918</v>
      </c>
      <c r="G50" s="44">
        <f t="shared" si="16"/>
        <v>936.36</v>
      </c>
      <c r="H50" s="44">
        <f t="shared" si="16"/>
        <v>955.08719999999994</v>
      </c>
      <c r="I50" s="44">
        <f t="shared" si="16"/>
        <v>974.18894399999999</v>
      </c>
      <c r="J50" s="44">
        <f t="shared" si="16"/>
        <v>993.67272287999992</v>
      </c>
      <c r="K50" s="44">
        <f t="shared" si="16"/>
        <v>1013.5461773375999</v>
      </c>
      <c r="L50" s="44">
        <f t="shared" si="16"/>
        <v>1033.8171008843519</v>
      </c>
      <c r="M50" s="44">
        <f t="shared" si="16"/>
        <v>1054.4934429020391</v>
      </c>
      <c r="N50" s="44">
        <f t="shared" si="16"/>
        <v>1075.5833117600798</v>
      </c>
    </row>
    <row r="51" spans="1:14" ht="13.5" customHeight="1" x14ac:dyDescent="0.25">
      <c r="B51" s="26" t="s">
        <v>38</v>
      </c>
      <c r="E51" s="45">
        <f>E73/E36</f>
        <v>7500</v>
      </c>
      <c r="F51" s="45">
        <f t="shared" ref="F51:N51" si="17">F73/F36</f>
        <v>7500</v>
      </c>
      <c r="G51" s="45">
        <f t="shared" si="17"/>
        <v>7500</v>
      </c>
      <c r="H51" s="45">
        <f t="shared" si="17"/>
        <v>7500</v>
      </c>
      <c r="I51" s="45">
        <f t="shared" si="17"/>
        <v>7500</v>
      </c>
      <c r="J51" s="45">
        <f t="shared" si="17"/>
        <v>7500</v>
      </c>
      <c r="K51" s="45">
        <f t="shared" si="17"/>
        <v>7500</v>
      </c>
      <c r="L51" s="45">
        <f t="shared" si="17"/>
        <v>7500</v>
      </c>
      <c r="M51" s="45">
        <f t="shared" si="17"/>
        <v>7500</v>
      </c>
      <c r="N51" s="45">
        <f t="shared" si="17"/>
        <v>7500</v>
      </c>
    </row>
    <row r="52" spans="1:14" ht="13.5" customHeight="1" x14ac:dyDescent="0.25">
      <c r="A52" s="26" t="s">
        <v>17</v>
      </c>
      <c r="E52" s="44">
        <f>SUM(E47:E51)</f>
        <v>143717.35499999998</v>
      </c>
      <c r="F52" s="44">
        <f t="shared" ref="F52:N52" si="18">SUM(F47:F51)</f>
        <v>148660.72943250003</v>
      </c>
      <c r="G52" s="44">
        <f t="shared" si="18"/>
        <v>153864.84546874877</v>
      </c>
      <c r="H52" s="44">
        <f t="shared" si="18"/>
        <v>159347.06862177054</v>
      </c>
      <c r="I52" s="44">
        <f t="shared" si="18"/>
        <v>165126.0421315206</v>
      </c>
      <c r="J52" s="44">
        <f t="shared" si="18"/>
        <v>171221.78482204414</v>
      </c>
      <c r="K52" s="44">
        <f t="shared" si="18"/>
        <v>177655.79659796073</v>
      </c>
      <c r="L52" s="44">
        <f t="shared" si="18"/>
        <v>184451.17218351152</v>
      </c>
      <c r="M52" s="44">
        <f t="shared" si="18"/>
        <v>191632.72375541803</v>
      </c>
      <c r="N52" s="44">
        <f t="shared" si="18"/>
        <v>199227.11317266102</v>
      </c>
    </row>
    <row r="53" spans="1:14" ht="13.5" customHeight="1" x14ac:dyDescent="0.25">
      <c r="E53" s="44"/>
      <c r="F53" s="44"/>
      <c r="G53" s="44"/>
      <c r="H53" s="44"/>
      <c r="I53" s="44"/>
      <c r="J53" s="44"/>
    </row>
    <row r="54" spans="1:14" ht="13.5" customHeight="1" x14ac:dyDescent="0.25">
      <c r="A54" s="26" t="s">
        <v>18</v>
      </c>
      <c r="E54" s="44">
        <f>E44-E52</f>
        <v>-53061.173999999999</v>
      </c>
      <c r="F54" s="44">
        <f t="shared" ref="F54:N54" si="19">F44-F52</f>
        <v>-51458.064681000033</v>
      </c>
      <c r="G54" s="44">
        <f t="shared" si="19"/>
        <v>-49633.099237501519</v>
      </c>
      <c r="H54" s="44">
        <f t="shared" si="19"/>
        <v>-47567.393379875386</v>
      </c>
      <c r="I54" s="44">
        <f t="shared" si="19"/>
        <v>-45240.572642195257</v>
      </c>
      <c r="J54" s="44">
        <f t="shared" si="19"/>
        <v>-42630.655935852454</v>
      </c>
      <c r="K54" s="44">
        <f t="shared" si="19"/>
        <v>-39713.92995923225</v>
      </c>
      <c r="L54" s="44">
        <f t="shared" si="19"/>
        <v>-36464.813740141573</v>
      </c>
      <c r="M54" s="44">
        <f t="shared" si="19"/>
        <v>-32855.712530076446</v>
      </c>
      <c r="N54" s="44">
        <f t="shared" si="19"/>
        <v>-28856.860207202466</v>
      </c>
    </row>
    <row r="55" spans="1:14" ht="13.5" customHeight="1" x14ac:dyDescent="0.25">
      <c r="E55" s="44"/>
      <c r="F55" s="44"/>
      <c r="G55" s="44"/>
      <c r="H55" s="44"/>
      <c r="I55" s="44"/>
      <c r="J55" s="44"/>
    </row>
    <row r="56" spans="1:14" ht="13.5" customHeight="1" x14ac:dyDescent="0.25">
      <c r="A56" s="26" t="s">
        <v>39</v>
      </c>
      <c r="E56" s="44">
        <f>'Amortization Table'!D14</f>
        <v>59995.360338481871</v>
      </c>
      <c r="F56" s="44">
        <f>'Amortization Table'!D28</f>
        <v>58910.540536080654</v>
      </c>
      <c r="G56" s="44">
        <f>'Amortization Table'!D42</f>
        <v>57781.523501139658</v>
      </c>
      <c r="H56" s="44">
        <f>'Amortization Table'!D56</f>
        <v>56606.508570212449</v>
      </c>
      <c r="I56" s="44">
        <f>'Amortization Table'!D70</f>
        <v>55383.621718045462</v>
      </c>
      <c r="J56" s="44">
        <f>'Amortization Table'!D84</f>
        <v>54110.912568704902</v>
      </c>
      <c r="K56" s="44">
        <f>'Amortization Table'!D98</f>
        <v>52786.351284932047</v>
      </c>
      <c r="L56" s="44">
        <f>'Amortization Table'!D112</f>
        <v>51407.825330766478</v>
      </c>
      <c r="M56" s="44">
        <f>'Amortization Table'!D126</f>
        <v>49973.136102273224</v>
      </c>
      <c r="N56" s="44">
        <f>'Amortization Table'!D140</f>
        <v>48479.995421000771</v>
      </c>
    </row>
    <row r="57" spans="1:14" ht="13.5" customHeight="1" x14ac:dyDescent="0.25">
      <c r="A57" s="26" t="s">
        <v>40</v>
      </c>
      <c r="E57" s="44">
        <f>E85*E27</f>
        <v>0</v>
      </c>
      <c r="F57" s="44">
        <f t="shared" ref="F57:N57" si="20">F85*F27</f>
        <v>0</v>
      </c>
      <c r="G57" s="44">
        <f t="shared" si="20"/>
        <v>0</v>
      </c>
      <c r="H57" s="44">
        <f t="shared" si="20"/>
        <v>0</v>
      </c>
      <c r="I57" s="44">
        <f t="shared" si="20"/>
        <v>0</v>
      </c>
      <c r="J57" s="44">
        <f t="shared" si="20"/>
        <v>0</v>
      </c>
      <c r="K57" s="44">
        <f t="shared" si="20"/>
        <v>0</v>
      </c>
      <c r="L57" s="44">
        <f t="shared" si="20"/>
        <v>0</v>
      </c>
      <c r="M57" s="44">
        <f t="shared" si="20"/>
        <v>0</v>
      </c>
      <c r="N57" s="44">
        <f t="shared" si="20"/>
        <v>805.24993733435747</v>
      </c>
    </row>
    <row r="58" spans="1:14" ht="13.5" customHeight="1" x14ac:dyDescent="0.25"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14" ht="13.5" customHeight="1" x14ac:dyDescent="0.25">
      <c r="A59" s="26" t="s">
        <v>19</v>
      </c>
      <c r="E59" s="44">
        <f>E54-E56-E57</f>
        <v>-113056.53433848187</v>
      </c>
      <c r="F59" s="44">
        <f t="shared" ref="F59:N59" si="21">F54-F56-F57</f>
        <v>-110368.60521708068</v>
      </c>
      <c r="G59" s="44">
        <f t="shared" si="21"/>
        <v>-107414.62273864118</v>
      </c>
      <c r="H59" s="44">
        <f t="shared" si="21"/>
        <v>-104173.90195008783</v>
      </c>
      <c r="I59" s="44">
        <f t="shared" si="21"/>
        <v>-100624.19436024071</v>
      </c>
      <c r="J59" s="44">
        <f t="shared" si="21"/>
        <v>-96741.568504557363</v>
      </c>
      <c r="K59" s="44">
        <f t="shared" si="21"/>
        <v>-92500.281244164304</v>
      </c>
      <c r="L59" s="44">
        <f t="shared" si="21"/>
        <v>-87872.639070908044</v>
      </c>
      <c r="M59" s="44">
        <f t="shared" si="21"/>
        <v>-82828.848632349662</v>
      </c>
      <c r="N59" s="44">
        <f t="shared" si="21"/>
        <v>-78142.105565537597</v>
      </c>
    </row>
    <row r="60" spans="1:14" ht="13.5" customHeight="1" x14ac:dyDescent="0.25">
      <c r="A60" s="26" t="s">
        <v>20</v>
      </c>
      <c r="E60" s="45">
        <f>E59*E35</f>
        <v>-15296.549095996597</v>
      </c>
      <c r="F60" s="45">
        <f t="shared" ref="F60:N60" si="22">F59*F35</f>
        <v>-14932.872285871017</v>
      </c>
      <c r="G60" s="45">
        <f t="shared" si="22"/>
        <v>-14533.198456538152</v>
      </c>
      <c r="H60" s="45">
        <f t="shared" si="22"/>
        <v>-14094.728933846884</v>
      </c>
      <c r="I60" s="45">
        <f t="shared" si="22"/>
        <v>-13614.453496940569</v>
      </c>
      <c r="J60" s="45">
        <f t="shared" si="22"/>
        <v>-13089.134218666612</v>
      </c>
      <c r="K60" s="45">
        <f t="shared" si="22"/>
        <v>-12515.288052335431</v>
      </c>
      <c r="L60" s="45">
        <f t="shared" si="22"/>
        <v>-11889.168066293858</v>
      </c>
      <c r="M60" s="45">
        <f t="shared" si="22"/>
        <v>-11206.74321995691</v>
      </c>
      <c r="N60" s="45">
        <f t="shared" si="22"/>
        <v>-10572.626883017238</v>
      </c>
    </row>
    <row r="61" spans="1:14" ht="13.5" customHeight="1" x14ac:dyDescent="0.25">
      <c r="A61" s="26" t="s">
        <v>88</v>
      </c>
      <c r="E61" s="44">
        <f>E59-E60</f>
        <v>-97759.985242485272</v>
      </c>
      <c r="F61" s="44">
        <f t="shared" ref="F61:N61" si="23">F59-F60</f>
        <v>-95435.73293120967</v>
      </c>
      <c r="G61" s="44">
        <f t="shared" si="23"/>
        <v>-92881.42428210302</v>
      </c>
      <c r="H61" s="44">
        <f t="shared" si="23"/>
        <v>-90079.173016240951</v>
      </c>
      <c r="I61" s="44">
        <f t="shared" si="23"/>
        <v>-87009.740863300147</v>
      </c>
      <c r="J61" s="44">
        <f t="shared" si="23"/>
        <v>-83652.434285890748</v>
      </c>
      <c r="K61" s="44">
        <f t="shared" si="23"/>
        <v>-79984.993191828878</v>
      </c>
      <c r="L61" s="44">
        <f t="shared" si="23"/>
        <v>-75983.471004614184</v>
      </c>
      <c r="M61" s="44">
        <f t="shared" si="23"/>
        <v>-71622.105412392746</v>
      </c>
      <c r="N61" s="44">
        <f t="shared" si="23"/>
        <v>-67569.478682520363</v>
      </c>
    </row>
    <row r="62" spans="1:14" ht="13.5" customHeight="1" x14ac:dyDescent="0.25">
      <c r="E62" s="44"/>
      <c r="F62" s="44"/>
      <c r="G62" s="44"/>
      <c r="H62" s="44"/>
      <c r="I62" s="44"/>
      <c r="J62" s="44"/>
    </row>
    <row r="63" spans="1:14" ht="13.5" customHeight="1" x14ac:dyDescent="0.25">
      <c r="A63" s="25" t="s">
        <v>21</v>
      </c>
      <c r="F63" s="46"/>
      <c r="H63" s="44"/>
      <c r="I63" s="44"/>
      <c r="J63" s="44"/>
    </row>
    <row r="64" spans="1:14" ht="13.5" customHeight="1" x14ac:dyDescent="0.25">
      <c r="A64" s="26" t="s">
        <v>22</v>
      </c>
      <c r="E64" s="44"/>
      <c r="F64" s="44"/>
      <c r="G64" s="44"/>
      <c r="H64" s="44"/>
      <c r="I64" s="44"/>
      <c r="J64" s="44"/>
    </row>
    <row r="65" spans="1:32" ht="13.5" customHeight="1" x14ac:dyDescent="0.25">
      <c r="A65" s="26" t="s">
        <v>23</v>
      </c>
      <c r="E65" s="44"/>
      <c r="F65" s="44"/>
      <c r="G65" s="44"/>
      <c r="H65" s="44"/>
      <c r="I65" s="44"/>
      <c r="J65" s="44"/>
    </row>
    <row r="66" spans="1:32" ht="13.5" customHeight="1" x14ac:dyDescent="0.25">
      <c r="B66" s="26" t="s">
        <v>89</v>
      </c>
      <c r="E66" s="44">
        <f>E37*E42</f>
        <v>3296.5883999999996</v>
      </c>
      <c r="F66" s="44">
        <f t="shared" ref="F66:N66" si="24">F37*F42</f>
        <v>3534.6423546000001</v>
      </c>
      <c r="G66" s="44">
        <f t="shared" si="24"/>
        <v>3790.2453174999</v>
      </c>
      <c r="H66" s="44">
        <f t="shared" si="24"/>
        <v>4064.7154633416421</v>
      </c>
      <c r="I66" s="44">
        <f t="shared" si="24"/>
        <v>4359.4716177936489</v>
      </c>
      <c r="J66" s="44">
        <f t="shared" si="24"/>
        <v>4676.0410504069705</v>
      </c>
      <c r="K66" s="44">
        <f t="shared" si="24"/>
        <v>5016.0678777719449</v>
      </c>
      <c r="L66" s="44">
        <f t="shared" si="24"/>
        <v>5381.3221252134526</v>
      </c>
      <c r="M66" s="44">
        <f t="shared" si="24"/>
        <v>5773.70949910333</v>
      </c>
      <c r="N66" s="44">
        <f t="shared" si="24"/>
        <v>6195.2819260166752</v>
      </c>
    </row>
    <row r="67" spans="1:32" ht="13.5" customHeight="1" x14ac:dyDescent="0.25">
      <c r="B67" s="26" t="s">
        <v>90</v>
      </c>
      <c r="E67" s="44">
        <v>971276.95741814433</v>
      </c>
      <c r="F67" s="44">
        <v>854206.17545784893</v>
      </c>
      <c r="G67" s="44">
        <v>738464.94436999108</v>
      </c>
      <c r="H67" s="44">
        <v>624248.11221108213</v>
      </c>
      <c r="I67" s="44">
        <v>511767.34725732013</v>
      </c>
      <c r="J67" s="44">
        <v>401252.47458077036</v>
      </c>
      <c r="K67" s="44">
        <v>292952.91747484205</v>
      </c>
      <c r="L67" s="44">
        <v>187139.25198055094</v>
      </c>
      <c r="M67" s="44">
        <v>84104.883418588521</v>
      </c>
      <c r="N67" s="44"/>
    </row>
    <row r="68" spans="1:32" ht="13.5" customHeight="1" x14ac:dyDescent="0.25">
      <c r="B68" s="26" t="s">
        <v>91</v>
      </c>
      <c r="E68" s="44">
        <f>(E42/365)*E33</f>
        <v>3161.1121643835613</v>
      </c>
      <c r="F68" s="44">
        <f t="shared" ref="F68:N68" si="25">(F42/365)*F33</f>
        <v>3389.3830797534247</v>
      </c>
      <c r="G68" s="44">
        <f t="shared" si="25"/>
        <v>3634.4818113012743</v>
      </c>
      <c r="H68" s="44">
        <f t="shared" si="25"/>
        <v>3897.6723621084238</v>
      </c>
      <c r="I68" s="44">
        <f t="shared" si="25"/>
        <v>4180.3152499391163</v>
      </c>
      <c r="J68" s="44">
        <f t="shared" si="25"/>
        <v>4483.8749798422996</v>
      </c>
      <c r="K68" s="44">
        <f t="shared" si="25"/>
        <v>4809.9281019730979</v>
      </c>
      <c r="L68" s="44">
        <f t="shared" si="25"/>
        <v>5160.1719008896116</v>
      </c>
      <c r="M68" s="44">
        <f t="shared" si="25"/>
        <v>5536.433766263468</v>
      </c>
      <c r="N68" s="44">
        <f t="shared" si="25"/>
        <v>5940.6812989200998</v>
      </c>
    </row>
    <row r="69" spans="1:32" ht="13.5" customHeight="1" x14ac:dyDescent="0.25">
      <c r="B69" s="26" t="s">
        <v>24</v>
      </c>
      <c r="E69" s="47">
        <f>E43/365*E31</f>
        <v>24385.722410958904</v>
      </c>
      <c r="F69" s="47">
        <f t="shared" ref="F69:N69" si="26">F43/365*F31</f>
        <v>26146.669472383564</v>
      </c>
      <c r="G69" s="47">
        <f t="shared" si="26"/>
        <v>28037.431115752686</v>
      </c>
      <c r="H69" s="47">
        <f t="shared" si="26"/>
        <v>30067.758221979271</v>
      </c>
      <c r="I69" s="47">
        <f t="shared" si="26"/>
        <v>32248.146213816035</v>
      </c>
      <c r="J69" s="47">
        <f t="shared" si="26"/>
        <v>34589.892701640601</v>
      </c>
      <c r="K69" s="47">
        <f t="shared" si="26"/>
        <v>37105.159643792475</v>
      </c>
      <c r="L69" s="47">
        <f t="shared" si="26"/>
        <v>39807.040378291291</v>
      </c>
      <c r="M69" s="47">
        <f t="shared" si="26"/>
        <v>42709.631911175326</v>
      </c>
      <c r="N69" s="47">
        <f t="shared" si="26"/>
        <v>45828.112877383624</v>
      </c>
      <c r="Q69" s="1" t="s">
        <v>134</v>
      </c>
      <c r="R69" s="2"/>
      <c r="S69" s="2"/>
      <c r="T69" s="2"/>
      <c r="U69" s="2"/>
      <c r="V69" s="2"/>
      <c r="W69" s="21" t="s">
        <v>135</v>
      </c>
      <c r="X69" s="22"/>
      <c r="Y69" s="22"/>
      <c r="Z69" s="22"/>
      <c r="AA69" s="22"/>
      <c r="AB69" s="22"/>
      <c r="AC69" s="22"/>
      <c r="AD69" s="22"/>
      <c r="AE69" s="22"/>
      <c r="AF69" s="2"/>
    </row>
    <row r="70" spans="1:32" ht="13.5" customHeight="1" x14ac:dyDescent="0.25">
      <c r="A70" s="26" t="s">
        <v>92</v>
      </c>
      <c r="E70" s="44">
        <f>SUM(E66:E69)</f>
        <v>1002120.3803934868</v>
      </c>
      <c r="F70" s="44">
        <f t="shared" ref="F70:N70" si="27">SUM(F66:F69)</f>
        <v>887276.87036458589</v>
      </c>
      <c r="G70" s="44">
        <f t="shared" si="27"/>
        <v>773927.10261454491</v>
      </c>
      <c r="H70" s="44">
        <f t="shared" si="27"/>
        <v>662278.25825851155</v>
      </c>
      <c r="I70" s="44">
        <f t="shared" si="27"/>
        <v>552555.28033886896</v>
      </c>
      <c r="J70" s="44">
        <f t="shared" si="27"/>
        <v>445002.28331266023</v>
      </c>
      <c r="K70" s="44">
        <f t="shared" si="27"/>
        <v>339884.07309837959</v>
      </c>
      <c r="L70" s="44">
        <f t="shared" si="27"/>
        <v>237487.78638494527</v>
      </c>
      <c r="M70" s="44">
        <f t="shared" si="27"/>
        <v>138124.65859513066</v>
      </c>
      <c r="N70" s="44">
        <f t="shared" si="27"/>
        <v>57964.076102320396</v>
      </c>
      <c r="Q70" s="2" t="s">
        <v>136</v>
      </c>
      <c r="R70" s="6">
        <f>E54/(E56+E57)</f>
        <v>-0.8844212902571037</v>
      </c>
      <c r="S70" s="2" t="s">
        <v>137</v>
      </c>
      <c r="T70" s="2"/>
      <c r="U70" s="2"/>
      <c r="V70" s="2"/>
      <c r="W70" s="23" t="str">
        <f>S125</f>
        <v>- Their product is innovative and fills a need for customers - see customer review on home page</v>
      </c>
      <c r="X70" s="22"/>
      <c r="Y70" s="22"/>
      <c r="Z70" s="22"/>
      <c r="AA70" s="22"/>
      <c r="AB70" s="22"/>
      <c r="AC70" s="22"/>
      <c r="AD70" s="22"/>
      <c r="AE70" s="22"/>
      <c r="AF70" s="2"/>
    </row>
    <row r="71" spans="1:32" ht="13.5" customHeight="1" x14ac:dyDescent="0.25">
      <c r="E71" s="44"/>
      <c r="F71" s="44"/>
      <c r="G71" s="44"/>
      <c r="H71" s="48"/>
      <c r="I71" s="48"/>
      <c r="J71" s="44"/>
      <c r="K71" s="44"/>
      <c r="L71" s="44"/>
      <c r="M71" s="44"/>
      <c r="N71" s="44"/>
      <c r="Q71" s="2" t="s">
        <v>138</v>
      </c>
      <c r="R71" s="24" t="s">
        <v>139</v>
      </c>
      <c r="S71" s="2" t="s">
        <v>140</v>
      </c>
      <c r="T71" s="2"/>
      <c r="U71" s="2"/>
      <c r="V71" s="2"/>
      <c r="W71" s="23" t="str">
        <f>S127</f>
        <v>- Product is selling online on Amazon</v>
      </c>
      <c r="X71" s="22"/>
      <c r="Y71" s="22"/>
      <c r="Z71" s="22"/>
      <c r="AA71" s="22"/>
      <c r="AB71" s="22"/>
      <c r="AC71" s="22"/>
      <c r="AD71" s="22"/>
      <c r="AE71" s="22"/>
      <c r="AF71" s="2"/>
    </row>
    <row r="72" spans="1:32" ht="13.5" customHeight="1" x14ac:dyDescent="0.25">
      <c r="B72" s="26" t="s">
        <v>25</v>
      </c>
      <c r="E72" s="44">
        <f>E14*E15</f>
        <v>200000</v>
      </c>
      <c r="F72" s="44">
        <f>E72</f>
        <v>200000</v>
      </c>
      <c r="G72" s="44">
        <f t="shared" ref="G72:N73" si="28">F72</f>
        <v>200000</v>
      </c>
      <c r="H72" s="44">
        <f t="shared" si="28"/>
        <v>200000</v>
      </c>
      <c r="I72" s="44">
        <f t="shared" si="28"/>
        <v>200000</v>
      </c>
      <c r="J72" s="44">
        <f t="shared" si="28"/>
        <v>200000</v>
      </c>
      <c r="K72" s="44">
        <f t="shared" si="28"/>
        <v>200000</v>
      </c>
      <c r="L72" s="44">
        <f t="shared" si="28"/>
        <v>200000</v>
      </c>
      <c r="M72" s="44">
        <f t="shared" si="28"/>
        <v>200000</v>
      </c>
      <c r="N72" s="44">
        <f t="shared" si="28"/>
        <v>200000</v>
      </c>
      <c r="Q72" s="2" t="s">
        <v>141</v>
      </c>
      <c r="R72" s="18">
        <v>0.01</v>
      </c>
      <c r="S72" s="2" t="s">
        <v>142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3.5" customHeight="1" x14ac:dyDescent="0.25">
      <c r="B73" s="26" t="s">
        <v>41</v>
      </c>
      <c r="E73" s="44">
        <f>E18*E17</f>
        <v>225000</v>
      </c>
      <c r="F73" s="44">
        <f>E73</f>
        <v>225000</v>
      </c>
      <c r="G73" s="44">
        <f t="shared" si="28"/>
        <v>225000</v>
      </c>
      <c r="H73" s="44">
        <f t="shared" si="28"/>
        <v>225000</v>
      </c>
      <c r="I73" s="44">
        <f t="shared" si="28"/>
        <v>225000</v>
      </c>
      <c r="J73" s="44">
        <f t="shared" si="28"/>
        <v>225000</v>
      </c>
      <c r="K73" s="44">
        <f t="shared" si="28"/>
        <v>225000</v>
      </c>
      <c r="L73" s="44">
        <f t="shared" si="28"/>
        <v>225000</v>
      </c>
      <c r="M73" s="44">
        <f t="shared" si="28"/>
        <v>225000</v>
      </c>
      <c r="N73" s="44">
        <f t="shared" si="28"/>
        <v>225000</v>
      </c>
      <c r="Q73" s="2" t="s">
        <v>124</v>
      </c>
      <c r="R73" s="18">
        <v>0.03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3.5" customHeight="1" x14ac:dyDescent="0.25">
      <c r="B74" s="26" t="s">
        <v>26</v>
      </c>
      <c r="E74" s="49">
        <f>C74+E51</f>
        <v>7500</v>
      </c>
      <c r="F74" s="49">
        <f t="shared" ref="F74:N74" si="29">E74+F51</f>
        <v>15000</v>
      </c>
      <c r="G74" s="49">
        <f t="shared" si="29"/>
        <v>22500</v>
      </c>
      <c r="H74" s="49">
        <f t="shared" si="29"/>
        <v>30000</v>
      </c>
      <c r="I74" s="49">
        <f t="shared" si="29"/>
        <v>37500</v>
      </c>
      <c r="J74" s="49">
        <f t="shared" si="29"/>
        <v>45000</v>
      </c>
      <c r="K74" s="49">
        <f t="shared" si="29"/>
        <v>52500</v>
      </c>
      <c r="L74" s="49">
        <f t="shared" si="29"/>
        <v>60000</v>
      </c>
      <c r="M74" s="49">
        <f t="shared" si="29"/>
        <v>67500</v>
      </c>
      <c r="N74" s="49">
        <f t="shared" si="29"/>
        <v>75000</v>
      </c>
      <c r="Q74" s="2" t="s">
        <v>143</v>
      </c>
      <c r="R74" s="18">
        <f>R72+R73</f>
        <v>0.04</v>
      </c>
      <c r="S74" s="2" t="s">
        <v>144</v>
      </c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3.5" customHeight="1" x14ac:dyDescent="0.25">
      <c r="E75" s="44"/>
      <c r="F75" s="44"/>
      <c r="G75" s="44"/>
      <c r="H75" s="48"/>
      <c r="I75" s="48"/>
      <c r="J75" s="44"/>
      <c r="K75" s="44"/>
      <c r="L75" s="44"/>
      <c r="M75" s="44"/>
      <c r="N75" s="44"/>
      <c r="Q75" s="2" t="s">
        <v>97</v>
      </c>
      <c r="R75" s="18">
        <f>R74+3%</f>
        <v>7.0000000000000007E-2</v>
      </c>
      <c r="S75" s="2" t="s">
        <v>145</v>
      </c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3.5" customHeight="1" x14ac:dyDescent="0.25">
      <c r="A76" s="26" t="s">
        <v>93</v>
      </c>
      <c r="E76" s="44">
        <f>E70+E72+E73-E74</f>
        <v>1419620.3803934869</v>
      </c>
      <c r="F76" s="44">
        <f t="shared" ref="F76:N76" si="30">F70+F72+F73-F74</f>
        <v>1297276.8703645859</v>
      </c>
      <c r="G76" s="44">
        <f t="shared" si="30"/>
        <v>1176427.1026145448</v>
      </c>
      <c r="H76" s="44">
        <f t="shared" si="30"/>
        <v>1057278.2582585115</v>
      </c>
      <c r="I76" s="44">
        <f t="shared" si="30"/>
        <v>940055.28033886896</v>
      </c>
      <c r="J76" s="44">
        <f t="shared" si="30"/>
        <v>825002.28331266018</v>
      </c>
      <c r="K76" s="44">
        <f t="shared" si="30"/>
        <v>712384.07309837965</v>
      </c>
      <c r="L76" s="44">
        <f t="shared" si="30"/>
        <v>602487.78638494527</v>
      </c>
      <c r="M76" s="44">
        <f t="shared" si="30"/>
        <v>495624.65859513066</v>
      </c>
      <c r="N76" s="44">
        <f t="shared" si="30"/>
        <v>407964.0761023204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3.5" customHeight="1" x14ac:dyDescent="0.25">
      <c r="H77" s="44"/>
      <c r="I77" s="44"/>
      <c r="J77" s="44"/>
      <c r="Q77" s="1" t="s">
        <v>146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3.5" customHeight="1" x14ac:dyDescent="0.25">
      <c r="A78" s="26" t="s">
        <v>27</v>
      </c>
      <c r="E78" s="44"/>
      <c r="F78" s="44"/>
      <c r="G78" s="44"/>
      <c r="H78" s="44"/>
      <c r="I78" s="44"/>
      <c r="J78" s="44"/>
      <c r="Q78" s="2" t="s">
        <v>126</v>
      </c>
      <c r="R78" s="18">
        <f>AVERAGE(E35:N35)</f>
        <v>0.1353</v>
      </c>
      <c r="S78" s="2" t="s">
        <v>128</v>
      </c>
      <c r="T78" s="2"/>
      <c r="U78" s="2"/>
      <c r="V78" s="2"/>
      <c r="W78" s="21" t="s">
        <v>147</v>
      </c>
      <c r="X78" s="22"/>
      <c r="Y78" s="22"/>
      <c r="Z78" s="22"/>
      <c r="AA78" s="22"/>
      <c r="AB78" s="22"/>
      <c r="AC78" s="22"/>
      <c r="AD78" s="22"/>
      <c r="AE78" s="22"/>
      <c r="AF78" s="2"/>
    </row>
    <row r="79" spans="1:32" ht="13.5" customHeight="1" x14ac:dyDescent="0.25">
      <c r="A79" s="26" t="s">
        <v>28</v>
      </c>
      <c r="E79" s="44"/>
      <c r="F79" s="44"/>
      <c r="G79" s="44"/>
      <c r="H79" s="44"/>
      <c r="I79" s="44"/>
      <c r="J79" s="44"/>
      <c r="Q79" s="2" t="s">
        <v>121</v>
      </c>
      <c r="R79" s="2">
        <v>0.72</v>
      </c>
      <c r="S79" s="2" t="s">
        <v>148</v>
      </c>
      <c r="T79" s="2"/>
      <c r="U79" s="2"/>
      <c r="V79" s="2"/>
      <c r="W79" s="23" t="str">
        <f>S124</f>
        <v>- It sounds like they are a family-owned business, established in a garage, so they probably have a pretty good feel for the Colorado area around their store</v>
      </c>
      <c r="X79" s="22"/>
      <c r="Y79" s="22"/>
      <c r="Z79" s="22"/>
      <c r="AA79" s="22"/>
      <c r="AB79" s="22"/>
      <c r="AC79" s="22"/>
      <c r="AD79" s="22"/>
      <c r="AE79" s="22"/>
      <c r="AF79" s="2"/>
    </row>
    <row r="80" spans="1:32" ht="13.5" customHeight="1" x14ac:dyDescent="0.25">
      <c r="B80" s="26" t="s">
        <v>94</v>
      </c>
      <c r="E80" s="44">
        <f>E43/365*E32</f>
        <v>6096.4306027397261</v>
      </c>
      <c r="F80" s="44">
        <f t="shared" ref="F80:N80" si="31">F43/365*F32</f>
        <v>6536.6673680958911</v>
      </c>
      <c r="G80" s="44">
        <f t="shared" si="31"/>
        <v>7009.3577789381716</v>
      </c>
      <c r="H80" s="44">
        <f t="shared" si="31"/>
        <v>7516.9395554948178</v>
      </c>
      <c r="I80" s="44">
        <f t="shared" si="31"/>
        <v>8062.0365534540088</v>
      </c>
      <c r="J80" s="44">
        <f t="shared" si="31"/>
        <v>8647.4731754101504</v>
      </c>
      <c r="K80" s="44">
        <f t="shared" si="31"/>
        <v>9276.2899109481186</v>
      </c>
      <c r="L80" s="44">
        <f t="shared" si="31"/>
        <v>9951.7600945728227</v>
      </c>
      <c r="M80" s="44">
        <f t="shared" si="31"/>
        <v>10677.407977793831</v>
      </c>
      <c r="N80" s="44">
        <f t="shared" si="31"/>
        <v>11457.028219345906</v>
      </c>
      <c r="Q80" s="2" t="s">
        <v>122</v>
      </c>
      <c r="R80" s="6">
        <f>R79*(1+(1-R78)*((R86+R87)/R91))</f>
        <v>21.082889240586013</v>
      </c>
      <c r="S80" s="2" t="s">
        <v>127</v>
      </c>
      <c r="T80" s="2"/>
      <c r="U80" s="2"/>
      <c r="V80" s="2"/>
      <c r="W80" s="23" t="str">
        <f>S126</f>
        <v>- Owners have trade secrets, given their paint formula that works on rubber and paint</v>
      </c>
      <c r="X80" s="22"/>
      <c r="Y80" s="22"/>
      <c r="Z80" s="22"/>
      <c r="AA80" s="22"/>
      <c r="AB80" s="22"/>
      <c r="AC80" s="22"/>
      <c r="AD80" s="22"/>
      <c r="AE80" s="22"/>
      <c r="AF80" s="2"/>
    </row>
    <row r="81" spans="1:33" ht="13.5" customHeight="1" x14ac:dyDescent="0.25">
      <c r="B81" s="26" t="s">
        <v>72</v>
      </c>
      <c r="E81" s="49">
        <f>E60</f>
        <v>-15296.549095996597</v>
      </c>
      <c r="F81" s="49">
        <f t="shared" ref="F81:N81" si="32">F60</f>
        <v>-14932.872285871017</v>
      </c>
      <c r="G81" s="49">
        <f t="shared" si="32"/>
        <v>-14533.198456538152</v>
      </c>
      <c r="H81" s="49">
        <f t="shared" si="32"/>
        <v>-14094.728933846884</v>
      </c>
      <c r="I81" s="49">
        <f t="shared" si="32"/>
        <v>-13614.453496940569</v>
      </c>
      <c r="J81" s="49">
        <f t="shared" si="32"/>
        <v>-13089.134218666612</v>
      </c>
      <c r="K81" s="49">
        <f t="shared" si="32"/>
        <v>-12515.288052335431</v>
      </c>
      <c r="L81" s="49">
        <f t="shared" si="32"/>
        <v>-11889.168066293858</v>
      </c>
      <c r="M81" s="49">
        <f t="shared" si="32"/>
        <v>-11206.74321995691</v>
      </c>
      <c r="N81" s="49">
        <f t="shared" si="32"/>
        <v>-10572.626883017238</v>
      </c>
      <c r="Q81" s="2" t="s">
        <v>123</v>
      </c>
      <c r="R81" s="18">
        <v>8.5000000000000006E-2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3" ht="13.5" customHeight="1" x14ac:dyDescent="0.25">
      <c r="A82" s="26" t="s">
        <v>95</v>
      </c>
      <c r="E82" s="44">
        <f>SUM(E80:E81)</f>
        <v>-9200.1184932568722</v>
      </c>
      <c r="F82" s="44">
        <f t="shared" ref="F82:N82" si="33">SUM(F80:F81)</f>
        <v>-8396.2049177751251</v>
      </c>
      <c r="G82" s="44">
        <f t="shared" si="33"/>
        <v>-7523.8406775999802</v>
      </c>
      <c r="H82" s="44">
        <f t="shared" si="33"/>
        <v>-6577.7893783520658</v>
      </c>
      <c r="I82" s="44">
        <f t="shared" si="33"/>
        <v>-5552.4169434865598</v>
      </c>
      <c r="J82" s="44">
        <f t="shared" si="33"/>
        <v>-4441.6610432564612</v>
      </c>
      <c r="K82" s="44">
        <f t="shared" si="33"/>
        <v>-3238.998141387312</v>
      </c>
      <c r="L82" s="44">
        <f t="shared" si="33"/>
        <v>-1937.4079717210352</v>
      </c>
      <c r="M82" s="44">
        <f t="shared" si="33"/>
        <v>-529.33524216307887</v>
      </c>
      <c r="N82" s="44">
        <f t="shared" si="33"/>
        <v>884.40133632866855</v>
      </c>
      <c r="Q82" s="2" t="s">
        <v>124</v>
      </c>
      <c r="R82" s="18">
        <v>0.03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3" ht="13.5" customHeight="1" x14ac:dyDescent="0.25">
      <c r="E83" s="44"/>
      <c r="F83" s="44"/>
      <c r="G83" s="44"/>
      <c r="H83" s="44"/>
      <c r="I83" s="44"/>
      <c r="J83" s="44"/>
      <c r="Q83" s="2" t="s">
        <v>125</v>
      </c>
      <c r="R83" s="5">
        <f>R82+R80*(R81-R82)</f>
        <v>1.1895589082322309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3" ht="13.5" customHeight="1" x14ac:dyDescent="0.25">
      <c r="A84" s="26" t="s">
        <v>96</v>
      </c>
      <c r="E84" s="44">
        <f>'Amortization Table'!F13</f>
        <v>1485373.1291292289</v>
      </c>
      <c r="F84" s="44">
        <f>'Amortization Table'!F27</f>
        <v>1457661.4384560562</v>
      </c>
      <c r="G84" s="44">
        <f>'Amortization Table'!F41</f>
        <v>1428820.7307479426</v>
      </c>
      <c r="H84" s="44">
        <f>'Amortization Table'!F55</f>
        <v>1398805.0081089023</v>
      </c>
      <c r="I84" s="44">
        <f>'Amortization Table'!F69</f>
        <v>1367566.3986176946</v>
      </c>
      <c r="J84" s="44">
        <f>'Amortization Table'!F83</f>
        <v>1335055.0799771468</v>
      </c>
      <c r="K84" s="44">
        <f>'Amortization Table'!F97</f>
        <v>1301219.2000528255</v>
      </c>
      <c r="L84" s="44">
        <f>'Amortization Table'!F111</f>
        <v>1266004.7941743392</v>
      </c>
      <c r="M84" s="44">
        <f>'Amortization Table'!F125</f>
        <v>1229355.6990673593</v>
      </c>
      <c r="N84" s="44">
        <f>'Amortization Table'!F139</f>
        <v>1191213.4632791074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3" ht="13.5" customHeight="1" x14ac:dyDescent="0.25">
      <c r="A85" s="26" t="s">
        <v>97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16637.395399470195</v>
      </c>
      <c r="Q85" s="2" t="s">
        <v>117</v>
      </c>
      <c r="R85" s="2" t="s">
        <v>118</v>
      </c>
      <c r="S85" s="2" t="s">
        <v>51</v>
      </c>
      <c r="T85" s="2" t="s">
        <v>119</v>
      </c>
      <c r="U85" s="2" t="s">
        <v>120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3" ht="13.5" customHeight="1" x14ac:dyDescent="0.25">
      <c r="E86" s="44"/>
      <c r="F86" s="44"/>
      <c r="G86" s="44"/>
      <c r="H86" s="48"/>
      <c r="I86" s="48"/>
      <c r="J86" s="44"/>
      <c r="Q86" s="4">
        <f>AVERAGE(E84:N84)</f>
        <v>1346107.4941610605</v>
      </c>
      <c r="R86" s="5">
        <f>Q86/Q94</f>
        <v>0.96913480532479568</v>
      </c>
      <c r="S86" s="3">
        <f>R74</f>
        <v>0.04</v>
      </c>
      <c r="T86" s="5">
        <f>S86*(1-$R$78)</f>
        <v>3.4588000000000001E-2</v>
      </c>
      <c r="U86" s="5">
        <f>R86*T86</f>
        <v>3.3520434646574032E-2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3" ht="13.5" customHeight="1" x14ac:dyDescent="0.25">
      <c r="A87" s="26" t="s">
        <v>98</v>
      </c>
      <c r="E87" s="44">
        <f>SUM(E82,E84,E85)</f>
        <v>1476173.010635972</v>
      </c>
      <c r="F87" s="44">
        <f t="shared" ref="F87:N87" si="34">SUM(F82,F84,F85)</f>
        <v>1449265.2335382809</v>
      </c>
      <c r="G87" s="44">
        <f t="shared" si="34"/>
        <v>1421296.8900703427</v>
      </c>
      <c r="H87" s="44">
        <f t="shared" si="34"/>
        <v>1392227.2187305503</v>
      </c>
      <c r="I87" s="44">
        <f t="shared" si="34"/>
        <v>1362013.9816742081</v>
      </c>
      <c r="J87" s="44">
        <f t="shared" si="34"/>
        <v>1330613.4189338903</v>
      </c>
      <c r="K87" s="44">
        <f t="shared" si="34"/>
        <v>1297980.2019114383</v>
      </c>
      <c r="L87" s="44">
        <f t="shared" si="34"/>
        <v>1264067.386202618</v>
      </c>
      <c r="M87" s="44">
        <f t="shared" si="34"/>
        <v>1228826.3638251962</v>
      </c>
      <c r="N87" s="44">
        <f t="shared" si="34"/>
        <v>1208735.2600149061</v>
      </c>
      <c r="Q87" s="4">
        <f>AVERAGE(E85:N85)</f>
        <v>1663.7395399470195</v>
      </c>
      <c r="R87" s="5">
        <f>Q87/Q94</f>
        <v>1.197815109232873E-3</v>
      </c>
      <c r="S87" s="3">
        <f>R75</f>
        <v>7.0000000000000007E-2</v>
      </c>
      <c r="T87" s="5">
        <f>S87*(1-$R$78)</f>
        <v>6.0529000000000006E-2</v>
      </c>
      <c r="U87" s="5">
        <f>R87*T87</f>
        <v>7.2502550746756582E-5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3" ht="13.5" customHeight="1" x14ac:dyDescent="0.25">
      <c r="E88" s="44"/>
      <c r="F88" s="44"/>
      <c r="G88" s="44"/>
      <c r="H88" s="44"/>
      <c r="I88" s="44"/>
      <c r="J88" s="44"/>
      <c r="Q88" s="2"/>
      <c r="R88" s="5"/>
      <c r="S88" s="2"/>
      <c r="T88" s="5"/>
      <c r="U88" s="5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3" ht="13.5" customHeight="1" x14ac:dyDescent="0.25">
      <c r="A89" s="26" t="s">
        <v>29</v>
      </c>
      <c r="E89" s="50">
        <f>E42*25%</f>
        <v>41207.354999999996</v>
      </c>
      <c r="F89" s="44">
        <f>E89</f>
        <v>41207.354999999996</v>
      </c>
      <c r="G89" s="44">
        <f t="shared" ref="G89:N89" si="35">F89</f>
        <v>41207.354999999996</v>
      </c>
      <c r="H89" s="44">
        <f t="shared" si="35"/>
        <v>41207.354999999996</v>
      </c>
      <c r="I89" s="44">
        <f t="shared" si="35"/>
        <v>41207.354999999996</v>
      </c>
      <c r="J89" s="44">
        <f t="shared" si="35"/>
        <v>41207.354999999996</v>
      </c>
      <c r="K89" s="44">
        <f t="shared" si="35"/>
        <v>41207.354999999996</v>
      </c>
      <c r="L89" s="44">
        <f t="shared" si="35"/>
        <v>41207.354999999996</v>
      </c>
      <c r="M89" s="44">
        <f t="shared" si="35"/>
        <v>41207.354999999996</v>
      </c>
      <c r="N89" s="44">
        <f t="shared" si="35"/>
        <v>41207.354999999996</v>
      </c>
      <c r="Q89" s="2"/>
      <c r="R89" s="5"/>
      <c r="S89" s="2"/>
      <c r="T89" s="5"/>
      <c r="U89" s="5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3" ht="13.5" customHeight="1" x14ac:dyDescent="0.25">
      <c r="A90" s="26" t="s">
        <v>99</v>
      </c>
      <c r="E90" s="45">
        <f>C90+E61</f>
        <v>-97759.985242485272</v>
      </c>
      <c r="F90" s="45">
        <f t="shared" ref="F90:N90" si="36">E90+F61</f>
        <v>-193195.71817369494</v>
      </c>
      <c r="G90" s="45">
        <f t="shared" si="36"/>
        <v>-286077.14245579799</v>
      </c>
      <c r="H90" s="45">
        <f t="shared" si="36"/>
        <v>-376156.31547203893</v>
      </c>
      <c r="I90" s="45">
        <f t="shared" si="36"/>
        <v>-463166.05633533909</v>
      </c>
      <c r="J90" s="45">
        <f t="shared" si="36"/>
        <v>-546818.49062122987</v>
      </c>
      <c r="K90" s="45">
        <f t="shared" si="36"/>
        <v>-626803.4838130587</v>
      </c>
      <c r="L90" s="45">
        <f t="shared" si="36"/>
        <v>-702786.95481767284</v>
      </c>
      <c r="M90" s="45">
        <f t="shared" si="36"/>
        <v>-774409.0602300656</v>
      </c>
      <c r="N90" s="45">
        <f t="shared" si="36"/>
        <v>-841978.53891258594</v>
      </c>
      <c r="Q90" s="2"/>
      <c r="R90" s="5"/>
      <c r="S90" s="2"/>
      <c r="T90" s="5"/>
      <c r="U90" s="5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3" ht="13.5" customHeight="1" x14ac:dyDescent="0.25">
      <c r="E91" s="44"/>
      <c r="F91" s="44"/>
      <c r="G91" s="44"/>
      <c r="H91" s="44"/>
      <c r="I91" s="44"/>
      <c r="J91" s="44"/>
      <c r="Q91" s="4">
        <f>AVERAGE(E89:N89)</f>
        <v>41207.354999999989</v>
      </c>
      <c r="R91" s="5">
        <f>SUM(Q91:Q92)/Q94</f>
        <v>2.9667379565971343E-2</v>
      </c>
      <c r="S91" s="18">
        <f>R83</f>
        <v>1.1895589082322309</v>
      </c>
      <c r="T91" s="5">
        <f>S91</f>
        <v>1.1895589082322309</v>
      </c>
      <c r="U91" s="78">
        <f>R91*T91</f>
        <v>3.5291095646608067E-2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3" ht="13.5" customHeight="1" x14ac:dyDescent="0.25">
      <c r="A92" s="26" t="s">
        <v>30</v>
      </c>
      <c r="E92" s="44">
        <f>E87+E90+E89</f>
        <v>1419620.3803934867</v>
      </c>
      <c r="F92" s="44">
        <f t="shared" ref="F92:N92" si="37">F87+F90+F89</f>
        <v>1297276.8703645859</v>
      </c>
      <c r="G92" s="44">
        <f t="shared" si="37"/>
        <v>1176427.1026145448</v>
      </c>
      <c r="H92" s="44">
        <f t="shared" si="37"/>
        <v>1057278.2582585113</v>
      </c>
      <c r="I92" s="44">
        <f t="shared" si="37"/>
        <v>940055.28033886896</v>
      </c>
      <c r="J92" s="44">
        <f t="shared" si="37"/>
        <v>825002.28331266041</v>
      </c>
      <c r="K92" s="44">
        <f t="shared" si="37"/>
        <v>712384.07309837954</v>
      </c>
      <c r="L92" s="44">
        <f t="shared" si="37"/>
        <v>602487.78638494515</v>
      </c>
      <c r="M92" s="44">
        <f t="shared" si="37"/>
        <v>495624.65859513055</v>
      </c>
      <c r="N92" s="44">
        <f t="shared" si="37"/>
        <v>407964.0761023201</v>
      </c>
      <c r="Q92" s="4"/>
      <c r="R92" s="5"/>
      <c r="S92" s="2"/>
      <c r="T92" s="2"/>
      <c r="U92" s="5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3" ht="13.5" customHeight="1" x14ac:dyDescent="0.25">
      <c r="H93" s="44"/>
      <c r="I93" s="44"/>
      <c r="J93" s="44"/>
      <c r="Q93" s="2"/>
      <c r="R93" s="5"/>
      <c r="S93" s="2"/>
      <c r="T93" s="2"/>
      <c r="U93" s="5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3" ht="13.5" customHeight="1" x14ac:dyDescent="0.25">
      <c r="A94" s="26" t="s">
        <v>100</v>
      </c>
      <c r="E94" s="44">
        <f>E76-E92</f>
        <v>0</v>
      </c>
      <c r="F94" s="44">
        <f t="shared" ref="F94:N94" si="38">F76-F92</f>
        <v>0</v>
      </c>
      <c r="G94" s="44">
        <f t="shared" si="38"/>
        <v>0</v>
      </c>
      <c r="H94" s="44">
        <f t="shared" si="38"/>
        <v>0</v>
      </c>
      <c r="I94" s="44">
        <f t="shared" si="38"/>
        <v>0</v>
      </c>
      <c r="J94" s="44">
        <f t="shared" si="38"/>
        <v>0</v>
      </c>
      <c r="K94" s="44">
        <f t="shared" si="38"/>
        <v>0</v>
      </c>
      <c r="L94" s="44">
        <f t="shared" si="38"/>
        <v>0</v>
      </c>
      <c r="M94" s="44">
        <f t="shared" si="38"/>
        <v>0</v>
      </c>
      <c r="N94" s="44">
        <f t="shared" si="38"/>
        <v>0</v>
      </c>
      <c r="Q94" s="4">
        <f>SUM(Q86:Q92)</f>
        <v>1388978.5887010077</v>
      </c>
      <c r="R94" s="5">
        <f>SUM(R86:R92)</f>
        <v>0.99999999999999989</v>
      </c>
      <c r="S94" s="2"/>
      <c r="T94" s="2"/>
      <c r="U94" s="19">
        <f>SUM(U86:U91)</f>
        <v>6.8884032843928855E-2</v>
      </c>
      <c r="V94" s="1" t="s">
        <v>114</v>
      </c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3" x14ac:dyDescent="0.25">
      <c r="Q95" s="2"/>
      <c r="R95" s="2"/>
      <c r="S95" s="2"/>
      <c r="T95" s="2"/>
      <c r="U95" s="5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3" x14ac:dyDescent="0.25">
      <c r="A96" s="1" t="s">
        <v>101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AG96" s="2"/>
    </row>
    <row r="97" spans="1:3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AG97" s="2"/>
    </row>
    <row r="98" spans="1:33" x14ac:dyDescent="0.25">
      <c r="A98" s="1" t="s">
        <v>102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x14ac:dyDescent="0.25">
      <c r="A99" s="2"/>
      <c r="B99" s="2" t="s">
        <v>103</v>
      </c>
      <c r="C99" s="2"/>
      <c r="D99" s="2"/>
      <c r="E99" s="15">
        <f t="shared" ref="E99:M99" si="39">E42-E46-E47-E48-E49-E50</f>
        <v>28612.064999999988</v>
      </c>
      <c r="F99" s="15">
        <f t="shared" si="39"/>
        <v>35571.388297499987</v>
      </c>
      <c r="G99" s="15">
        <f t="shared" si="39"/>
        <v>43147.420406246245</v>
      </c>
      <c r="H99" s="15">
        <f t="shared" si="39"/>
        <v>51388.704545311564</v>
      </c>
      <c r="I99" s="15">
        <f t="shared" si="39"/>
        <v>60347.538758161834</v>
      </c>
      <c r="J99" s="15">
        <f t="shared" si="39"/>
        <v>70080.267698304349</v>
      </c>
      <c r="K99" s="15">
        <f t="shared" si="39"/>
        <v>80647.597290636506</v>
      </c>
      <c r="L99" s="15">
        <f t="shared" si="39"/>
        <v>92114.934077161131</v>
      </c>
      <c r="M99" s="15">
        <f t="shared" si="39"/>
        <v>104552.75119974848</v>
      </c>
      <c r="N99" s="15">
        <f>N42-N46-N47-N48-N49-N50</f>
        <v>118036.98312817268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x14ac:dyDescent="0.25">
      <c r="A100" s="2"/>
      <c r="B100" s="2" t="s">
        <v>104</v>
      </c>
      <c r="C100" s="2"/>
      <c r="D100" s="2"/>
      <c r="E100" s="15">
        <f t="shared" ref="E100:M100" si="40">E51</f>
        <v>7500</v>
      </c>
      <c r="F100" s="15">
        <f t="shared" si="40"/>
        <v>7500</v>
      </c>
      <c r="G100" s="15">
        <f t="shared" si="40"/>
        <v>7500</v>
      </c>
      <c r="H100" s="15">
        <f t="shared" si="40"/>
        <v>7500</v>
      </c>
      <c r="I100" s="15">
        <f t="shared" si="40"/>
        <v>7500</v>
      </c>
      <c r="J100" s="15">
        <f t="shared" si="40"/>
        <v>7500</v>
      </c>
      <c r="K100" s="15">
        <f t="shared" si="40"/>
        <v>7500</v>
      </c>
      <c r="L100" s="15">
        <f t="shared" si="40"/>
        <v>7500</v>
      </c>
      <c r="M100" s="15">
        <f t="shared" si="40"/>
        <v>7500</v>
      </c>
      <c r="N100" s="15">
        <f>N51</f>
        <v>7500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x14ac:dyDescent="0.25">
      <c r="A101" s="2"/>
      <c r="B101" s="2" t="s">
        <v>105</v>
      </c>
      <c r="C101" s="2"/>
      <c r="D101" s="2"/>
      <c r="E101" s="15">
        <f>E99-E100</f>
        <v>21112.064999999988</v>
      </c>
      <c r="F101" s="15">
        <f t="shared" ref="F101:M101" si="41">F99-F100</f>
        <v>28071.388297499987</v>
      </c>
      <c r="G101" s="15">
        <f t="shared" si="41"/>
        <v>35647.420406246245</v>
      </c>
      <c r="H101" s="15">
        <f t="shared" si="41"/>
        <v>43888.704545311564</v>
      </c>
      <c r="I101" s="15">
        <f t="shared" si="41"/>
        <v>52847.538758161834</v>
      </c>
      <c r="J101" s="15">
        <f t="shared" si="41"/>
        <v>62580.267698304349</v>
      </c>
      <c r="K101" s="15">
        <f t="shared" si="41"/>
        <v>73147.597290636506</v>
      </c>
      <c r="L101" s="15">
        <f t="shared" si="41"/>
        <v>84614.934077161131</v>
      </c>
      <c r="M101" s="15">
        <f t="shared" si="41"/>
        <v>97052.751199748483</v>
      </c>
      <c r="N101" s="15">
        <f>N99-N100</f>
        <v>110536.98312817268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x14ac:dyDescent="0.25">
      <c r="A102" s="2"/>
      <c r="B102" s="2" t="s">
        <v>106</v>
      </c>
      <c r="C102" s="2"/>
      <c r="D102" s="2"/>
      <c r="E102" s="15">
        <f>E101*E35</f>
        <v>2856.4623944999985</v>
      </c>
      <c r="F102" s="15">
        <f t="shared" ref="F102:M102" si="42">F101*F35</f>
        <v>3798.0588366517482</v>
      </c>
      <c r="G102" s="15">
        <f t="shared" si="42"/>
        <v>4823.0959809651167</v>
      </c>
      <c r="H102" s="15">
        <f t="shared" si="42"/>
        <v>5938.1417249806545</v>
      </c>
      <c r="I102" s="15">
        <f t="shared" si="42"/>
        <v>7150.271993979296</v>
      </c>
      <c r="J102" s="15">
        <f t="shared" si="42"/>
        <v>8467.1102195805779</v>
      </c>
      <c r="K102" s="15">
        <f t="shared" si="42"/>
        <v>9896.8699134231192</v>
      </c>
      <c r="L102" s="15">
        <f t="shared" si="42"/>
        <v>11448.400580639902</v>
      </c>
      <c r="M102" s="15">
        <f t="shared" si="42"/>
        <v>13131.23723732597</v>
      </c>
      <c r="N102" s="15">
        <f>N101*N35</f>
        <v>14955.653817241764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x14ac:dyDescent="0.25">
      <c r="A103" s="2"/>
      <c r="B103" s="2" t="s">
        <v>112</v>
      </c>
      <c r="C103" s="2"/>
      <c r="D103" s="2"/>
      <c r="E103" s="15">
        <f>E99-E102</f>
        <v>25755.602605499989</v>
      </c>
      <c r="F103" s="15">
        <f t="shared" ref="F103:M103" si="43">F99-F102</f>
        <v>31773.329460848239</v>
      </c>
      <c r="G103" s="15">
        <f t="shared" si="43"/>
        <v>38324.324425281127</v>
      </c>
      <c r="H103" s="15">
        <f t="shared" si="43"/>
        <v>45450.56282033091</v>
      </c>
      <c r="I103" s="15">
        <f t="shared" si="43"/>
        <v>53197.266764182539</v>
      </c>
      <c r="J103" s="15">
        <f t="shared" si="43"/>
        <v>61613.15747872377</v>
      </c>
      <c r="K103" s="15">
        <f t="shared" si="43"/>
        <v>70750.727377213392</v>
      </c>
      <c r="L103" s="15">
        <f t="shared" si="43"/>
        <v>80666.533496521224</v>
      </c>
      <c r="M103" s="15">
        <f t="shared" si="43"/>
        <v>91421.513962422512</v>
      </c>
      <c r="N103" s="15">
        <f>N99-N102</f>
        <v>103081.32931093092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x14ac:dyDescent="0.25">
      <c r="A105" s="1" t="s">
        <v>107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x14ac:dyDescent="0.25">
      <c r="A106" s="2" t="s">
        <v>108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x14ac:dyDescent="0.25">
      <c r="A107" s="2"/>
      <c r="B107" s="2" t="s">
        <v>89</v>
      </c>
      <c r="C107" s="2"/>
      <c r="D107" s="4">
        <f>-(E66-D66)</f>
        <v>-3296.5883999999996</v>
      </c>
      <c r="E107" s="4">
        <f t="shared" ref="E107:N110" si="44">-(F66-E66)</f>
        <v>-238.05395460000045</v>
      </c>
      <c r="F107" s="4">
        <f t="shared" si="44"/>
        <v>-255.60296289989992</v>
      </c>
      <c r="G107" s="4">
        <f t="shared" si="44"/>
        <v>-274.47014584174212</v>
      </c>
      <c r="H107" s="4">
        <f t="shared" si="44"/>
        <v>-294.75615445200674</v>
      </c>
      <c r="I107" s="4">
        <f t="shared" si="44"/>
        <v>-316.56943261332162</v>
      </c>
      <c r="J107" s="4">
        <f t="shared" si="44"/>
        <v>-340.02682736497445</v>
      </c>
      <c r="K107" s="4">
        <f t="shared" si="44"/>
        <v>-365.25424744150769</v>
      </c>
      <c r="L107" s="4">
        <f t="shared" si="44"/>
        <v>-392.38737388987738</v>
      </c>
      <c r="M107" s="4">
        <f t="shared" si="44"/>
        <v>-421.57242691334523</v>
      </c>
      <c r="N107" s="4">
        <f t="shared" si="44"/>
        <v>6195.2819260166752</v>
      </c>
      <c r="O107" s="2"/>
      <c r="P107" s="4">
        <f>SUM(D107:N107)</f>
        <v>0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x14ac:dyDescent="0.25">
      <c r="A108" s="2"/>
      <c r="B108" s="2" t="s">
        <v>90</v>
      </c>
      <c r="C108" s="2"/>
      <c r="D108" s="4">
        <f>-(E67-D67)</f>
        <v>-971276.95741814433</v>
      </c>
      <c r="E108" s="4">
        <f>-(F67-E67)</f>
        <v>117070.7819602954</v>
      </c>
      <c r="F108" s="4">
        <f>-(G67-F67)</f>
        <v>115741.23108785786</v>
      </c>
      <c r="G108" s="4">
        <f t="shared" si="44"/>
        <v>114216.83215890895</v>
      </c>
      <c r="H108" s="4">
        <f t="shared" si="44"/>
        <v>112480.764953762</v>
      </c>
      <c r="I108" s="4">
        <f t="shared" si="44"/>
        <v>110514.87267654977</v>
      </c>
      <c r="J108" s="4">
        <f t="shared" si="44"/>
        <v>108299.55710592831</v>
      </c>
      <c r="K108" s="4">
        <f t="shared" si="44"/>
        <v>105813.66549429111</v>
      </c>
      <c r="L108" s="4">
        <f t="shared" si="44"/>
        <v>103034.36856196242</v>
      </c>
      <c r="M108" s="4">
        <f>-(N67-M67)</f>
        <v>84104.883418588521</v>
      </c>
      <c r="N108" s="4">
        <f>-(O67-N67)</f>
        <v>0</v>
      </c>
      <c r="O108" s="2"/>
      <c r="P108" s="4">
        <f t="shared" ref="P108:P112" si="45">SUM(D108:N108)</f>
        <v>0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x14ac:dyDescent="0.25">
      <c r="A109" s="2"/>
      <c r="B109" s="2" t="s">
        <v>91</v>
      </c>
      <c r="C109" s="2"/>
      <c r="D109" s="4">
        <f>-(E68-D68)</f>
        <v>-3161.1121643835613</v>
      </c>
      <c r="E109" s="4">
        <f t="shared" ref="E109:F110" si="46">-(F68-E68)</f>
        <v>-228.27091536986336</v>
      </c>
      <c r="F109" s="4">
        <f t="shared" si="46"/>
        <v>-245.09873154784964</v>
      </c>
      <c r="G109" s="4">
        <f t="shared" si="44"/>
        <v>-263.19055080714952</v>
      </c>
      <c r="H109" s="4">
        <f t="shared" si="44"/>
        <v>-282.64288783069242</v>
      </c>
      <c r="I109" s="4">
        <f t="shared" si="44"/>
        <v>-303.55972990318332</v>
      </c>
      <c r="J109" s="4">
        <f t="shared" si="44"/>
        <v>-326.05312213079833</v>
      </c>
      <c r="K109" s="4">
        <f t="shared" si="44"/>
        <v>-350.2437989165137</v>
      </c>
      <c r="L109" s="4">
        <f t="shared" si="44"/>
        <v>-376.26186537385638</v>
      </c>
      <c r="M109" s="4">
        <f t="shared" si="44"/>
        <v>-404.24753265663185</v>
      </c>
      <c r="N109" s="4">
        <f t="shared" si="44"/>
        <v>5940.6812989200998</v>
      </c>
      <c r="O109" s="2"/>
      <c r="P109" s="4">
        <f t="shared" si="45"/>
        <v>0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x14ac:dyDescent="0.25">
      <c r="A110" s="2"/>
      <c r="B110" s="2" t="s">
        <v>24</v>
      </c>
      <c r="C110" s="2"/>
      <c r="D110" s="4">
        <f>-(E69-D69)</f>
        <v>-24385.722410958904</v>
      </c>
      <c r="E110" s="4">
        <f t="shared" si="46"/>
        <v>-1760.9470614246602</v>
      </c>
      <c r="F110" s="4">
        <f t="shared" si="46"/>
        <v>-1890.7616433691219</v>
      </c>
      <c r="G110" s="4">
        <f t="shared" si="44"/>
        <v>-2030.3271062265849</v>
      </c>
      <c r="H110" s="4">
        <f t="shared" si="44"/>
        <v>-2180.3879918367638</v>
      </c>
      <c r="I110" s="4">
        <f t="shared" si="44"/>
        <v>-2341.7464878245664</v>
      </c>
      <c r="J110" s="4">
        <f t="shared" si="44"/>
        <v>-2515.2669421518731</v>
      </c>
      <c r="K110" s="4">
        <f t="shared" si="44"/>
        <v>-2701.8807344988163</v>
      </c>
      <c r="L110" s="4">
        <f t="shared" si="44"/>
        <v>-2902.5915328840347</v>
      </c>
      <c r="M110" s="4">
        <f t="shared" si="44"/>
        <v>-3118.4809662082989</v>
      </c>
      <c r="N110" s="4">
        <f t="shared" si="44"/>
        <v>45828.112877383624</v>
      </c>
      <c r="O110" s="2"/>
      <c r="P110" s="4">
        <f t="shared" si="45"/>
        <v>0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x14ac:dyDescent="0.25">
      <c r="A111" s="2"/>
      <c r="B111" s="2" t="s">
        <v>94</v>
      </c>
      <c r="C111" s="2"/>
      <c r="D111" s="4">
        <f>(E80-D80)</f>
        <v>6096.4306027397261</v>
      </c>
      <c r="E111" s="4">
        <f t="shared" ref="E111:N111" si="47">(F80-E80)</f>
        <v>440.23676535616505</v>
      </c>
      <c r="F111" s="4">
        <f t="shared" si="47"/>
        <v>472.69041084228047</v>
      </c>
      <c r="G111" s="4">
        <f t="shared" si="47"/>
        <v>507.58177655664622</v>
      </c>
      <c r="H111" s="4">
        <f t="shared" si="47"/>
        <v>545.09699795919096</v>
      </c>
      <c r="I111" s="4">
        <f t="shared" si="47"/>
        <v>585.43662195614161</v>
      </c>
      <c r="J111" s="4">
        <f t="shared" si="47"/>
        <v>628.81673553796827</v>
      </c>
      <c r="K111" s="4">
        <f t="shared" si="47"/>
        <v>675.47018362470408</v>
      </c>
      <c r="L111" s="4">
        <f t="shared" si="47"/>
        <v>725.64788322100867</v>
      </c>
      <c r="M111" s="4">
        <f t="shared" si="47"/>
        <v>779.62024155207473</v>
      </c>
      <c r="N111" s="4">
        <f t="shared" si="47"/>
        <v>-11457.028219345906</v>
      </c>
      <c r="O111" s="2"/>
      <c r="P111" s="4">
        <f t="shared" si="45"/>
        <v>0</v>
      </c>
      <c r="Q111" s="2"/>
      <c r="R111" s="2"/>
      <c r="S111" s="21" t="s">
        <v>132</v>
      </c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</row>
    <row r="112" spans="1:33" x14ac:dyDescent="0.25">
      <c r="A112" s="2"/>
      <c r="B112" s="2" t="s">
        <v>72</v>
      </c>
      <c r="C112" s="2"/>
      <c r="D112" s="4">
        <f>E102-D102</f>
        <v>2856.4623944999985</v>
      </c>
      <c r="E112" s="4">
        <f t="shared" ref="E112:N112" si="48">F102-E102</f>
        <v>941.59644215174967</v>
      </c>
      <c r="F112" s="4">
        <f t="shared" si="48"/>
        <v>1025.0371443133686</v>
      </c>
      <c r="G112" s="4">
        <f t="shared" si="48"/>
        <v>1115.0457440155378</v>
      </c>
      <c r="H112" s="4">
        <f t="shared" si="48"/>
        <v>1212.1302689986414</v>
      </c>
      <c r="I112" s="4">
        <f t="shared" si="48"/>
        <v>1316.8382256012819</v>
      </c>
      <c r="J112" s="4">
        <f t="shared" si="48"/>
        <v>1429.7596938425413</v>
      </c>
      <c r="K112" s="4">
        <f t="shared" si="48"/>
        <v>1551.5306672167826</v>
      </c>
      <c r="L112" s="4">
        <f t="shared" si="48"/>
        <v>1682.8366566860677</v>
      </c>
      <c r="M112" s="4">
        <f t="shared" si="48"/>
        <v>1824.4165799157945</v>
      </c>
      <c r="N112" s="4">
        <f t="shared" si="48"/>
        <v>-14955.653817241764</v>
      </c>
      <c r="O112" s="2"/>
      <c r="P112" s="4">
        <f t="shared" si="45"/>
        <v>0</v>
      </c>
      <c r="Q112" s="2"/>
      <c r="R112" s="2"/>
      <c r="S112" s="23" t="s">
        <v>161</v>
      </c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</row>
    <row r="113" spans="1:3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3" t="s">
        <v>162</v>
      </c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</row>
    <row r="114" spans="1:33" x14ac:dyDescent="0.25">
      <c r="A114" s="2" t="s">
        <v>109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x14ac:dyDescent="0.25">
      <c r="A115" s="2"/>
      <c r="B115" s="2" t="s">
        <v>25</v>
      </c>
      <c r="C115" s="2"/>
      <c r="D115" s="4">
        <f>-(E72-D72)</f>
        <v>-200000</v>
      </c>
      <c r="E115" s="4">
        <f t="shared" ref="E115:L115" si="49">-(F72-E72)</f>
        <v>0</v>
      </c>
      <c r="F115" s="4">
        <f t="shared" si="49"/>
        <v>0</v>
      </c>
      <c r="G115" s="4">
        <f t="shared" si="49"/>
        <v>0</v>
      </c>
      <c r="H115" s="4">
        <f t="shared" si="49"/>
        <v>0</v>
      </c>
      <c r="I115" s="4">
        <f t="shared" si="49"/>
        <v>0</v>
      </c>
      <c r="J115" s="4">
        <f t="shared" si="49"/>
        <v>0</v>
      </c>
      <c r="K115" s="4">
        <f t="shared" si="49"/>
        <v>0</v>
      </c>
      <c r="L115" s="4">
        <f t="shared" si="49"/>
        <v>0</v>
      </c>
      <c r="M115" s="4">
        <f>-(N72-M72)</f>
        <v>0</v>
      </c>
      <c r="N115" s="4">
        <f>-(O72-N72)</f>
        <v>200000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x14ac:dyDescent="0.25">
      <c r="A116" s="2"/>
      <c r="B116" s="2" t="s">
        <v>110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51"/>
      <c r="N116" s="4">
        <f>N115*0.35</f>
        <v>70000</v>
      </c>
      <c r="O116" s="2"/>
      <c r="P116" s="2" t="s">
        <v>129</v>
      </c>
      <c r="Q116" s="4">
        <f>M72</f>
        <v>200000</v>
      </c>
      <c r="R116" s="4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x14ac:dyDescent="0.25">
      <c r="A117" s="2"/>
      <c r="B117" s="2" t="s">
        <v>111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51"/>
      <c r="N117" s="4">
        <f>-N35*Q117</f>
        <v>-9471</v>
      </c>
      <c r="O117" s="2"/>
      <c r="P117" s="2" t="s">
        <v>130</v>
      </c>
      <c r="Q117" s="4">
        <f>N115+N116-Q116</f>
        <v>70000</v>
      </c>
      <c r="R117" s="4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x14ac:dyDescent="0.25">
      <c r="A119" s="2"/>
      <c r="B119" s="2" t="s">
        <v>41</v>
      </c>
      <c r="C119" s="2"/>
      <c r="D119" s="4">
        <f t="shared" ref="D119:M119" si="50">-(E72-D72)</f>
        <v>-200000</v>
      </c>
      <c r="E119" s="4">
        <f t="shared" si="50"/>
        <v>0</v>
      </c>
      <c r="F119" s="4">
        <f t="shared" si="50"/>
        <v>0</v>
      </c>
      <c r="G119" s="4">
        <f t="shared" si="50"/>
        <v>0</v>
      </c>
      <c r="H119" s="4">
        <f t="shared" si="50"/>
        <v>0</v>
      </c>
      <c r="I119" s="4">
        <f t="shared" si="50"/>
        <v>0</v>
      </c>
      <c r="J119" s="4">
        <f t="shared" si="50"/>
        <v>0</v>
      </c>
      <c r="K119" s="4">
        <f t="shared" si="50"/>
        <v>0</v>
      </c>
      <c r="L119" s="4">
        <f t="shared" si="50"/>
        <v>0</v>
      </c>
      <c r="M119" s="4">
        <f t="shared" si="50"/>
        <v>0</v>
      </c>
      <c r="N119" s="4">
        <f>N73</f>
        <v>225000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x14ac:dyDescent="0.25">
      <c r="A120" s="2"/>
      <c r="B120" s="2" t="s">
        <v>110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51"/>
      <c r="N120" s="15">
        <f>N119*0.35</f>
        <v>78750</v>
      </c>
      <c r="O120" s="2"/>
      <c r="P120" s="2" t="s">
        <v>129</v>
      </c>
      <c r="Q120" s="4">
        <f>N73-N74</f>
        <v>150000</v>
      </c>
      <c r="R120" s="4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x14ac:dyDescent="0.25">
      <c r="A121" s="2"/>
      <c r="B121" s="2" t="s">
        <v>111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51"/>
      <c r="N121" s="51">
        <f>-N35*Q121</f>
        <v>-20802.375</v>
      </c>
      <c r="O121" s="2"/>
      <c r="P121" s="2" t="s">
        <v>130</v>
      </c>
      <c r="Q121" s="4">
        <f>N119+N120-Q120</f>
        <v>153750</v>
      </c>
      <c r="R121" s="4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4"/>
      <c r="O122" s="2"/>
      <c r="P122" s="2"/>
      <c r="Q122" s="15"/>
      <c r="R122" s="15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x14ac:dyDescent="0.25">
      <c r="A123" s="2" t="s">
        <v>133</v>
      </c>
      <c r="B123" s="2"/>
      <c r="C123" s="2"/>
      <c r="D123" s="4">
        <v>-3164.79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2"/>
      <c r="P123" s="2"/>
      <c r="Q123" s="2"/>
      <c r="R123" s="2"/>
      <c r="S123" s="21" t="s">
        <v>131</v>
      </c>
      <c r="T123" s="21"/>
      <c r="U123" s="21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</row>
    <row r="124" spans="1:3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3" t="s">
        <v>160</v>
      </c>
      <c r="T124" s="21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</row>
    <row r="125" spans="1:33" x14ac:dyDescent="0.25">
      <c r="A125" s="1" t="s">
        <v>113</v>
      </c>
      <c r="B125" s="2"/>
      <c r="C125" s="2"/>
      <c r="D125" s="15">
        <f>SUM(D103:D124)</f>
        <v>-1396332.2773962473</v>
      </c>
      <c r="E125" s="15">
        <f t="shared" ref="E125:L125" si="51">SUM(E103:E124)</f>
        <v>141980.94584190878</v>
      </c>
      <c r="F125" s="15">
        <f t="shared" si="51"/>
        <v>146620.82476604485</v>
      </c>
      <c r="G125" s="15">
        <f t="shared" si="51"/>
        <v>151595.79630188679</v>
      </c>
      <c r="H125" s="15">
        <f t="shared" si="51"/>
        <v>156930.76800693129</v>
      </c>
      <c r="I125" s="15">
        <f t="shared" si="51"/>
        <v>162652.53863794866</v>
      </c>
      <c r="J125" s="15">
        <f t="shared" si="51"/>
        <v>168789.94412238494</v>
      </c>
      <c r="K125" s="15">
        <f t="shared" si="51"/>
        <v>175374.01494148915</v>
      </c>
      <c r="L125" s="15">
        <f t="shared" si="51"/>
        <v>182438.14582624298</v>
      </c>
      <c r="M125" s="15">
        <f>SUM(M103:M124)</f>
        <v>174186.13327670062</v>
      </c>
      <c r="N125" s="15">
        <f>SUM(N103:N124)</f>
        <v>678109.34837666363</v>
      </c>
      <c r="O125" s="2"/>
      <c r="P125" s="2"/>
      <c r="Q125" s="2"/>
      <c r="R125" s="2"/>
      <c r="S125" s="23" t="s">
        <v>159</v>
      </c>
      <c r="T125" s="21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</row>
    <row r="126" spans="1:33" x14ac:dyDescent="0.25">
      <c r="A126" s="1" t="s">
        <v>114</v>
      </c>
      <c r="B126" s="2"/>
      <c r="C126" s="2"/>
      <c r="D126" s="18">
        <f>U94</f>
        <v>6.8884032843928855E-2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3" t="s">
        <v>163</v>
      </c>
      <c r="T126" s="21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 spans="1:33" x14ac:dyDescent="0.25">
      <c r="A127" s="1" t="s">
        <v>115</v>
      </c>
      <c r="B127" s="2"/>
      <c r="C127" s="2"/>
      <c r="D127" s="20">
        <f>IRR(D125:N125)</f>
        <v>6.8884032893830494E-2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3" t="s">
        <v>164</v>
      </c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 spans="1:33" x14ac:dyDescent="0.25">
      <c r="A128" s="1" t="s">
        <v>116</v>
      </c>
      <c r="B128" s="2"/>
      <c r="C128" s="2"/>
      <c r="D128" s="51">
        <f>NPV(D126,E125:N125)+D125</f>
        <v>3.9568496868014336E-4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x14ac:dyDescent="0.25">
      <c r="A130" s="53"/>
      <c r="B130" s="53" t="s">
        <v>165</v>
      </c>
      <c r="C130" s="53"/>
      <c r="D130" s="54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x14ac:dyDescent="0.25">
      <c r="A131" s="2"/>
      <c r="B131" s="59"/>
      <c r="C131" s="60"/>
      <c r="D131" s="59"/>
      <c r="E131" s="59"/>
      <c r="F131" s="61"/>
      <c r="G131" s="59"/>
      <c r="H131" s="59"/>
      <c r="I131" s="59"/>
      <c r="J131" s="59"/>
      <c r="K131" s="59"/>
      <c r="L131" s="59"/>
      <c r="M131" s="59"/>
      <c r="N131" s="59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x14ac:dyDescent="0.25">
      <c r="A132" s="2"/>
      <c r="B132" s="55" t="s">
        <v>178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x14ac:dyDescent="0.25">
      <c r="A133" s="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x14ac:dyDescent="0.25">
      <c r="A134" s="2"/>
      <c r="B134" s="53"/>
      <c r="C134" s="53"/>
      <c r="D134" s="62">
        <v>0</v>
      </c>
      <c r="E134" s="62">
        <v>1</v>
      </c>
      <c r="F134" s="62">
        <v>2</v>
      </c>
      <c r="G134" s="62">
        <v>3</v>
      </c>
      <c r="H134" s="62">
        <v>4</v>
      </c>
      <c r="I134" s="62">
        <v>5</v>
      </c>
      <c r="J134" s="62">
        <v>6</v>
      </c>
      <c r="K134" s="62">
        <v>7</v>
      </c>
      <c r="L134" s="62">
        <v>8</v>
      </c>
      <c r="M134" s="62">
        <v>9</v>
      </c>
      <c r="N134" s="62">
        <v>10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x14ac:dyDescent="0.25">
      <c r="A135" s="2"/>
      <c r="B135" s="55" t="s">
        <v>179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x14ac:dyDescent="0.25">
      <c r="A136" s="2"/>
      <c r="B136" s="53" t="s">
        <v>180</v>
      </c>
      <c r="C136" s="53"/>
      <c r="D136" s="75">
        <f>D125</f>
        <v>-1396332.2773962473</v>
      </c>
      <c r="E136" s="75">
        <f>E125</f>
        <v>141980.94584190878</v>
      </c>
      <c r="F136" s="75">
        <f t="shared" ref="F136:N136" si="52">F125</f>
        <v>146620.82476604485</v>
      </c>
      <c r="G136" s="75">
        <f t="shared" si="52"/>
        <v>151595.79630188679</v>
      </c>
      <c r="H136" s="75">
        <f t="shared" si="52"/>
        <v>156930.76800693129</v>
      </c>
      <c r="I136" s="75">
        <f t="shared" si="52"/>
        <v>162652.53863794866</v>
      </c>
      <c r="J136" s="75">
        <f t="shared" si="52"/>
        <v>168789.94412238494</v>
      </c>
      <c r="K136" s="75">
        <f t="shared" si="52"/>
        <v>175374.01494148915</v>
      </c>
      <c r="L136" s="75">
        <f t="shared" si="52"/>
        <v>182438.14582624298</v>
      </c>
      <c r="M136" s="75">
        <f t="shared" si="52"/>
        <v>174186.13327670062</v>
      </c>
      <c r="N136" s="75">
        <f t="shared" si="52"/>
        <v>678109.34837666363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x14ac:dyDescent="0.25">
      <c r="B137" s="53" t="str">
        <f>B146</f>
        <v>Opened New Product Line</v>
      </c>
      <c r="C137" s="53"/>
      <c r="D137" s="75"/>
      <c r="E137" s="75"/>
      <c r="F137" s="75"/>
      <c r="G137" s="75"/>
      <c r="H137" s="75">
        <v>-170000</v>
      </c>
      <c r="I137" s="75"/>
      <c r="J137" s="75"/>
      <c r="K137" s="75"/>
      <c r="L137" s="75"/>
      <c r="M137" s="75"/>
      <c r="N137" s="75"/>
    </row>
    <row r="138" spans="1:33" x14ac:dyDescent="0.25">
      <c r="B138" s="53" t="str">
        <f t="shared" ref="B138:B139" si="53">B147</f>
        <v>Additional Revenues from New Product Line</v>
      </c>
      <c r="C138" s="53"/>
      <c r="D138" s="75"/>
      <c r="E138" s="75"/>
      <c r="F138" s="75"/>
      <c r="G138" s="75"/>
      <c r="H138" s="75"/>
      <c r="I138" s="75">
        <v>25000</v>
      </c>
      <c r="J138" s="75">
        <v>27000</v>
      </c>
      <c r="K138" s="75">
        <v>30000</v>
      </c>
      <c r="L138" s="75">
        <v>31000</v>
      </c>
      <c r="M138" s="75">
        <v>30000</v>
      </c>
      <c r="N138" s="75">
        <v>30000</v>
      </c>
    </row>
    <row r="139" spans="1:33" x14ac:dyDescent="0.25">
      <c r="B139" s="53" t="str">
        <f t="shared" si="53"/>
        <v>Sell New Product Line</v>
      </c>
      <c r="C139" s="53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>
        <v>500000</v>
      </c>
    </row>
    <row r="140" spans="1:33" x14ac:dyDescent="0.25">
      <c r="B140" s="53" t="s">
        <v>181</v>
      </c>
      <c r="C140" s="53"/>
      <c r="D140" s="75">
        <f>SUM(D136:D139)</f>
        <v>-1396332.2773962473</v>
      </c>
      <c r="E140" s="75">
        <f t="shared" ref="E140:N140" si="54">SUM(E136:E139)</f>
        <v>141980.94584190878</v>
      </c>
      <c r="F140" s="75">
        <f t="shared" si="54"/>
        <v>146620.82476604485</v>
      </c>
      <c r="G140" s="75">
        <f t="shared" si="54"/>
        <v>151595.79630188679</v>
      </c>
      <c r="H140" s="75">
        <f t="shared" si="54"/>
        <v>-13069.231993068708</v>
      </c>
      <c r="I140" s="75">
        <f t="shared" si="54"/>
        <v>187652.53863794866</v>
      </c>
      <c r="J140" s="75">
        <f t="shared" si="54"/>
        <v>195789.94412238494</v>
      </c>
      <c r="K140" s="75">
        <f t="shared" si="54"/>
        <v>205374.01494148915</v>
      </c>
      <c r="L140" s="75">
        <f t="shared" si="54"/>
        <v>213438.14582624298</v>
      </c>
      <c r="M140" s="75">
        <f t="shared" si="54"/>
        <v>204186.13327670062</v>
      </c>
      <c r="N140" s="75">
        <f t="shared" si="54"/>
        <v>1208109.3483766636</v>
      </c>
    </row>
    <row r="141" spans="1:33" x14ac:dyDescent="0.25">
      <c r="B141" s="53" t="s">
        <v>116</v>
      </c>
      <c r="C141" s="53"/>
      <c r="D141" s="85">
        <f>NPV($D$126,E140:N140)+D140</f>
        <v>231523.76244222373</v>
      </c>
      <c r="E141" s="75"/>
      <c r="F141" s="75"/>
      <c r="G141" s="75"/>
      <c r="H141" s="75"/>
      <c r="I141" s="75"/>
      <c r="J141" s="75"/>
      <c r="K141" s="75"/>
      <c r="L141" s="75"/>
      <c r="M141" s="75"/>
      <c r="N141" s="75"/>
    </row>
    <row r="142" spans="1:33" x14ac:dyDescent="0.25">
      <c r="B142" s="53" t="s">
        <v>182</v>
      </c>
      <c r="C142" s="53"/>
      <c r="D142" s="79">
        <f>G161</f>
        <v>0.45499999999999996</v>
      </c>
      <c r="E142" s="75"/>
      <c r="F142" s="75"/>
      <c r="G142" s="75"/>
      <c r="H142" s="75"/>
      <c r="I142" s="75"/>
      <c r="J142" s="75"/>
      <c r="K142" s="75"/>
      <c r="L142" s="75"/>
      <c r="M142" s="75"/>
      <c r="N142" s="75"/>
    </row>
    <row r="143" spans="1:33" x14ac:dyDescent="0.25">
      <c r="B143" s="53"/>
      <c r="C143" s="53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</row>
    <row r="144" spans="1:33" x14ac:dyDescent="0.25">
      <c r="B144" s="55" t="s">
        <v>183</v>
      </c>
      <c r="C144" s="53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</row>
    <row r="145" spans="2:14" x14ac:dyDescent="0.25">
      <c r="B145" s="53" t="s">
        <v>180</v>
      </c>
      <c r="C145" s="53"/>
      <c r="D145" s="75">
        <f>D125</f>
        <v>-1396332.2773962473</v>
      </c>
      <c r="E145" s="75">
        <f t="shared" ref="E145:N145" si="55">E125</f>
        <v>141980.94584190878</v>
      </c>
      <c r="F145" s="75">
        <f t="shared" si="55"/>
        <v>146620.82476604485</v>
      </c>
      <c r="G145" s="75">
        <f t="shared" si="55"/>
        <v>151595.79630188679</v>
      </c>
      <c r="H145" s="75">
        <f t="shared" si="55"/>
        <v>156930.76800693129</v>
      </c>
      <c r="I145" s="75">
        <f t="shared" si="55"/>
        <v>162652.53863794866</v>
      </c>
      <c r="J145" s="75">
        <f t="shared" si="55"/>
        <v>168789.94412238494</v>
      </c>
      <c r="K145" s="75">
        <f t="shared" si="55"/>
        <v>175374.01494148915</v>
      </c>
      <c r="L145" s="75">
        <f t="shared" si="55"/>
        <v>182438.14582624298</v>
      </c>
      <c r="M145" s="75">
        <f t="shared" si="55"/>
        <v>174186.13327670062</v>
      </c>
      <c r="N145" s="75">
        <f t="shared" si="55"/>
        <v>678109.34837666363</v>
      </c>
    </row>
    <row r="146" spans="2:14" x14ac:dyDescent="0.25">
      <c r="B146" s="53" t="s">
        <v>192</v>
      </c>
      <c r="C146" s="53"/>
      <c r="D146" s="75"/>
      <c r="E146" s="75"/>
      <c r="F146" s="75"/>
      <c r="G146" s="75"/>
      <c r="H146" s="75">
        <f>H137</f>
        <v>-170000</v>
      </c>
      <c r="I146" s="75"/>
      <c r="J146" s="75"/>
      <c r="K146" s="75"/>
      <c r="L146" s="75"/>
      <c r="M146" s="75"/>
      <c r="N146" s="75"/>
    </row>
    <row r="147" spans="2:14" x14ac:dyDescent="0.25">
      <c r="B147" s="53" t="s">
        <v>193</v>
      </c>
      <c r="C147" s="53"/>
      <c r="D147" s="75"/>
      <c r="E147" s="75"/>
      <c r="F147" s="75"/>
      <c r="G147" s="75"/>
      <c r="H147" s="75"/>
      <c r="I147" s="75">
        <v>5000</v>
      </c>
      <c r="J147" s="75">
        <v>5000</v>
      </c>
      <c r="K147" s="75">
        <v>5000</v>
      </c>
      <c r="L147" s="75">
        <v>5000</v>
      </c>
      <c r="M147" s="75">
        <v>5000</v>
      </c>
      <c r="N147" s="75">
        <v>5000</v>
      </c>
    </row>
    <row r="148" spans="2:14" x14ac:dyDescent="0.25">
      <c r="B148" s="53" t="s">
        <v>194</v>
      </c>
      <c r="C148" s="53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>
        <v>250000</v>
      </c>
    </row>
    <row r="149" spans="2:14" x14ac:dyDescent="0.25">
      <c r="B149" s="53" t="s">
        <v>181</v>
      </c>
      <c r="C149" s="53"/>
      <c r="D149" s="75">
        <f>SUM(D145:D148)</f>
        <v>-1396332.2773962473</v>
      </c>
      <c r="E149" s="75">
        <f t="shared" ref="E149:N149" si="56">SUM(E145:E148)</f>
        <v>141980.94584190878</v>
      </c>
      <c r="F149" s="75">
        <f t="shared" si="56"/>
        <v>146620.82476604485</v>
      </c>
      <c r="G149" s="75">
        <f t="shared" si="56"/>
        <v>151595.79630188679</v>
      </c>
      <c r="H149" s="75">
        <f t="shared" si="56"/>
        <v>-13069.231993068708</v>
      </c>
      <c r="I149" s="75">
        <f t="shared" si="56"/>
        <v>167652.53863794866</v>
      </c>
      <c r="J149" s="75">
        <f t="shared" si="56"/>
        <v>173789.94412238494</v>
      </c>
      <c r="K149" s="75">
        <f t="shared" si="56"/>
        <v>180374.01494148915</v>
      </c>
      <c r="L149" s="75">
        <f t="shared" si="56"/>
        <v>187438.14582624298</v>
      </c>
      <c r="M149" s="75">
        <f t="shared" si="56"/>
        <v>179186.13327670062</v>
      </c>
      <c r="N149" s="75">
        <f t="shared" si="56"/>
        <v>933109.34837666363</v>
      </c>
    </row>
    <row r="150" spans="2:14" x14ac:dyDescent="0.25">
      <c r="B150" s="53" t="s">
        <v>116</v>
      </c>
      <c r="C150" s="53"/>
      <c r="D150" s="85">
        <f>NPV($D$126,E149:N149)+D149</f>
        <v>16506.746011398267</v>
      </c>
      <c r="E150" s="75"/>
      <c r="F150" s="75"/>
      <c r="G150" s="75"/>
      <c r="H150" s="75"/>
      <c r="I150" s="75"/>
      <c r="J150" s="75"/>
      <c r="K150" s="75"/>
      <c r="L150" s="75"/>
      <c r="M150" s="75"/>
      <c r="N150" s="75"/>
    </row>
    <row r="151" spans="2:14" x14ac:dyDescent="0.25">
      <c r="B151" s="53" t="s">
        <v>182</v>
      </c>
      <c r="C151" s="53"/>
      <c r="D151" s="79">
        <f>G165</f>
        <v>0.19500000000000001</v>
      </c>
      <c r="E151" s="75"/>
      <c r="F151" s="75"/>
      <c r="G151" s="75"/>
      <c r="H151" s="75"/>
      <c r="I151" s="75"/>
      <c r="J151" s="75"/>
      <c r="K151" s="75"/>
      <c r="L151" s="75"/>
      <c r="M151" s="75"/>
      <c r="N151" s="75"/>
    </row>
    <row r="152" spans="2:14" x14ac:dyDescent="0.25">
      <c r="B152" s="53"/>
      <c r="C152" s="53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</row>
    <row r="153" spans="2:14" x14ac:dyDescent="0.25">
      <c r="B153" s="55" t="s">
        <v>184</v>
      </c>
      <c r="C153" s="53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</row>
    <row r="154" spans="2:14" x14ac:dyDescent="0.25">
      <c r="B154" s="53" t="s">
        <v>185</v>
      </c>
      <c r="C154" s="53"/>
      <c r="D154" s="75">
        <f>D125</f>
        <v>-1396332.2773962473</v>
      </c>
      <c r="E154" s="75">
        <f>0.8*E125</f>
        <v>113584.75667352702</v>
      </c>
      <c r="F154" s="75">
        <f>0.8*F125</f>
        <v>117296.65981283589</v>
      </c>
      <c r="G154" s="75">
        <f>0.8*G125</f>
        <v>121276.63704150944</v>
      </c>
      <c r="H154" s="75">
        <f>0.4*H125</f>
        <v>62772.307202772521</v>
      </c>
      <c r="I154" s="75"/>
      <c r="J154" s="75"/>
      <c r="K154" s="75"/>
      <c r="L154" s="75"/>
      <c r="M154" s="75"/>
      <c r="N154" s="75"/>
    </row>
    <row r="155" spans="2:14" x14ac:dyDescent="0.25">
      <c r="B155" s="53" t="s">
        <v>116</v>
      </c>
      <c r="C155" s="53"/>
      <c r="D155" s="85">
        <f>NPV($D$126,E154:H154)+D154</f>
        <v>-1040004.7240054524</v>
      </c>
      <c r="E155" s="75"/>
      <c r="F155" s="75"/>
      <c r="G155" s="75"/>
      <c r="H155" s="75"/>
      <c r="I155" s="75"/>
      <c r="J155" s="75"/>
      <c r="K155" s="75"/>
      <c r="L155" s="75"/>
      <c r="M155" s="75"/>
      <c r="N155" s="75"/>
    </row>
    <row r="156" spans="2:14" x14ac:dyDescent="0.25">
      <c r="B156" s="53" t="s">
        <v>182</v>
      </c>
      <c r="C156" s="53"/>
      <c r="D156" s="79">
        <f>G167</f>
        <v>0.35</v>
      </c>
      <c r="E156" s="75"/>
      <c r="F156" s="75"/>
      <c r="G156" s="75"/>
      <c r="H156" s="75"/>
      <c r="I156" s="75"/>
      <c r="J156" s="75"/>
      <c r="K156" s="75"/>
      <c r="L156" s="75"/>
      <c r="M156" s="75"/>
      <c r="N156" s="75"/>
    </row>
    <row r="157" spans="2:14" x14ac:dyDescent="0.25">
      <c r="B157" s="53"/>
      <c r="C157" s="53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</row>
    <row r="158" spans="2:14" x14ac:dyDescent="0.25">
      <c r="B158" s="53" t="s">
        <v>186</v>
      </c>
      <c r="C158" s="53"/>
      <c r="D158" s="75">
        <f>D142*D141+D151*D150+D156*D155</f>
        <v>-255439.52601847384</v>
      </c>
      <c r="E158" s="75"/>
      <c r="F158" s="75"/>
      <c r="G158" s="75"/>
      <c r="H158" s="75"/>
      <c r="I158" s="75"/>
      <c r="J158" s="75"/>
      <c r="K158" s="75"/>
      <c r="L158" s="75"/>
      <c r="M158" s="75"/>
      <c r="N158" s="75"/>
    </row>
    <row r="159" spans="2:14" x14ac:dyDescent="0.25">
      <c r="B159" s="53"/>
      <c r="C159" s="53"/>
      <c r="D159" s="53"/>
      <c r="E159" s="53"/>
      <c r="F159" s="75"/>
      <c r="G159" s="75"/>
      <c r="H159" s="75"/>
      <c r="I159" s="75"/>
      <c r="J159" s="75"/>
      <c r="K159" s="75"/>
      <c r="L159" s="75"/>
      <c r="M159" s="75"/>
      <c r="N159" s="75"/>
    </row>
    <row r="160" spans="2:14" x14ac:dyDescent="0.25">
      <c r="B160" s="53"/>
      <c r="C160" s="53"/>
      <c r="D160" s="53"/>
      <c r="E160" s="75"/>
      <c r="F160" s="75"/>
      <c r="G160" s="53"/>
      <c r="H160" s="75"/>
      <c r="I160" s="75"/>
      <c r="J160" s="75"/>
      <c r="K160" s="75"/>
      <c r="L160" s="75"/>
      <c r="M160" s="75"/>
      <c r="N160" s="75"/>
    </row>
    <row r="161" spans="2:14" x14ac:dyDescent="0.25">
      <c r="B161" s="53"/>
      <c r="C161" s="53"/>
      <c r="D161" s="53"/>
      <c r="E161" s="79">
        <v>0.7</v>
      </c>
      <c r="F161" s="75" t="s">
        <v>187</v>
      </c>
      <c r="G161" s="66">
        <f>E161*D163</f>
        <v>0.45499999999999996</v>
      </c>
      <c r="H161" s="75"/>
      <c r="I161" s="75"/>
      <c r="J161" s="75"/>
      <c r="K161" s="75"/>
      <c r="L161" s="75"/>
      <c r="M161" s="75"/>
      <c r="N161" s="75"/>
    </row>
    <row r="162" spans="2:14" x14ac:dyDescent="0.25">
      <c r="B162" s="53"/>
      <c r="C162" s="75"/>
      <c r="D162" s="75" t="s">
        <v>188</v>
      </c>
      <c r="E162" s="80"/>
      <c r="F162" s="75"/>
      <c r="G162" s="66"/>
      <c r="H162" s="75"/>
      <c r="I162" s="75"/>
      <c r="J162" s="75"/>
      <c r="K162" s="75"/>
      <c r="L162" s="75"/>
      <c r="M162" s="75"/>
      <c r="N162" s="75"/>
    </row>
    <row r="163" spans="2:14" x14ac:dyDescent="0.25">
      <c r="B163" s="53"/>
      <c r="C163" s="75"/>
      <c r="D163" s="79">
        <v>0.65</v>
      </c>
      <c r="E163" s="81"/>
      <c r="F163" s="53"/>
      <c r="G163" s="66"/>
      <c r="H163" s="53"/>
      <c r="I163" s="53"/>
      <c r="J163" s="53"/>
      <c r="K163" s="53"/>
      <c r="L163" s="53"/>
      <c r="M163" s="53"/>
      <c r="N163" s="53"/>
    </row>
    <row r="164" spans="2:14" x14ac:dyDescent="0.25">
      <c r="B164" s="53" t="s">
        <v>189</v>
      </c>
      <c r="C164" s="75"/>
      <c r="D164" s="80"/>
      <c r="E164" s="82"/>
      <c r="F164" s="53"/>
      <c r="G164" s="66"/>
      <c r="H164" s="53"/>
      <c r="I164" s="53"/>
      <c r="J164" s="53"/>
      <c r="K164" s="53"/>
      <c r="L164" s="53"/>
      <c r="M164" s="53"/>
      <c r="N164" s="53"/>
    </row>
    <row r="165" spans="2:14" x14ac:dyDescent="0.25">
      <c r="B165" s="53"/>
      <c r="C165" s="75"/>
      <c r="D165" s="83"/>
      <c r="E165" s="66">
        <v>0.3</v>
      </c>
      <c r="F165" s="53" t="s">
        <v>190</v>
      </c>
      <c r="G165" s="66">
        <f>E165*D163</f>
        <v>0.19500000000000001</v>
      </c>
      <c r="H165" s="53"/>
      <c r="I165" s="53"/>
      <c r="J165" s="53"/>
      <c r="K165" s="53"/>
      <c r="L165" s="53"/>
      <c r="M165" s="53"/>
      <c r="N165" s="53"/>
    </row>
    <row r="166" spans="2:14" x14ac:dyDescent="0.25">
      <c r="B166" s="53"/>
      <c r="C166" s="53"/>
      <c r="D166" s="82"/>
      <c r="E166" s="53"/>
      <c r="F166" s="53"/>
      <c r="G166" s="66"/>
      <c r="H166" s="53"/>
      <c r="I166" s="53"/>
      <c r="J166" s="53"/>
      <c r="K166" s="53"/>
      <c r="L166" s="53"/>
      <c r="M166" s="53"/>
      <c r="N166" s="53"/>
    </row>
    <row r="167" spans="2:14" x14ac:dyDescent="0.25">
      <c r="B167" s="53"/>
      <c r="C167" s="53"/>
      <c r="D167" s="66">
        <v>0.35</v>
      </c>
      <c r="E167" s="53"/>
      <c r="F167" s="53"/>
      <c r="G167" s="66">
        <f>D167</f>
        <v>0.35</v>
      </c>
      <c r="H167" s="53"/>
      <c r="I167" s="53"/>
      <c r="J167" s="53"/>
      <c r="K167" s="53"/>
      <c r="L167" s="53"/>
      <c r="M167" s="53"/>
      <c r="N167" s="53"/>
    </row>
    <row r="168" spans="2:14" x14ac:dyDescent="0.25">
      <c r="B168" s="53"/>
      <c r="C168" s="53"/>
      <c r="D168" s="53" t="s">
        <v>191</v>
      </c>
      <c r="E168" s="53"/>
      <c r="F168" s="53"/>
      <c r="G168" s="84"/>
      <c r="H168" s="53"/>
      <c r="I168" s="53"/>
      <c r="J168" s="53"/>
      <c r="K168" s="53"/>
      <c r="L168" s="53"/>
      <c r="M168" s="53"/>
      <c r="N168" s="53"/>
    </row>
    <row r="169" spans="2:14" x14ac:dyDescent="0.25">
      <c r="B169" s="53"/>
      <c r="C169" s="53"/>
      <c r="D169" s="53"/>
      <c r="E169" s="53"/>
      <c r="F169" s="53"/>
      <c r="G169" s="66">
        <f>SUM(G161:G167)</f>
        <v>0.99999999999999989</v>
      </c>
      <c r="H169" s="53"/>
      <c r="I169" s="53"/>
      <c r="J169" s="53"/>
      <c r="K169" s="53"/>
      <c r="L169" s="53"/>
      <c r="M169" s="53"/>
      <c r="N169" s="53"/>
    </row>
    <row r="170" spans="2:14" x14ac:dyDescent="0.25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</row>
    <row r="171" spans="2:14" x14ac:dyDescent="0.25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</row>
    <row r="172" spans="2:14" x14ac:dyDescent="0.25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</row>
    <row r="173" spans="2:14" x14ac:dyDescent="0.25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</row>
    <row r="174" spans="2:14" x14ac:dyDescent="0.25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</row>
    <row r="175" spans="2:14" x14ac:dyDescent="0.25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</row>
    <row r="176" spans="2:14" x14ac:dyDescent="0.25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</row>
    <row r="177" spans="2:14" x14ac:dyDescent="0.25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</row>
    <row r="178" spans="2:14" x14ac:dyDescent="0.25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</row>
    <row r="179" spans="2:14" x14ac:dyDescent="0.25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</row>
    <row r="180" spans="2:14" x14ac:dyDescent="0.25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topLeftCell="A124" workbookViewId="0">
      <selection activeCell="I4" sqref="I4"/>
    </sheetView>
  </sheetViews>
  <sheetFormatPr defaultColWidth="11.42578125" defaultRowHeight="15" x14ac:dyDescent="0.25"/>
  <cols>
    <col min="1" max="1" width="22.7109375" customWidth="1"/>
    <col min="2" max="6" width="16.7109375" customWidth="1"/>
    <col min="7" max="7" width="6.28515625" customWidth="1"/>
    <col min="9" max="9" width="17.42578125" customWidth="1"/>
  </cols>
  <sheetData>
    <row r="1" spans="1:9" x14ac:dyDescent="0.25">
      <c r="A1" s="7"/>
      <c r="B1" s="17" t="s">
        <v>46</v>
      </c>
      <c r="C1" s="17" t="s">
        <v>47</v>
      </c>
      <c r="D1" s="17" t="s">
        <v>48</v>
      </c>
      <c r="E1" s="17" t="s">
        <v>49</v>
      </c>
      <c r="F1" s="17" t="s">
        <v>50</v>
      </c>
      <c r="G1" s="7"/>
      <c r="H1" s="16" t="s">
        <v>51</v>
      </c>
      <c r="I1" s="8">
        <v>0.04</v>
      </c>
    </row>
    <row r="2" spans="1:9" x14ac:dyDescent="0.25">
      <c r="A2" s="9" t="s">
        <v>52</v>
      </c>
      <c r="B2" s="10">
        <f>+I7</f>
        <v>1512000</v>
      </c>
      <c r="C2" s="10">
        <f t="shared" ref="C2:C13" si="0">+E2-D2</f>
        <v>2178.5192674377477</v>
      </c>
      <c r="D2" s="10">
        <f t="shared" ref="D2:D13" si="1">B2*$I$2</f>
        <v>5040</v>
      </c>
      <c r="E2" s="10">
        <f t="shared" ref="E2:E13" si="2">-$I$9</f>
        <v>7218.5192674377477</v>
      </c>
      <c r="F2" s="10">
        <f t="shared" ref="F2:F13" si="3">+B2-C2</f>
        <v>1509821.4807325623</v>
      </c>
      <c r="G2" s="7"/>
      <c r="H2" s="16" t="s">
        <v>53</v>
      </c>
      <c r="I2" s="8">
        <f>+I1/12</f>
        <v>3.3333333333333335E-3</v>
      </c>
    </row>
    <row r="3" spans="1:9" x14ac:dyDescent="0.25">
      <c r="A3" s="11" t="s">
        <v>54</v>
      </c>
      <c r="B3" s="10">
        <f t="shared" ref="B3:B13" si="4">+F2</f>
        <v>1509821.4807325623</v>
      </c>
      <c r="C3" s="10">
        <f t="shared" si="0"/>
        <v>2185.7809983292063</v>
      </c>
      <c r="D3" s="10">
        <f t="shared" si="1"/>
        <v>5032.7382691085413</v>
      </c>
      <c r="E3" s="10">
        <f t="shared" si="2"/>
        <v>7218.5192674377477</v>
      </c>
      <c r="F3" s="10">
        <f t="shared" si="3"/>
        <v>1507635.6997342331</v>
      </c>
      <c r="G3" s="7"/>
      <c r="H3" s="16" t="s">
        <v>55</v>
      </c>
      <c r="I3" s="12">
        <v>0</v>
      </c>
    </row>
    <row r="4" spans="1:9" x14ac:dyDescent="0.25">
      <c r="A4" s="11" t="s">
        <v>56</v>
      </c>
      <c r="B4" s="10">
        <f t="shared" si="4"/>
        <v>1507635.6997342331</v>
      </c>
      <c r="C4" s="10">
        <f t="shared" si="0"/>
        <v>2193.0669349903037</v>
      </c>
      <c r="D4" s="10">
        <f t="shared" si="1"/>
        <v>5025.452332447444</v>
      </c>
      <c r="E4" s="10">
        <f t="shared" si="2"/>
        <v>7218.5192674377477</v>
      </c>
      <c r="F4" s="10">
        <f t="shared" si="3"/>
        <v>1505442.6327992429</v>
      </c>
      <c r="G4" s="7"/>
      <c r="H4" s="16" t="s">
        <v>57</v>
      </c>
      <c r="I4" s="14">
        <v>30</v>
      </c>
    </row>
    <row r="5" spans="1:9" x14ac:dyDescent="0.25">
      <c r="A5" s="11" t="s">
        <v>58</v>
      </c>
      <c r="B5" s="10">
        <f t="shared" si="4"/>
        <v>1505442.6327992429</v>
      </c>
      <c r="C5" s="10">
        <f t="shared" si="0"/>
        <v>2200.3771581069377</v>
      </c>
      <c r="D5" s="10">
        <f t="shared" si="1"/>
        <v>5018.1421093308099</v>
      </c>
      <c r="E5" s="10">
        <f t="shared" si="2"/>
        <v>7218.5192674377477</v>
      </c>
      <c r="F5" s="10">
        <f t="shared" si="3"/>
        <v>1503242.2556411359</v>
      </c>
      <c r="G5" s="7"/>
      <c r="H5" s="16" t="s">
        <v>59</v>
      </c>
      <c r="I5" s="7">
        <f>I4*12</f>
        <v>360</v>
      </c>
    </row>
    <row r="6" spans="1:9" x14ac:dyDescent="0.25">
      <c r="A6" s="11" t="s">
        <v>60</v>
      </c>
      <c r="B6" s="10">
        <f t="shared" si="4"/>
        <v>1503242.2556411359</v>
      </c>
      <c r="C6" s="10">
        <f t="shared" si="0"/>
        <v>2207.7117486339612</v>
      </c>
      <c r="D6" s="10">
        <f t="shared" si="1"/>
        <v>5010.8075188037865</v>
      </c>
      <c r="E6" s="10">
        <f t="shared" si="2"/>
        <v>7218.5192674377477</v>
      </c>
      <c r="F6" s="10">
        <f t="shared" si="3"/>
        <v>1501034.5438925019</v>
      </c>
      <c r="G6" s="7"/>
      <c r="H6" s="16" t="s">
        <v>61</v>
      </c>
      <c r="I6" s="7">
        <v>0</v>
      </c>
    </row>
    <row r="7" spans="1:9" x14ac:dyDescent="0.25">
      <c r="A7" s="11" t="s">
        <v>62</v>
      </c>
      <c r="B7" s="10">
        <f t="shared" si="4"/>
        <v>1501034.5438925019</v>
      </c>
      <c r="C7" s="10">
        <f t="shared" si="0"/>
        <v>2215.0707877960749</v>
      </c>
      <c r="D7" s="10">
        <f t="shared" si="1"/>
        <v>5003.4484796416727</v>
      </c>
      <c r="E7" s="10">
        <f t="shared" si="2"/>
        <v>7218.5192674377477</v>
      </c>
      <c r="F7" s="10">
        <f t="shared" si="3"/>
        <v>1498819.4731047058</v>
      </c>
      <c r="G7" s="7"/>
      <c r="H7" s="16" t="s">
        <v>63</v>
      </c>
      <c r="I7" s="12">
        <v>1512000</v>
      </c>
    </row>
    <row r="8" spans="1:9" x14ac:dyDescent="0.25">
      <c r="A8" s="11" t="s">
        <v>64</v>
      </c>
      <c r="B8" s="10">
        <f t="shared" si="4"/>
        <v>1498819.4731047058</v>
      </c>
      <c r="C8" s="10">
        <f t="shared" si="0"/>
        <v>2222.4543570887281</v>
      </c>
      <c r="D8" s="10">
        <f t="shared" si="1"/>
        <v>4996.0649103490196</v>
      </c>
      <c r="E8" s="10">
        <f t="shared" si="2"/>
        <v>7218.5192674377477</v>
      </c>
      <c r="F8" s="10">
        <f t="shared" si="3"/>
        <v>1496597.018747617</v>
      </c>
      <c r="G8" s="7"/>
      <c r="H8" s="16"/>
      <c r="I8" s="7"/>
    </row>
    <row r="9" spans="1:9" x14ac:dyDescent="0.25">
      <c r="A9" s="11" t="s">
        <v>65</v>
      </c>
      <c r="B9" s="10">
        <f t="shared" si="4"/>
        <v>1496597.018747617</v>
      </c>
      <c r="C9" s="10">
        <f t="shared" si="0"/>
        <v>2229.8625382790242</v>
      </c>
      <c r="D9" s="10">
        <f t="shared" si="1"/>
        <v>4988.6567291587235</v>
      </c>
      <c r="E9" s="10">
        <f t="shared" si="2"/>
        <v>7218.5192674377477</v>
      </c>
      <c r="F9" s="10">
        <f t="shared" si="3"/>
        <v>1494367.156209338</v>
      </c>
      <c r="G9" s="7"/>
      <c r="H9" s="16" t="s">
        <v>49</v>
      </c>
      <c r="I9" s="10">
        <f>PMT(I2,I5,I7,I3,I6)</f>
        <v>-7218.5192674377477</v>
      </c>
    </row>
    <row r="10" spans="1:9" x14ac:dyDescent="0.25">
      <c r="A10" s="11" t="s">
        <v>66</v>
      </c>
      <c r="B10" s="10">
        <f t="shared" si="4"/>
        <v>1494367.156209338</v>
      </c>
      <c r="C10" s="10">
        <f t="shared" si="0"/>
        <v>2237.2954134066204</v>
      </c>
      <c r="D10" s="10">
        <f t="shared" si="1"/>
        <v>4981.2238540311273</v>
      </c>
      <c r="E10" s="10">
        <f t="shared" si="2"/>
        <v>7218.5192674377477</v>
      </c>
      <c r="F10" s="10">
        <f t="shared" si="3"/>
        <v>1492129.8607959314</v>
      </c>
      <c r="G10" s="7"/>
      <c r="H10" s="7"/>
      <c r="I10" s="7"/>
    </row>
    <row r="11" spans="1:9" x14ac:dyDescent="0.25">
      <c r="A11" s="11" t="s">
        <v>67</v>
      </c>
      <c r="B11" s="10">
        <f t="shared" si="4"/>
        <v>1492129.8607959314</v>
      </c>
      <c r="C11" s="10">
        <f t="shared" si="0"/>
        <v>2244.7530647846424</v>
      </c>
      <c r="D11" s="10">
        <f t="shared" si="1"/>
        <v>4973.7662026531052</v>
      </c>
      <c r="E11" s="10">
        <f t="shared" si="2"/>
        <v>7218.5192674377477</v>
      </c>
      <c r="F11" s="10">
        <f t="shared" si="3"/>
        <v>1489885.1077311467</v>
      </c>
      <c r="G11" s="7"/>
      <c r="H11" s="7"/>
      <c r="I11" s="7"/>
    </row>
    <row r="12" spans="1:9" x14ac:dyDescent="0.25">
      <c r="A12" s="11" t="s">
        <v>68</v>
      </c>
      <c r="B12" s="10">
        <f t="shared" si="4"/>
        <v>1489885.1077311467</v>
      </c>
      <c r="C12" s="10">
        <f t="shared" si="0"/>
        <v>2252.2355750005918</v>
      </c>
      <c r="D12" s="10">
        <f t="shared" si="1"/>
        <v>4966.2836924371559</v>
      </c>
      <c r="E12" s="10">
        <f t="shared" si="2"/>
        <v>7218.5192674377477</v>
      </c>
      <c r="F12" s="10">
        <f t="shared" si="3"/>
        <v>1487632.8721561462</v>
      </c>
      <c r="G12" s="7"/>
      <c r="H12" s="7"/>
      <c r="I12" s="7"/>
    </row>
    <row r="13" spans="1:9" x14ac:dyDescent="0.25">
      <c r="A13" s="11" t="s">
        <v>69</v>
      </c>
      <c r="B13" s="10">
        <f t="shared" si="4"/>
        <v>1487632.8721561462</v>
      </c>
      <c r="C13" s="10">
        <f t="shared" si="0"/>
        <v>2259.7430269172601</v>
      </c>
      <c r="D13" s="10">
        <f t="shared" si="1"/>
        <v>4958.7762405204876</v>
      </c>
      <c r="E13" s="10">
        <f t="shared" si="2"/>
        <v>7218.5192674377477</v>
      </c>
      <c r="F13" s="10">
        <f t="shared" si="3"/>
        <v>1485373.1291292289</v>
      </c>
      <c r="G13" s="7">
        <v>1</v>
      </c>
      <c r="H13" s="7"/>
      <c r="I13" s="7"/>
    </row>
    <row r="14" spans="1:9" x14ac:dyDescent="0.25">
      <c r="A14" s="13" t="s">
        <v>70</v>
      </c>
      <c r="B14" s="10"/>
      <c r="C14" s="10">
        <f>SUM(C2:C13)</f>
        <v>26626.870870771098</v>
      </c>
      <c r="D14" s="10">
        <f>SUM(D2:D13)</f>
        <v>59995.360338481871</v>
      </c>
      <c r="E14" s="10"/>
      <c r="F14" s="10"/>
      <c r="G14" s="7"/>
      <c r="H14" s="7"/>
      <c r="I14" s="7"/>
    </row>
    <row r="15" spans="1:9" x14ac:dyDescent="0.25">
      <c r="A15" s="11"/>
      <c r="B15" s="10"/>
      <c r="C15" s="10"/>
      <c r="D15" s="10"/>
      <c r="E15" s="10"/>
      <c r="F15" s="10"/>
      <c r="G15" s="7"/>
      <c r="H15" s="7"/>
      <c r="I15" s="7"/>
    </row>
    <row r="16" spans="1:9" x14ac:dyDescent="0.25">
      <c r="A16" s="9" t="s">
        <v>52</v>
      </c>
      <c r="B16" s="10">
        <f>+F13</f>
        <v>1485373.1291292289</v>
      </c>
      <c r="C16" s="10">
        <f t="shared" ref="C16:C27" si="5">+E16-D16</f>
        <v>2267.2755036736507</v>
      </c>
      <c r="D16" s="10">
        <f t="shared" ref="D16:D27" si="6">B16*$I$2</f>
        <v>4951.2437637640969</v>
      </c>
      <c r="E16" s="10">
        <f t="shared" ref="E16:E27" si="7">-$I$9</f>
        <v>7218.5192674377477</v>
      </c>
      <c r="F16" s="10">
        <f t="shared" ref="F16:F27" si="8">+B16-C16</f>
        <v>1483105.8536255553</v>
      </c>
      <c r="G16" s="7"/>
      <c r="H16" s="7"/>
      <c r="I16" s="7"/>
    </row>
    <row r="17" spans="1:9" x14ac:dyDescent="0.25">
      <c r="A17" s="11" t="s">
        <v>54</v>
      </c>
      <c r="B17" s="10">
        <f t="shared" ref="B17:B27" si="9">+F16</f>
        <v>1483105.8536255553</v>
      </c>
      <c r="C17" s="10">
        <f t="shared" si="5"/>
        <v>2274.8330886858967</v>
      </c>
      <c r="D17" s="10">
        <f t="shared" si="6"/>
        <v>4943.686178751851</v>
      </c>
      <c r="E17" s="10">
        <f t="shared" si="7"/>
        <v>7218.5192674377477</v>
      </c>
      <c r="F17" s="10">
        <f t="shared" si="8"/>
        <v>1480831.0205368693</v>
      </c>
      <c r="G17" s="7"/>
      <c r="H17" s="7"/>
      <c r="I17" s="7"/>
    </row>
    <row r="18" spans="1:9" x14ac:dyDescent="0.25">
      <c r="A18" s="11" t="s">
        <v>56</v>
      </c>
      <c r="B18" s="10">
        <f t="shared" si="9"/>
        <v>1480831.0205368693</v>
      </c>
      <c r="C18" s="10">
        <f t="shared" si="5"/>
        <v>2282.4158656481832</v>
      </c>
      <c r="D18" s="10">
        <f t="shared" si="6"/>
        <v>4936.1034017895645</v>
      </c>
      <c r="E18" s="10">
        <f t="shared" si="7"/>
        <v>7218.5192674377477</v>
      </c>
      <c r="F18" s="10">
        <f t="shared" si="8"/>
        <v>1478548.6046712212</v>
      </c>
      <c r="G18" s="7"/>
      <c r="H18" s="7"/>
      <c r="I18" s="7"/>
    </row>
    <row r="19" spans="1:9" x14ac:dyDescent="0.25">
      <c r="A19" s="11" t="s">
        <v>58</v>
      </c>
      <c r="B19" s="10">
        <f t="shared" si="9"/>
        <v>1478548.6046712212</v>
      </c>
      <c r="C19" s="10">
        <f t="shared" si="5"/>
        <v>2290.0239185336768</v>
      </c>
      <c r="D19" s="10">
        <f t="shared" si="6"/>
        <v>4928.4953489040709</v>
      </c>
      <c r="E19" s="10">
        <f t="shared" si="7"/>
        <v>7218.5192674377477</v>
      </c>
      <c r="F19" s="10">
        <f t="shared" si="8"/>
        <v>1476258.5807526875</v>
      </c>
      <c r="G19" s="7"/>
      <c r="H19" s="7"/>
      <c r="I19" s="7"/>
    </row>
    <row r="20" spans="1:9" x14ac:dyDescent="0.25">
      <c r="A20" s="11" t="s">
        <v>60</v>
      </c>
      <c r="B20" s="10">
        <f t="shared" si="9"/>
        <v>1476258.5807526875</v>
      </c>
      <c r="C20" s="10">
        <f t="shared" si="5"/>
        <v>2297.6573315954556</v>
      </c>
      <c r="D20" s="10">
        <f t="shared" si="6"/>
        <v>4920.861935842292</v>
      </c>
      <c r="E20" s="10">
        <f t="shared" si="7"/>
        <v>7218.5192674377477</v>
      </c>
      <c r="F20" s="10">
        <f t="shared" si="8"/>
        <v>1473960.9234210921</v>
      </c>
      <c r="G20" s="7"/>
      <c r="H20" s="7"/>
      <c r="I20" s="7"/>
    </row>
    <row r="21" spans="1:9" x14ac:dyDescent="0.25">
      <c r="A21" s="11" t="s">
        <v>62</v>
      </c>
      <c r="B21" s="10">
        <f t="shared" si="9"/>
        <v>1473960.9234210921</v>
      </c>
      <c r="C21" s="10">
        <f t="shared" si="5"/>
        <v>2305.3161893674405</v>
      </c>
      <c r="D21" s="10">
        <f t="shared" si="6"/>
        <v>4913.2030780703071</v>
      </c>
      <c r="E21" s="10">
        <f t="shared" si="7"/>
        <v>7218.5192674377477</v>
      </c>
      <c r="F21" s="10">
        <f t="shared" si="8"/>
        <v>1471655.6072317245</v>
      </c>
      <c r="G21" s="7"/>
      <c r="H21" s="7"/>
      <c r="I21" s="7"/>
    </row>
    <row r="22" spans="1:9" x14ac:dyDescent="0.25">
      <c r="A22" s="11" t="s">
        <v>64</v>
      </c>
      <c r="B22" s="10">
        <f t="shared" si="9"/>
        <v>1471655.6072317245</v>
      </c>
      <c r="C22" s="10">
        <f t="shared" si="5"/>
        <v>2313.0005766653321</v>
      </c>
      <c r="D22" s="10">
        <f t="shared" si="6"/>
        <v>4905.5186907724155</v>
      </c>
      <c r="E22" s="10">
        <f t="shared" si="7"/>
        <v>7218.5192674377477</v>
      </c>
      <c r="F22" s="10">
        <f t="shared" si="8"/>
        <v>1469342.6066550591</v>
      </c>
      <c r="G22" s="7"/>
      <c r="H22" s="7"/>
      <c r="I22" s="7"/>
    </row>
    <row r="23" spans="1:9" x14ac:dyDescent="0.25">
      <c r="A23" s="11" t="s">
        <v>65</v>
      </c>
      <c r="B23" s="10">
        <f t="shared" si="9"/>
        <v>1469342.6066550591</v>
      </c>
      <c r="C23" s="10">
        <f t="shared" si="5"/>
        <v>2320.7105785875501</v>
      </c>
      <c r="D23" s="10">
        <f t="shared" si="6"/>
        <v>4897.8086888501975</v>
      </c>
      <c r="E23" s="10">
        <f t="shared" si="7"/>
        <v>7218.5192674377477</v>
      </c>
      <c r="F23" s="10">
        <f t="shared" si="8"/>
        <v>1467021.8960764715</v>
      </c>
      <c r="G23" s="7"/>
      <c r="H23" s="7"/>
      <c r="I23" s="7"/>
    </row>
    <row r="24" spans="1:9" x14ac:dyDescent="0.25">
      <c r="A24" s="11" t="s">
        <v>66</v>
      </c>
      <c r="B24" s="10">
        <f t="shared" si="9"/>
        <v>1467021.8960764715</v>
      </c>
      <c r="C24" s="10">
        <f t="shared" si="5"/>
        <v>2328.4462805161756</v>
      </c>
      <c r="D24" s="10">
        <f t="shared" si="6"/>
        <v>4890.072986921572</v>
      </c>
      <c r="E24" s="10">
        <f t="shared" si="7"/>
        <v>7218.5192674377477</v>
      </c>
      <c r="F24" s="10">
        <f t="shared" si="8"/>
        <v>1464693.4497959553</v>
      </c>
      <c r="G24" s="7"/>
      <c r="H24" s="7"/>
      <c r="I24" s="7"/>
    </row>
    <row r="25" spans="1:9" x14ac:dyDescent="0.25">
      <c r="A25" s="11" t="s">
        <v>67</v>
      </c>
      <c r="B25" s="10">
        <f t="shared" si="9"/>
        <v>1464693.4497959553</v>
      </c>
      <c r="C25" s="10">
        <f t="shared" si="5"/>
        <v>2336.2077681178962</v>
      </c>
      <c r="D25" s="10">
        <f t="shared" si="6"/>
        <v>4882.3114993198515</v>
      </c>
      <c r="E25" s="10">
        <f t="shared" si="7"/>
        <v>7218.5192674377477</v>
      </c>
      <c r="F25" s="10">
        <f t="shared" si="8"/>
        <v>1462357.2420278373</v>
      </c>
      <c r="G25" s="7"/>
      <c r="H25" s="7"/>
      <c r="I25" s="7"/>
    </row>
    <row r="26" spans="1:9" x14ac:dyDescent="0.25">
      <c r="A26" s="11" t="s">
        <v>68</v>
      </c>
      <c r="B26" s="10">
        <f t="shared" si="9"/>
        <v>1462357.2420278373</v>
      </c>
      <c r="C26" s="10">
        <f t="shared" si="5"/>
        <v>2343.995127344956</v>
      </c>
      <c r="D26" s="10">
        <f t="shared" si="6"/>
        <v>4874.5241400927916</v>
      </c>
      <c r="E26" s="10">
        <f t="shared" si="7"/>
        <v>7218.5192674377477</v>
      </c>
      <c r="F26" s="10">
        <f t="shared" si="8"/>
        <v>1460013.2469004923</v>
      </c>
      <c r="G26" s="7"/>
      <c r="H26" s="7"/>
      <c r="I26" s="7"/>
    </row>
    <row r="27" spans="1:9" x14ac:dyDescent="0.25">
      <c r="A27" s="11" t="s">
        <v>69</v>
      </c>
      <c r="B27" s="10">
        <f t="shared" si="9"/>
        <v>1460013.2469004923</v>
      </c>
      <c r="C27" s="10">
        <f t="shared" si="5"/>
        <v>2351.8084444361066</v>
      </c>
      <c r="D27" s="10">
        <f t="shared" si="6"/>
        <v>4866.7108230016411</v>
      </c>
      <c r="E27" s="10">
        <f t="shared" si="7"/>
        <v>7218.5192674377477</v>
      </c>
      <c r="F27" s="10">
        <f t="shared" si="8"/>
        <v>1457661.4384560562</v>
      </c>
      <c r="G27" s="7">
        <f>G13+1</f>
        <v>2</v>
      </c>
      <c r="H27" s="7"/>
      <c r="I27" s="7"/>
    </row>
    <row r="28" spans="1:9" x14ac:dyDescent="0.25">
      <c r="A28" s="13" t="s">
        <v>70</v>
      </c>
      <c r="B28" s="10"/>
      <c r="C28" s="10">
        <f>SUM(C16:C27)</f>
        <v>27711.690673172314</v>
      </c>
      <c r="D28" s="10">
        <f>SUM(D16:D27)</f>
        <v>58910.540536080654</v>
      </c>
      <c r="E28" s="10"/>
      <c r="F28" s="10"/>
      <c r="G28" s="7"/>
      <c r="H28" s="7"/>
      <c r="I28" s="7"/>
    </row>
    <row r="29" spans="1:9" x14ac:dyDescent="0.25">
      <c r="A29" s="11"/>
      <c r="B29" s="10"/>
      <c r="C29" s="10"/>
      <c r="D29" s="10"/>
      <c r="E29" s="10"/>
      <c r="F29" s="10"/>
      <c r="G29" s="7"/>
      <c r="H29" s="7"/>
      <c r="I29" s="7"/>
    </row>
    <row r="30" spans="1:9" x14ac:dyDescent="0.25">
      <c r="A30" s="9" t="s">
        <v>52</v>
      </c>
      <c r="B30" s="10">
        <f>+F27</f>
        <v>1457661.4384560562</v>
      </c>
      <c r="C30" s="10">
        <f t="shared" ref="C30:C41" si="10">+E30-D30</f>
        <v>2359.6478059175597</v>
      </c>
      <c r="D30" s="10">
        <f t="shared" ref="D30:D41" si="11">B30*$I$2</f>
        <v>4858.8714615201879</v>
      </c>
      <c r="E30" s="10">
        <f t="shared" ref="E30:E41" si="12">-$I$9</f>
        <v>7218.5192674377477</v>
      </c>
      <c r="F30" s="10">
        <f t="shared" ref="F30:F41" si="13">+B30-C30</f>
        <v>1455301.7906501386</v>
      </c>
      <c r="G30" s="7"/>
      <c r="H30" s="7"/>
      <c r="I30" s="7"/>
    </row>
    <row r="31" spans="1:9" x14ac:dyDescent="0.25">
      <c r="A31" s="11" t="s">
        <v>54</v>
      </c>
      <c r="B31" s="10">
        <f t="shared" ref="B31:B41" si="14">+F30</f>
        <v>1455301.7906501386</v>
      </c>
      <c r="C31" s="10">
        <f t="shared" si="10"/>
        <v>2367.5132986039516</v>
      </c>
      <c r="D31" s="10">
        <f t="shared" si="11"/>
        <v>4851.005968833796</v>
      </c>
      <c r="E31" s="10">
        <f t="shared" si="12"/>
        <v>7218.5192674377477</v>
      </c>
      <c r="F31" s="10">
        <f t="shared" si="13"/>
        <v>1452934.2773515347</v>
      </c>
      <c r="G31" s="7"/>
      <c r="H31" s="7"/>
      <c r="I31" s="7"/>
    </row>
    <row r="32" spans="1:9" x14ac:dyDescent="0.25">
      <c r="A32" s="11" t="s">
        <v>56</v>
      </c>
      <c r="B32" s="10">
        <f t="shared" si="14"/>
        <v>1452934.2773515347</v>
      </c>
      <c r="C32" s="10">
        <f t="shared" si="10"/>
        <v>2375.405009599298</v>
      </c>
      <c r="D32" s="10">
        <f t="shared" si="11"/>
        <v>4843.1142578384497</v>
      </c>
      <c r="E32" s="10">
        <f t="shared" si="12"/>
        <v>7218.5192674377477</v>
      </c>
      <c r="F32" s="10">
        <f t="shared" si="13"/>
        <v>1450558.8723419353</v>
      </c>
      <c r="G32" s="7"/>
      <c r="H32" s="7"/>
      <c r="I32" s="7"/>
    </row>
    <row r="33" spans="1:9" x14ac:dyDescent="0.25">
      <c r="A33" s="11" t="s">
        <v>58</v>
      </c>
      <c r="B33" s="10">
        <f t="shared" si="14"/>
        <v>1450558.8723419353</v>
      </c>
      <c r="C33" s="10">
        <f t="shared" si="10"/>
        <v>2383.3230262979632</v>
      </c>
      <c r="D33" s="10">
        <f t="shared" si="11"/>
        <v>4835.1962411397844</v>
      </c>
      <c r="E33" s="10">
        <f t="shared" si="12"/>
        <v>7218.5192674377477</v>
      </c>
      <c r="F33" s="10">
        <f t="shared" si="13"/>
        <v>1448175.5493156374</v>
      </c>
      <c r="G33" s="7"/>
      <c r="H33" s="7"/>
      <c r="I33" s="7"/>
    </row>
    <row r="34" spans="1:9" x14ac:dyDescent="0.25">
      <c r="A34" s="11" t="s">
        <v>60</v>
      </c>
      <c r="B34" s="10">
        <f t="shared" si="14"/>
        <v>1448175.5493156374</v>
      </c>
      <c r="C34" s="10">
        <f t="shared" si="10"/>
        <v>2391.2674363856222</v>
      </c>
      <c r="D34" s="10">
        <f t="shared" si="11"/>
        <v>4827.2518310521255</v>
      </c>
      <c r="E34" s="10">
        <f t="shared" si="12"/>
        <v>7218.5192674377477</v>
      </c>
      <c r="F34" s="10">
        <f t="shared" si="13"/>
        <v>1445784.2818792518</v>
      </c>
      <c r="G34" s="7"/>
      <c r="H34" s="7"/>
      <c r="I34" s="7"/>
    </row>
    <row r="35" spans="1:9" x14ac:dyDescent="0.25">
      <c r="A35" s="11" t="s">
        <v>62</v>
      </c>
      <c r="B35" s="10">
        <f t="shared" si="14"/>
        <v>1445784.2818792518</v>
      </c>
      <c r="C35" s="10">
        <f t="shared" si="10"/>
        <v>2399.2383278402413</v>
      </c>
      <c r="D35" s="10">
        <f t="shared" si="11"/>
        <v>4819.2809395975064</v>
      </c>
      <c r="E35" s="10">
        <f t="shared" si="12"/>
        <v>7218.5192674377477</v>
      </c>
      <c r="F35" s="10">
        <f t="shared" si="13"/>
        <v>1443385.0435514115</v>
      </c>
      <c r="G35" s="7"/>
      <c r="H35" s="7"/>
      <c r="I35" s="7"/>
    </row>
    <row r="36" spans="1:9" x14ac:dyDescent="0.25">
      <c r="A36" s="11" t="s">
        <v>64</v>
      </c>
      <c r="B36" s="10">
        <f t="shared" si="14"/>
        <v>1443385.0435514115</v>
      </c>
      <c r="C36" s="10">
        <f t="shared" si="10"/>
        <v>2407.2357889330424</v>
      </c>
      <c r="D36" s="10">
        <f t="shared" si="11"/>
        <v>4811.2834785047053</v>
      </c>
      <c r="E36" s="10">
        <f t="shared" si="12"/>
        <v>7218.5192674377477</v>
      </c>
      <c r="F36" s="10">
        <f t="shared" si="13"/>
        <v>1440977.8077624785</v>
      </c>
      <c r="G36" s="7"/>
      <c r="H36" s="7"/>
      <c r="I36" s="7"/>
    </row>
    <row r="37" spans="1:9" x14ac:dyDescent="0.25">
      <c r="A37" s="11" t="s">
        <v>65</v>
      </c>
      <c r="B37" s="10">
        <f t="shared" si="14"/>
        <v>1440977.8077624785</v>
      </c>
      <c r="C37" s="10">
        <f t="shared" si="10"/>
        <v>2415.2599082294855</v>
      </c>
      <c r="D37" s="10">
        <f t="shared" si="11"/>
        <v>4803.2593592082621</v>
      </c>
      <c r="E37" s="10">
        <f t="shared" si="12"/>
        <v>7218.5192674377477</v>
      </c>
      <c r="F37" s="10">
        <f t="shared" si="13"/>
        <v>1438562.5478542489</v>
      </c>
      <c r="G37" s="7"/>
      <c r="H37" s="7"/>
      <c r="I37" s="7"/>
    </row>
    <row r="38" spans="1:9" x14ac:dyDescent="0.25">
      <c r="A38" s="11" t="s">
        <v>66</v>
      </c>
      <c r="B38" s="10">
        <f t="shared" si="14"/>
        <v>1438562.5478542489</v>
      </c>
      <c r="C38" s="10">
        <f t="shared" si="10"/>
        <v>2423.3107745902507</v>
      </c>
      <c r="D38" s="10">
        <f t="shared" si="11"/>
        <v>4795.2084928474969</v>
      </c>
      <c r="E38" s="10">
        <f t="shared" si="12"/>
        <v>7218.5192674377477</v>
      </c>
      <c r="F38" s="10">
        <f t="shared" si="13"/>
        <v>1436139.2370796585</v>
      </c>
      <c r="G38" s="7"/>
      <c r="H38" s="7"/>
      <c r="I38" s="7"/>
    </row>
    <row r="39" spans="1:9" x14ac:dyDescent="0.25">
      <c r="A39" s="11" t="s">
        <v>67</v>
      </c>
      <c r="B39" s="10">
        <f t="shared" si="14"/>
        <v>1436139.2370796585</v>
      </c>
      <c r="C39" s="10">
        <f t="shared" si="10"/>
        <v>2431.3884771722187</v>
      </c>
      <c r="D39" s="10">
        <f t="shared" si="11"/>
        <v>4787.130790265529</v>
      </c>
      <c r="E39" s="10">
        <f t="shared" si="12"/>
        <v>7218.5192674377477</v>
      </c>
      <c r="F39" s="10">
        <f t="shared" si="13"/>
        <v>1433707.8486024863</v>
      </c>
      <c r="G39" s="7"/>
      <c r="H39" s="7"/>
      <c r="I39" s="7"/>
    </row>
    <row r="40" spans="1:9" x14ac:dyDescent="0.25">
      <c r="A40" s="11" t="s">
        <v>68</v>
      </c>
      <c r="B40" s="10">
        <f t="shared" si="14"/>
        <v>1433707.8486024863</v>
      </c>
      <c r="C40" s="10">
        <f t="shared" si="10"/>
        <v>2439.4931054294593</v>
      </c>
      <c r="D40" s="10">
        <f t="shared" si="11"/>
        <v>4779.0261620082883</v>
      </c>
      <c r="E40" s="10">
        <f t="shared" si="12"/>
        <v>7218.5192674377477</v>
      </c>
      <c r="F40" s="10">
        <f t="shared" si="13"/>
        <v>1431268.3554970569</v>
      </c>
      <c r="G40" s="7"/>
      <c r="H40" s="7"/>
      <c r="I40" s="7"/>
    </row>
    <row r="41" spans="1:9" x14ac:dyDescent="0.25">
      <c r="A41" s="11" t="s">
        <v>69</v>
      </c>
      <c r="B41" s="10">
        <f t="shared" si="14"/>
        <v>1431268.3554970569</v>
      </c>
      <c r="C41" s="10">
        <f t="shared" si="10"/>
        <v>2447.6247491142249</v>
      </c>
      <c r="D41" s="10">
        <f t="shared" si="11"/>
        <v>4770.8945183235228</v>
      </c>
      <c r="E41" s="10">
        <f t="shared" si="12"/>
        <v>7218.5192674377477</v>
      </c>
      <c r="F41" s="10">
        <f t="shared" si="13"/>
        <v>1428820.7307479426</v>
      </c>
      <c r="G41" s="7">
        <f>G27+1</f>
        <v>3</v>
      </c>
      <c r="H41" s="7"/>
      <c r="I41" s="7"/>
    </row>
    <row r="42" spans="1:9" x14ac:dyDescent="0.25">
      <c r="A42" s="13" t="s">
        <v>70</v>
      </c>
      <c r="B42" s="10"/>
      <c r="C42" s="10">
        <f>SUM(C30:C41)</f>
        <v>28840.707708113321</v>
      </c>
      <c r="D42" s="10">
        <f>SUM(D30:D41)</f>
        <v>57781.523501139658</v>
      </c>
      <c r="E42" s="10"/>
      <c r="F42" s="10"/>
      <c r="G42" s="7"/>
      <c r="H42" s="7"/>
      <c r="I42" s="7"/>
    </row>
    <row r="43" spans="1:9" x14ac:dyDescent="0.25">
      <c r="A43" s="11"/>
      <c r="B43" s="10"/>
      <c r="C43" s="10"/>
      <c r="D43" s="10"/>
      <c r="E43" s="10"/>
      <c r="F43" s="10"/>
      <c r="G43" s="7"/>
      <c r="H43" s="7"/>
      <c r="I43" s="7"/>
    </row>
    <row r="44" spans="1:9" x14ac:dyDescent="0.25">
      <c r="A44" s="9" t="s">
        <v>52</v>
      </c>
      <c r="B44" s="10">
        <f>+F41</f>
        <v>1428820.7307479426</v>
      </c>
      <c r="C44" s="10">
        <f>+E44-D44</f>
        <v>2455.7834982779386</v>
      </c>
      <c r="D44" s="10">
        <f>B44*$I$2</f>
        <v>4762.735769159809</v>
      </c>
      <c r="E44" s="10">
        <f t="shared" ref="E44:E55" si="15">-$I$9</f>
        <v>7218.5192674377477</v>
      </c>
      <c r="F44" s="10">
        <f>+B44-C44</f>
        <v>1426364.9472496647</v>
      </c>
      <c r="G44" s="7"/>
      <c r="H44" s="7"/>
      <c r="I44" s="7"/>
    </row>
    <row r="45" spans="1:9" x14ac:dyDescent="0.25">
      <c r="A45" s="11" t="s">
        <v>54</v>
      </c>
      <c r="B45" s="10">
        <f>+F44</f>
        <v>1426364.9472496647</v>
      </c>
      <c r="C45" s="10">
        <f>+E45-D45</f>
        <v>2463.9694432721981</v>
      </c>
      <c r="D45" s="10">
        <f>B45*$I$2</f>
        <v>4754.5498241655496</v>
      </c>
      <c r="E45" s="10">
        <f t="shared" si="15"/>
        <v>7218.5192674377477</v>
      </c>
      <c r="F45" s="10">
        <f>+B45-C45</f>
        <v>1423900.9778063926</v>
      </c>
      <c r="G45" s="7"/>
      <c r="H45" s="7"/>
      <c r="I45" s="7"/>
    </row>
    <row r="46" spans="1:9" x14ac:dyDescent="0.25">
      <c r="A46" s="11" t="s">
        <v>56</v>
      </c>
      <c r="B46" s="10">
        <f>+F45</f>
        <v>1423900.9778063926</v>
      </c>
      <c r="C46" s="10">
        <f>+E46-D46</f>
        <v>2472.1826747497716</v>
      </c>
      <c r="D46" s="10">
        <f>B46*$I$2</f>
        <v>4746.336592687976</v>
      </c>
      <c r="E46" s="10">
        <f t="shared" si="15"/>
        <v>7218.5192674377477</v>
      </c>
      <c r="F46" s="10">
        <f>+B46-C46</f>
        <v>1421428.7951316428</v>
      </c>
      <c r="G46" s="7"/>
      <c r="H46" s="7"/>
      <c r="I46" s="7"/>
    </row>
    <row r="47" spans="1:9" x14ac:dyDescent="0.25">
      <c r="A47" s="11" t="s">
        <v>58</v>
      </c>
      <c r="B47" s="10">
        <f>+F46</f>
        <v>1421428.7951316428</v>
      </c>
      <c r="C47" s="10">
        <f>+E47-D47</f>
        <v>2480.4232836656047</v>
      </c>
      <c r="D47" s="10">
        <f>B47*$I$2</f>
        <v>4738.095983772143</v>
      </c>
      <c r="E47" s="10">
        <f t="shared" si="15"/>
        <v>7218.5192674377477</v>
      </c>
      <c r="F47" s="10">
        <f>+B47-C47</f>
        <v>1418948.3718479772</v>
      </c>
      <c r="G47" s="7"/>
      <c r="H47" s="7"/>
      <c r="I47" s="7"/>
    </row>
    <row r="48" spans="1:9" x14ac:dyDescent="0.25">
      <c r="A48" s="11" t="s">
        <v>60</v>
      </c>
      <c r="B48" s="10">
        <f t="shared" ref="B48:B55" si="16">+F47</f>
        <v>1418948.3718479772</v>
      </c>
      <c r="C48" s="10">
        <f t="shared" ref="C48:C55" si="17">+E48-D48</f>
        <v>2488.6913612778235</v>
      </c>
      <c r="D48" s="10">
        <f t="shared" ref="D48:D55" si="18">B48*$I$2</f>
        <v>4729.8279061599242</v>
      </c>
      <c r="E48" s="10">
        <f t="shared" si="15"/>
        <v>7218.5192674377477</v>
      </c>
      <c r="F48" s="10">
        <f t="shared" ref="F48:F55" si="19">+B48-C48</f>
        <v>1416459.6804866993</v>
      </c>
      <c r="G48" s="7"/>
      <c r="H48" s="7"/>
      <c r="I48" s="7"/>
    </row>
    <row r="49" spans="1:9" x14ac:dyDescent="0.25">
      <c r="A49" s="11" t="s">
        <v>62</v>
      </c>
      <c r="B49" s="10">
        <f t="shared" si="16"/>
        <v>1416459.6804866993</v>
      </c>
      <c r="C49" s="10">
        <f t="shared" si="17"/>
        <v>2496.9869991487494</v>
      </c>
      <c r="D49" s="10">
        <f t="shared" si="18"/>
        <v>4721.5322682889982</v>
      </c>
      <c r="E49" s="10">
        <f t="shared" si="15"/>
        <v>7218.5192674377477</v>
      </c>
      <c r="F49" s="10">
        <f t="shared" si="19"/>
        <v>1413962.6934875506</v>
      </c>
      <c r="G49" s="7"/>
      <c r="H49" s="7"/>
      <c r="I49" s="7"/>
    </row>
    <row r="50" spans="1:9" x14ac:dyDescent="0.25">
      <c r="A50" s="11" t="s">
        <v>64</v>
      </c>
      <c r="B50" s="10">
        <f t="shared" si="16"/>
        <v>1413962.6934875506</v>
      </c>
      <c r="C50" s="10">
        <f t="shared" si="17"/>
        <v>2505.3102891459121</v>
      </c>
      <c r="D50" s="10">
        <f t="shared" si="18"/>
        <v>4713.2089782918356</v>
      </c>
      <c r="E50" s="10">
        <f t="shared" si="15"/>
        <v>7218.5192674377477</v>
      </c>
      <c r="F50" s="10">
        <f t="shared" si="19"/>
        <v>1411457.3831984047</v>
      </c>
      <c r="G50" s="7"/>
      <c r="H50" s="7"/>
      <c r="I50" s="7"/>
    </row>
    <row r="51" spans="1:9" x14ac:dyDescent="0.25">
      <c r="A51" s="11" t="s">
        <v>65</v>
      </c>
      <c r="B51" s="10">
        <f t="shared" si="16"/>
        <v>1411457.3831984047</v>
      </c>
      <c r="C51" s="10">
        <f t="shared" si="17"/>
        <v>2513.6613234430652</v>
      </c>
      <c r="D51" s="10">
        <f t="shared" si="18"/>
        <v>4704.8579439946825</v>
      </c>
      <c r="E51" s="10">
        <f t="shared" si="15"/>
        <v>7218.5192674377477</v>
      </c>
      <c r="F51" s="10">
        <f t="shared" si="19"/>
        <v>1408943.7218749616</v>
      </c>
      <c r="G51" s="7"/>
      <c r="H51" s="7"/>
      <c r="I51" s="7"/>
    </row>
    <row r="52" spans="1:9" x14ac:dyDescent="0.25">
      <c r="A52" s="11" t="s">
        <v>66</v>
      </c>
      <c r="B52" s="10">
        <f t="shared" si="16"/>
        <v>1408943.7218749616</v>
      </c>
      <c r="C52" s="10">
        <f t="shared" si="17"/>
        <v>2522.0401945212088</v>
      </c>
      <c r="D52" s="10">
        <f t="shared" si="18"/>
        <v>4696.4790729165388</v>
      </c>
      <c r="E52" s="10">
        <f t="shared" si="15"/>
        <v>7218.5192674377477</v>
      </c>
      <c r="F52" s="10">
        <f t="shared" si="19"/>
        <v>1406421.6816804404</v>
      </c>
      <c r="G52" s="7"/>
      <c r="H52" s="7"/>
      <c r="I52" s="7"/>
    </row>
    <row r="53" spans="1:9" x14ac:dyDescent="0.25">
      <c r="A53" s="11" t="s">
        <v>67</v>
      </c>
      <c r="B53" s="10">
        <f t="shared" si="16"/>
        <v>1406421.6816804404</v>
      </c>
      <c r="C53" s="10">
        <f t="shared" si="17"/>
        <v>2530.4469951696128</v>
      </c>
      <c r="D53" s="10">
        <f t="shared" si="18"/>
        <v>4688.0722722681348</v>
      </c>
      <c r="E53" s="10">
        <f t="shared" si="15"/>
        <v>7218.5192674377477</v>
      </c>
      <c r="F53" s="10">
        <f t="shared" si="19"/>
        <v>1403891.2346852708</v>
      </c>
      <c r="G53" s="7"/>
      <c r="H53" s="7"/>
      <c r="I53" s="7"/>
    </row>
    <row r="54" spans="1:9" x14ac:dyDescent="0.25">
      <c r="A54" s="11" t="s">
        <v>68</v>
      </c>
      <c r="B54" s="10">
        <f t="shared" si="16"/>
        <v>1403891.2346852708</v>
      </c>
      <c r="C54" s="10">
        <f t="shared" si="17"/>
        <v>2538.8818184868451</v>
      </c>
      <c r="D54" s="10">
        <f t="shared" si="18"/>
        <v>4679.6374489509026</v>
      </c>
      <c r="E54" s="10">
        <f t="shared" si="15"/>
        <v>7218.5192674377477</v>
      </c>
      <c r="F54" s="10">
        <f t="shared" si="19"/>
        <v>1401352.352866784</v>
      </c>
      <c r="G54" s="7"/>
      <c r="H54" s="7"/>
      <c r="I54" s="7"/>
    </row>
    <row r="55" spans="1:9" x14ac:dyDescent="0.25">
      <c r="A55" s="11" t="s">
        <v>69</v>
      </c>
      <c r="B55" s="10">
        <f t="shared" si="16"/>
        <v>1401352.352866784</v>
      </c>
      <c r="C55" s="10">
        <f t="shared" si="17"/>
        <v>2547.3447578818004</v>
      </c>
      <c r="D55" s="10">
        <f t="shared" si="18"/>
        <v>4671.1745095559472</v>
      </c>
      <c r="E55" s="10">
        <f t="shared" si="15"/>
        <v>7218.5192674377477</v>
      </c>
      <c r="F55" s="10">
        <f t="shared" si="19"/>
        <v>1398805.0081089023</v>
      </c>
      <c r="G55" s="7">
        <f>G41+1</f>
        <v>4</v>
      </c>
      <c r="H55" s="7"/>
      <c r="I55" s="7"/>
    </row>
    <row r="56" spans="1:9" x14ac:dyDescent="0.25">
      <c r="A56" s="13" t="s">
        <v>70</v>
      </c>
      <c r="B56" s="10"/>
      <c r="C56" s="10">
        <f>SUM(C44:C55)</f>
        <v>30015.722639040534</v>
      </c>
      <c r="D56" s="10">
        <f>SUM(D44:D55)</f>
        <v>56606.508570212449</v>
      </c>
      <c r="E56" s="10"/>
      <c r="F56" s="10"/>
      <c r="G56" s="7"/>
      <c r="H56" s="7"/>
      <c r="I56" s="7"/>
    </row>
    <row r="57" spans="1:9" x14ac:dyDescent="0.25">
      <c r="A57" s="7"/>
      <c r="B57" s="10"/>
      <c r="C57" s="10"/>
      <c r="D57" s="10"/>
      <c r="E57" s="10"/>
      <c r="F57" s="10"/>
      <c r="G57" s="7"/>
      <c r="H57" s="7"/>
      <c r="I57" s="7"/>
    </row>
    <row r="58" spans="1:9" x14ac:dyDescent="0.25">
      <c r="A58" s="9" t="s">
        <v>52</v>
      </c>
      <c r="B58" s="10">
        <f>+F55</f>
        <v>1398805.0081089023</v>
      </c>
      <c r="C58" s="10">
        <f t="shared" ref="C58:C69" si="20">+E58-D58</f>
        <v>2555.8359070747401</v>
      </c>
      <c r="D58" s="10">
        <f t="shared" ref="D58:D69" si="21">B58*$I$2</f>
        <v>4662.6833603630075</v>
      </c>
      <c r="E58" s="10">
        <f t="shared" ref="E58:E69" si="22">-$I$9</f>
        <v>7218.5192674377477</v>
      </c>
      <c r="F58" s="10">
        <f t="shared" ref="F58:F69" si="23">+B58-C58</f>
        <v>1396249.1722018274</v>
      </c>
      <c r="G58" s="7"/>
      <c r="H58" s="7"/>
      <c r="I58" s="7"/>
    </row>
    <row r="59" spans="1:9" x14ac:dyDescent="0.25">
      <c r="A59" s="11" t="s">
        <v>54</v>
      </c>
      <c r="B59" s="10">
        <f t="shared" ref="B59:B69" si="24">+F58</f>
        <v>1396249.1722018274</v>
      </c>
      <c r="C59" s="10">
        <f t="shared" si="20"/>
        <v>2564.3553600983223</v>
      </c>
      <c r="D59" s="10">
        <f t="shared" si="21"/>
        <v>4654.1639073394254</v>
      </c>
      <c r="E59" s="10">
        <f t="shared" si="22"/>
        <v>7218.5192674377477</v>
      </c>
      <c r="F59" s="10">
        <f t="shared" si="23"/>
        <v>1393684.816841729</v>
      </c>
      <c r="G59" s="7"/>
      <c r="H59" s="7"/>
      <c r="I59" s="7"/>
    </row>
    <row r="60" spans="1:9" x14ac:dyDescent="0.25">
      <c r="A60" s="11" t="s">
        <v>56</v>
      </c>
      <c r="B60" s="10">
        <f t="shared" si="24"/>
        <v>1393684.816841729</v>
      </c>
      <c r="C60" s="10">
        <f t="shared" si="20"/>
        <v>2572.9032112986506</v>
      </c>
      <c r="D60" s="10">
        <f t="shared" si="21"/>
        <v>4645.6160561390971</v>
      </c>
      <c r="E60" s="10">
        <f t="shared" si="22"/>
        <v>7218.5192674377477</v>
      </c>
      <c r="F60" s="10">
        <f t="shared" si="23"/>
        <v>1391111.9136304304</v>
      </c>
      <c r="G60" s="7"/>
      <c r="H60" s="7"/>
      <c r="I60" s="7"/>
    </row>
    <row r="61" spans="1:9" x14ac:dyDescent="0.25">
      <c r="A61" s="11" t="s">
        <v>58</v>
      </c>
      <c r="B61" s="10">
        <f t="shared" si="24"/>
        <v>1391111.9136304304</v>
      </c>
      <c r="C61" s="10">
        <f t="shared" si="20"/>
        <v>2581.4795553363128</v>
      </c>
      <c r="D61" s="10">
        <f t="shared" si="21"/>
        <v>4637.0397121014348</v>
      </c>
      <c r="E61" s="10">
        <f t="shared" si="22"/>
        <v>7218.5192674377477</v>
      </c>
      <c r="F61" s="10">
        <f t="shared" si="23"/>
        <v>1388530.4340750941</v>
      </c>
      <c r="G61" s="7"/>
      <c r="H61" s="7"/>
      <c r="I61" s="7"/>
    </row>
    <row r="62" spans="1:9" x14ac:dyDescent="0.25">
      <c r="A62" s="11" t="s">
        <v>60</v>
      </c>
      <c r="B62" s="10">
        <f t="shared" si="24"/>
        <v>1388530.4340750941</v>
      </c>
      <c r="C62" s="10">
        <f t="shared" si="20"/>
        <v>2590.0844871874342</v>
      </c>
      <c r="D62" s="10">
        <f t="shared" si="21"/>
        <v>4628.4347802503135</v>
      </c>
      <c r="E62" s="10">
        <f t="shared" si="22"/>
        <v>7218.5192674377477</v>
      </c>
      <c r="F62" s="10">
        <f t="shared" si="23"/>
        <v>1385940.3495879066</v>
      </c>
      <c r="G62" s="7"/>
      <c r="H62" s="7"/>
      <c r="I62" s="7"/>
    </row>
    <row r="63" spans="1:9" x14ac:dyDescent="0.25">
      <c r="A63" s="11" t="s">
        <v>62</v>
      </c>
      <c r="B63" s="10">
        <f t="shared" si="24"/>
        <v>1385940.3495879066</v>
      </c>
      <c r="C63" s="10">
        <f t="shared" si="20"/>
        <v>2598.718102144725</v>
      </c>
      <c r="D63" s="10">
        <f t="shared" si="21"/>
        <v>4619.8011652930227</v>
      </c>
      <c r="E63" s="10">
        <f t="shared" si="22"/>
        <v>7218.5192674377477</v>
      </c>
      <c r="F63" s="10">
        <f t="shared" si="23"/>
        <v>1383341.6314857618</v>
      </c>
      <c r="G63" s="7"/>
      <c r="H63" s="7"/>
      <c r="I63" s="7"/>
    </row>
    <row r="64" spans="1:9" x14ac:dyDescent="0.25">
      <c r="A64" s="11" t="s">
        <v>64</v>
      </c>
      <c r="B64" s="10">
        <f t="shared" si="24"/>
        <v>1383341.6314857618</v>
      </c>
      <c r="C64" s="10">
        <f t="shared" si="20"/>
        <v>2607.380495818541</v>
      </c>
      <c r="D64" s="10">
        <f t="shared" si="21"/>
        <v>4611.1387716192066</v>
      </c>
      <c r="E64" s="10">
        <f t="shared" si="22"/>
        <v>7218.5192674377477</v>
      </c>
      <c r="F64" s="10">
        <f t="shared" si="23"/>
        <v>1380734.2509899433</v>
      </c>
      <c r="G64" s="7"/>
      <c r="H64" s="7"/>
      <c r="I64" s="7"/>
    </row>
    <row r="65" spans="1:9" x14ac:dyDescent="0.25">
      <c r="A65" s="11" t="s">
        <v>65</v>
      </c>
      <c r="B65" s="10">
        <f t="shared" si="24"/>
        <v>1380734.2509899433</v>
      </c>
      <c r="C65" s="10">
        <f t="shared" si="20"/>
        <v>2616.071764137936</v>
      </c>
      <c r="D65" s="10">
        <f t="shared" si="21"/>
        <v>4602.4475032998116</v>
      </c>
      <c r="E65" s="10">
        <f t="shared" si="22"/>
        <v>7218.5192674377477</v>
      </c>
      <c r="F65" s="10">
        <f t="shared" si="23"/>
        <v>1378118.1792258054</v>
      </c>
      <c r="G65" s="7"/>
      <c r="H65" s="7"/>
      <c r="I65" s="7"/>
    </row>
    <row r="66" spans="1:9" x14ac:dyDescent="0.25">
      <c r="A66" s="11" t="s">
        <v>66</v>
      </c>
      <c r="B66" s="10">
        <f t="shared" si="24"/>
        <v>1378118.1792258054</v>
      </c>
      <c r="C66" s="10">
        <f t="shared" si="20"/>
        <v>2624.7920033517294</v>
      </c>
      <c r="D66" s="10">
        <f t="shared" si="21"/>
        <v>4593.7272640860183</v>
      </c>
      <c r="E66" s="10">
        <f t="shared" si="22"/>
        <v>7218.5192674377477</v>
      </c>
      <c r="F66" s="10">
        <f t="shared" si="23"/>
        <v>1375493.3872224537</v>
      </c>
      <c r="G66" s="7"/>
      <c r="H66" s="7"/>
      <c r="I66" s="7"/>
    </row>
    <row r="67" spans="1:9" x14ac:dyDescent="0.25">
      <c r="A67" s="11" t="s">
        <v>67</v>
      </c>
      <c r="B67" s="10">
        <f t="shared" si="24"/>
        <v>1375493.3872224537</v>
      </c>
      <c r="C67" s="10">
        <f t="shared" si="20"/>
        <v>2633.5413100295682</v>
      </c>
      <c r="D67" s="10">
        <f t="shared" si="21"/>
        <v>4584.9779574081795</v>
      </c>
      <c r="E67" s="10">
        <f t="shared" si="22"/>
        <v>7218.5192674377477</v>
      </c>
      <c r="F67" s="10">
        <f t="shared" si="23"/>
        <v>1372859.8459124241</v>
      </c>
      <c r="G67" s="7"/>
      <c r="H67" s="7"/>
      <c r="I67" s="7"/>
    </row>
    <row r="68" spans="1:9" x14ac:dyDescent="0.25">
      <c r="A68" s="11" t="s">
        <v>68</v>
      </c>
      <c r="B68" s="10">
        <f t="shared" si="24"/>
        <v>1372859.8459124241</v>
      </c>
      <c r="C68" s="10">
        <f t="shared" si="20"/>
        <v>2642.3197810629999</v>
      </c>
      <c r="D68" s="10">
        <f t="shared" si="21"/>
        <v>4576.1994863747477</v>
      </c>
      <c r="E68" s="10">
        <f t="shared" si="22"/>
        <v>7218.5192674377477</v>
      </c>
      <c r="F68" s="10">
        <f t="shared" si="23"/>
        <v>1370217.5261313613</v>
      </c>
      <c r="G68" s="7"/>
      <c r="H68" s="7"/>
      <c r="I68" s="7"/>
    </row>
    <row r="69" spans="1:9" x14ac:dyDescent="0.25">
      <c r="A69" s="11" t="s">
        <v>69</v>
      </c>
      <c r="B69" s="10">
        <f t="shared" si="24"/>
        <v>1370217.5261313613</v>
      </c>
      <c r="C69" s="10">
        <f t="shared" si="20"/>
        <v>2651.1275136665436</v>
      </c>
      <c r="D69" s="10">
        <f t="shared" si="21"/>
        <v>4567.3917537712041</v>
      </c>
      <c r="E69" s="10">
        <f t="shared" si="22"/>
        <v>7218.5192674377477</v>
      </c>
      <c r="F69" s="10">
        <f t="shared" si="23"/>
        <v>1367566.3986176946</v>
      </c>
      <c r="G69" s="7">
        <f>G55+1</f>
        <v>5</v>
      </c>
      <c r="H69" s="7"/>
      <c r="I69" s="7"/>
    </row>
    <row r="70" spans="1:9" x14ac:dyDescent="0.25">
      <c r="A70" s="13" t="s">
        <v>70</v>
      </c>
      <c r="B70" s="10"/>
      <c r="C70" s="10">
        <f>SUM(C58:C69)</f>
        <v>31238.609491207506</v>
      </c>
      <c r="D70" s="10">
        <f>SUM(D58:D69)</f>
        <v>55383.621718045462</v>
      </c>
      <c r="E70" s="10"/>
      <c r="F70" s="10"/>
      <c r="G70" s="7"/>
      <c r="H70" s="7"/>
      <c r="I70" s="7"/>
    </row>
    <row r="71" spans="1:9" x14ac:dyDescent="0.25">
      <c r="A71" s="11"/>
      <c r="B71" s="10"/>
      <c r="C71" s="10"/>
      <c r="D71" s="10"/>
      <c r="E71" s="10"/>
      <c r="F71" s="10"/>
      <c r="G71" s="7"/>
      <c r="H71" s="7"/>
      <c r="I71" s="7"/>
    </row>
    <row r="72" spans="1:9" x14ac:dyDescent="0.25">
      <c r="A72" s="9" t="s">
        <v>52</v>
      </c>
      <c r="B72" s="10">
        <f>+F69</f>
        <v>1367566.3986176946</v>
      </c>
      <c r="C72" s="10">
        <f t="shared" ref="C72:C83" si="25">+E72-D72</f>
        <v>2659.9646053787656</v>
      </c>
      <c r="D72" s="10">
        <f t="shared" ref="D72:D83" si="26">B72*$I$2</f>
        <v>4558.5546620589821</v>
      </c>
      <c r="E72" s="10">
        <f t="shared" ref="E72:E83" si="27">-$I$9</f>
        <v>7218.5192674377477</v>
      </c>
      <c r="F72" s="10">
        <f t="shared" ref="F72:F83" si="28">+B72-C72</f>
        <v>1364906.4340123159</v>
      </c>
      <c r="G72" s="7"/>
      <c r="H72" s="7"/>
      <c r="I72" s="7"/>
    </row>
    <row r="73" spans="1:9" x14ac:dyDescent="0.25">
      <c r="A73" s="11" t="s">
        <v>54</v>
      </c>
      <c r="B73" s="10">
        <f t="shared" ref="B73:B83" si="29">+F72</f>
        <v>1364906.4340123159</v>
      </c>
      <c r="C73" s="10">
        <f t="shared" si="25"/>
        <v>2668.8311540633613</v>
      </c>
      <c r="D73" s="10">
        <f t="shared" si="26"/>
        <v>4549.6881133743864</v>
      </c>
      <c r="E73" s="10">
        <f t="shared" si="27"/>
        <v>7218.5192674377477</v>
      </c>
      <c r="F73" s="10">
        <f t="shared" si="28"/>
        <v>1362237.6028582526</v>
      </c>
      <c r="G73" s="7"/>
      <c r="H73" s="7"/>
      <c r="I73" s="7"/>
    </row>
    <row r="74" spans="1:9" x14ac:dyDescent="0.25">
      <c r="A74" s="11" t="s">
        <v>56</v>
      </c>
      <c r="B74" s="10">
        <f t="shared" si="29"/>
        <v>1362237.6028582526</v>
      </c>
      <c r="C74" s="10">
        <f t="shared" si="25"/>
        <v>2677.7272579102391</v>
      </c>
      <c r="D74" s="10">
        <f t="shared" si="26"/>
        <v>4540.7920095275085</v>
      </c>
      <c r="E74" s="10">
        <f t="shared" si="27"/>
        <v>7218.5192674377477</v>
      </c>
      <c r="F74" s="10">
        <f t="shared" si="28"/>
        <v>1359559.8756003424</v>
      </c>
      <c r="G74" s="7"/>
      <c r="H74" s="7"/>
      <c r="I74" s="7"/>
    </row>
    <row r="75" spans="1:9" x14ac:dyDescent="0.25">
      <c r="A75" s="11" t="s">
        <v>58</v>
      </c>
      <c r="B75" s="10">
        <f t="shared" si="29"/>
        <v>1359559.8756003424</v>
      </c>
      <c r="C75" s="10">
        <f t="shared" si="25"/>
        <v>2686.6530154366064</v>
      </c>
      <c r="D75" s="10">
        <f t="shared" si="26"/>
        <v>4531.8662520011412</v>
      </c>
      <c r="E75" s="10">
        <f t="shared" si="27"/>
        <v>7218.5192674377477</v>
      </c>
      <c r="F75" s="10">
        <f t="shared" si="28"/>
        <v>1356873.2225849058</v>
      </c>
      <c r="G75" s="7"/>
      <c r="H75" s="7"/>
      <c r="I75" s="7"/>
    </row>
    <row r="76" spans="1:9" x14ac:dyDescent="0.25">
      <c r="A76" s="11" t="s">
        <v>60</v>
      </c>
      <c r="B76" s="10">
        <f t="shared" si="29"/>
        <v>1356873.2225849058</v>
      </c>
      <c r="C76" s="10">
        <f t="shared" si="25"/>
        <v>2695.6085254880618</v>
      </c>
      <c r="D76" s="10">
        <f t="shared" si="26"/>
        <v>4522.9107419496859</v>
      </c>
      <c r="E76" s="10">
        <f t="shared" si="27"/>
        <v>7218.5192674377477</v>
      </c>
      <c r="F76" s="10">
        <f t="shared" si="28"/>
        <v>1354177.6140594177</v>
      </c>
      <c r="G76" s="7"/>
      <c r="H76" s="7"/>
      <c r="I76" s="7"/>
    </row>
    <row r="77" spans="1:9" x14ac:dyDescent="0.25">
      <c r="A77" s="11" t="s">
        <v>62</v>
      </c>
      <c r="B77" s="10">
        <f t="shared" si="29"/>
        <v>1354177.6140594177</v>
      </c>
      <c r="C77" s="10">
        <f t="shared" si="25"/>
        <v>2704.5938872396882</v>
      </c>
      <c r="D77" s="10">
        <f t="shared" si="26"/>
        <v>4513.9253801980594</v>
      </c>
      <c r="E77" s="10">
        <f t="shared" si="27"/>
        <v>7218.5192674377477</v>
      </c>
      <c r="F77" s="10">
        <f t="shared" si="28"/>
        <v>1351473.020172178</v>
      </c>
      <c r="G77" s="7"/>
      <c r="H77" s="7"/>
      <c r="I77" s="7"/>
    </row>
    <row r="78" spans="1:9" x14ac:dyDescent="0.25">
      <c r="A78" s="11" t="s">
        <v>64</v>
      </c>
      <c r="B78" s="10">
        <f t="shared" si="29"/>
        <v>1351473.020172178</v>
      </c>
      <c r="C78" s="10">
        <f t="shared" si="25"/>
        <v>2713.6092001971538</v>
      </c>
      <c r="D78" s="10">
        <f t="shared" si="26"/>
        <v>4504.9100672405939</v>
      </c>
      <c r="E78" s="10">
        <f t="shared" si="27"/>
        <v>7218.5192674377477</v>
      </c>
      <c r="F78" s="10">
        <f t="shared" si="28"/>
        <v>1348759.410971981</v>
      </c>
      <c r="G78" s="7"/>
      <c r="H78" s="7"/>
      <c r="I78" s="7"/>
    </row>
    <row r="79" spans="1:9" x14ac:dyDescent="0.25">
      <c r="A79" s="11" t="s">
        <v>65</v>
      </c>
      <c r="B79" s="10">
        <f t="shared" si="29"/>
        <v>1348759.410971981</v>
      </c>
      <c r="C79" s="10">
        <f t="shared" si="25"/>
        <v>2722.6545641978109</v>
      </c>
      <c r="D79" s="10">
        <f t="shared" si="26"/>
        <v>4495.8647032399367</v>
      </c>
      <c r="E79" s="10">
        <f t="shared" si="27"/>
        <v>7218.5192674377477</v>
      </c>
      <c r="F79" s="10">
        <f t="shared" si="28"/>
        <v>1346036.7564077831</v>
      </c>
      <c r="G79" s="7"/>
      <c r="H79" s="7"/>
      <c r="I79" s="7"/>
    </row>
    <row r="80" spans="1:9" x14ac:dyDescent="0.25">
      <c r="A80" s="11" t="s">
        <v>66</v>
      </c>
      <c r="B80" s="10">
        <f t="shared" si="29"/>
        <v>1346036.7564077831</v>
      </c>
      <c r="C80" s="10">
        <f t="shared" si="25"/>
        <v>2731.7300794118037</v>
      </c>
      <c r="D80" s="10">
        <f t="shared" si="26"/>
        <v>4486.789188025944</v>
      </c>
      <c r="E80" s="10">
        <f t="shared" si="27"/>
        <v>7218.5192674377477</v>
      </c>
      <c r="F80" s="10">
        <f t="shared" si="28"/>
        <v>1343305.0263283714</v>
      </c>
      <c r="G80" s="7"/>
      <c r="H80" s="7"/>
      <c r="I80" s="7"/>
    </row>
    <row r="81" spans="1:9" x14ac:dyDescent="0.25">
      <c r="A81" s="11" t="s">
        <v>67</v>
      </c>
      <c r="B81" s="10">
        <f t="shared" si="29"/>
        <v>1343305.0263283714</v>
      </c>
      <c r="C81" s="10">
        <f t="shared" si="25"/>
        <v>2740.8358463431759</v>
      </c>
      <c r="D81" s="10">
        <f t="shared" si="26"/>
        <v>4477.6834210945717</v>
      </c>
      <c r="E81" s="10">
        <f t="shared" si="27"/>
        <v>7218.5192674377477</v>
      </c>
      <c r="F81" s="10">
        <f t="shared" si="28"/>
        <v>1340564.1904820283</v>
      </c>
      <c r="G81" s="7"/>
      <c r="H81" s="7"/>
      <c r="I81" s="7"/>
    </row>
    <row r="82" spans="1:9" x14ac:dyDescent="0.25">
      <c r="A82" s="11" t="s">
        <v>68</v>
      </c>
      <c r="B82" s="10">
        <f t="shared" si="29"/>
        <v>1340564.1904820283</v>
      </c>
      <c r="C82" s="10">
        <f t="shared" si="25"/>
        <v>2749.9719658309859</v>
      </c>
      <c r="D82" s="10">
        <f t="shared" si="26"/>
        <v>4468.5473016067617</v>
      </c>
      <c r="E82" s="10">
        <f t="shared" si="27"/>
        <v>7218.5192674377477</v>
      </c>
      <c r="F82" s="10">
        <f t="shared" si="28"/>
        <v>1337814.2185161973</v>
      </c>
      <c r="G82" s="7"/>
      <c r="H82" s="7"/>
      <c r="I82" s="7"/>
    </row>
    <row r="83" spans="1:9" x14ac:dyDescent="0.25">
      <c r="A83" s="11" t="s">
        <v>69</v>
      </c>
      <c r="B83" s="10">
        <f t="shared" si="29"/>
        <v>1337814.2185161973</v>
      </c>
      <c r="C83" s="10">
        <f t="shared" si="25"/>
        <v>2759.1385390504229</v>
      </c>
      <c r="D83" s="10">
        <f t="shared" si="26"/>
        <v>4459.3807283873248</v>
      </c>
      <c r="E83" s="10">
        <f t="shared" si="27"/>
        <v>7218.5192674377477</v>
      </c>
      <c r="F83" s="10">
        <f t="shared" si="28"/>
        <v>1335055.0799771468</v>
      </c>
      <c r="G83" s="7">
        <f>G69+1</f>
        <v>6</v>
      </c>
      <c r="H83" s="7"/>
      <c r="I83" s="7"/>
    </row>
    <row r="84" spans="1:9" x14ac:dyDescent="0.25">
      <c r="A84" s="13" t="s">
        <v>70</v>
      </c>
      <c r="B84" s="10"/>
      <c r="C84" s="10">
        <f>SUM(C72:C83)</f>
        <v>32511.318640548074</v>
      </c>
      <c r="D84" s="10">
        <f>SUM(D72:D83)</f>
        <v>54110.912568704902</v>
      </c>
      <c r="E84" s="10"/>
      <c r="F84" s="10"/>
      <c r="G84" s="7"/>
      <c r="H84" s="7"/>
      <c r="I84" s="7"/>
    </row>
    <row r="85" spans="1:9" x14ac:dyDescent="0.25">
      <c r="A85" s="11"/>
      <c r="B85" s="10"/>
      <c r="C85" s="10"/>
      <c r="D85" s="10"/>
      <c r="E85" s="10"/>
      <c r="F85" s="10"/>
      <c r="G85" s="7"/>
      <c r="H85" s="7"/>
      <c r="I85" s="7"/>
    </row>
    <row r="86" spans="1:9" x14ac:dyDescent="0.25">
      <c r="A86" s="9" t="s">
        <v>52</v>
      </c>
      <c r="B86" s="10">
        <f>+F83</f>
        <v>1335055.0799771468</v>
      </c>
      <c r="C86" s="10">
        <f>+E86-D86</f>
        <v>2768.3356675139248</v>
      </c>
      <c r="D86" s="10">
        <f>B86*$I$2</f>
        <v>4450.1835999238228</v>
      </c>
      <c r="E86" s="10">
        <f t="shared" ref="E86:E97" si="30">-$I$9</f>
        <v>7218.5192674377477</v>
      </c>
      <c r="F86" s="10">
        <f>+B86-C86</f>
        <v>1332286.7443096328</v>
      </c>
    </row>
    <row r="87" spans="1:9" x14ac:dyDescent="0.25">
      <c r="A87" s="11" t="s">
        <v>54</v>
      </c>
      <c r="B87" s="10">
        <f>+F86</f>
        <v>1332286.7443096328</v>
      </c>
      <c r="C87" s="10">
        <f>+E87-D87</f>
        <v>2777.5634530723046</v>
      </c>
      <c r="D87" s="10">
        <f>B87*$I$2</f>
        <v>4440.9558143654431</v>
      </c>
      <c r="E87" s="10">
        <f t="shared" si="30"/>
        <v>7218.5192674377477</v>
      </c>
      <c r="F87" s="10">
        <f>+B87-C87</f>
        <v>1329509.1808565606</v>
      </c>
    </row>
    <row r="88" spans="1:9" x14ac:dyDescent="0.25">
      <c r="A88" s="11" t="s">
        <v>56</v>
      </c>
      <c r="B88" s="10">
        <f>+F87</f>
        <v>1329509.1808565606</v>
      </c>
      <c r="C88" s="10">
        <f>+E88-D88</f>
        <v>2786.8219979158785</v>
      </c>
      <c r="D88" s="10">
        <f>B88*$I$2</f>
        <v>4431.6972695218692</v>
      </c>
      <c r="E88" s="10">
        <f t="shared" si="30"/>
        <v>7218.5192674377477</v>
      </c>
      <c r="F88" s="10">
        <f>+B88-C88</f>
        <v>1326722.3588586447</v>
      </c>
    </row>
    <row r="89" spans="1:9" x14ac:dyDescent="0.25">
      <c r="A89" s="11" t="s">
        <v>58</v>
      </c>
      <c r="B89" s="10">
        <f>+F88</f>
        <v>1326722.3588586447</v>
      </c>
      <c r="C89" s="10">
        <f>+E89-D89</f>
        <v>2796.1114045755985</v>
      </c>
      <c r="D89" s="10">
        <f>B89*$I$2</f>
        <v>4422.4078628621492</v>
      </c>
      <c r="E89" s="10">
        <f t="shared" si="30"/>
        <v>7218.5192674377477</v>
      </c>
      <c r="F89" s="10">
        <f>+B89-C89</f>
        <v>1323926.2474540691</v>
      </c>
    </row>
    <row r="90" spans="1:9" x14ac:dyDescent="0.25">
      <c r="A90" s="11" t="s">
        <v>60</v>
      </c>
      <c r="B90" s="10">
        <f t="shared" ref="B90:B97" si="31">+F89</f>
        <v>1323926.2474540691</v>
      </c>
      <c r="C90" s="10">
        <f t="shared" ref="C90:C97" si="32">+E90-D90</f>
        <v>2805.431775924184</v>
      </c>
      <c r="D90" s="10">
        <f t="shared" ref="D90:D97" si="33">B90*$I$2</f>
        <v>4413.0874915135637</v>
      </c>
      <c r="E90" s="10">
        <f t="shared" si="30"/>
        <v>7218.5192674377477</v>
      </c>
      <c r="F90" s="10">
        <f t="shared" ref="F90:F97" si="34">+B90-C90</f>
        <v>1321120.8156781448</v>
      </c>
    </row>
    <row r="91" spans="1:9" x14ac:dyDescent="0.25">
      <c r="A91" s="11" t="s">
        <v>62</v>
      </c>
      <c r="B91" s="10">
        <f t="shared" si="31"/>
        <v>1321120.8156781448</v>
      </c>
      <c r="C91" s="10">
        <f t="shared" si="32"/>
        <v>2814.7832151772645</v>
      </c>
      <c r="D91" s="10">
        <f t="shared" si="33"/>
        <v>4403.7360522604831</v>
      </c>
      <c r="E91" s="10">
        <f t="shared" si="30"/>
        <v>7218.5192674377477</v>
      </c>
      <c r="F91" s="10">
        <f t="shared" si="34"/>
        <v>1318306.0324629676</v>
      </c>
    </row>
    <row r="92" spans="1:9" x14ac:dyDescent="0.25">
      <c r="A92" s="11" t="s">
        <v>64</v>
      </c>
      <c r="B92" s="10">
        <f t="shared" si="31"/>
        <v>1318306.0324629676</v>
      </c>
      <c r="C92" s="10">
        <f t="shared" si="32"/>
        <v>2824.1658258945217</v>
      </c>
      <c r="D92" s="10">
        <f t="shared" si="33"/>
        <v>4394.3534415432259</v>
      </c>
      <c r="E92" s="10">
        <f t="shared" si="30"/>
        <v>7218.5192674377477</v>
      </c>
      <c r="F92" s="10">
        <f t="shared" si="34"/>
        <v>1315481.866637073</v>
      </c>
    </row>
    <row r="93" spans="1:9" x14ac:dyDescent="0.25">
      <c r="A93" s="11" t="s">
        <v>65</v>
      </c>
      <c r="B93" s="10">
        <f t="shared" si="31"/>
        <v>1315481.866637073</v>
      </c>
      <c r="C93" s="10">
        <f t="shared" si="32"/>
        <v>2833.5797119808376</v>
      </c>
      <c r="D93" s="10">
        <f t="shared" si="33"/>
        <v>4384.9395554569101</v>
      </c>
      <c r="E93" s="10">
        <f t="shared" si="30"/>
        <v>7218.5192674377477</v>
      </c>
      <c r="F93" s="10">
        <f t="shared" si="34"/>
        <v>1312648.2869250921</v>
      </c>
    </row>
    <row r="94" spans="1:9" x14ac:dyDescent="0.25">
      <c r="A94" s="11" t="s">
        <v>66</v>
      </c>
      <c r="B94" s="10">
        <f t="shared" si="31"/>
        <v>1312648.2869250921</v>
      </c>
      <c r="C94" s="10">
        <f t="shared" si="32"/>
        <v>2843.0249776874407</v>
      </c>
      <c r="D94" s="10">
        <f t="shared" si="33"/>
        <v>4375.494289750307</v>
      </c>
      <c r="E94" s="10">
        <f t="shared" si="30"/>
        <v>7218.5192674377477</v>
      </c>
      <c r="F94" s="10">
        <f t="shared" si="34"/>
        <v>1309805.2619474046</v>
      </c>
    </row>
    <row r="95" spans="1:9" x14ac:dyDescent="0.25">
      <c r="A95" s="11" t="s">
        <v>67</v>
      </c>
      <c r="B95" s="10">
        <f t="shared" si="31"/>
        <v>1309805.2619474046</v>
      </c>
      <c r="C95" s="10">
        <f t="shared" si="32"/>
        <v>2852.5017276130657</v>
      </c>
      <c r="D95" s="10">
        <f t="shared" si="33"/>
        <v>4366.017539824682</v>
      </c>
      <c r="E95" s="10">
        <f t="shared" si="30"/>
        <v>7218.5192674377477</v>
      </c>
      <c r="F95" s="10">
        <f t="shared" si="34"/>
        <v>1306952.7602197914</v>
      </c>
    </row>
    <row r="96" spans="1:9" x14ac:dyDescent="0.25">
      <c r="A96" s="11" t="s">
        <v>68</v>
      </c>
      <c r="B96" s="10">
        <f t="shared" si="31"/>
        <v>1306952.7602197914</v>
      </c>
      <c r="C96" s="10">
        <f t="shared" si="32"/>
        <v>2862.0100667051092</v>
      </c>
      <c r="D96" s="10">
        <f t="shared" si="33"/>
        <v>4356.5092007326384</v>
      </c>
      <c r="E96" s="10">
        <f t="shared" si="30"/>
        <v>7218.5192674377477</v>
      </c>
      <c r="F96" s="10">
        <f t="shared" si="34"/>
        <v>1304090.7501530864</v>
      </c>
    </row>
    <row r="97" spans="1:7" x14ac:dyDescent="0.25">
      <c r="A97" s="11" t="s">
        <v>69</v>
      </c>
      <c r="B97" s="10">
        <f t="shared" si="31"/>
        <v>1304090.7501530864</v>
      </c>
      <c r="C97" s="10">
        <f t="shared" si="32"/>
        <v>2871.5501002607925</v>
      </c>
      <c r="D97" s="10">
        <f t="shared" si="33"/>
        <v>4346.9691671769551</v>
      </c>
      <c r="E97" s="10">
        <f t="shared" si="30"/>
        <v>7218.5192674377477</v>
      </c>
      <c r="F97" s="10">
        <f t="shared" si="34"/>
        <v>1301219.2000528255</v>
      </c>
      <c r="G97" s="7">
        <f>G83+1</f>
        <v>7</v>
      </c>
    </row>
    <row r="98" spans="1:7" x14ac:dyDescent="0.25">
      <c r="A98" s="13" t="s">
        <v>70</v>
      </c>
      <c r="B98" s="10"/>
      <c r="C98" s="10">
        <f>SUM(C86:C97)</f>
        <v>33835.879924320921</v>
      </c>
      <c r="D98" s="10">
        <f>SUM(D86:D97)</f>
        <v>52786.351284932047</v>
      </c>
      <c r="E98" s="10"/>
      <c r="F98" s="10"/>
    </row>
    <row r="100" spans="1:7" x14ac:dyDescent="0.25">
      <c r="A100" s="9" t="s">
        <v>52</v>
      </c>
      <c r="B100" s="10">
        <f>+F97</f>
        <v>1301219.2000528255</v>
      </c>
      <c r="C100" s="10">
        <f t="shared" ref="C100:C111" si="35">+E100-D100</f>
        <v>2881.1219339283289</v>
      </c>
      <c r="D100" s="10">
        <f t="shared" ref="D100:D111" si="36">B100*$I$2</f>
        <v>4337.3973335094188</v>
      </c>
      <c r="E100" s="10">
        <f t="shared" ref="E100:E111" si="37">-$I$9</f>
        <v>7218.5192674377477</v>
      </c>
      <c r="F100" s="10">
        <f t="shared" ref="F100:F111" si="38">+B100-C100</f>
        <v>1298338.0781188973</v>
      </c>
    </row>
    <row r="101" spans="1:7" x14ac:dyDescent="0.25">
      <c r="A101" s="11" t="s">
        <v>54</v>
      </c>
      <c r="B101" s="10">
        <f t="shared" ref="B101:B111" si="39">+F100</f>
        <v>1298338.0781188973</v>
      </c>
      <c r="C101" s="10">
        <f t="shared" si="35"/>
        <v>2890.7256737080897</v>
      </c>
      <c r="D101" s="10">
        <f t="shared" si="36"/>
        <v>4327.7935937296579</v>
      </c>
      <c r="E101" s="10">
        <f t="shared" si="37"/>
        <v>7218.5192674377477</v>
      </c>
      <c r="F101" s="10">
        <f t="shared" si="38"/>
        <v>1295447.3524451891</v>
      </c>
    </row>
    <row r="102" spans="1:7" x14ac:dyDescent="0.25">
      <c r="A102" s="11" t="s">
        <v>56</v>
      </c>
      <c r="B102" s="10">
        <f t="shared" si="39"/>
        <v>1295447.3524451891</v>
      </c>
      <c r="C102" s="10">
        <f t="shared" si="35"/>
        <v>2900.3614259537835</v>
      </c>
      <c r="D102" s="10">
        <f t="shared" si="36"/>
        <v>4318.1578414839641</v>
      </c>
      <c r="E102" s="10">
        <f t="shared" si="37"/>
        <v>7218.5192674377477</v>
      </c>
      <c r="F102" s="10">
        <f t="shared" si="38"/>
        <v>1292546.9910192355</v>
      </c>
    </row>
    <row r="103" spans="1:7" x14ac:dyDescent="0.25">
      <c r="A103" s="11" t="s">
        <v>58</v>
      </c>
      <c r="B103" s="10">
        <f t="shared" si="39"/>
        <v>1292546.9910192355</v>
      </c>
      <c r="C103" s="10">
        <f t="shared" si="35"/>
        <v>2910.0292973736296</v>
      </c>
      <c r="D103" s="10">
        <f t="shared" si="36"/>
        <v>4308.4899700641181</v>
      </c>
      <c r="E103" s="10">
        <f t="shared" si="37"/>
        <v>7218.5192674377477</v>
      </c>
      <c r="F103" s="10">
        <f t="shared" si="38"/>
        <v>1289636.9617218617</v>
      </c>
    </row>
    <row r="104" spans="1:7" x14ac:dyDescent="0.25">
      <c r="A104" s="11" t="s">
        <v>60</v>
      </c>
      <c r="B104" s="10">
        <f t="shared" si="39"/>
        <v>1289636.9617218617</v>
      </c>
      <c r="C104" s="10">
        <f t="shared" si="35"/>
        <v>2919.7293950315416</v>
      </c>
      <c r="D104" s="10">
        <f t="shared" si="36"/>
        <v>4298.7898724062061</v>
      </c>
      <c r="E104" s="10">
        <f t="shared" si="37"/>
        <v>7218.5192674377477</v>
      </c>
      <c r="F104" s="10">
        <f t="shared" si="38"/>
        <v>1286717.2323268303</v>
      </c>
    </row>
    <row r="105" spans="1:7" x14ac:dyDescent="0.25">
      <c r="A105" s="11" t="s">
        <v>62</v>
      </c>
      <c r="B105" s="10">
        <f t="shared" si="39"/>
        <v>1286717.2323268303</v>
      </c>
      <c r="C105" s="10">
        <f t="shared" si="35"/>
        <v>2929.4618263483135</v>
      </c>
      <c r="D105" s="10">
        <f t="shared" si="36"/>
        <v>4289.0574410894342</v>
      </c>
      <c r="E105" s="10">
        <f t="shared" si="37"/>
        <v>7218.5192674377477</v>
      </c>
      <c r="F105" s="10">
        <f t="shared" si="38"/>
        <v>1283787.7705004821</v>
      </c>
    </row>
    <row r="106" spans="1:7" x14ac:dyDescent="0.25">
      <c r="A106" s="11" t="s">
        <v>64</v>
      </c>
      <c r="B106" s="10">
        <f t="shared" si="39"/>
        <v>1283787.7705004821</v>
      </c>
      <c r="C106" s="10">
        <f t="shared" si="35"/>
        <v>2939.2266991028073</v>
      </c>
      <c r="D106" s="10">
        <f t="shared" si="36"/>
        <v>4279.2925683349404</v>
      </c>
      <c r="E106" s="10">
        <f t="shared" si="37"/>
        <v>7218.5192674377477</v>
      </c>
      <c r="F106" s="10">
        <f t="shared" si="38"/>
        <v>1280848.5438013792</v>
      </c>
    </row>
    <row r="107" spans="1:7" x14ac:dyDescent="0.25">
      <c r="A107" s="11" t="s">
        <v>65</v>
      </c>
      <c r="B107" s="10">
        <f t="shared" si="39"/>
        <v>1280848.5438013792</v>
      </c>
      <c r="C107" s="10">
        <f t="shared" si="35"/>
        <v>2949.02412143315</v>
      </c>
      <c r="D107" s="10">
        <f t="shared" si="36"/>
        <v>4269.4951460045977</v>
      </c>
      <c r="E107" s="10">
        <f t="shared" si="37"/>
        <v>7218.5192674377477</v>
      </c>
      <c r="F107" s="10">
        <f t="shared" si="38"/>
        <v>1277899.5196799459</v>
      </c>
    </row>
    <row r="108" spans="1:7" x14ac:dyDescent="0.25">
      <c r="A108" s="11" t="s">
        <v>66</v>
      </c>
      <c r="B108" s="10">
        <f t="shared" si="39"/>
        <v>1277899.5196799459</v>
      </c>
      <c r="C108" s="10">
        <f t="shared" si="35"/>
        <v>2958.8542018379276</v>
      </c>
      <c r="D108" s="10">
        <f t="shared" si="36"/>
        <v>4259.6650655998201</v>
      </c>
      <c r="E108" s="10">
        <f t="shared" si="37"/>
        <v>7218.5192674377477</v>
      </c>
      <c r="F108" s="10">
        <f t="shared" si="38"/>
        <v>1274940.665478108</v>
      </c>
    </row>
    <row r="109" spans="1:7" x14ac:dyDescent="0.25">
      <c r="A109" s="11" t="s">
        <v>67</v>
      </c>
      <c r="B109" s="10">
        <f t="shared" si="39"/>
        <v>1274940.665478108</v>
      </c>
      <c r="C109" s="10">
        <f t="shared" si="35"/>
        <v>2968.7170491773877</v>
      </c>
      <c r="D109" s="10">
        <f t="shared" si="36"/>
        <v>4249.80221826036</v>
      </c>
      <c r="E109" s="10">
        <f t="shared" si="37"/>
        <v>7218.5192674377477</v>
      </c>
      <c r="F109" s="10">
        <f t="shared" si="38"/>
        <v>1271971.9484289305</v>
      </c>
    </row>
    <row r="110" spans="1:7" x14ac:dyDescent="0.25">
      <c r="A110" s="11" t="s">
        <v>68</v>
      </c>
      <c r="B110" s="10">
        <f t="shared" si="39"/>
        <v>1271971.9484289305</v>
      </c>
      <c r="C110" s="10">
        <f t="shared" si="35"/>
        <v>2978.6127726746454</v>
      </c>
      <c r="D110" s="10">
        <f t="shared" si="36"/>
        <v>4239.9064947631023</v>
      </c>
      <c r="E110" s="10">
        <f t="shared" si="37"/>
        <v>7218.5192674377477</v>
      </c>
      <c r="F110" s="10">
        <f t="shared" si="38"/>
        <v>1268993.3356562559</v>
      </c>
    </row>
    <row r="111" spans="1:7" x14ac:dyDescent="0.25">
      <c r="A111" s="11" t="s">
        <v>69</v>
      </c>
      <c r="B111" s="10">
        <f t="shared" si="39"/>
        <v>1268993.3356562559</v>
      </c>
      <c r="C111" s="10">
        <f t="shared" si="35"/>
        <v>2988.5414819168946</v>
      </c>
      <c r="D111" s="10">
        <f t="shared" si="36"/>
        <v>4229.9777855208531</v>
      </c>
      <c r="E111" s="10">
        <f t="shared" si="37"/>
        <v>7218.5192674377477</v>
      </c>
      <c r="F111" s="10">
        <f t="shared" si="38"/>
        <v>1266004.7941743392</v>
      </c>
      <c r="G111" s="7">
        <f>G97+1</f>
        <v>8</v>
      </c>
    </row>
    <row r="112" spans="1:7" x14ac:dyDescent="0.25">
      <c r="A112" s="13" t="s">
        <v>70</v>
      </c>
      <c r="B112" s="10"/>
      <c r="C112" s="10">
        <f>SUM(C100:C111)</f>
        <v>35214.405878486505</v>
      </c>
      <c r="D112" s="10">
        <f>SUM(D100:D111)</f>
        <v>51407.825330766478</v>
      </c>
      <c r="E112" s="10"/>
      <c r="F112" s="10"/>
    </row>
    <row r="113" spans="1:7" x14ac:dyDescent="0.25">
      <c r="A113" s="11"/>
      <c r="B113" s="10"/>
      <c r="C113" s="10"/>
      <c r="D113" s="10"/>
      <c r="E113" s="10"/>
      <c r="F113" s="10"/>
    </row>
    <row r="114" spans="1:7" x14ac:dyDescent="0.25">
      <c r="A114" s="9" t="s">
        <v>52</v>
      </c>
      <c r="B114" s="10">
        <f>+F111</f>
        <v>1266004.7941743392</v>
      </c>
      <c r="C114" s="10">
        <f t="shared" ref="C114:C125" si="40">+E114-D114</f>
        <v>2998.5032868566168</v>
      </c>
      <c r="D114" s="10">
        <f t="shared" ref="D114:D125" si="41">B114*$I$2</f>
        <v>4220.0159805811309</v>
      </c>
      <c r="E114" s="10">
        <f t="shared" ref="E114:E125" si="42">-$I$9</f>
        <v>7218.5192674377477</v>
      </c>
      <c r="F114" s="10">
        <f t="shared" ref="F114:F125" si="43">+B114-C114</f>
        <v>1263006.2908874825</v>
      </c>
    </row>
    <row r="115" spans="1:7" x14ac:dyDescent="0.25">
      <c r="A115" s="11" t="s">
        <v>54</v>
      </c>
      <c r="B115" s="10">
        <f t="shared" ref="B115:B125" si="44">+F114</f>
        <v>1263006.2908874825</v>
      </c>
      <c r="C115" s="10">
        <f t="shared" si="40"/>
        <v>3008.4982978128055</v>
      </c>
      <c r="D115" s="10">
        <f t="shared" si="41"/>
        <v>4210.0209696249422</v>
      </c>
      <c r="E115" s="10">
        <f t="shared" si="42"/>
        <v>7218.5192674377477</v>
      </c>
      <c r="F115" s="10">
        <f t="shared" si="43"/>
        <v>1259997.7925896696</v>
      </c>
    </row>
    <row r="116" spans="1:7" x14ac:dyDescent="0.25">
      <c r="A116" s="11" t="s">
        <v>56</v>
      </c>
      <c r="B116" s="10">
        <f t="shared" si="44"/>
        <v>1259997.7925896696</v>
      </c>
      <c r="C116" s="10">
        <f t="shared" si="40"/>
        <v>3018.5266254721819</v>
      </c>
      <c r="D116" s="10">
        <f t="shared" si="41"/>
        <v>4199.9926419655658</v>
      </c>
      <c r="E116" s="10">
        <f t="shared" si="42"/>
        <v>7218.5192674377477</v>
      </c>
      <c r="F116" s="10">
        <f t="shared" si="43"/>
        <v>1256979.2659641975</v>
      </c>
    </row>
    <row r="117" spans="1:7" x14ac:dyDescent="0.25">
      <c r="A117" s="11" t="s">
        <v>58</v>
      </c>
      <c r="B117" s="10">
        <f t="shared" si="44"/>
        <v>1256979.2659641975</v>
      </c>
      <c r="C117" s="10">
        <f t="shared" si="40"/>
        <v>3028.5883808904227</v>
      </c>
      <c r="D117" s="10">
        <f t="shared" si="41"/>
        <v>4189.9308865473249</v>
      </c>
      <c r="E117" s="10">
        <f t="shared" si="42"/>
        <v>7218.5192674377477</v>
      </c>
      <c r="F117" s="10">
        <f t="shared" si="43"/>
        <v>1253950.677583307</v>
      </c>
    </row>
    <row r="118" spans="1:7" x14ac:dyDescent="0.25">
      <c r="A118" s="11" t="s">
        <v>60</v>
      </c>
      <c r="B118" s="10">
        <f t="shared" si="44"/>
        <v>1253950.677583307</v>
      </c>
      <c r="C118" s="10">
        <f t="shared" si="40"/>
        <v>3038.6836754933902</v>
      </c>
      <c r="D118" s="10">
        <f t="shared" si="41"/>
        <v>4179.8355919443575</v>
      </c>
      <c r="E118" s="10">
        <f t="shared" si="42"/>
        <v>7218.5192674377477</v>
      </c>
      <c r="F118" s="10">
        <f t="shared" si="43"/>
        <v>1250911.9939078137</v>
      </c>
    </row>
    <row r="119" spans="1:7" x14ac:dyDescent="0.25">
      <c r="A119" s="11" t="s">
        <v>62</v>
      </c>
      <c r="B119" s="10">
        <f t="shared" si="44"/>
        <v>1250911.9939078137</v>
      </c>
      <c r="C119" s="10">
        <f t="shared" si="40"/>
        <v>3048.8126210783685</v>
      </c>
      <c r="D119" s="10">
        <f t="shared" si="41"/>
        <v>4169.7066463593792</v>
      </c>
      <c r="E119" s="10">
        <f t="shared" si="42"/>
        <v>7218.5192674377477</v>
      </c>
      <c r="F119" s="10">
        <f t="shared" si="43"/>
        <v>1247863.1812867352</v>
      </c>
    </row>
    <row r="120" spans="1:7" x14ac:dyDescent="0.25">
      <c r="A120" s="11" t="s">
        <v>64</v>
      </c>
      <c r="B120" s="10">
        <f t="shared" si="44"/>
        <v>1247863.1812867352</v>
      </c>
      <c r="C120" s="10">
        <f t="shared" si="40"/>
        <v>3058.9753298152964</v>
      </c>
      <c r="D120" s="10">
        <f t="shared" si="41"/>
        <v>4159.5439376224513</v>
      </c>
      <c r="E120" s="10">
        <f t="shared" si="42"/>
        <v>7218.5192674377477</v>
      </c>
      <c r="F120" s="10">
        <f t="shared" si="43"/>
        <v>1244804.2059569198</v>
      </c>
    </row>
    <row r="121" spans="1:7" x14ac:dyDescent="0.25">
      <c r="A121" s="11" t="s">
        <v>65</v>
      </c>
      <c r="B121" s="10">
        <f t="shared" si="44"/>
        <v>1244804.2059569198</v>
      </c>
      <c r="C121" s="10">
        <f t="shared" si="40"/>
        <v>3069.1719142480142</v>
      </c>
      <c r="D121" s="10">
        <f t="shared" si="41"/>
        <v>4149.3473531897334</v>
      </c>
      <c r="E121" s="10">
        <f t="shared" si="42"/>
        <v>7218.5192674377477</v>
      </c>
      <c r="F121" s="10">
        <f t="shared" si="43"/>
        <v>1241735.0340426718</v>
      </c>
    </row>
    <row r="122" spans="1:7" x14ac:dyDescent="0.25">
      <c r="A122" s="11" t="s">
        <v>66</v>
      </c>
      <c r="B122" s="10">
        <f t="shared" si="44"/>
        <v>1241735.0340426718</v>
      </c>
      <c r="C122" s="10">
        <f t="shared" si="40"/>
        <v>3079.4024872955079</v>
      </c>
      <c r="D122" s="10">
        <f t="shared" si="41"/>
        <v>4139.1167801422398</v>
      </c>
      <c r="E122" s="10">
        <f t="shared" si="42"/>
        <v>7218.5192674377477</v>
      </c>
      <c r="F122" s="10">
        <f t="shared" si="43"/>
        <v>1238655.6315553763</v>
      </c>
    </row>
    <row r="123" spans="1:7" x14ac:dyDescent="0.25">
      <c r="A123" s="11" t="s">
        <v>67</v>
      </c>
      <c r="B123" s="10">
        <f t="shared" si="44"/>
        <v>1238655.6315553763</v>
      </c>
      <c r="C123" s="10">
        <f t="shared" si="40"/>
        <v>3089.6671622531594</v>
      </c>
      <c r="D123" s="10">
        <f t="shared" si="41"/>
        <v>4128.8521051845883</v>
      </c>
      <c r="E123" s="10">
        <f t="shared" si="42"/>
        <v>7218.5192674377477</v>
      </c>
      <c r="F123" s="10">
        <f t="shared" si="43"/>
        <v>1235565.9643931233</v>
      </c>
    </row>
    <row r="124" spans="1:7" x14ac:dyDescent="0.25">
      <c r="A124" s="11" t="s">
        <v>68</v>
      </c>
      <c r="B124" s="10">
        <f t="shared" si="44"/>
        <v>1235565.9643931233</v>
      </c>
      <c r="C124" s="10">
        <f t="shared" si="40"/>
        <v>3099.9660527940032</v>
      </c>
      <c r="D124" s="10">
        <f t="shared" si="41"/>
        <v>4118.5532146437445</v>
      </c>
      <c r="E124" s="10">
        <f t="shared" si="42"/>
        <v>7218.5192674377477</v>
      </c>
      <c r="F124" s="10">
        <f t="shared" si="43"/>
        <v>1232465.9983403294</v>
      </c>
    </row>
    <row r="125" spans="1:7" x14ac:dyDescent="0.25">
      <c r="A125" s="11" t="s">
        <v>69</v>
      </c>
      <c r="B125" s="10">
        <f t="shared" si="44"/>
        <v>1232465.9983403294</v>
      </c>
      <c r="C125" s="10">
        <f t="shared" si="40"/>
        <v>3110.2992729699827</v>
      </c>
      <c r="D125" s="10">
        <f t="shared" si="41"/>
        <v>4108.219994467765</v>
      </c>
      <c r="E125" s="10">
        <f t="shared" si="42"/>
        <v>7218.5192674377477</v>
      </c>
      <c r="F125" s="10">
        <f t="shared" si="43"/>
        <v>1229355.6990673593</v>
      </c>
      <c r="G125" s="7">
        <f>G111+1</f>
        <v>9</v>
      </c>
    </row>
    <row r="126" spans="1:7" x14ac:dyDescent="0.25">
      <c r="A126" s="13" t="s">
        <v>70</v>
      </c>
      <c r="B126" s="10"/>
      <c r="C126" s="10">
        <f>SUM(C114:C125)</f>
        <v>36649.095106979752</v>
      </c>
      <c r="D126" s="10">
        <f>SUM(D114:D125)</f>
        <v>49973.136102273224</v>
      </c>
      <c r="E126" s="10"/>
      <c r="F126" s="10"/>
    </row>
    <row r="127" spans="1:7" x14ac:dyDescent="0.25">
      <c r="A127" s="11"/>
      <c r="B127" s="10"/>
      <c r="C127" s="10"/>
      <c r="D127" s="10"/>
      <c r="E127" s="10"/>
      <c r="F127" s="10"/>
    </row>
    <row r="128" spans="1:7" x14ac:dyDescent="0.25">
      <c r="A128" s="9" t="s">
        <v>52</v>
      </c>
      <c r="B128" s="10">
        <f>+F125</f>
        <v>1229355.6990673593</v>
      </c>
      <c r="C128" s="10">
        <f>+E128-D128</f>
        <v>3120.6669372132164</v>
      </c>
      <c r="D128" s="10">
        <f>B128*$I$2</f>
        <v>4097.8523302245312</v>
      </c>
      <c r="E128" s="10">
        <f t="shared" ref="E128:E139" si="45">-$I$9</f>
        <v>7218.5192674377477</v>
      </c>
      <c r="F128" s="10">
        <f>+B128-C128</f>
        <v>1226235.0321301462</v>
      </c>
    </row>
    <row r="129" spans="1:7" x14ac:dyDescent="0.25">
      <c r="A129" s="11" t="s">
        <v>54</v>
      </c>
      <c r="B129" s="10">
        <f>+F128</f>
        <v>1226235.0321301462</v>
      </c>
      <c r="C129" s="10">
        <f>+E129-D129</f>
        <v>3131.0691603372602</v>
      </c>
      <c r="D129" s="10">
        <f>B129*$I$2</f>
        <v>4087.4501071004875</v>
      </c>
      <c r="E129" s="10">
        <f t="shared" si="45"/>
        <v>7218.5192674377477</v>
      </c>
      <c r="F129" s="10">
        <f>+B129-C129</f>
        <v>1223103.9629698088</v>
      </c>
    </row>
    <row r="130" spans="1:7" x14ac:dyDescent="0.25">
      <c r="A130" s="11" t="s">
        <v>56</v>
      </c>
      <c r="B130" s="10">
        <f>+F129</f>
        <v>1223103.9629698088</v>
      </c>
      <c r="C130" s="10">
        <f>+E130-D130</f>
        <v>3141.5060575383845</v>
      </c>
      <c r="D130" s="10">
        <f>B130*$I$2</f>
        <v>4077.0132098993631</v>
      </c>
      <c r="E130" s="10">
        <f t="shared" si="45"/>
        <v>7218.5192674377477</v>
      </c>
      <c r="F130" s="10">
        <f>+B130-C130</f>
        <v>1219962.4569122705</v>
      </c>
    </row>
    <row r="131" spans="1:7" x14ac:dyDescent="0.25">
      <c r="A131" s="11" t="s">
        <v>58</v>
      </c>
      <c r="B131" s="10">
        <f>+F130</f>
        <v>1219962.4569122705</v>
      </c>
      <c r="C131" s="10">
        <f>+E131-D131</f>
        <v>3151.9777443968455</v>
      </c>
      <c r="D131" s="10">
        <f>B131*$I$2</f>
        <v>4066.5415230409021</v>
      </c>
      <c r="E131" s="10">
        <f t="shared" si="45"/>
        <v>7218.5192674377477</v>
      </c>
      <c r="F131" s="10">
        <f>+B131-C131</f>
        <v>1216810.4791678737</v>
      </c>
    </row>
    <row r="132" spans="1:7" x14ac:dyDescent="0.25">
      <c r="A132" s="11" t="s">
        <v>60</v>
      </c>
      <c r="B132" s="10">
        <f t="shared" ref="B132:B139" si="46">+F131</f>
        <v>1216810.4791678737</v>
      </c>
      <c r="C132" s="10">
        <f t="shared" ref="C132:C139" si="47">+E132-D132</f>
        <v>3162.4843368781681</v>
      </c>
      <c r="D132" s="10">
        <f t="shared" ref="D132:D139" si="48">B132*$I$2</f>
        <v>4056.0349305595796</v>
      </c>
      <c r="E132" s="10">
        <f t="shared" si="45"/>
        <v>7218.5192674377477</v>
      </c>
      <c r="F132" s="10">
        <f t="shared" ref="F132:F139" si="49">+B132-C132</f>
        <v>1213647.9948309956</v>
      </c>
    </row>
    <row r="133" spans="1:7" x14ac:dyDescent="0.25">
      <c r="A133" s="11" t="s">
        <v>62</v>
      </c>
      <c r="B133" s="10">
        <f t="shared" si="46"/>
        <v>1213647.9948309956</v>
      </c>
      <c r="C133" s="10">
        <f t="shared" si="47"/>
        <v>3173.025951334429</v>
      </c>
      <c r="D133" s="10">
        <f t="shared" si="48"/>
        <v>4045.4933161033186</v>
      </c>
      <c r="E133" s="10">
        <f t="shared" si="45"/>
        <v>7218.5192674377477</v>
      </c>
      <c r="F133" s="10">
        <f t="shared" si="49"/>
        <v>1210474.9688796611</v>
      </c>
    </row>
    <row r="134" spans="1:7" x14ac:dyDescent="0.25">
      <c r="A134" s="11" t="s">
        <v>64</v>
      </c>
      <c r="B134" s="10">
        <f t="shared" si="46"/>
        <v>1210474.9688796611</v>
      </c>
      <c r="C134" s="10">
        <f t="shared" si="47"/>
        <v>3183.6027045055439</v>
      </c>
      <c r="D134" s="10">
        <f t="shared" si="48"/>
        <v>4034.9165629322038</v>
      </c>
      <c r="E134" s="10">
        <f t="shared" si="45"/>
        <v>7218.5192674377477</v>
      </c>
      <c r="F134" s="10">
        <f t="shared" si="49"/>
        <v>1207291.3661751556</v>
      </c>
    </row>
    <row r="135" spans="1:7" x14ac:dyDescent="0.25">
      <c r="A135" s="11" t="s">
        <v>65</v>
      </c>
      <c r="B135" s="10">
        <f t="shared" si="46"/>
        <v>1207291.3661751556</v>
      </c>
      <c r="C135" s="10">
        <f t="shared" si="47"/>
        <v>3194.2147135205619</v>
      </c>
      <c r="D135" s="10">
        <f t="shared" si="48"/>
        <v>4024.3045539171858</v>
      </c>
      <c r="E135" s="10">
        <f t="shared" si="45"/>
        <v>7218.5192674377477</v>
      </c>
      <c r="F135" s="10">
        <f t="shared" si="49"/>
        <v>1204097.151461635</v>
      </c>
    </row>
    <row r="136" spans="1:7" x14ac:dyDescent="0.25">
      <c r="A136" s="11" t="s">
        <v>66</v>
      </c>
      <c r="B136" s="10">
        <f t="shared" si="46"/>
        <v>1204097.151461635</v>
      </c>
      <c r="C136" s="10">
        <f t="shared" si="47"/>
        <v>3204.8620958989641</v>
      </c>
      <c r="D136" s="10">
        <f t="shared" si="48"/>
        <v>4013.6571715387836</v>
      </c>
      <c r="E136" s="10">
        <f t="shared" si="45"/>
        <v>7218.5192674377477</v>
      </c>
      <c r="F136" s="10">
        <f t="shared" si="49"/>
        <v>1200892.2893657361</v>
      </c>
    </row>
    <row r="137" spans="1:7" x14ac:dyDescent="0.25">
      <c r="A137" s="11" t="s">
        <v>67</v>
      </c>
      <c r="B137" s="10">
        <f t="shared" si="46"/>
        <v>1200892.2893657361</v>
      </c>
      <c r="C137" s="10">
        <f t="shared" si="47"/>
        <v>3215.5449695519605</v>
      </c>
      <c r="D137" s="10">
        <f t="shared" si="48"/>
        <v>4002.9742978857871</v>
      </c>
      <c r="E137" s="10">
        <f t="shared" si="45"/>
        <v>7218.5192674377477</v>
      </c>
      <c r="F137" s="10">
        <f t="shared" si="49"/>
        <v>1197676.7443961841</v>
      </c>
    </row>
    <row r="138" spans="1:7" x14ac:dyDescent="0.25">
      <c r="A138" s="11" t="s">
        <v>68</v>
      </c>
      <c r="B138" s="10">
        <f t="shared" si="46"/>
        <v>1197676.7443961841</v>
      </c>
      <c r="C138" s="10">
        <f t="shared" si="47"/>
        <v>3226.2634527838004</v>
      </c>
      <c r="D138" s="10">
        <f t="shared" si="48"/>
        <v>3992.2558146539473</v>
      </c>
      <c r="E138" s="10">
        <f t="shared" si="45"/>
        <v>7218.5192674377477</v>
      </c>
      <c r="F138" s="10">
        <f t="shared" si="49"/>
        <v>1194450.4809434004</v>
      </c>
    </row>
    <row r="139" spans="1:7" x14ac:dyDescent="0.25">
      <c r="A139" s="11" t="s">
        <v>69</v>
      </c>
      <c r="B139" s="10">
        <f t="shared" si="46"/>
        <v>1194450.4809434004</v>
      </c>
      <c r="C139" s="10">
        <f t="shared" si="47"/>
        <v>3237.0176642930792</v>
      </c>
      <c r="D139" s="10">
        <f t="shared" si="48"/>
        <v>3981.5016031446685</v>
      </c>
      <c r="E139" s="10">
        <f t="shared" si="45"/>
        <v>7218.5192674377477</v>
      </c>
      <c r="F139" s="10">
        <f t="shared" si="49"/>
        <v>1191213.4632791074</v>
      </c>
      <c r="G139" s="7">
        <f>G125+1</f>
        <v>10</v>
      </c>
    </row>
    <row r="140" spans="1:7" x14ac:dyDescent="0.25">
      <c r="A140" s="13" t="s">
        <v>70</v>
      </c>
      <c r="B140" s="10"/>
      <c r="C140" s="10">
        <f>SUM(C128:C139)</f>
        <v>38142.235788252219</v>
      </c>
      <c r="D140" s="10">
        <f>SUM(D128:D139)</f>
        <v>48479.995421000771</v>
      </c>
      <c r="E140" s="10"/>
      <c r="F140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TirePenz</vt:lpstr>
      <vt:lpstr>Decision Tree</vt:lpstr>
      <vt:lpstr>Amortization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2023-09-15T17:25:16Z</dcterms:created>
  <dcterms:modified xsi:type="dcterms:W3CDTF">2023-09-15T17:25:31Z</dcterms:modified>
</cp:coreProperties>
</file>