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66925"/>
  <xr:revisionPtr revIDLastSave="1" documentId="11_423CA91CF6DDC916FFF131B01AF83F6EECE6E296" xr6:coauthVersionLast="47" xr6:coauthVersionMax="47" xr10:uidLastSave="{CA70A7D9-2185-48D8-B981-63EDC9BBFACA}"/>
  <bookViews>
    <workbookView xWindow="-120" yWindow="-120" windowWidth="23280" windowHeight="15000" activeTab="2" xr2:uid="{00000000-000D-0000-FFFF-FFFF00000000}"/>
  </bookViews>
  <sheets>
    <sheet name="Forecasts" sheetId="1" r:id="rId1"/>
    <sheet name="Real Options" sheetId="5" r:id="rId2"/>
    <sheet name="Real Options 2" sheetId="6" r:id="rId3"/>
    <sheet name="Amortization Table" sheetId="2" r:id="rId4"/>
    <sheet name="Sources" sheetId="3" r:id="rId5"/>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6" l="1"/>
  <c r="F44" i="6"/>
  <c r="C30" i="6"/>
  <c r="E40" i="1"/>
  <c r="E63" i="1"/>
  <c r="E65" i="1"/>
  <c r="E41" i="1"/>
  <c r="E66" i="1"/>
  <c r="E67" i="1"/>
  <c r="E69" i="1"/>
  <c r="E70" i="1"/>
  <c r="E48" i="1"/>
  <c r="E71" i="1"/>
  <c r="E73" i="1"/>
  <c r="E86" i="1"/>
  <c r="F86" i="1"/>
  <c r="G86" i="1"/>
  <c r="H86" i="1"/>
  <c r="I86" i="1"/>
  <c r="J86" i="1"/>
  <c r="K86" i="1"/>
  <c r="L86" i="1"/>
  <c r="M86" i="1"/>
  <c r="N86" i="1"/>
  <c r="P86" i="1"/>
  <c r="E42" i="1"/>
  <c r="E9" i="1"/>
  <c r="E45" i="1"/>
  <c r="E46" i="1"/>
  <c r="E47" i="1"/>
  <c r="E49" i="1"/>
  <c r="E51" i="1"/>
  <c r="E26" i="1"/>
  <c r="I7" i="2"/>
  <c r="B2" i="2"/>
  <c r="I1" i="2"/>
  <c r="I2" i="2"/>
  <c r="D2" i="2"/>
  <c r="I4" i="2"/>
  <c r="I5" i="2"/>
  <c r="I9" i="2"/>
  <c r="E2" i="2"/>
  <c r="C2" i="2"/>
  <c r="F2" i="2"/>
  <c r="B3" i="2"/>
  <c r="D3" i="2"/>
  <c r="E3" i="2"/>
  <c r="C3" i="2"/>
  <c r="F3" i="2"/>
  <c r="B4" i="2"/>
  <c r="D4" i="2"/>
  <c r="E4" i="2"/>
  <c r="C4" i="2"/>
  <c r="F4" i="2"/>
  <c r="B5" i="2"/>
  <c r="D5" i="2"/>
  <c r="E5" i="2"/>
  <c r="C5" i="2"/>
  <c r="F5" i="2"/>
  <c r="B6" i="2"/>
  <c r="D6" i="2"/>
  <c r="E6" i="2"/>
  <c r="C6" i="2"/>
  <c r="F6" i="2"/>
  <c r="B7" i="2"/>
  <c r="D7" i="2"/>
  <c r="E7" i="2"/>
  <c r="C7" i="2"/>
  <c r="F7" i="2"/>
  <c r="B8" i="2"/>
  <c r="D8" i="2"/>
  <c r="E8" i="2"/>
  <c r="C8" i="2"/>
  <c r="F8" i="2"/>
  <c r="B9" i="2"/>
  <c r="D9" i="2"/>
  <c r="E9" i="2"/>
  <c r="C9" i="2"/>
  <c r="F9" i="2"/>
  <c r="B10" i="2"/>
  <c r="D10" i="2"/>
  <c r="E10" i="2"/>
  <c r="C10" i="2"/>
  <c r="F10" i="2"/>
  <c r="B11" i="2"/>
  <c r="D11" i="2"/>
  <c r="E11" i="2"/>
  <c r="C11" i="2"/>
  <c r="F11" i="2"/>
  <c r="B12" i="2"/>
  <c r="D12" i="2"/>
  <c r="E12" i="2"/>
  <c r="C12" i="2"/>
  <c r="F12" i="2"/>
  <c r="B13" i="2"/>
  <c r="D13" i="2"/>
  <c r="D14" i="2"/>
  <c r="E53" i="1"/>
  <c r="E54" i="1"/>
  <c r="E56" i="1"/>
  <c r="E35" i="1"/>
  <c r="E57" i="1"/>
  <c r="E58" i="1"/>
  <c r="E87" i="1"/>
  <c r="F4" i="1"/>
  <c r="F5" i="1"/>
  <c r="F40" i="1"/>
  <c r="F6" i="1"/>
  <c r="F41" i="1"/>
  <c r="F42" i="1"/>
  <c r="F9" i="1"/>
  <c r="F10" i="1"/>
  <c r="F45" i="1"/>
  <c r="F7" i="1"/>
  <c r="F46" i="1"/>
  <c r="F70" i="1"/>
  <c r="F21" i="1"/>
  <c r="F47" i="1"/>
  <c r="F36" i="1"/>
  <c r="F48" i="1"/>
  <c r="F49" i="1"/>
  <c r="F51" i="1"/>
  <c r="E13" i="2"/>
  <c r="C13" i="2"/>
  <c r="F13" i="2"/>
  <c r="B16" i="2"/>
  <c r="D16" i="2"/>
  <c r="E16" i="2"/>
  <c r="C16" i="2"/>
  <c r="F16" i="2"/>
  <c r="B17" i="2"/>
  <c r="D17" i="2"/>
  <c r="E17" i="2"/>
  <c r="C17" i="2"/>
  <c r="F17" i="2"/>
  <c r="B18" i="2"/>
  <c r="D18" i="2"/>
  <c r="E18" i="2"/>
  <c r="C18" i="2"/>
  <c r="F18" i="2"/>
  <c r="B19" i="2"/>
  <c r="D19" i="2"/>
  <c r="E19" i="2"/>
  <c r="C19" i="2"/>
  <c r="F19" i="2"/>
  <c r="B20" i="2"/>
  <c r="D20" i="2"/>
  <c r="E20" i="2"/>
  <c r="C20" i="2"/>
  <c r="F20" i="2"/>
  <c r="B21" i="2"/>
  <c r="D21" i="2"/>
  <c r="E21" i="2"/>
  <c r="C21" i="2"/>
  <c r="F21" i="2"/>
  <c r="B22" i="2"/>
  <c r="D22" i="2"/>
  <c r="E22" i="2"/>
  <c r="C22" i="2"/>
  <c r="F22" i="2"/>
  <c r="B23" i="2"/>
  <c r="D23" i="2"/>
  <c r="E23" i="2"/>
  <c r="C23" i="2"/>
  <c r="F23" i="2"/>
  <c r="B24" i="2"/>
  <c r="D24" i="2"/>
  <c r="E24" i="2"/>
  <c r="C24" i="2"/>
  <c r="F24" i="2"/>
  <c r="B25" i="2"/>
  <c r="D25" i="2"/>
  <c r="E25" i="2"/>
  <c r="C25" i="2"/>
  <c r="F25" i="2"/>
  <c r="B26" i="2"/>
  <c r="D26" i="2"/>
  <c r="E26" i="2"/>
  <c r="C26" i="2"/>
  <c r="F26" i="2"/>
  <c r="B27" i="2"/>
  <c r="D27" i="2"/>
  <c r="D28" i="2"/>
  <c r="F53" i="1"/>
  <c r="F54" i="1"/>
  <c r="F56" i="1"/>
  <c r="F35" i="1"/>
  <c r="F57" i="1"/>
  <c r="F58" i="1"/>
  <c r="F87" i="1"/>
  <c r="G4" i="1"/>
  <c r="G5" i="1"/>
  <c r="G40" i="1"/>
  <c r="G6" i="1"/>
  <c r="G41" i="1"/>
  <c r="G42" i="1"/>
  <c r="G9" i="1"/>
  <c r="G10" i="1"/>
  <c r="G45" i="1"/>
  <c r="G7" i="1"/>
  <c r="G46" i="1"/>
  <c r="G70" i="1"/>
  <c r="G21" i="1"/>
  <c r="G47" i="1"/>
  <c r="G36" i="1"/>
  <c r="G48" i="1"/>
  <c r="G49" i="1"/>
  <c r="G51" i="1"/>
  <c r="E27" i="2"/>
  <c r="C27" i="2"/>
  <c r="F27" i="2"/>
  <c r="B30" i="2"/>
  <c r="D30" i="2"/>
  <c r="E30" i="2"/>
  <c r="C30" i="2"/>
  <c r="F30" i="2"/>
  <c r="B31" i="2"/>
  <c r="D31" i="2"/>
  <c r="E31" i="2"/>
  <c r="C31" i="2"/>
  <c r="F31" i="2"/>
  <c r="B32" i="2"/>
  <c r="D32" i="2"/>
  <c r="E32" i="2"/>
  <c r="C32" i="2"/>
  <c r="F32" i="2"/>
  <c r="B33" i="2"/>
  <c r="D33" i="2"/>
  <c r="E33" i="2"/>
  <c r="C33" i="2"/>
  <c r="F33" i="2"/>
  <c r="B34" i="2"/>
  <c r="D34" i="2"/>
  <c r="E34" i="2"/>
  <c r="C34" i="2"/>
  <c r="F34" i="2"/>
  <c r="B35" i="2"/>
  <c r="D35" i="2"/>
  <c r="E35" i="2"/>
  <c r="C35" i="2"/>
  <c r="F35" i="2"/>
  <c r="B36" i="2"/>
  <c r="D36" i="2"/>
  <c r="E36" i="2"/>
  <c r="C36" i="2"/>
  <c r="F36" i="2"/>
  <c r="B37" i="2"/>
  <c r="D37" i="2"/>
  <c r="E37" i="2"/>
  <c r="C37" i="2"/>
  <c r="F37" i="2"/>
  <c r="B38" i="2"/>
  <c r="D38" i="2"/>
  <c r="E38" i="2"/>
  <c r="C38" i="2"/>
  <c r="F38" i="2"/>
  <c r="B39" i="2"/>
  <c r="D39" i="2"/>
  <c r="E39" i="2"/>
  <c r="C39" i="2"/>
  <c r="F39" i="2"/>
  <c r="B40" i="2"/>
  <c r="D40" i="2"/>
  <c r="E40" i="2"/>
  <c r="C40" i="2"/>
  <c r="F40" i="2"/>
  <c r="B41" i="2"/>
  <c r="D41" i="2"/>
  <c r="D42" i="2"/>
  <c r="G53" i="1"/>
  <c r="G27" i="1"/>
  <c r="G54" i="1"/>
  <c r="G56" i="1"/>
  <c r="G35" i="1"/>
  <c r="G57" i="1"/>
  <c r="G58" i="1"/>
  <c r="G87" i="1"/>
  <c r="H4" i="1"/>
  <c r="H5" i="1"/>
  <c r="H40" i="1"/>
  <c r="H6" i="1"/>
  <c r="H41" i="1"/>
  <c r="H42" i="1"/>
  <c r="H9" i="1"/>
  <c r="H10" i="1"/>
  <c r="H45" i="1"/>
  <c r="H7" i="1"/>
  <c r="H46" i="1"/>
  <c r="H70" i="1"/>
  <c r="H21" i="1"/>
  <c r="H47" i="1"/>
  <c r="H36" i="1"/>
  <c r="H48" i="1"/>
  <c r="H49" i="1"/>
  <c r="H51" i="1"/>
  <c r="E41" i="2"/>
  <c r="C41" i="2"/>
  <c r="F41" i="2"/>
  <c r="B44" i="2"/>
  <c r="D44" i="2"/>
  <c r="E44" i="2"/>
  <c r="C44" i="2"/>
  <c r="F44" i="2"/>
  <c r="B45" i="2"/>
  <c r="D45" i="2"/>
  <c r="E45" i="2"/>
  <c r="C45" i="2"/>
  <c r="F45" i="2"/>
  <c r="B46" i="2"/>
  <c r="D46" i="2"/>
  <c r="E46" i="2"/>
  <c r="C46" i="2"/>
  <c r="F46" i="2"/>
  <c r="B47" i="2"/>
  <c r="D47" i="2"/>
  <c r="E47" i="2"/>
  <c r="C47" i="2"/>
  <c r="F47" i="2"/>
  <c r="B48" i="2"/>
  <c r="D48" i="2"/>
  <c r="E48" i="2"/>
  <c r="C48" i="2"/>
  <c r="F48" i="2"/>
  <c r="B49" i="2"/>
  <c r="D49" i="2"/>
  <c r="E49" i="2"/>
  <c r="C49" i="2"/>
  <c r="F49" i="2"/>
  <c r="B50" i="2"/>
  <c r="D50" i="2"/>
  <c r="E50" i="2"/>
  <c r="C50" i="2"/>
  <c r="F50" i="2"/>
  <c r="B51" i="2"/>
  <c r="D51" i="2"/>
  <c r="E51" i="2"/>
  <c r="C51" i="2"/>
  <c r="F51" i="2"/>
  <c r="B52" i="2"/>
  <c r="D52" i="2"/>
  <c r="E52" i="2"/>
  <c r="C52" i="2"/>
  <c r="F52" i="2"/>
  <c r="B53" i="2"/>
  <c r="D53" i="2"/>
  <c r="E53" i="2"/>
  <c r="C53" i="2"/>
  <c r="F53" i="2"/>
  <c r="B54" i="2"/>
  <c r="D54" i="2"/>
  <c r="E54" i="2"/>
  <c r="C54" i="2"/>
  <c r="F54" i="2"/>
  <c r="B55" i="2"/>
  <c r="D55" i="2"/>
  <c r="D56" i="2"/>
  <c r="H53" i="1"/>
  <c r="H27" i="1"/>
  <c r="H54" i="1"/>
  <c r="H56" i="1"/>
  <c r="H35" i="1"/>
  <c r="H57" i="1"/>
  <c r="H58" i="1"/>
  <c r="H87" i="1"/>
  <c r="I4" i="1"/>
  <c r="I5" i="1"/>
  <c r="I40" i="1"/>
  <c r="I6" i="1"/>
  <c r="I41" i="1"/>
  <c r="I42" i="1"/>
  <c r="I9" i="1"/>
  <c r="I10" i="1"/>
  <c r="I45" i="1"/>
  <c r="I7" i="1"/>
  <c r="I46" i="1"/>
  <c r="I70" i="1"/>
  <c r="I21" i="1"/>
  <c r="I47" i="1"/>
  <c r="I36" i="1"/>
  <c r="I48" i="1"/>
  <c r="I49" i="1"/>
  <c r="I51" i="1"/>
  <c r="E55" i="2"/>
  <c r="C55" i="2"/>
  <c r="F55" i="2"/>
  <c r="B58" i="2"/>
  <c r="D58" i="2"/>
  <c r="E58" i="2"/>
  <c r="C58" i="2"/>
  <c r="F58" i="2"/>
  <c r="B59" i="2"/>
  <c r="D59" i="2"/>
  <c r="E59" i="2"/>
  <c r="C59" i="2"/>
  <c r="F59" i="2"/>
  <c r="B60" i="2"/>
  <c r="D60" i="2"/>
  <c r="E60" i="2"/>
  <c r="C60" i="2"/>
  <c r="F60" i="2"/>
  <c r="B61" i="2"/>
  <c r="D61" i="2"/>
  <c r="E61" i="2"/>
  <c r="C61" i="2"/>
  <c r="F61" i="2"/>
  <c r="B62" i="2"/>
  <c r="D62" i="2"/>
  <c r="E62" i="2"/>
  <c r="C62" i="2"/>
  <c r="F62" i="2"/>
  <c r="B63" i="2"/>
  <c r="D63" i="2"/>
  <c r="E63" i="2"/>
  <c r="C63" i="2"/>
  <c r="F63" i="2"/>
  <c r="B64" i="2"/>
  <c r="D64" i="2"/>
  <c r="E64" i="2"/>
  <c r="C64" i="2"/>
  <c r="F64" i="2"/>
  <c r="B65" i="2"/>
  <c r="D65" i="2"/>
  <c r="E65" i="2"/>
  <c r="C65" i="2"/>
  <c r="F65" i="2"/>
  <c r="B66" i="2"/>
  <c r="D66" i="2"/>
  <c r="E66" i="2"/>
  <c r="C66" i="2"/>
  <c r="F66" i="2"/>
  <c r="B67" i="2"/>
  <c r="D67" i="2"/>
  <c r="E67" i="2"/>
  <c r="C67" i="2"/>
  <c r="F67" i="2"/>
  <c r="B68" i="2"/>
  <c r="D68" i="2"/>
  <c r="E68" i="2"/>
  <c r="C68" i="2"/>
  <c r="F68" i="2"/>
  <c r="B69" i="2"/>
  <c r="D69" i="2"/>
  <c r="D70" i="2"/>
  <c r="I53" i="1"/>
  <c r="I27" i="1"/>
  <c r="I54" i="1"/>
  <c r="I56" i="1"/>
  <c r="I35" i="1"/>
  <c r="I57" i="1"/>
  <c r="I58" i="1"/>
  <c r="I87" i="1"/>
  <c r="J4" i="1"/>
  <c r="J5" i="1"/>
  <c r="J40" i="1"/>
  <c r="J6" i="1"/>
  <c r="J41" i="1"/>
  <c r="J42" i="1"/>
  <c r="J9" i="1"/>
  <c r="J10" i="1"/>
  <c r="J45" i="1"/>
  <c r="J7" i="1"/>
  <c r="J46" i="1"/>
  <c r="J70" i="1"/>
  <c r="J21" i="1"/>
  <c r="J47" i="1"/>
  <c r="J36" i="1"/>
  <c r="J48" i="1"/>
  <c r="J49" i="1"/>
  <c r="J51" i="1"/>
  <c r="E69" i="2"/>
  <c r="C69" i="2"/>
  <c r="F69" i="2"/>
  <c r="B72" i="2"/>
  <c r="D72" i="2"/>
  <c r="E72" i="2"/>
  <c r="C72" i="2"/>
  <c r="F72" i="2"/>
  <c r="B73" i="2"/>
  <c r="D73" i="2"/>
  <c r="E73" i="2"/>
  <c r="C73" i="2"/>
  <c r="F73" i="2"/>
  <c r="B74" i="2"/>
  <c r="D74" i="2"/>
  <c r="E74" i="2"/>
  <c r="C74" i="2"/>
  <c r="F74" i="2"/>
  <c r="B75" i="2"/>
  <c r="D75" i="2"/>
  <c r="E75" i="2"/>
  <c r="C75" i="2"/>
  <c r="F75" i="2"/>
  <c r="B76" i="2"/>
  <c r="D76" i="2"/>
  <c r="E76" i="2"/>
  <c r="C76" i="2"/>
  <c r="F76" i="2"/>
  <c r="B77" i="2"/>
  <c r="D77" i="2"/>
  <c r="E77" i="2"/>
  <c r="C77" i="2"/>
  <c r="F77" i="2"/>
  <c r="B78" i="2"/>
  <c r="D78" i="2"/>
  <c r="E78" i="2"/>
  <c r="C78" i="2"/>
  <c r="F78" i="2"/>
  <c r="B79" i="2"/>
  <c r="D79" i="2"/>
  <c r="E79" i="2"/>
  <c r="C79" i="2"/>
  <c r="F79" i="2"/>
  <c r="B80" i="2"/>
  <c r="D80" i="2"/>
  <c r="E80" i="2"/>
  <c r="C80" i="2"/>
  <c r="F80" i="2"/>
  <c r="B81" i="2"/>
  <c r="D81" i="2"/>
  <c r="E81" i="2"/>
  <c r="C81" i="2"/>
  <c r="F81" i="2"/>
  <c r="B82" i="2"/>
  <c r="D82" i="2"/>
  <c r="E82" i="2"/>
  <c r="C82" i="2"/>
  <c r="F82" i="2"/>
  <c r="B83" i="2"/>
  <c r="D83" i="2"/>
  <c r="D84" i="2"/>
  <c r="J53" i="1"/>
  <c r="J27" i="1"/>
  <c r="J54" i="1"/>
  <c r="J56" i="1"/>
  <c r="J35" i="1"/>
  <c r="J57" i="1"/>
  <c r="J58" i="1"/>
  <c r="J87" i="1"/>
  <c r="K4" i="1"/>
  <c r="K5" i="1"/>
  <c r="K40" i="1"/>
  <c r="K6" i="1"/>
  <c r="K41" i="1"/>
  <c r="K42" i="1"/>
  <c r="K9" i="1"/>
  <c r="K10" i="1"/>
  <c r="K45" i="1"/>
  <c r="K7" i="1"/>
  <c r="K46" i="1"/>
  <c r="K70" i="1"/>
  <c r="K21" i="1"/>
  <c r="K47" i="1"/>
  <c r="K36" i="1"/>
  <c r="K48" i="1"/>
  <c r="K49" i="1"/>
  <c r="K51" i="1"/>
  <c r="E83" i="2"/>
  <c r="C83" i="2"/>
  <c r="F83" i="2"/>
  <c r="B86" i="2"/>
  <c r="D86" i="2"/>
  <c r="E86" i="2"/>
  <c r="C86" i="2"/>
  <c r="F86" i="2"/>
  <c r="B87" i="2"/>
  <c r="D87" i="2"/>
  <c r="E87" i="2"/>
  <c r="C87" i="2"/>
  <c r="F87" i="2"/>
  <c r="B88" i="2"/>
  <c r="D88" i="2"/>
  <c r="E88" i="2"/>
  <c r="C88" i="2"/>
  <c r="F88" i="2"/>
  <c r="B89" i="2"/>
  <c r="D89" i="2"/>
  <c r="E89" i="2"/>
  <c r="C89" i="2"/>
  <c r="F89" i="2"/>
  <c r="B90" i="2"/>
  <c r="D90" i="2"/>
  <c r="E90" i="2"/>
  <c r="C90" i="2"/>
  <c r="F90" i="2"/>
  <c r="B91" i="2"/>
  <c r="D91" i="2"/>
  <c r="E91" i="2"/>
  <c r="C91" i="2"/>
  <c r="F91" i="2"/>
  <c r="B92" i="2"/>
  <c r="D92" i="2"/>
  <c r="E92" i="2"/>
  <c r="C92" i="2"/>
  <c r="F92" i="2"/>
  <c r="B93" i="2"/>
  <c r="D93" i="2"/>
  <c r="E93" i="2"/>
  <c r="C93" i="2"/>
  <c r="F93" i="2"/>
  <c r="B94" i="2"/>
  <c r="D94" i="2"/>
  <c r="E94" i="2"/>
  <c r="C94" i="2"/>
  <c r="F94" i="2"/>
  <c r="B95" i="2"/>
  <c r="D95" i="2"/>
  <c r="E95" i="2"/>
  <c r="C95" i="2"/>
  <c r="F95" i="2"/>
  <c r="B96" i="2"/>
  <c r="D96" i="2"/>
  <c r="E96" i="2"/>
  <c r="C96" i="2"/>
  <c r="F96" i="2"/>
  <c r="B97" i="2"/>
  <c r="D97" i="2"/>
  <c r="D98" i="2"/>
  <c r="K53" i="1"/>
  <c r="K27" i="1"/>
  <c r="K54" i="1"/>
  <c r="K56" i="1"/>
  <c r="K35" i="1"/>
  <c r="K57" i="1"/>
  <c r="K58" i="1"/>
  <c r="K87" i="1"/>
  <c r="L4" i="1"/>
  <c r="L5" i="1"/>
  <c r="L40" i="1"/>
  <c r="L6" i="1"/>
  <c r="L41" i="1"/>
  <c r="L42" i="1"/>
  <c r="L9" i="1"/>
  <c r="L10" i="1"/>
  <c r="L45" i="1"/>
  <c r="L7" i="1"/>
  <c r="L46" i="1"/>
  <c r="L70" i="1"/>
  <c r="L21" i="1"/>
  <c r="L47" i="1"/>
  <c r="L36" i="1"/>
  <c r="L48" i="1"/>
  <c r="L49" i="1"/>
  <c r="L51" i="1"/>
  <c r="E100" i="2"/>
  <c r="E97" i="2"/>
  <c r="C97" i="2"/>
  <c r="F97" i="2"/>
  <c r="B100" i="2"/>
  <c r="D100" i="2"/>
  <c r="C100" i="2"/>
  <c r="E101" i="2"/>
  <c r="F100" i="2"/>
  <c r="B101" i="2"/>
  <c r="D101" i="2"/>
  <c r="C101" i="2"/>
  <c r="E102" i="2"/>
  <c r="F101" i="2"/>
  <c r="B102" i="2"/>
  <c r="D102" i="2"/>
  <c r="C102" i="2"/>
  <c r="E103" i="2"/>
  <c r="F102" i="2"/>
  <c r="B103" i="2"/>
  <c r="D103" i="2"/>
  <c r="C103" i="2"/>
  <c r="E104" i="2"/>
  <c r="F103" i="2"/>
  <c r="B104" i="2"/>
  <c r="D104" i="2"/>
  <c r="C104" i="2"/>
  <c r="E105" i="2"/>
  <c r="F104" i="2"/>
  <c r="B105" i="2"/>
  <c r="D105" i="2"/>
  <c r="C105" i="2"/>
  <c r="E106" i="2"/>
  <c r="F105" i="2"/>
  <c r="B106" i="2"/>
  <c r="D106" i="2"/>
  <c r="C106" i="2"/>
  <c r="E107" i="2"/>
  <c r="F106" i="2"/>
  <c r="B107" i="2"/>
  <c r="D107" i="2"/>
  <c r="C107" i="2"/>
  <c r="E108" i="2"/>
  <c r="F107" i="2"/>
  <c r="B108" i="2"/>
  <c r="D108" i="2"/>
  <c r="C108" i="2"/>
  <c r="E109" i="2"/>
  <c r="F108" i="2"/>
  <c r="B109" i="2"/>
  <c r="D109" i="2"/>
  <c r="C109" i="2"/>
  <c r="E110" i="2"/>
  <c r="F109" i="2"/>
  <c r="B110" i="2"/>
  <c r="D110" i="2"/>
  <c r="C110" i="2"/>
  <c r="E111" i="2"/>
  <c r="F110" i="2"/>
  <c r="B111" i="2"/>
  <c r="D111" i="2"/>
  <c r="C111" i="2"/>
  <c r="C112" i="2"/>
  <c r="L53" i="1"/>
  <c r="L27" i="1"/>
  <c r="L54" i="1"/>
  <c r="L56" i="1"/>
  <c r="L35" i="1"/>
  <c r="L57" i="1"/>
  <c r="L58" i="1"/>
  <c r="L87" i="1"/>
  <c r="M4" i="1"/>
  <c r="M5" i="1"/>
  <c r="M40" i="1"/>
  <c r="M6" i="1"/>
  <c r="M41" i="1"/>
  <c r="M42" i="1"/>
  <c r="M9" i="1"/>
  <c r="M10" i="1"/>
  <c r="M45" i="1"/>
  <c r="M7" i="1"/>
  <c r="M46" i="1"/>
  <c r="M70" i="1"/>
  <c r="M21" i="1"/>
  <c r="M47" i="1"/>
  <c r="M36" i="1"/>
  <c r="M48" i="1"/>
  <c r="M49" i="1"/>
  <c r="M51" i="1"/>
  <c r="F111" i="2"/>
  <c r="B114" i="2"/>
  <c r="D114" i="2"/>
  <c r="E114" i="2"/>
  <c r="C114" i="2"/>
  <c r="F114" i="2"/>
  <c r="B115" i="2"/>
  <c r="D115" i="2"/>
  <c r="E115" i="2"/>
  <c r="C115" i="2"/>
  <c r="F115" i="2"/>
  <c r="B116" i="2"/>
  <c r="D116" i="2"/>
  <c r="E116" i="2"/>
  <c r="C116" i="2"/>
  <c r="F116" i="2"/>
  <c r="B117" i="2"/>
  <c r="D117" i="2"/>
  <c r="E117" i="2"/>
  <c r="C117" i="2"/>
  <c r="F117" i="2"/>
  <c r="B118" i="2"/>
  <c r="D118" i="2"/>
  <c r="E118" i="2"/>
  <c r="C118" i="2"/>
  <c r="F118" i="2"/>
  <c r="B119" i="2"/>
  <c r="D119" i="2"/>
  <c r="E119" i="2"/>
  <c r="C119" i="2"/>
  <c r="F119" i="2"/>
  <c r="B120" i="2"/>
  <c r="D120" i="2"/>
  <c r="E120" i="2"/>
  <c r="C120" i="2"/>
  <c r="F120" i="2"/>
  <c r="B121" i="2"/>
  <c r="D121" i="2"/>
  <c r="E121" i="2"/>
  <c r="C121" i="2"/>
  <c r="F121" i="2"/>
  <c r="B122" i="2"/>
  <c r="D122" i="2"/>
  <c r="E122" i="2"/>
  <c r="C122" i="2"/>
  <c r="F122" i="2"/>
  <c r="B123" i="2"/>
  <c r="D123" i="2"/>
  <c r="E123" i="2"/>
  <c r="C123" i="2"/>
  <c r="F123" i="2"/>
  <c r="B124" i="2"/>
  <c r="D124" i="2"/>
  <c r="E124" i="2"/>
  <c r="C124" i="2"/>
  <c r="F124" i="2"/>
  <c r="B125" i="2"/>
  <c r="D125" i="2"/>
  <c r="D126" i="2"/>
  <c r="M53" i="1"/>
  <c r="M27" i="1"/>
  <c r="M54" i="1"/>
  <c r="M56" i="1"/>
  <c r="M35" i="1"/>
  <c r="M57" i="1"/>
  <c r="M58" i="1"/>
  <c r="M87" i="1"/>
  <c r="N4" i="1"/>
  <c r="N5" i="1"/>
  <c r="N40" i="1"/>
  <c r="N6" i="1"/>
  <c r="N41" i="1"/>
  <c r="N42" i="1"/>
  <c r="N9" i="1"/>
  <c r="N10" i="1"/>
  <c r="N45" i="1"/>
  <c r="N7" i="1"/>
  <c r="N46" i="1"/>
  <c r="N70" i="1"/>
  <c r="N21" i="1"/>
  <c r="N47" i="1"/>
  <c r="N36" i="1"/>
  <c r="N48" i="1"/>
  <c r="N49" i="1"/>
  <c r="N51" i="1"/>
  <c r="E125" i="2"/>
  <c r="C125" i="2"/>
  <c r="F125" i="2"/>
  <c r="B128" i="2"/>
  <c r="D128" i="2"/>
  <c r="E128" i="2"/>
  <c r="C128" i="2"/>
  <c r="F128" i="2"/>
  <c r="B129" i="2"/>
  <c r="D129" i="2"/>
  <c r="E129" i="2"/>
  <c r="C129" i="2"/>
  <c r="F129" i="2"/>
  <c r="B130" i="2"/>
  <c r="D130" i="2"/>
  <c r="E130" i="2"/>
  <c r="C130" i="2"/>
  <c r="F130" i="2"/>
  <c r="B131" i="2"/>
  <c r="D131" i="2"/>
  <c r="E131" i="2"/>
  <c r="C131" i="2"/>
  <c r="F131" i="2"/>
  <c r="B132" i="2"/>
  <c r="D132" i="2"/>
  <c r="E132" i="2"/>
  <c r="C132" i="2"/>
  <c r="F132" i="2"/>
  <c r="B133" i="2"/>
  <c r="D133" i="2"/>
  <c r="E133" i="2"/>
  <c r="C133" i="2"/>
  <c r="F133" i="2"/>
  <c r="B134" i="2"/>
  <c r="D134" i="2"/>
  <c r="E134" i="2"/>
  <c r="C134" i="2"/>
  <c r="F134" i="2"/>
  <c r="B135" i="2"/>
  <c r="D135" i="2"/>
  <c r="E135" i="2"/>
  <c r="C135" i="2"/>
  <c r="F135" i="2"/>
  <c r="B136" i="2"/>
  <c r="D136" i="2"/>
  <c r="E136" i="2"/>
  <c r="C136" i="2"/>
  <c r="F136" i="2"/>
  <c r="B137" i="2"/>
  <c r="D137" i="2"/>
  <c r="E137" i="2"/>
  <c r="C137" i="2"/>
  <c r="F137" i="2"/>
  <c r="B138" i="2"/>
  <c r="D138" i="2"/>
  <c r="E138" i="2"/>
  <c r="C138" i="2"/>
  <c r="F138" i="2"/>
  <c r="B139" i="2"/>
  <c r="D139" i="2"/>
  <c r="D140" i="2"/>
  <c r="N53" i="1"/>
  <c r="N27" i="1"/>
  <c r="N54" i="1"/>
  <c r="N56" i="1"/>
  <c r="N35" i="1"/>
  <c r="N57" i="1"/>
  <c r="N58" i="1"/>
  <c r="N87" i="1"/>
  <c r="P87" i="1"/>
  <c r="E81" i="1"/>
  <c r="F81" i="1"/>
  <c r="G81" i="1"/>
  <c r="H81" i="1"/>
  <c r="I81" i="1"/>
  <c r="J81" i="1"/>
  <c r="K81" i="1"/>
  <c r="L81" i="1"/>
  <c r="M81" i="1"/>
  <c r="E139" i="2"/>
  <c r="C139" i="2"/>
  <c r="F139" i="2"/>
  <c r="N81" i="1"/>
  <c r="P81" i="1"/>
  <c r="P82" i="1"/>
  <c r="Q86" i="1"/>
  <c r="D103" i="1"/>
  <c r="D101" i="1"/>
  <c r="R86" i="1"/>
  <c r="S86" i="1"/>
  <c r="T86" i="1"/>
  <c r="O35" i="1"/>
  <c r="P78" i="1"/>
  <c r="O27" i="1"/>
  <c r="R82" i="1"/>
  <c r="S82" i="1"/>
  <c r="Q82" i="1"/>
  <c r="T82" i="1"/>
  <c r="R81" i="1"/>
  <c r="S81" i="1"/>
  <c r="Q81" i="1"/>
  <c r="T81" i="1"/>
  <c r="T88" i="1"/>
  <c r="D140" i="1"/>
  <c r="C6" i="6"/>
  <c r="N110" i="1"/>
  <c r="N111" i="1"/>
  <c r="N112" i="1"/>
  <c r="N113" i="1"/>
  <c r="N114" i="1"/>
  <c r="F37" i="1"/>
  <c r="G37" i="1"/>
  <c r="H37" i="1"/>
  <c r="I37" i="1"/>
  <c r="J37" i="1"/>
  <c r="K37" i="1"/>
  <c r="L37" i="1"/>
  <c r="M37" i="1"/>
  <c r="N37" i="1"/>
  <c r="N63" i="1"/>
  <c r="N118" i="1"/>
  <c r="N119" i="1"/>
  <c r="F33" i="1"/>
  <c r="G33" i="1"/>
  <c r="H33" i="1"/>
  <c r="I33" i="1"/>
  <c r="J33" i="1"/>
  <c r="K33" i="1"/>
  <c r="L33" i="1"/>
  <c r="M33" i="1"/>
  <c r="N33" i="1"/>
  <c r="N65" i="1"/>
  <c r="N120" i="1"/>
  <c r="F31" i="1"/>
  <c r="G31" i="1"/>
  <c r="H31" i="1"/>
  <c r="I31" i="1"/>
  <c r="J31" i="1"/>
  <c r="K31" i="1"/>
  <c r="L31" i="1"/>
  <c r="M31" i="1"/>
  <c r="N31" i="1"/>
  <c r="N66" i="1"/>
  <c r="N121" i="1"/>
  <c r="F32" i="1"/>
  <c r="G32" i="1"/>
  <c r="H32" i="1"/>
  <c r="I32" i="1"/>
  <c r="J32" i="1"/>
  <c r="K32" i="1"/>
  <c r="L32" i="1"/>
  <c r="M32" i="1"/>
  <c r="N32" i="1"/>
  <c r="N77" i="1"/>
  <c r="N122" i="1"/>
  <c r="N123" i="1"/>
  <c r="F69" i="1"/>
  <c r="G69" i="1"/>
  <c r="H69" i="1"/>
  <c r="I69" i="1"/>
  <c r="J69" i="1"/>
  <c r="K69" i="1"/>
  <c r="L69" i="1"/>
  <c r="M69" i="1"/>
  <c r="N69" i="1"/>
  <c r="N126" i="1"/>
  <c r="O70" i="1"/>
  <c r="N130" i="1"/>
  <c r="N135" i="1"/>
  <c r="M4" i="6"/>
  <c r="E110" i="1"/>
  <c r="E111" i="1"/>
  <c r="E112" i="1"/>
  <c r="E113" i="1"/>
  <c r="E114" i="1"/>
  <c r="F63" i="1"/>
  <c r="E118" i="1"/>
  <c r="E119" i="1"/>
  <c r="F65" i="1"/>
  <c r="E120" i="1"/>
  <c r="F66" i="1"/>
  <c r="E121" i="1"/>
  <c r="F77" i="1"/>
  <c r="E77" i="1"/>
  <c r="E122" i="1"/>
  <c r="F110" i="1"/>
  <c r="F111" i="1"/>
  <c r="F112" i="1"/>
  <c r="F113" i="1"/>
  <c r="E123" i="1"/>
  <c r="E126" i="1"/>
  <c r="E130" i="1"/>
  <c r="E135" i="1"/>
  <c r="D4" i="6"/>
  <c r="F114" i="1"/>
  <c r="G63" i="1"/>
  <c r="F118" i="1"/>
  <c r="F119" i="1"/>
  <c r="G65" i="1"/>
  <c r="F120" i="1"/>
  <c r="G66" i="1"/>
  <c r="F121" i="1"/>
  <c r="G77" i="1"/>
  <c r="F122" i="1"/>
  <c r="G110" i="1"/>
  <c r="G111" i="1"/>
  <c r="G112" i="1"/>
  <c r="G113" i="1"/>
  <c r="F123" i="1"/>
  <c r="F126" i="1"/>
  <c r="F130" i="1"/>
  <c r="F135" i="1"/>
  <c r="E4" i="6"/>
  <c r="G114" i="1"/>
  <c r="H63" i="1"/>
  <c r="G118" i="1"/>
  <c r="G119" i="1"/>
  <c r="H65" i="1"/>
  <c r="G120" i="1"/>
  <c r="H66" i="1"/>
  <c r="G121" i="1"/>
  <c r="H77" i="1"/>
  <c r="G122" i="1"/>
  <c r="H110" i="1"/>
  <c r="H111" i="1"/>
  <c r="H112" i="1"/>
  <c r="H113" i="1"/>
  <c r="G123" i="1"/>
  <c r="G126" i="1"/>
  <c r="G130" i="1"/>
  <c r="G135" i="1"/>
  <c r="F4" i="6"/>
  <c r="H114" i="1"/>
  <c r="I63" i="1"/>
  <c r="H118" i="1"/>
  <c r="H119" i="1"/>
  <c r="I65" i="1"/>
  <c r="H120" i="1"/>
  <c r="I66" i="1"/>
  <c r="H121" i="1"/>
  <c r="I77" i="1"/>
  <c r="H122" i="1"/>
  <c r="I110" i="1"/>
  <c r="I111" i="1"/>
  <c r="I112" i="1"/>
  <c r="I113" i="1"/>
  <c r="H123" i="1"/>
  <c r="H126" i="1"/>
  <c r="H130" i="1"/>
  <c r="H135" i="1"/>
  <c r="G4" i="6"/>
  <c r="I114" i="1"/>
  <c r="J63" i="1"/>
  <c r="I118" i="1"/>
  <c r="I119" i="1"/>
  <c r="J65" i="1"/>
  <c r="I120" i="1"/>
  <c r="J66" i="1"/>
  <c r="I121" i="1"/>
  <c r="J77" i="1"/>
  <c r="I122" i="1"/>
  <c r="J110" i="1"/>
  <c r="J111" i="1"/>
  <c r="J112" i="1"/>
  <c r="J113" i="1"/>
  <c r="I123" i="1"/>
  <c r="I126" i="1"/>
  <c r="I130" i="1"/>
  <c r="I135" i="1"/>
  <c r="H4" i="6"/>
  <c r="J114" i="1"/>
  <c r="K63" i="1"/>
  <c r="J118" i="1"/>
  <c r="J119" i="1"/>
  <c r="K65" i="1"/>
  <c r="J120" i="1"/>
  <c r="K66" i="1"/>
  <c r="J121" i="1"/>
  <c r="K77" i="1"/>
  <c r="J122" i="1"/>
  <c r="K110" i="1"/>
  <c r="K111" i="1"/>
  <c r="K112" i="1"/>
  <c r="K113" i="1"/>
  <c r="J123" i="1"/>
  <c r="J126" i="1"/>
  <c r="J130" i="1"/>
  <c r="J135" i="1"/>
  <c r="I4" i="6"/>
  <c r="K114" i="1"/>
  <c r="L63" i="1"/>
  <c r="K118" i="1"/>
  <c r="K119" i="1"/>
  <c r="L65" i="1"/>
  <c r="K120" i="1"/>
  <c r="L66" i="1"/>
  <c r="K121" i="1"/>
  <c r="L77" i="1"/>
  <c r="K122" i="1"/>
  <c r="L110" i="1"/>
  <c r="L111" i="1"/>
  <c r="L112" i="1"/>
  <c r="L113" i="1"/>
  <c r="K123" i="1"/>
  <c r="K126" i="1"/>
  <c r="K130" i="1"/>
  <c r="K135" i="1"/>
  <c r="J4" i="6"/>
  <c r="L114" i="1"/>
  <c r="M63" i="1"/>
  <c r="L118" i="1"/>
  <c r="L119" i="1"/>
  <c r="M65" i="1"/>
  <c r="L120" i="1"/>
  <c r="M66" i="1"/>
  <c r="L121" i="1"/>
  <c r="M77" i="1"/>
  <c r="L122" i="1"/>
  <c r="M110" i="1"/>
  <c r="M111" i="1"/>
  <c r="M112" i="1"/>
  <c r="M113" i="1"/>
  <c r="L123" i="1"/>
  <c r="L126" i="1"/>
  <c r="L130" i="1"/>
  <c r="L135" i="1"/>
  <c r="K4" i="6"/>
  <c r="M114" i="1"/>
  <c r="M118" i="1"/>
  <c r="M119" i="1"/>
  <c r="M120" i="1"/>
  <c r="M121" i="1"/>
  <c r="M122" i="1"/>
  <c r="M123" i="1"/>
  <c r="M126" i="1"/>
  <c r="M130" i="1"/>
  <c r="M135" i="1"/>
  <c r="L4" i="6"/>
  <c r="D118" i="1"/>
  <c r="D119" i="1"/>
  <c r="D120" i="1"/>
  <c r="D121" i="1"/>
  <c r="D122" i="1"/>
  <c r="D123" i="1"/>
  <c r="D126" i="1"/>
  <c r="D130" i="1"/>
  <c r="D135" i="1"/>
  <c r="C4" i="6"/>
  <c r="F46" i="6"/>
  <c r="F48" i="6"/>
  <c r="C21" i="6"/>
  <c r="D15" i="6"/>
  <c r="D19" i="6"/>
  <c r="E15" i="6"/>
  <c r="E19" i="6"/>
  <c r="F15" i="6"/>
  <c r="F19" i="6"/>
  <c r="G15" i="6"/>
  <c r="G19" i="6"/>
  <c r="H15" i="6"/>
  <c r="H19" i="6"/>
  <c r="I15" i="6"/>
  <c r="I19" i="6"/>
  <c r="J15" i="6"/>
  <c r="J19" i="6"/>
  <c r="K15" i="6"/>
  <c r="K19" i="6"/>
  <c r="L15" i="6"/>
  <c r="L19" i="6"/>
  <c r="M15" i="6"/>
  <c r="M19" i="6"/>
  <c r="C15" i="6"/>
  <c r="C19" i="6"/>
  <c r="C20" i="6"/>
  <c r="D24" i="6"/>
  <c r="D28" i="6"/>
  <c r="E24" i="6"/>
  <c r="E28" i="6"/>
  <c r="F24" i="6"/>
  <c r="F28" i="6"/>
  <c r="G24" i="6"/>
  <c r="G25" i="6"/>
  <c r="G28" i="6"/>
  <c r="H24" i="6"/>
  <c r="H28" i="6"/>
  <c r="I24" i="6"/>
  <c r="I28" i="6"/>
  <c r="J24" i="6"/>
  <c r="J28" i="6"/>
  <c r="K24" i="6"/>
  <c r="K28" i="6"/>
  <c r="L24" i="6"/>
  <c r="L28" i="6"/>
  <c r="M24" i="6"/>
  <c r="M28" i="6"/>
  <c r="C24" i="6"/>
  <c r="C28" i="6"/>
  <c r="C29" i="6"/>
  <c r="C35" i="6"/>
  <c r="D33" i="6"/>
  <c r="E33" i="6"/>
  <c r="F33" i="6"/>
  <c r="G33" i="6"/>
  <c r="C33" i="6"/>
  <c r="C34" i="6"/>
  <c r="C37" i="6"/>
  <c r="C6" i="5"/>
  <c r="D4" i="5"/>
  <c r="F22" i="5"/>
  <c r="E4" i="5"/>
  <c r="G22" i="5"/>
  <c r="F4" i="5"/>
  <c r="H22" i="5"/>
  <c r="G4" i="5"/>
  <c r="I22" i="5"/>
  <c r="H4" i="5"/>
  <c r="J22" i="5"/>
  <c r="I4" i="5"/>
  <c r="K22" i="5"/>
  <c r="J4" i="5"/>
  <c r="L22" i="5"/>
  <c r="K4" i="5"/>
  <c r="M22" i="5"/>
  <c r="L4" i="5"/>
  <c r="N22" i="5"/>
  <c r="M4" i="5"/>
  <c r="O22" i="5"/>
  <c r="C23" i="5"/>
  <c r="A28" i="5"/>
  <c r="C4" i="5"/>
  <c r="E20" i="5"/>
  <c r="B28" i="5"/>
  <c r="C12" i="5"/>
  <c r="E28" i="5"/>
  <c r="F28" i="5"/>
  <c r="C13" i="5"/>
  <c r="E137" i="1"/>
  <c r="F137" i="1"/>
  <c r="G137" i="1"/>
  <c r="H137" i="1"/>
  <c r="I136" i="1"/>
  <c r="I137" i="1"/>
  <c r="D137" i="1"/>
  <c r="D142" i="1"/>
  <c r="C7" i="5"/>
  <c r="D141" i="1"/>
  <c r="C5" i="5"/>
  <c r="O118" i="1"/>
  <c r="J137" i="1"/>
  <c r="O119" i="1"/>
  <c r="E14" i="1"/>
  <c r="G27" i="2"/>
  <c r="G41" i="2"/>
  <c r="G55" i="2"/>
  <c r="G69" i="2"/>
  <c r="G83" i="2"/>
  <c r="G97" i="2"/>
  <c r="G111" i="2"/>
  <c r="G125" i="2"/>
  <c r="G139" i="2"/>
  <c r="F71" i="1"/>
  <c r="G71" i="1"/>
  <c r="H71" i="1"/>
  <c r="I71" i="1"/>
  <c r="D94" i="1"/>
  <c r="E29" i="1"/>
  <c r="J71" i="1"/>
  <c r="F67" i="1"/>
  <c r="F73" i="1"/>
  <c r="G67" i="1"/>
  <c r="G73" i="1"/>
  <c r="K71" i="1"/>
  <c r="H67" i="1"/>
  <c r="H73" i="1"/>
  <c r="L71" i="1"/>
  <c r="M71" i="1"/>
  <c r="I67" i="1"/>
  <c r="I73" i="1"/>
  <c r="J67" i="1"/>
  <c r="J73" i="1"/>
  <c r="N71" i="1"/>
  <c r="K67" i="1"/>
  <c r="K73" i="1"/>
  <c r="L67" i="1"/>
  <c r="L73" i="1"/>
  <c r="O120" i="1"/>
  <c r="M67" i="1"/>
  <c r="M73" i="1"/>
  <c r="N67" i="1"/>
  <c r="N73" i="1"/>
  <c r="O121" i="1"/>
  <c r="O122" i="1"/>
  <c r="O123" i="1"/>
  <c r="E78" i="1"/>
  <c r="D95" i="1"/>
  <c r="D96" i="1"/>
  <c r="C14" i="2"/>
  <c r="E79" i="1"/>
  <c r="E84" i="1"/>
  <c r="E89" i="1"/>
  <c r="E91" i="1"/>
  <c r="F78" i="1"/>
  <c r="C28" i="2"/>
  <c r="F79" i="1"/>
  <c r="F84" i="1"/>
  <c r="F89" i="1"/>
  <c r="F91" i="1"/>
  <c r="G78" i="1"/>
  <c r="C42" i="2"/>
  <c r="G79" i="1"/>
  <c r="G84" i="1"/>
  <c r="G89" i="1"/>
  <c r="G91" i="1"/>
  <c r="H78" i="1"/>
  <c r="C56" i="2"/>
  <c r="H79" i="1"/>
  <c r="H84" i="1"/>
  <c r="H89" i="1"/>
  <c r="H91" i="1"/>
  <c r="I78" i="1"/>
  <c r="C70" i="2"/>
  <c r="I79" i="1"/>
  <c r="I84" i="1"/>
  <c r="I89" i="1"/>
  <c r="I91" i="1"/>
  <c r="J78" i="1"/>
  <c r="C84" i="2"/>
  <c r="J79" i="1"/>
  <c r="J84" i="1"/>
  <c r="J89" i="1"/>
  <c r="J91" i="1"/>
  <c r="K78" i="1"/>
  <c r="C98" i="2"/>
  <c r="K79" i="1"/>
  <c r="K84" i="1"/>
  <c r="K89" i="1"/>
  <c r="K91" i="1"/>
  <c r="D112" i="2"/>
  <c r="L78" i="1"/>
  <c r="L79" i="1"/>
  <c r="L84" i="1"/>
  <c r="K137" i="1"/>
  <c r="L89" i="1"/>
  <c r="L91" i="1"/>
  <c r="M78" i="1"/>
  <c r="C126" i="2"/>
  <c r="M79" i="1"/>
  <c r="M84" i="1"/>
  <c r="M89" i="1"/>
  <c r="M91" i="1"/>
  <c r="L137" i="1"/>
  <c r="N78" i="1"/>
  <c r="C140" i="2"/>
  <c r="N79" i="1"/>
  <c r="N137" i="1"/>
  <c r="N84" i="1"/>
  <c r="M137" i="1"/>
  <c r="N89" i="1"/>
  <c r="N91" i="1"/>
  <c r="Q89" i="1"/>
  <c r="D104" i="1"/>
</calcChain>
</file>

<file path=xl/sharedStrings.xml><?xml version="1.0" encoding="utf-8"?>
<sst xmlns="http://schemas.openxmlformats.org/spreadsheetml/2006/main" count="367" uniqueCount="208">
  <si>
    <t>Year 1</t>
  </si>
  <si>
    <t>Year 2</t>
  </si>
  <si>
    <t>Year 3</t>
  </si>
  <si>
    <t>Year 4</t>
  </si>
  <si>
    <t>Year 5</t>
  </si>
  <si>
    <t>Year 6</t>
  </si>
  <si>
    <t>Year 7</t>
  </si>
  <si>
    <t>Year 8</t>
  </si>
  <si>
    <t>Year 9</t>
  </si>
  <si>
    <t>Year 10</t>
  </si>
  <si>
    <t>Anaylsis</t>
  </si>
  <si>
    <t>ASSUMPTIONS</t>
  </si>
  <si>
    <t>yearly change</t>
  </si>
  <si>
    <t>COGS as percent of sales</t>
  </si>
  <si>
    <t>General and Administrative as percent of sales</t>
  </si>
  <si>
    <t xml:space="preserve">Average number of labor hours per year needed </t>
  </si>
  <si>
    <t>Cost per acre for land</t>
  </si>
  <si>
    <t>Acres of land</t>
  </si>
  <si>
    <t>Cost per square foot for store building</t>
  </si>
  <si>
    <t>We found average store building costs per square foot at https://www.buildingsguide.com/faq/what-average-commercial-building-cost-square-foot and used the higher one for this nicer building.</t>
  </si>
  <si>
    <t>Mortgage loan interest rate</t>
  </si>
  <si>
    <t>Mortgage loan length (in years)</t>
  </si>
  <si>
    <t>Mortgage loan starting balance, % of total land and buildings</t>
  </si>
  <si>
    <t>Mortgage loan starting balance (PV)</t>
  </si>
  <si>
    <t>Extra bank loan interest rate</t>
  </si>
  <si>
    <t>We looked at www.wellsfargo.com/personal-credit/rate-and-payment-calculator/ and saw rates from 7% to 13% so we choose a lower one, based on how good we think the business is.</t>
  </si>
  <si>
    <t>Common stock starting balance, percent of total assets first year</t>
  </si>
  <si>
    <t>Common stock starting balance minimum, if at least as above</t>
  </si>
  <si>
    <t>Days of inventory</t>
  </si>
  <si>
    <t>Days of accounts payable (COGS expense)</t>
  </si>
  <si>
    <t>Days of receivables (credit card use assumed for all revenue)</t>
  </si>
  <si>
    <t>Income tax rate (state plus federal)</t>
  </si>
  <si>
    <t>We found the state tax rate at http://taxfoundation.org/state-tax-climate/california and used it to create the full tax rate here.</t>
  </si>
  <si>
    <t>Depriciation years</t>
  </si>
  <si>
    <t>Minimum cash as % of sales</t>
  </si>
  <si>
    <t>INCOME STATEMENT</t>
  </si>
  <si>
    <t>Sales Revenue</t>
  </si>
  <si>
    <t>Cost of Good Sold</t>
  </si>
  <si>
    <t>Gross Profit</t>
  </si>
  <si>
    <t xml:space="preserve">Expenses </t>
  </si>
  <si>
    <t>Salaries and Wages</t>
  </si>
  <si>
    <t>General and Administrative</t>
  </si>
  <si>
    <t>Building Insurance and Property Taxes</t>
  </si>
  <si>
    <t>Depeciation Expense</t>
  </si>
  <si>
    <t>Total Expenses</t>
  </si>
  <si>
    <t>Income Before Interest and Taxes</t>
  </si>
  <si>
    <t>Mortgage Interest Expense</t>
  </si>
  <si>
    <t>Extra Bank Loan Interest Expense</t>
  </si>
  <si>
    <t>Taxable Income</t>
  </si>
  <si>
    <t>Income Tax Expense</t>
  </si>
  <si>
    <t>Net Income</t>
  </si>
  <si>
    <t>BALANCE SHEET</t>
  </si>
  <si>
    <t xml:space="preserve">ASSETS </t>
  </si>
  <si>
    <t>Current Assets</t>
  </si>
  <si>
    <t>Minimum Cash Balance</t>
  </si>
  <si>
    <t>Extra Cash</t>
  </si>
  <si>
    <t>Accounts Receivable</t>
  </si>
  <si>
    <t xml:space="preserve">Inventory </t>
  </si>
  <si>
    <t>Total Current Assets</t>
  </si>
  <si>
    <t>Land</t>
  </si>
  <si>
    <t>Buildings</t>
  </si>
  <si>
    <t>Less Accumulated Depreciation</t>
  </si>
  <si>
    <t>Total Assets</t>
  </si>
  <si>
    <t xml:space="preserve">LIABILITIES </t>
  </si>
  <si>
    <t>Current Liabilities</t>
  </si>
  <si>
    <t>Accounts Payable (COGS Expense)</t>
  </si>
  <si>
    <t>Income Taxes Payable</t>
  </si>
  <si>
    <t>Total Current Liabilities</t>
  </si>
  <si>
    <t>Mortgage Loan</t>
  </si>
  <si>
    <t>Extra Bank Loan</t>
  </si>
  <si>
    <t>Total Liabilities</t>
  </si>
  <si>
    <t>Common Stock</t>
  </si>
  <si>
    <t>Retained Earnings</t>
  </si>
  <si>
    <t>Total Liabilities and Shareholders Equity</t>
  </si>
  <si>
    <t>DFN</t>
  </si>
  <si>
    <t>Beg Balance</t>
  </si>
  <si>
    <t>Principal</t>
  </si>
  <si>
    <t xml:space="preserve">Interest </t>
  </si>
  <si>
    <t>Payment</t>
  </si>
  <si>
    <t>End Balance</t>
  </si>
  <si>
    <t>Rate</t>
  </si>
  <si>
    <t>Jan</t>
  </si>
  <si>
    <t>Per Rate</t>
  </si>
  <si>
    <t>Feb</t>
  </si>
  <si>
    <t>FV</t>
  </si>
  <si>
    <t>Mar</t>
  </si>
  <si>
    <t>Years</t>
  </si>
  <si>
    <t>Apr</t>
  </si>
  <si>
    <t>Per</t>
  </si>
  <si>
    <t>May</t>
  </si>
  <si>
    <t>Type</t>
  </si>
  <si>
    <t>Jun</t>
  </si>
  <si>
    <t>PV</t>
  </si>
  <si>
    <t>Jul</t>
  </si>
  <si>
    <t>Aug</t>
  </si>
  <si>
    <t>Sep</t>
  </si>
  <si>
    <t>Oct</t>
  </si>
  <si>
    <t>Nov</t>
  </si>
  <si>
    <t>Dec</t>
  </si>
  <si>
    <t>TOTALS</t>
  </si>
  <si>
    <t>Eagle Mills Cider Mill</t>
  </si>
  <si>
    <t>Minimum wage in NY</t>
  </si>
  <si>
    <t>https://labor.ny.gov/workerprotection/laborstandards/workprot/minwage.shtm</t>
  </si>
  <si>
    <t>Average acres of land for carnivals</t>
  </si>
  <si>
    <t>https://ask.metafilter.com/124178/Who-pays-whom-to-put-on-a-carnival</t>
  </si>
  <si>
    <t>https://www.usda.gov/nass/PUBS/TODAYRPT/land0815.pdf</t>
  </si>
  <si>
    <t>Average cost of acre in NY</t>
  </si>
  <si>
    <t>Average cost</t>
  </si>
  <si>
    <t>https://www.nerdwallet.com/mortgages/mortgage-rates/new-york</t>
  </si>
  <si>
    <t>Average morage loan interests rate and years</t>
  </si>
  <si>
    <t>Square footage of Mill</t>
  </si>
  <si>
    <t>Square footage of Gift Shop</t>
  </si>
  <si>
    <t>Square footage of Ice Cream Shop</t>
  </si>
  <si>
    <t>Average cost of insurance in NY</t>
  </si>
  <si>
    <t>Average cost of property tax in NY</t>
  </si>
  <si>
    <t>Average property tax</t>
  </si>
  <si>
    <t>https://www.investopedia.com/walkthrough/guide-buying-house-us/property-tax-assessment-state/northeast-region-property-taxes/new-york-property-tax-guide/</t>
  </si>
  <si>
    <t>Average insurance in NY</t>
  </si>
  <si>
    <t>https://www.trustedchoice.com/l/new-york/homeowners-insurance/</t>
  </si>
  <si>
    <t>Taxes - federal</t>
  </si>
  <si>
    <t>https://taxfoundation.org/2017-tax-brackets/</t>
  </si>
  <si>
    <t>State</t>
  </si>
  <si>
    <t>https://smartasset.com/taxes/new-york-tax-calculator</t>
  </si>
  <si>
    <t>Average Costs of Admissions to Eagle Mills Cider Mill</t>
  </si>
  <si>
    <t>Number of visitors a day</t>
  </si>
  <si>
    <t xml:space="preserve">There are 4 different admission packages and we took the average which was about $20. </t>
  </si>
  <si>
    <t xml:space="preserve">We Found the population of the county and saw that it was fairly small with 5,000 people. We decided an average of 300 people would come enter the park each day minus the 52 days they weren't open. </t>
  </si>
  <si>
    <t>The Cost of Goods Sold is generally a lot smaller because this place has a lot of up front costs but less costs to run the business.</t>
  </si>
  <si>
    <t>A large percentage of their expense is going to be in labor.</t>
  </si>
  <si>
    <t>We found the average minimum wage in New York at the website https://www.govdocs.com/new-york-state-15-minimum-wage-paid-family-leave/</t>
  </si>
  <si>
    <t>The $881 per day per acre is found at ask.metafilter.com. It says the average carnival sits on 4.79 of acres of land.</t>
  </si>
  <si>
    <t xml:space="preserve">This website tells us the average square footage of a gift shop. https://www.sfgate.com/business/article/MIND-YOUR-BUSINESS-Study-the-market-potential-2538911.php 
</t>
  </si>
  <si>
    <t xml:space="preserve">This website tells us the average square footage of a ice cream shop http://info.linearretail.com/topic/average-store-size-for-ice-cream-store Average Square footage of Ice Cream shop
</t>
  </si>
  <si>
    <t>The sales page gave us an idication of what size the mill is.</t>
  </si>
  <si>
    <t>https://www.trustedchoice.com/l/new-york/</t>
  </si>
  <si>
    <t>FREE CASH FLOWS</t>
  </si>
  <si>
    <t>Cash From Operatoins</t>
  </si>
  <si>
    <t>Operating Profit</t>
  </si>
  <si>
    <t>Less: Depreciation</t>
  </si>
  <si>
    <t>Taxable Operating Profit</t>
  </si>
  <si>
    <t>Taxes on Operations</t>
  </si>
  <si>
    <t>Total Cash from Operations</t>
  </si>
  <si>
    <t>Cash from Changes in Balance Sheet</t>
  </si>
  <si>
    <t>Working Capital</t>
  </si>
  <si>
    <t>Fixed Assets</t>
  </si>
  <si>
    <t>Adjustment for Sale</t>
  </si>
  <si>
    <t>Taxes on Sale</t>
  </si>
  <si>
    <t>Goodwill At Purchase</t>
  </si>
  <si>
    <t>Total Free Cash Flows</t>
  </si>
  <si>
    <t>WACC</t>
  </si>
  <si>
    <t>IRR</t>
  </si>
  <si>
    <t>NPV</t>
  </si>
  <si>
    <t>Interest cover ratio</t>
  </si>
  <si>
    <t>EBIT</t>
  </si>
  <si>
    <t>Total interest expense</t>
  </si>
  <si>
    <t>AA</t>
  </si>
  <si>
    <t>Ratin</t>
  </si>
  <si>
    <t>Spread above Tbills</t>
  </si>
  <si>
    <t>Tbills</t>
  </si>
  <si>
    <t>S&amp;P 500</t>
  </si>
  <si>
    <t>EMPR</t>
  </si>
  <si>
    <t>levered beta</t>
  </si>
  <si>
    <t>unlevered beta</t>
  </si>
  <si>
    <t>Proportion</t>
  </si>
  <si>
    <t>rate</t>
  </si>
  <si>
    <t>Tax Adjusted Rate</t>
  </si>
  <si>
    <t>Weighted</t>
  </si>
  <si>
    <t>Perpetuity</t>
  </si>
  <si>
    <t>Growth Rate</t>
  </si>
  <si>
    <t>DCF</t>
  </si>
  <si>
    <t xml:space="preserve">For the unlevered beta we went to the Stern website and found the correct amount of unlevered beta for the area of recreation. The unlevered beta given to us was .73 and we decided to keep the beta the same. We made this decision because the company that we are looking into, the Eagle Mills Cider Mill, is mainly a recreational sector so we did not think that we needed to average different industries for our company. Another reason we made this decision was that although this company does have a lot of customers the amount of revenue that it earns is not as much as we though therefore the beta would not be large. </t>
  </si>
  <si>
    <t xml:space="preserve">To determine our perpetuity value we first had to make the decision of whether to do a pretend sale or perpetuity. We decided to find the perpetuity value of our company in the fifth year of operation. In order to find perpetuity we found the total amount of cash flows for year 5 and we determined the growth rate of the value of the company. We found this growth rate in a spreadsheet given to us on the Stern website which gave us the growth amount of .89%. We then used the numbers that we had found and computed to calculate the perpetuity value. </t>
  </si>
  <si>
    <t>For our credit rating we decided to look at our Interest Rate that we calculated and got about 11.5%. We then looked at the Infographic and found that it was closest to AA with a credit spread of 1.8. When looking at our Company we could see that our Interest Coverage Rate would be a high percentage based on the land and buildings that we have. When looking at the table on the NYU Stern Chart we had a percentage of .55. We adjusted this to the infographic of 1.8 because we felt it better fit our mortgage loan.</t>
  </si>
  <si>
    <t>For Goodwill, our company Eagle Cider mill has many things that makes it known and a good sum of goodwill. These things include their name and customers. Many people in the area and other people around all around New York are familiar with Eagle Cider mill. When they sell this company they are selling more than just the property but also the known business that everyone is familiar with. The Location and historical aspect of the mill is also high in goodwill value. It is in a seduced area near a lake and other beautiful properties. The mill is very historical and the it has one of the very few covered bridges left in the United States.</t>
  </si>
  <si>
    <t>CONSULTING PROJECT - BLACK-SCHOLES</t>
  </si>
  <si>
    <t>Free Cash Flows from Forecast</t>
  </si>
  <si>
    <t>WACC from Forecast</t>
  </si>
  <si>
    <t>NPV of FCF</t>
  </si>
  <si>
    <t>Risk Free T-Bill Rate used in WACC Calculation</t>
  </si>
  <si>
    <t>Relevered Beta Used in WACC calculation</t>
  </si>
  <si>
    <t>OPTION TO BUY THE COMPANY IN 2 YEARS, WITH AN EXERCISE PRICE OF THE CURRENT PURCHASE PRICE</t>
  </si>
  <si>
    <t>Exercise Price</t>
  </si>
  <si>
    <t>Cash Flows if Exercised</t>
  </si>
  <si>
    <t>Black-Sholes Computation area provided for you:</t>
  </si>
  <si>
    <t>S</t>
  </si>
  <si>
    <t>X</t>
  </si>
  <si>
    <t>t</t>
  </si>
  <si>
    <t>STDEV(%)</t>
  </si>
  <si>
    <t>r</t>
  </si>
  <si>
    <t>VALUE</t>
  </si>
  <si>
    <t>CONSULTING PROJECT - DECISION TREE</t>
  </si>
  <si>
    <t>SCENARIOS OF COMPANY</t>
  </si>
  <si>
    <t>Success - Success</t>
  </si>
  <si>
    <t>Normal Forecasted Operations</t>
  </si>
  <si>
    <t>Puchase New Land and Building Location</t>
  </si>
  <si>
    <t>Additional Revenues from New Location</t>
  </si>
  <si>
    <t>Sell New Location</t>
  </si>
  <si>
    <t>TOTAL</t>
  </si>
  <si>
    <t>Probability</t>
  </si>
  <si>
    <t>Success - Failure</t>
  </si>
  <si>
    <t>Failure</t>
  </si>
  <si>
    <t>Adjusted Forecasted Operations</t>
  </si>
  <si>
    <t>Total Expected NPV</t>
  </si>
  <si>
    <t>Expansion is Good</t>
  </si>
  <si>
    <t>Good -Expand</t>
  </si>
  <si>
    <t>Decision Tree</t>
  </si>
  <si>
    <t>Expansion is Bad</t>
  </si>
  <si>
    <t>Bad - Stop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</si>
</sst>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_(&quot;$&quot;* #,##0_);_(&quot;$&quot;* \(#,##0\);_(&quot;$&quot;* &quot;-&quot;??_);_(@_)"/>
    <numFmt numFmtId="166" formatCode="[$$-409]#,##0.00;[Red]\-[$$-409]#,##0.00"/>
    <numFmt numFmtId="167" formatCode="0.000%"/>
    <numFmt numFmtId="168" formatCode="_(\$* #,##0.00_);_(\$* \(#,##0.00\);_(\$* \-??_);_(@_)"/>
    <numFmt numFmtId="169" formatCode="_(\$* #,##0_);_(\$* \(#,##0\);_(\$* \-??_);_(@_)"/>
  </numFmts>
  <fonts count="20" x14ac:knownFonts="1">
    <font>
      <sz val="11"/>
      <color theme="1"/>
      <name val="Calibri"/>
      <family val="2"/>
      <scheme val="minor"/>
    </font>
    <font>
      <sz val="11"/>
      <color theme="1"/>
      <name val="Calibri"/>
      <family val="2"/>
      <scheme val="minor"/>
    </font>
    <font>
      <sz val="11"/>
      <name val="Arial"/>
      <family val="2"/>
    </font>
    <font>
      <b/>
      <u/>
      <sz val="11"/>
      <name val="Arial"/>
      <family val="2"/>
    </font>
    <font>
      <b/>
      <sz val="11"/>
      <name val="Arial"/>
      <family val="2"/>
    </font>
    <font>
      <sz val="11"/>
      <color indexed="8"/>
      <name val="Arial"/>
      <family val="2"/>
    </font>
    <font>
      <b/>
      <sz val="12"/>
      <color theme="1"/>
      <name val="Calibri"/>
      <family val="2"/>
      <scheme val="minor"/>
    </font>
    <font>
      <sz val="12"/>
      <name val="Calibri"/>
      <family val="2"/>
      <scheme val="minor"/>
    </font>
    <font>
      <sz val="11"/>
      <color indexed="8"/>
      <name val="Calibri"/>
      <family val="2"/>
      <charset val="1"/>
    </font>
    <font>
      <b/>
      <sz val="12"/>
      <name val="Calibri"/>
      <family val="2"/>
      <scheme val="minor"/>
    </font>
    <font>
      <sz val="10"/>
      <name val="Arial"/>
      <family val="2"/>
    </font>
    <font>
      <i/>
      <sz val="12"/>
      <name val="Calibri"/>
      <family val="2"/>
      <scheme val="minor"/>
    </font>
    <font>
      <sz val="12"/>
      <color theme="1"/>
      <name val="Calibri"/>
      <family val="2"/>
      <scheme val="minor"/>
    </font>
    <font>
      <sz val="12"/>
      <color indexed="8"/>
      <name val="Calibri"/>
      <family val="2"/>
    </font>
    <font>
      <sz val="12"/>
      <color rgb="FF000000"/>
      <name val="Calibri Light"/>
      <family val="2"/>
      <scheme val="major"/>
    </font>
    <font>
      <b/>
      <sz val="12"/>
      <color rgb="FF000000"/>
      <name val="Calibri Light"/>
      <family val="2"/>
      <scheme val="major"/>
    </font>
    <font>
      <b/>
      <u/>
      <sz val="12"/>
      <color rgb="FF000000"/>
      <name val="Calibri Light"/>
      <family val="2"/>
      <scheme val="major"/>
    </font>
    <font>
      <sz val="12"/>
      <name val="Calibri Light"/>
      <family val="2"/>
      <scheme val="major"/>
    </font>
    <font>
      <sz val="11"/>
      <color theme="1"/>
      <name val="Calibri Light"/>
      <family val="2"/>
      <scheme val="major"/>
    </font>
    <font>
      <sz val="12"/>
      <color theme="0"/>
      <name val="Calibri Light"/>
      <family val="2"/>
      <scheme val="major"/>
    </font>
  </fonts>
  <fills count="5">
    <fill>
      <patternFill patternType="none"/>
    </fill>
    <fill>
      <patternFill patternType="gray125"/>
    </fill>
    <fill>
      <patternFill patternType="solid">
        <fgColor rgb="FFFFFFFF"/>
        <bgColor rgb="FFFFFFFF"/>
      </patternFill>
    </fill>
    <fill>
      <patternFill patternType="solid">
        <fgColor theme="9" tint="0.39997558519241921"/>
        <bgColor indexed="64"/>
      </patternFill>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xf numFmtId="168" fontId="8" fillId="0" borderId="0"/>
    <xf numFmtId="0" fontId="8" fillId="0" borderId="0"/>
    <xf numFmtId="9" fontId="8" fillId="0" borderId="0"/>
    <xf numFmtId="43" fontId="10" fillId="0" borderId="0" applyFont="0" applyFill="0" applyBorder="0" applyAlignment="0" applyProtection="0"/>
  </cellStyleXfs>
  <cellXfs count="94">
    <xf numFmtId="0" fontId="0" fillId="0" borderId="0" xfId="0"/>
    <xf numFmtId="0" fontId="2" fillId="0" borderId="0" xfId="0" applyFont="1"/>
    <xf numFmtId="0" fontId="3" fillId="0" borderId="0" xfId="0" applyFont="1" applyAlignment="1">
      <alignment horizontal="center"/>
    </xf>
    <xf numFmtId="0" fontId="4" fillId="0" borderId="0" xfId="0" applyFont="1"/>
    <xf numFmtId="10" fontId="2" fillId="0" borderId="0" xfId="0" applyNumberFormat="1" applyFont="1"/>
    <xf numFmtId="17" fontId="2" fillId="0" borderId="0" xfId="0" quotePrefix="1" applyNumberFormat="1" applyFont="1" applyAlignment="1">
      <alignment wrapText="1"/>
    </xf>
    <xf numFmtId="44" fontId="5" fillId="0" borderId="0" xfId="2" applyFont="1"/>
    <xf numFmtId="0" fontId="2" fillId="0" borderId="0" xfId="0" applyFont="1" applyAlignment="1">
      <alignment wrapText="1"/>
    </xf>
    <xf numFmtId="166" fontId="2" fillId="0" borderId="0" xfId="0" applyNumberFormat="1" applyFont="1"/>
    <xf numFmtId="43" fontId="2" fillId="0" borderId="0" xfId="0" applyNumberFormat="1" applyFont="1"/>
    <xf numFmtId="0" fontId="4" fillId="0" borderId="0" xfId="0" applyFont="1" applyAlignment="1">
      <alignment wrapText="1"/>
    </xf>
    <xf numFmtId="0" fontId="6" fillId="0" borderId="0" xfId="0" applyFont="1"/>
    <xf numFmtId="0" fontId="7" fillId="0" borderId="0" xfId="0" applyFont="1"/>
    <xf numFmtId="0" fontId="6" fillId="0" borderId="3" xfId="0" applyFont="1" applyBorder="1"/>
    <xf numFmtId="0" fontId="7" fillId="0" borderId="3" xfId="0" applyFont="1" applyBorder="1"/>
    <xf numFmtId="0" fontId="7" fillId="0" borderId="0" xfId="0" applyFont="1" applyAlignment="1">
      <alignment horizontal="center"/>
    </xf>
    <xf numFmtId="169" fontId="1" fillId="0" borderId="0" xfId="2" applyNumberFormat="1"/>
    <xf numFmtId="10" fontId="7" fillId="0" borderId="0" xfId="0" applyNumberFormat="1" applyFont="1"/>
    <xf numFmtId="0" fontId="9" fillId="0" borderId="0" xfId="0" applyFont="1"/>
    <xf numFmtId="10" fontId="7" fillId="0" borderId="0" xfId="3" applyNumberFormat="1" applyFont="1" applyFill="1"/>
    <xf numFmtId="44" fontId="1" fillId="0" borderId="0" xfId="2"/>
    <xf numFmtId="164" fontId="7" fillId="0" borderId="0" xfId="3" applyNumberFormat="1" applyFont="1" applyFill="1"/>
    <xf numFmtId="43" fontId="7" fillId="0" borderId="0" xfId="1" applyFont="1" applyFill="1"/>
    <xf numFmtId="43" fontId="7" fillId="0" borderId="3" xfId="1" applyFont="1" applyBorder="1"/>
    <xf numFmtId="0" fontId="11" fillId="0" borderId="3" xfId="0" applyFont="1" applyBorder="1"/>
    <xf numFmtId="0" fontId="12" fillId="0" borderId="0" xfId="0" applyFont="1"/>
    <xf numFmtId="169" fontId="7" fillId="0" borderId="0" xfId="0" applyNumberFormat="1" applyFont="1"/>
    <xf numFmtId="9" fontId="7" fillId="0" borderId="0" xfId="0" applyNumberFormat="1" applyFont="1"/>
    <xf numFmtId="169" fontId="13" fillId="0" borderId="0" xfId="2" applyNumberFormat="1" applyFont="1" applyFill="1"/>
    <xf numFmtId="44" fontId="13" fillId="0" borderId="0" xfId="2" applyFont="1" applyFill="1"/>
    <xf numFmtId="9" fontId="6" fillId="0" borderId="0" xfId="0" applyNumberFormat="1" applyFont="1"/>
    <xf numFmtId="0" fontId="0" fillId="0" borderId="1" xfId="0" applyBorder="1"/>
    <xf numFmtId="44" fontId="0" fillId="0" borderId="1" xfId="2" applyFont="1" applyBorder="1"/>
    <xf numFmtId="9" fontId="0" fillId="0" borderId="1" xfId="3" applyFont="1" applyBorder="1"/>
    <xf numFmtId="165" fontId="1" fillId="0" borderId="1" xfId="2" applyNumberFormat="1" applyBorder="1"/>
    <xf numFmtId="165" fontId="7" fillId="0" borderId="0" xfId="0" applyNumberFormat="1" applyFont="1"/>
    <xf numFmtId="9" fontId="9" fillId="0" borderId="0" xfId="0" applyNumberFormat="1" applyFont="1"/>
    <xf numFmtId="0" fontId="14" fillId="0" borderId="0" xfId="0" applyFont="1"/>
    <xf numFmtId="0" fontId="15" fillId="0" borderId="0" xfId="0" applyFont="1"/>
    <xf numFmtId="0" fontId="14" fillId="0" borderId="0" xfId="0" applyFont="1" applyAlignment="1">
      <alignment wrapText="1"/>
    </xf>
    <xf numFmtId="0" fontId="16" fillId="0" borderId="0" xfId="0" applyFont="1" applyAlignment="1">
      <alignment horizontal="center"/>
    </xf>
    <xf numFmtId="0" fontId="16" fillId="0" borderId="1" xfId="0" applyFont="1" applyBorder="1" applyAlignment="1">
      <alignment wrapText="1"/>
    </xf>
    <xf numFmtId="44" fontId="14" fillId="0" borderId="0" xfId="2" applyFont="1"/>
    <xf numFmtId="44" fontId="14" fillId="0" borderId="0" xfId="2" applyFont="1" applyAlignment="1"/>
    <xf numFmtId="9" fontId="14" fillId="0" borderId="0" xfId="0" applyNumberFormat="1" applyFont="1"/>
    <xf numFmtId="0" fontId="14" fillId="3" borderId="0" xfId="0" applyFont="1" applyFill="1" applyAlignment="1">
      <alignment wrapText="1"/>
    </xf>
    <xf numFmtId="43" fontId="14" fillId="0" borderId="0" xfId="1" applyFont="1"/>
    <xf numFmtId="43" fontId="14" fillId="0" borderId="0" xfId="1" applyFont="1" applyAlignment="1"/>
    <xf numFmtId="10" fontId="14" fillId="0" borderId="0" xfId="0" applyNumberFormat="1" applyFont="1"/>
    <xf numFmtId="10" fontId="14" fillId="0" borderId="0" xfId="3" applyNumberFormat="1" applyFont="1" applyAlignment="1"/>
    <xf numFmtId="164" fontId="14" fillId="0" borderId="0" xfId="0" applyNumberFormat="1" applyFont="1"/>
    <xf numFmtId="167" fontId="14" fillId="0" borderId="0" xfId="3" applyNumberFormat="1" applyFont="1" applyAlignment="1"/>
    <xf numFmtId="164" fontId="14" fillId="0" borderId="0" xfId="3" applyNumberFormat="1" applyFont="1" applyAlignment="1"/>
    <xf numFmtId="165" fontId="14" fillId="0" borderId="0" xfId="2" applyNumberFormat="1" applyFont="1" applyAlignment="1"/>
    <xf numFmtId="0" fontId="17" fillId="0" borderId="0" xfId="0" applyFont="1"/>
    <xf numFmtId="2" fontId="14" fillId="0" borderId="0" xfId="0" applyNumberFormat="1" applyFont="1"/>
    <xf numFmtId="165" fontId="14" fillId="0" borderId="0" xfId="0" applyNumberFormat="1" applyFont="1"/>
    <xf numFmtId="165" fontId="14" fillId="0" borderId="2" xfId="0" applyNumberFormat="1" applyFont="1" applyBorder="1"/>
    <xf numFmtId="44" fontId="14" fillId="0" borderId="2" xfId="0" applyNumberFormat="1" applyFont="1" applyBorder="1"/>
    <xf numFmtId="6" fontId="14" fillId="0" borderId="0" xfId="0" applyNumberFormat="1" applyFont="1"/>
    <xf numFmtId="165" fontId="17" fillId="2" borderId="3" xfId="2" applyNumberFormat="1" applyFont="1" applyFill="1" applyBorder="1" applyAlignment="1"/>
    <xf numFmtId="165" fontId="15" fillId="0" borderId="0" xfId="0" applyNumberFormat="1" applyFont="1"/>
    <xf numFmtId="165" fontId="14" fillId="0" borderId="3" xfId="0" applyNumberFormat="1" applyFont="1" applyBorder="1"/>
    <xf numFmtId="9" fontId="14" fillId="0" borderId="0" xfId="3" applyFont="1" applyAlignment="1"/>
    <xf numFmtId="10" fontId="14" fillId="0" borderId="0" xfId="0" applyNumberFormat="1" applyFont="1" applyAlignment="1">
      <alignment wrapText="1"/>
    </xf>
    <xf numFmtId="165" fontId="14" fillId="0" borderId="3" xfId="2" applyNumberFormat="1" applyFont="1" applyBorder="1" applyAlignment="1"/>
    <xf numFmtId="165" fontId="14" fillId="0" borderId="3" xfId="2" applyNumberFormat="1" applyFont="1" applyBorder="1"/>
    <xf numFmtId="165" fontId="17" fillId="0" borderId="3" xfId="2" applyNumberFormat="1" applyFont="1" applyBorder="1"/>
    <xf numFmtId="10" fontId="14" fillId="0" borderId="0" xfId="3" applyNumberFormat="1" applyFont="1" applyAlignment="1">
      <alignment wrapText="1"/>
    </xf>
    <xf numFmtId="164" fontId="14" fillId="0" borderId="0" xfId="3" applyNumberFormat="1" applyFont="1"/>
    <xf numFmtId="0" fontId="18" fillId="0" borderId="0" xfId="0" applyFont="1"/>
    <xf numFmtId="10" fontId="14" fillId="0" borderId="0" xfId="1" applyNumberFormat="1" applyFont="1"/>
    <xf numFmtId="9" fontId="14" fillId="0" borderId="0" xfId="3" applyFont="1"/>
    <xf numFmtId="10" fontId="14" fillId="0" borderId="0" xfId="3" applyNumberFormat="1" applyFont="1"/>
    <xf numFmtId="0" fontId="14" fillId="0" borderId="0" xfId="0" applyFont="1" applyAlignment="1">
      <alignment vertical="center"/>
    </xf>
    <xf numFmtId="0" fontId="18" fillId="4" borderId="0" xfId="0" applyFont="1" applyFill="1"/>
    <xf numFmtId="0" fontId="14" fillId="4" borderId="0" xfId="0" applyFont="1" applyFill="1"/>
    <xf numFmtId="44" fontId="14" fillId="0" borderId="0" xfId="0" applyNumberFormat="1" applyFont="1"/>
    <xf numFmtId="165" fontId="19" fillId="0" borderId="0" xfId="0" applyNumberFormat="1" applyFont="1"/>
    <xf numFmtId="0" fontId="19" fillId="0" borderId="0" xfId="0" applyFont="1"/>
    <xf numFmtId="44" fontId="19" fillId="0" borderId="0" xfId="2" applyFont="1" applyFill="1" applyAlignment="1"/>
    <xf numFmtId="8" fontId="13" fillId="0" borderId="0" xfId="2" applyNumberFormat="1" applyFont="1" applyFill="1"/>
    <xf numFmtId="10" fontId="0" fillId="0" borderId="1" xfId="3" applyNumberFormat="1" applyFont="1" applyBorder="1"/>
    <xf numFmtId="0" fontId="7" fillId="0" borderId="6" xfId="0" applyFont="1" applyBorder="1"/>
    <xf numFmtId="9" fontId="7" fillId="0" borderId="3" xfId="0" applyNumberFormat="1" applyFont="1" applyBorder="1"/>
    <xf numFmtId="0" fontId="7" fillId="0" borderId="5" xfId="0" applyFont="1" applyBorder="1"/>
    <xf numFmtId="169" fontId="8" fillId="0" borderId="0" xfId="5" applyNumberFormat="1"/>
    <xf numFmtId="43" fontId="7" fillId="0" borderId="3" xfId="8" applyFont="1" applyBorder="1"/>
    <xf numFmtId="10" fontId="7" fillId="0" borderId="0" xfId="7" applyNumberFormat="1" applyFont="1"/>
    <xf numFmtId="168" fontId="8" fillId="0" borderId="0" xfId="5"/>
    <xf numFmtId="9" fontId="8" fillId="0" borderId="0" xfId="7"/>
    <xf numFmtId="169" fontId="8" fillId="0" borderId="4" xfId="5" applyNumberFormat="1" applyBorder="1"/>
    <xf numFmtId="169" fontId="8" fillId="0" borderId="6" xfId="5" applyNumberFormat="1" applyBorder="1"/>
    <xf numFmtId="167" fontId="7" fillId="0" borderId="0" xfId="0" applyNumberFormat="1" applyFont="1"/>
  </cellXfs>
  <cellStyles count="9">
    <cellStyle name="Comma" xfId="1" builtinId="3"/>
    <cellStyle name="Comma 2" xfId="8" xr:uid="{00000000-0005-0000-0000-000001000000}"/>
    <cellStyle name="Currency" xfId="2" builtinId="4"/>
    <cellStyle name="Currency 2" xfId="5" xr:uid="{00000000-0005-0000-0000-000003000000}"/>
    <cellStyle name="Excel Built-in Normal" xfId="6" xr:uid="{00000000-0005-0000-0000-000004000000}"/>
    <cellStyle name="Normal" xfId="0" builtinId="0"/>
    <cellStyle name="Normal 2" xfId="4" xr:uid="{00000000-0005-0000-0000-000006000000}"/>
    <cellStyle name="Percent" xfId="3" builtinId="5"/>
    <cellStyle name="Percent 2"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ndeed.com/salary?q1=Retail+Sales+Associate+&amp;l1=San+Diego%2C+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4"/>
  <sheetViews>
    <sheetView topLeftCell="A30" zoomScale="80" zoomScaleNormal="80" workbookViewId="0">
      <selection activeCell="J136" sqref="J136"/>
    </sheetView>
  </sheetViews>
  <sheetFormatPr defaultColWidth="15.140625" defaultRowHeight="15.75" x14ac:dyDescent="0.25"/>
  <cols>
    <col min="1" max="1" width="3.7109375" style="37" customWidth="1"/>
    <col min="2" max="2" width="3.85546875" style="37" customWidth="1"/>
    <col min="3" max="3" width="53.85546875" style="37" customWidth="1"/>
    <col min="4" max="4" width="20.28515625" style="37" bestFit="1" customWidth="1"/>
    <col min="5" max="5" width="15.7109375" style="37" bestFit="1" customWidth="1"/>
    <col min="6" max="6" width="16.28515625" style="37" bestFit="1" customWidth="1"/>
    <col min="7" max="8" width="14.7109375" style="37" customWidth="1"/>
    <col min="9" max="9" width="17.5703125" style="37" customWidth="1"/>
    <col min="10" max="12" width="14.7109375" style="37" customWidth="1"/>
    <col min="13" max="13" width="16.28515625" style="37" bestFit="1" customWidth="1"/>
    <col min="14" max="14" width="17" style="37" bestFit="1" customWidth="1"/>
    <col min="15" max="15" width="13.5703125" style="37" bestFit="1" customWidth="1"/>
    <col min="16" max="16" width="15.140625" style="37"/>
    <col min="17" max="17" width="18.42578125" style="39" customWidth="1"/>
    <col min="18" max="16384" width="15.140625" style="37"/>
  </cols>
  <sheetData>
    <row r="1" spans="1:18" ht="15" customHeight="1" x14ac:dyDescent="0.25">
      <c r="A1" s="38" t="s">
        <v>100</v>
      </c>
      <c r="C1" s="38"/>
      <c r="D1" s="38"/>
      <c r="Q1" s="37"/>
      <c r="R1" s="39"/>
    </row>
    <row r="2" spans="1:18" ht="13.5" customHeight="1" x14ac:dyDescent="0.25">
      <c r="E2" s="40" t="s">
        <v>0</v>
      </c>
      <c r="F2" s="40" t="s">
        <v>1</v>
      </c>
      <c r="G2" s="40" t="s">
        <v>2</v>
      </c>
      <c r="H2" s="40" t="s">
        <v>3</v>
      </c>
      <c r="I2" s="40" t="s">
        <v>4</v>
      </c>
      <c r="J2" s="40" t="s">
        <v>5</v>
      </c>
      <c r="K2" s="40" t="s">
        <v>6</v>
      </c>
      <c r="L2" s="40" t="s">
        <v>7</v>
      </c>
      <c r="M2" s="40" t="s">
        <v>8</v>
      </c>
      <c r="N2" s="40" t="s">
        <v>9</v>
      </c>
      <c r="Q2" s="37"/>
      <c r="R2" s="41" t="s">
        <v>10</v>
      </c>
    </row>
    <row r="3" spans="1:18" ht="13.5" customHeight="1" x14ac:dyDescent="0.25">
      <c r="A3" s="38" t="s">
        <v>11</v>
      </c>
      <c r="I3" s="38"/>
      <c r="Q3" s="37"/>
      <c r="R3" s="39"/>
    </row>
    <row r="4" spans="1:18" ht="13.5" customHeight="1" x14ac:dyDescent="0.25">
      <c r="A4" s="37" t="s">
        <v>123</v>
      </c>
      <c r="E4" s="42">
        <v>22</v>
      </c>
      <c r="F4" s="43">
        <f t="shared" ref="F4:N7" si="0">E4*(1+$P4)</f>
        <v>22.44</v>
      </c>
      <c r="G4" s="43">
        <f t="shared" si="0"/>
        <v>22.888800000000003</v>
      </c>
      <c r="H4" s="43">
        <f t="shared" si="0"/>
        <v>23.346576000000002</v>
      </c>
      <c r="I4" s="43">
        <f t="shared" si="0"/>
        <v>23.813507520000002</v>
      </c>
      <c r="J4" s="43">
        <f t="shared" si="0"/>
        <v>24.289777670400003</v>
      </c>
      <c r="K4" s="43">
        <f t="shared" si="0"/>
        <v>24.775573223808003</v>
      </c>
      <c r="L4" s="43">
        <f t="shared" si="0"/>
        <v>25.271084688284162</v>
      </c>
      <c r="M4" s="43">
        <f t="shared" si="0"/>
        <v>25.776506382049845</v>
      </c>
      <c r="N4" s="43">
        <f t="shared" si="0"/>
        <v>26.292036509690842</v>
      </c>
      <c r="P4" s="44">
        <v>0.02</v>
      </c>
      <c r="Q4" s="37" t="s">
        <v>12</v>
      </c>
      <c r="R4" s="45" t="s">
        <v>125</v>
      </c>
    </row>
    <row r="5" spans="1:18" ht="13.5" customHeight="1" x14ac:dyDescent="0.25">
      <c r="A5" s="37" t="s">
        <v>124</v>
      </c>
      <c r="E5" s="46">
        <v>60000</v>
      </c>
      <c r="F5" s="46">
        <f>E5*(1+$P$5)</f>
        <v>60150</v>
      </c>
      <c r="G5" s="46">
        <f t="shared" ref="G5:M5" si="1">F5*(1+$P$5)</f>
        <v>60300.375</v>
      </c>
      <c r="H5" s="46">
        <f t="shared" si="1"/>
        <v>60451.125937499994</v>
      </c>
      <c r="I5" s="46">
        <f t="shared" si="1"/>
        <v>60602.253752343742</v>
      </c>
      <c r="J5" s="46">
        <f t="shared" si="1"/>
        <v>60753.759386724596</v>
      </c>
      <c r="K5" s="46">
        <f t="shared" si="1"/>
        <v>60905.643785191402</v>
      </c>
      <c r="L5" s="46">
        <f t="shared" si="1"/>
        <v>61057.907894654374</v>
      </c>
      <c r="M5" s="46">
        <f t="shared" si="1"/>
        <v>61210.552664391005</v>
      </c>
      <c r="N5" s="46">
        <f>M5*(1+$P$5)</f>
        <v>61363.579046051978</v>
      </c>
      <c r="O5" s="47"/>
      <c r="P5" s="48">
        <v>2.5000000000000001E-3</v>
      </c>
      <c r="Q5" s="37" t="s">
        <v>12</v>
      </c>
      <c r="R5" s="45" t="s">
        <v>126</v>
      </c>
    </row>
    <row r="6" spans="1:18" ht="13.5" customHeight="1" x14ac:dyDescent="0.25">
      <c r="A6" s="37" t="s">
        <v>13</v>
      </c>
      <c r="E6" s="49">
        <v>0.45</v>
      </c>
      <c r="F6" s="49">
        <f t="shared" si="0"/>
        <v>0.45</v>
      </c>
      <c r="G6" s="49">
        <f t="shared" si="0"/>
        <v>0.45</v>
      </c>
      <c r="H6" s="49">
        <f t="shared" si="0"/>
        <v>0.45</v>
      </c>
      <c r="I6" s="49">
        <f t="shared" si="0"/>
        <v>0.45</v>
      </c>
      <c r="J6" s="49">
        <f t="shared" si="0"/>
        <v>0.45</v>
      </c>
      <c r="K6" s="49">
        <f t="shared" si="0"/>
        <v>0.45</v>
      </c>
      <c r="L6" s="49">
        <f t="shared" si="0"/>
        <v>0.45</v>
      </c>
      <c r="M6" s="49">
        <f t="shared" si="0"/>
        <v>0.45</v>
      </c>
      <c r="N6" s="49">
        <f t="shared" si="0"/>
        <v>0.45</v>
      </c>
      <c r="P6" s="44">
        <v>0</v>
      </c>
      <c r="Q6" s="37" t="s">
        <v>12</v>
      </c>
      <c r="R6" s="45" t="s">
        <v>127</v>
      </c>
    </row>
    <row r="7" spans="1:18" ht="13.5" customHeight="1" x14ac:dyDescent="0.25">
      <c r="A7" s="37" t="s">
        <v>14</v>
      </c>
      <c r="E7" s="49">
        <v>0.35</v>
      </c>
      <c r="F7" s="49">
        <f t="shared" si="0"/>
        <v>0.35</v>
      </c>
      <c r="G7" s="49">
        <f t="shared" si="0"/>
        <v>0.35</v>
      </c>
      <c r="H7" s="49">
        <f t="shared" si="0"/>
        <v>0.35</v>
      </c>
      <c r="I7" s="49">
        <f t="shared" si="0"/>
        <v>0.35</v>
      </c>
      <c r="J7" s="49">
        <f t="shared" si="0"/>
        <v>0.35</v>
      </c>
      <c r="K7" s="49">
        <f t="shared" si="0"/>
        <v>0.35</v>
      </c>
      <c r="L7" s="49">
        <f t="shared" si="0"/>
        <v>0.35</v>
      </c>
      <c r="M7" s="49">
        <f t="shared" si="0"/>
        <v>0.35</v>
      </c>
      <c r="N7" s="49">
        <f t="shared" si="0"/>
        <v>0.35</v>
      </c>
      <c r="P7" s="44">
        <v>0</v>
      </c>
      <c r="Q7" s="37" t="s">
        <v>12</v>
      </c>
      <c r="R7" s="45" t="s">
        <v>128</v>
      </c>
    </row>
    <row r="8" spans="1:18" ht="13.5" customHeight="1" x14ac:dyDescent="0.25">
      <c r="E8" s="44"/>
      <c r="P8" s="44"/>
      <c r="Q8" s="37"/>
      <c r="R8" s="39"/>
    </row>
    <row r="9" spans="1:18" ht="13.5" customHeight="1" x14ac:dyDescent="0.25">
      <c r="A9" s="37" t="s">
        <v>15</v>
      </c>
      <c r="E9" s="47">
        <f>(7*52*6)</f>
        <v>2184</v>
      </c>
      <c r="F9" s="47">
        <f t="shared" ref="F9:N10" si="2">E9*(1+$P9)</f>
        <v>2184</v>
      </c>
      <c r="G9" s="47">
        <f t="shared" si="2"/>
        <v>2184</v>
      </c>
      <c r="H9" s="47">
        <f t="shared" si="2"/>
        <v>2184</v>
      </c>
      <c r="I9" s="47">
        <f t="shared" si="2"/>
        <v>2184</v>
      </c>
      <c r="J9" s="47">
        <f t="shared" si="2"/>
        <v>2184</v>
      </c>
      <c r="K9" s="47">
        <f t="shared" si="2"/>
        <v>2184</v>
      </c>
      <c r="L9" s="47">
        <f t="shared" si="2"/>
        <v>2184</v>
      </c>
      <c r="M9" s="47">
        <f t="shared" si="2"/>
        <v>2184</v>
      </c>
      <c r="N9" s="47">
        <f t="shared" si="2"/>
        <v>2184</v>
      </c>
      <c r="P9" s="44">
        <v>0</v>
      </c>
      <c r="Q9" s="37" t="s">
        <v>12</v>
      </c>
      <c r="R9" s="39"/>
    </row>
    <row r="10" spans="1:18" ht="13.5" customHeight="1" x14ac:dyDescent="0.25">
      <c r="A10" s="37" t="s">
        <v>101</v>
      </c>
      <c r="E10" s="43">
        <v>13.5</v>
      </c>
      <c r="F10" s="43">
        <f t="shared" si="2"/>
        <v>13.662000000000001</v>
      </c>
      <c r="G10" s="43">
        <f t="shared" si="2"/>
        <v>13.825944000000002</v>
      </c>
      <c r="H10" s="43">
        <f t="shared" si="2"/>
        <v>13.991855328000002</v>
      </c>
      <c r="I10" s="43">
        <f t="shared" si="2"/>
        <v>14.159757591936001</v>
      </c>
      <c r="J10" s="43">
        <f t="shared" si="2"/>
        <v>14.329674683039233</v>
      </c>
      <c r="K10" s="43">
        <f t="shared" si="2"/>
        <v>14.501630779235704</v>
      </c>
      <c r="L10" s="43">
        <f t="shared" si="2"/>
        <v>14.675650348586533</v>
      </c>
      <c r="M10" s="43">
        <f t="shared" si="2"/>
        <v>14.851758152769571</v>
      </c>
      <c r="N10" s="43">
        <f t="shared" si="2"/>
        <v>15.029979250602807</v>
      </c>
      <c r="P10" s="50">
        <v>1.2E-2</v>
      </c>
      <c r="Q10" s="37" t="s">
        <v>12</v>
      </c>
      <c r="R10" s="45" t="s">
        <v>129</v>
      </c>
    </row>
    <row r="11" spans="1:18" ht="13.5" customHeight="1" x14ac:dyDescent="0.25">
      <c r="E11" s="44"/>
      <c r="P11" s="44"/>
      <c r="Q11" s="37"/>
      <c r="R11" s="39"/>
    </row>
    <row r="12" spans="1:18" ht="13.5" customHeight="1" x14ac:dyDescent="0.25">
      <c r="A12" s="37" t="s">
        <v>16</v>
      </c>
      <c r="E12" s="43">
        <v>3020</v>
      </c>
      <c r="P12" s="44"/>
      <c r="Q12" s="37"/>
      <c r="R12" s="39"/>
    </row>
    <row r="13" spans="1:18" ht="13.5" customHeight="1" x14ac:dyDescent="0.25">
      <c r="A13" s="37" t="s">
        <v>17</v>
      </c>
      <c r="E13" s="47">
        <v>4</v>
      </c>
      <c r="P13" s="44"/>
      <c r="Q13" s="37"/>
      <c r="R13" s="45" t="s">
        <v>130</v>
      </c>
    </row>
    <row r="14" spans="1:18" ht="13.5" customHeight="1" x14ac:dyDescent="0.25">
      <c r="A14" s="37" t="s">
        <v>107</v>
      </c>
      <c r="E14" s="43">
        <f>E12*E13</f>
        <v>12080</v>
      </c>
      <c r="P14" s="44"/>
      <c r="Q14" s="37"/>
      <c r="R14" s="39"/>
    </row>
    <row r="15" spans="1:18" ht="13.5" customHeight="1" x14ac:dyDescent="0.25">
      <c r="A15" s="37" t="s">
        <v>18</v>
      </c>
      <c r="E15" s="43">
        <v>60</v>
      </c>
      <c r="P15" s="44"/>
      <c r="Q15" s="37"/>
      <c r="R15" s="45" t="s">
        <v>19</v>
      </c>
    </row>
    <row r="16" spans="1:18" ht="13.5" customHeight="1" x14ac:dyDescent="0.25">
      <c r="A16" s="37" t="s">
        <v>110</v>
      </c>
      <c r="E16" s="47">
        <v>9000</v>
      </c>
      <c r="P16" s="44"/>
      <c r="Q16" s="37"/>
      <c r="R16" s="45" t="s">
        <v>133</v>
      </c>
    </row>
    <row r="17" spans="1:18" ht="13.5" customHeight="1" x14ac:dyDescent="0.25">
      <c r="A17" s="37" t="s">
        <v>111</v>
      </c>
      <c r="E17" s="47">
        <v>1500</v>
      </c>
      <c r="P17" s="44"/>
      <c r="Q17" s="37"/>
      <c r="R17" s="45" t="s">
        <v>131</v>
      </c>
    </row>
    <row r="18" spans="1:18" ht="13.5" customHeight="1" x14ac:dyDescent="0.25">
      <c r="A18" s="37" t="s">
        <v>112</v>
      </c>
      <c r="E18" s="47">
        <v>800</v>
      </c>
      <c r="P18" s="44"/>
      <c r="Q18" s="37"/>
      <c r="R18" s="45" t="s">
        <v>132</v>
      </c>
    </row>
    <row r="19" spans="1:18" ht="13.5" customHeight="1" x14ac:dyDescent="0.25">
      <c r="E19" s="47"/>
      <c r="P19" s="44"/>
      <c r="Q19" s="37"/>
      <c r="R19" s="39"/>
    </row>
    <row r="20" spans="1:18" ht="13.5" customHeight="1" x14ac:dyDescent="0.25">
      <c r="A20" s="37" t="s">
        <v>113</v>
      </c>
      <c r="E20" s="43">
        <v>1287</v>
      </c>
      <c r="P20" s="44"/>
      <c r="Q20" s="37"/>
      <c r="R20" s="45" t="s">
        <v>134</v>
      </c>
    </row>
    <row r="21" spans="1:18" ht="13.5" customHeight="1" x14ac:dyDescent="0.25">
      <c r="A21" s="37" t="s">
        <v>114</v>
      </c>
      <c r="E21" s="51">
        <v>7.1999999999999998E-3</v>
      </c>
      <c r="F21" s="51">
        <f t="shared" ref="F21:N21" si="3">E21*(1+$P21)</f>
        <v>7.2035999999999992E-3</v>
      </c>
      <c r="G21" s="51">
        <f t="shared" si="3"/>
        <v>7.2072017999999984E-3</v>
      </c>
      <c r="H21" s="51">
        <f t="shared" si="3"/>
        <v>7.2108054008999979E-3</v>
      </c>
      <c r="I21" s="51">
        <f t="shared" si="3"/>
        <v>7.2144108036004476E-3</v>
      </c>
      <c r="J21" s="51">
        <f t="shared" si="3"/>
        <v>7.2180180090022474E-3</v>
      </c>
      <c r="K21" s="51">
        <f t="shared" si="3"/>
        <v>7.2216270180067484E-3</v>
      </c>
      <c r="L21" s="51">
        <f t="shared" si="3"/>
        <v>7.225237831515751E-3</v>
      </c>
      <c r="M21" s="51">
        <f t="shared" si="3"/>
        <v>7.2288504504315083E-3</v>
      </c>
      <c r="N21" s="51">
        <f t="shared" si="3"/>
        <v>7.2324648756567234E-3</v>
      </c>
      <c r="P21" s="48">
        <v>5.0000000000000001E-4</v>
      </c>
      <c r="Q21" s="37" t="s">
        <v>12</v>
      </c>
      <c r="R21" s="45" t="s">
        <v>116</v>
      </c>
    </row>
    <row r="22" spans="1:18" ht="13.5" customHeight="1" x14ac:dyDescent="0.25">
      <c r="E22" s="44"/>
      <c r="P22" s="44"/>
      <c r="Q22" s="37"/>
      <c r="R22" s="39"/>
    </row>
    <row r="23" spans="1:18" ht="13.5" customHeight="1" x14ac:dyDescent="0.25">
      <c r="A23" s="37" t="s">
        <v>20</v>
      </c>
      <c r="E23" s="49">
        <v>4.7500000000000001E-2</v>
      </c>
      <c r="F23" s="52"/>
      <c r="G23" s="52"/>
      <c r="H23" s="52"/>
      <c r="I23" s="52"/>
      <c r="J23" s="52"/>
      <c r="K23" s="52"/>
      <c r="L23" s="52"/>
      <c r="M23" s="52"/>
      <c r="N23" s="52"/>
      <c r="P23" s="44"/>
      <c r="Q23" s="37"/>
      <c r="R23" s="39"/>
    </row>
    <row r="24" spans="1:18" ht="13.5" customHeight="1" x14ac:dyDescent="0.25">
      <c r="A24" s="37" t="s">
        <v>21</v>
      </c>
      <c r="E24" s="47">
        <v>30</v>
      </c>
      <c r="F24" s="52"/>
      <c r="G24" s="52"/>
      <c r="H24" s="52"/>
      <c r="I24" s="52"/>
      <c r="J24" s="52"/>
      <c r="K24" s="52"/>
      <c r="L24" s="52"/>
      <c r="M24" s="52"/>
      <c r="N24" s="52"/>
      <c r="P24" s="44"/>
      <c r="Q24" s="37"/>
      <c r="R24" s="39"/>
    </row>
    <row r="25" spans="1:18" ht="13.5" customHeight="1" x14ac:dyDescent="0.25">
      <c r="A25" s="37" t="s">
        <v>22</v>
      </c>
      <c r="E25" s="50">
        <v>0.7</v>
      </c>
      <c r="F25" s="52"/>
      <c r="G25" s="52"/>
      <c r="H25" s="52"/>
      <c r="I25" s="52"/>
      <c r="J25" s="52"/>
      <c r="K25" s="52"/>
      <c r="L25" s="52"/>
      <c r="M25" s="52"/>
      <c r="N25" s="52"/>
      <c r="P25" s="44"/>
      <c r="Q25" s="37"/>
      <c r="R25" s="39"/>
    </row>
    <row r="26" spans="1:18" ht="13.5" customHeight="1" x14ac:dyDescent="0.25">
      <c r="A26" s="37" t="s">
        <v>23</v>
      </c>
      <c r="E26" s="43">
        <f>E25*(E69+E70)</f>
        <v>483055.99999999994</v>
      </c>
      <c r="F26" s="52"/>
      <c r="G26" s="52"/>
      <c r="H26" s="52"/>
      <c r="I26" s="52"/>
      <c r="J26" s="52"/>
      <c r="K26" s="52"/>
      <c r="L26" s="52"/>
      <c r="M26" s="52"/>
      <c r="N26" s="52"/>
      <c r="P26" s="44"/>
      <c r="Q26" s="37"/>
      <c r="R26" s="39"/>
    </row>
    <row r="27" spans="1:18" ht="13.5" customHeight="1" x14ac:dyDescent="0.25">
      <c r="A27" s="37" t="s">
        <v>24</v>
      </c>
      <c r="E27" s="52">
        <v>0.08</v>
      </c>
      <c r="F27" s="52">
        <v>0.08</v>
      </c>
      <c r="G27" s="52">
        <f t="shared" ref="G27:N27" si="4">F27*(1+$P27)</f>
        <v>0.08</v>
      </c>
      <c r="H27" s="52">
        <f t="shared" si="4"/>
        <v>0.08</v>
      </c>
      <c r="I27" s="52">
        <f t="shared" si="4"/>
        <v>0.08</v>
      </c>
      <c r="J27" s="52">
        <f t="shared" si="4"/>
        <v>0.08</v>
      </c>
      <c r="K27" s="52">
        <f t="shared" si="4"/>
        <v>0.08</v>
      </c>
      <c r="L27" s="52">
        <f t="shared" si="4"/>
        <v>0.08</v>
      </c>
      <c r="M27" s="52">
        <f t="shared" si="4"/>
        <v>0.08</v>
      </c>
      <c r="N27" s="52">
        <f t="shared" si="4"/>
        <v>0.08</v>
      </c>
      <c r="O27" s="50">
        <f>AVERAGE(F27:N27)</f>
        <v>0.08</v>
      </c>
      <c r="P27" s="44">
        <v>0</v>
      </c>
      <c r="Q27" s="37" t="s">
        <v>12</v>
      </c>
      <c r="R27" s="45" t="s">
        <v>25</v>
      </c>
    </row>
    <row r="28" spans="1:18" ht="13.5" customHeight="1" x14ac:dyDescent="0.25">
      <c r="A28" s="37" t="s">
        <v>26</v>
      </c>
      <c r="E28" s="52">
        <v>0.15</v>
      </c>
      <c r="F28" s="52"/>
      <c r="G28" s="52"/>
      <c r="H28" s="52"/>
      <c r="I28" s="52"/>
      <c r="J28" s="52"/>
      <c r="K28" s="52"/>
      <c r="L28" s="52"/>
      <c r="M28" s="52"/>
      <c r="N28" s="52"/>
      <c r="P28" s="44"/>
      <c r="Q28" s="37"/>
      <c r="R28" s="39"/>
    </row>
    <row r="29" spans="1:18" ht="13.5" customHeight="1" x14ac:dyDescent="0.25">
      <c r="A29" s="37" t="s">
        <v>27</v>
      </c>
      <c r="E29" s="53">
        <f>E28*E73</f>
        <v>135545.01369863012</v>
      </c>
      <c r="F29" s="52"/>
      <c r="G29" s="52"/>
      <c r="H29" s="52"/>
      <c r="I29" s="52"/>
      <c r="J29" s="52"/>
      <c r="K29" s="52"/>
      <c r="L29" s="52"/>
      <c r="M29" s="52"/>
      <c r="N29" s="52"/>
      <c r="P29" s="44"/>
      <c r="Q29" s="37"/>
      <c r="R29" s="39"/>
    </row>
    <row r="30" spans="1:18" ht="13.5" customHeight="1" x14ac:dyDescent="0.25">
      <c r="E30" s="50"/>
      <c r="P30" s="44"/>
      <c r="Q30" s="37"/>
      <c r="R30" s="39"/>
    </row>
    <row r="31" spans="1:18" ht="16.5" customHeight="1" x14ac:dyDescent="0.25">
      <c r="A31" s="54" t="s">
        <v>28</v>
      </c>
      <c r="B31" s="54"/>
      <c r="C31" s="54"/>
      <c r="D31" s="54"/>
      <c r="E31" s="47">
        <v>120</v>
      </c>
      <c r="F31" s="47">
        <f t="shared" ref="F31:N33" si="5">E31*(1+$P31)</f>
        <v>120</v>
      </c>
      <c r="G31" s="47">
        <f t="shared" si="5"/>
        <v>120</v>
      </c>
      <c r="H31" s="47">
        <f t="shared" si="5"/>
        <v>120</v>
      </c>
      <c r="I31" s="47">
        <f t="shared" si="5"/>
        <v>120</v>
      </c>
      <c r="J31" s="47">
        <f t="shared" si="5"/>
        <v>120</v>
      </c>
      <c r="K31" s="47">
        <f t="shared" si="5"/>
        <v>120</v>
      </c>
      <c r="L31" s="47">
        <f t="shared" si="5"/>
        <v>120</v>
      </c>
      <c r="M31" s="47">
        <f t="shared" si="5"/>
        <v>120</v>
      </c>
      <c r="N31" s="47">
        <f t="shared" si="5"/>
        <v>120</v>
      </c>
      <c r="P31" s="44">
        <v>0</v>
      </c>
      <c r="Q31" s="37" t="s">
        <v>12</v>
      </c>
      <c r="R31" s="39"/>
    </row>
    <row r="32" spans="1:18" ht="16.5" customHeight="1" x14ac:dyDescent="0.25">
      <c r="A32" s="54" t="s">
        <v>29</v>
      </c>
      <c r="B32" s="54"/>
      <c r="C32" s="54"/>
      <c r="D32" s="54"/>
      <c r="E32" s="47">
        <v>7</v>
      </c>
      <c r="F32" s="47">
        <f t="shared" si="5"/>
        <v>7</v>
      </c>
      <c r="G32" s="47">
        <f t="shared" si="5"/>
        <v>7</v>
      </c>
      <c r="H32" s="47">
        <f t="shared" si="5"/>
        <v>7</v>
      </c>
      <c r="I32" s="47">
        <f t="shared" si="5"/>
        <v>7</v>
      </c>
      <c r="J32" s="47">
        <f t="shared" si="5"/>
        <v>7</v>
      </c>
      <c r="K32" s="47">
        <f t="shared" si="5"/>
        <v>7</v>
      </c>
      <c r="L32" s="47">
        <f t="shared" si="5"/>
        <v>7</v>
      </c>
      <c r="M32" s="47">
        <f t="shared" si="5"/>
        <v>7</v>
      </c>
      <c r="N32" s="47">
        <f t="shared" si="5"/>
        <v>7</v>
      </c>
      <c r="P32" s="44">
        <v>0</v>
      </c>
      <c r="Q32" s="37" t="s">
        <v>12</v>
      </c>
      <c r="R32" s="39"/>
    </row>
    <row r="33" spans="1:18" ht="16.5" customHeight="1" x14ac:dyDescent="0.25">
      <c r="A33" s="54" t="s">
        <v>30</v>
      </c>
      <c r="B33" s="54"/>
      <c r="C33" s="54"/>
      <c r="D33" s="54"/>
      <c r="E33" s="47">
        <v>4</v>
      </c>
      <c r="F33" s="47">
        <f t="shared" si="5"/>
        <v>4</v>
      </c>
      <c r="G33" s="47">
        <f t="shared" si="5"/>
        <v>4</v>
      </c>
      <c r="H33" s="47">
        <f t="shared" si="5"/>
        <v>4</v>
      </c>
      <c r="I33" s="47">
        <f t="shared" si="5"/>
        <v>4</v>
      </c>
      <c r="J33" s="47">
        <f t="shared" si="5"/>
        <v>4</v>
      </c>
      <c r="K33" s="47">
        <f t="shared" si="5"/>
        <v>4</v>
      </c>
      <c r="L33" s="47">
        <f t="shared" si="5"/>
        <v>4</v>
      </c>
      <c r="M33" s="47">
        <f t="shared" si="5"/>
        <v>4</v>
      </c>
      <c r="N33" s="47">
        <f t="shared" si="5"/>
        <v>4</v>
      </c>
      <c r="P33" s="44">
        <v>0</v>
      </c>
      <c r="Q33" s="37" t="s">
        <v>12</v>
      </c>
      <c r="R33" s="39"/>
    </row>
    <row r="34" spans="1:18" ht="16.5" customHeight="1" x14ac:dyDescent="0.25">
      <c r="A34" s="54"/>
      <c r="B34" s="54"/>
      <c r="C34" s="54"/>
      <c r="D34" s="54"/>
      <c r="E34" s="55"/>
      <c r="P34" s="44"/>
      <c r="Q34" s="37"/>
      <c r="R34" s="39"/>
    </row>
    <row r="35" spans="1:18" ht="16.5" customHeight="1" x14ac:dyDescent="0.25">
      <c r="A35" s="54" t="s">
        <v>31</v>
      </c>
      <c r="B35" s="54"/>
      <c r="C35" s="54"/>
      <c r="D35" s="54"/>
      <c r="E35" s="49">
        <f>(28%+8.82%)</f>
        <v>0.36820000000000003</v>
      </c>
      <c r="F35" s="49">
        <f t="shared" ref="F35:N37" si="6">E35*(1+$P35)</f>
        <v>0.36820000000000003</v>
      </c>
      <c r="G35" s="49">
        <f t="shared" si="6"/>
        <v>0.36820000000000003</v>
      </c>
      <c r="H35" s="49">
        <f t="shared" si="6"/>
        <v>0.36820000000000003</v>
      </c>
      <c r="I35" s="49">
        <f t="shared" si="6"/>
        <v>0.36820000000000003</v>
      </c>
      <c r="J35" s="49">
        <f t="shared" si="6"/>
        <v>0.36820000000000003</v>
      </c>
      <c r="K35" s="49">
        <f t="shared" si="6"/>
        <v>0.36820000000000003</v>
      </c>
      <c r="L35" s="49">
        <f t="shared" si="6"/>
        <v>0.36820000000000003</v>
      </c>
      <c r="M35" s="49">
        <f t="shared" si="6"/>
        <v>0.36820000000000003</v>
      </c>
      <c r="N35" s="49">
        <f t="shared" si="6"/>
        <v>0.36820000000000003</v>
      </c>
      <c r="O35" s="48">
        <f>AVERAGE(E35:N35)</f>
        <v>0.36819999999999997</v>
      </c>
      <c r="P35" s="44">
        <v>0</v>
      </c>
      <c r="Q35" s="37" t="s">
        <v>12</v>
      </c>
      <c r="R35" s="45" t="s">
        <v>32</v>
      </c>
    </row>
    <row r="36" spans="1:18" ht="16.5" customHeight="1" x14ac:dyDescent="0.25">
      <c r="A36" s="54" t="s">
        <v>33</v>
      </c>
      <c r="B36" s="54"/>
      <c r="C36" s="54"/>
      <c r="D36" s="54"/>
      <c r="E36" s="37">
        <v>30</v>
      </c>
      <c r="F36" s="37">
        <f t="shared" si="6"/>
        <v>30</v>
      </c>
      <c r="G36" s="37">
        <f t="shared" si="6"/>
        <v>30</v>
      </c>
      <c r="H36" s="37">
        <f t="shared" si="6"/>
        <v>30</v>
      </c>
      <c r="I36" s="37">
        <f t="shared" si="6"/>
        <v>30</v>
      </c>
      <c r="J36" s="37">
        <f t="shared" si="6"/>
        <v>30</v>
      </c>
      <c r="K36" s="37">
        <f t="shared" si="6"/>
        <v>30</v>
      </c>
      <c r="L36" s="37">
        <f t="shared" si="6"/>
        <v>30</v>
      </c>
      <c r="M36" s="37">
        <f t="shared" si="6"/>
        <v>30</v>
      </c>
      <c r="N36" s="37">
        <f t="shared" si="6"/>
        <v>30</v>
      </c>
      <c r="P36" s="44">
        <v>0</v>
      </c>
      <c r="Q36" s="37" t="s">
        <v>12</v>
      </c>
      <c r="R36" s="39"/>
    </row>
    <row r="37" spans="1:18" ht="16.5" customHeight="1" x14ac:dyDescent="0.25">
      <c r="A37" s="54" t="s">
        <v>34</v>
      </c>
      <c r="B37" s="54"/>
      <c r="C37" s="54"/>
      <c r="D37" s="54"/>
      <c r="E37" s="52">
        <v>0.02</v>
      </c>
      <c r="F37" s="52">
        <f t="shared" si="6"/>
        <v>0.02</v>
      </c>
      <c r="G37" s="52">
        <f t="shared" si="6"/>
        <v>0.02</v>
      </c>
      <c r="H37" s="52">
        <f t="shared" si="6"/>
        <v>0.02</v>
      </c>
      <c r="I37" s="52">
        <f t="shared" si="6"/>
        <v>0.02</v>
      </c>
      <c r="J37" s="52">
        <f t="shared" si="6"/>
        <v>0.02</v>
      </c>
      <c r="K37" s="52">
        <f t="shared" si="6"/>
        <v>0.02</v>
      </c>
      <c r="L37" s="52">
        <f t="shared" si="6"/>
        <v>0.02</v>
      </c>
      <c r="M37" s="52">
        <f t="shared" si="6"/>
        <v>0.02</v>
      </c>
      <c r="N37" s="52">
        <f t="shared" si="6"/>
        <v>0.02</v>
      </c>
      <c r="P37" s="44">
        <v>0</v>
      </c>
      <c r="Q37" s="37" t="s">
        <v>12</v>
      </c>
      <c r="R37" s="39"/>
    </row>
    <row r="38" spans="1:18" ht="16.5" customHeight="1" x14ac:dyDescent="0.25">
      <c r="A38" s="54"/>
      <c r="B38" s="54"/>
      <c r="C38" s="54"/>
      <c r="D38" s="54"/>
      <c r="I38" s="38"/>
      <c r="Q38" s="37"/>
      <c r="R38" s="39"/>
    </row>
    <row r="39" spans="1:18" ht="13.5" customHeight="1" x14ac:dyDescent="0.25">
      <c r="A39" s="38" t="s">
        <v>35</v>
      </c>
      <c r="Q39" s="37"/>
      <c r="R39" s="39"/>
    </row>
    <row r="40" spans="1:18" ht="13.5" customHeight="1" x14ac:dyDescent="0.25">
      <c r="A40" s="37" t="s">
        <v>36</v>
      </c>
      <c r="E40" s="56">
        <f>E4*E5</f>
        <v>1320000</v>
      </c>
      <c r="F40" s="56">
        <f t="shared" ref="F40:M40" si="7">F4*F5</f>
        <v>1349766</v>
      </c>
      <c r="G40" s="56">
        <f t="shared" si="7"/>
        <v>1380203.2233000002</v>
      </c>
      <c r="H40" s="56">
        <f t="shared" si="7"/>
        <v>1411326.8059854149</v>
      </c>
      <c r="I40" s="56">
        <f t="shared" si="7"/>
        <v>1443152.2254603861</v>
      </c>
      <c r="J40" s="56">
        <f t="shared" si="7"/>
        <v>1475695.3081445177</v>
      </c>
      <c r="K40" s="56">
        <f t="shared" si="7"/>
        <v>1508972.2373431765</v>
      </c>
      <c r="L40" s="56">
        <f t="shared" si="7"/>
        <v>1542999.5612952649</v>
      </c>
      <c r="M40" s="56">
        <f t="shared" si="7"/>
        <v>1577794.201402473</v>
      </c>
      <c r="N40" s="56">
        <f>N4*N5</f>
        <v>1613373.4606440985</v>
      </c>
      <c r="Q40" s="37"/>
      <c r="R40" s="39"/>
    </row>
    <row r="41" spans="1:18" ht="13.5" customHeight="1" x14ac:dyDescent="0.25">
      <c r="A41" s="37" t="s">
        <v>37</v>
      </c>
      <c r="E41" s="57">
        <f>E40*E6</f>
        <v>594000</v>
      </c>
      <c r="F41" s="57">
        <f t="shared" ref="F41:N41" si="8">F40*F6</f>
        <v>607394.70000000007</v>
      </c>
      <c r="G41" s="57">
        <f t="shared" si="8"/>
        <v>621091.45048500015</v>
      </c>
      <c r="H41" s="57">
        <f t="shared" si="8"/>
        <v>635097.06269343675</v>
      </c>
      <c r="I41" s="57">
        <f t="shared" si="8"/>
        <v>649418.50145717373</v>
      </c>
      <c r="J41" s="57">
        <f t="shared" si="8"/>
        <v>664062.88866503304</v>
      </c>
      <c r="K41" s="57">
        <f t="shared" si="8"/>
        <v>679037.50680442946</v>
      </c>
      <c r="L41" s="57">
        <f t="shared" si="8"/>
        <v>694349.80258286919</v>
      </c>
      <c r="M41" s="57">
        <f t="shared" si="8"/>
        <v>710007.39063111285</v>
      </c>
      <c r="N41" s="57">
        <f t="shared" si="8"/>
        <v>726018.05728984438</v>
      </c>
      <c r="Q41" s="37"/>
      <c r="R41" s="39"/>
    </row>
    <row r="42" spans="1:18" ht="13.5" customHeight="1" x14ac:dyDescent="0.25">
      <c r="A42" s="37" t="s">
        <v>38</v>
      </c>
      <c r="E42" s="56">
        <f t="shared" ref="E42:N42" si="9">E40-E41</f>
        <v>726000</v>
      </c>
      <c r="F42" s="56">
        <f t="shared" si="9"/>
        <v>742371.29999999993</v>
      </c>
      <c r="G42" s="56">
        <f t="shared" si="9"/>
        <v>759111.77281500003</v>
      </c>
      <c r="H42" s="56">
        <f t="shared" si="9"/>
        <v>776229.74329197814</v>
      </c>
      <c r="I42" s="56">
        <f t="shared" si="9"/>
        <v>793733.72400321241</v>
      </c>
      <c r="J42" s="56">
        <f t="shared" si="9"/>
        <v>811632.41947948467</v>
      </c>
      <c r="K42" s="56">
        <f t="shared" si="9"/>
        <v>829934.73053874704</v>
      </c>
      <c r="L42" s="56">
        <f t="shared" si="9"/>
        <v>848649.75871239568</v>
      </c>
      <c r="M42" s="56">
        <f t="shared" si="9"/>
        <v>867786.81077136018</v>
      </c>
      <c r="N42" s="56">
        <f t="shared" si="9"/>
        <v>887355.40335425409</v>
      </c>
      <c r="Q42" s="37"/>
      <c r="R42" s="39"/>
    </row>
    <row r="43" spans="1:18" ht="13.5" customHeight="1" x14ac:dyDescent="0.25">
      <c r="E43" s="56"/>
      <c r="F43" s="56"/>
      <c r="G43" s="56"/>
      <c r="H43" s="56"/>
      <c r="I43" s="56"/>
      <c r="J43" s="56"/>
      <c r="Q43" s="37"/>
      <c r="R43" s="39"/>
    </row>
    <row r="44" spans="1:18" ht="13.5" customHeight="1" x14ac:dyDescent="0.25">
      <c r="A44" s="37" t="s">
        <v>39</v>
      </c>
      <c r="E44" s="56"/>
      <c r="F44" s="56"/>
      <c r="G44" s="56"/>
      <c r="H44" s="56"/>
      <c r="I44" s="56"/>
      <c r="J44" s="56"/>
      <c r="Q44" s="37"/>
      <c r="R44" s="39"/>
    </row>
    <row r="45" spans="1:18" ht="13.5" customHeight="1" x14ac:dyDescent="0.25">
      <c r="B45" s="37" t="s">
        <v>40</v>
      </c>
      <c r="E45" s="56">
        <f t="shared" ref="E45:N45" si="10">E9*E10</f>
        <v>29484</v>
      </c>
      <c r="F45" s="56">
        <f t="shared" si="10"/>
        <v>29837.808000000001</v>
      </c>
      <c r="G45" s="56">
        <f t="shared" si="10"/>
        <v>30195.861696000004</v>
      </c>
      <c r="H45" s="56">
        <f t="shared" si="10"/>
        <v>30558.212036352004</v>
      </c>
      <c r="I45" s="56">
        <f t="shared" si="10"/>
        <v>30924.910580788226</v>
      </c>
      <c r="J45" s="56">
        <f t="shared" si="10"/>
        <v>31296.009507757684</v>
      </c>
      <c r="K45" s="56">
        <f t="shared" si="10"/>
        <v>31671.561621850778</v>
      </c>
      <c r="L45" s="56">
        <f t="shared" si="10"/>
        <v>32051.620361312987</v>
      </c>
      <c r="M45" s="56">
        <f t="shared" si="10"/>
        <v>32436.239805648744</v>
      </c>
      <c r="N45" s="56">
        <f t="shared" si="10"/>
        <v>32825.474683316534</v>
      </c>
      <c r="Q45" s="37"/>
      <c r="R45" s="39"/>
    </row>
    <row r="46" spans="1:18" ht="13.5" customHeight="1" x14ac:dyDescent="0.25">
      <c r="B46" s="37" t="s">
        <v>41</v>
      </c>
      <c r="E46" s="56">
        <f t="shared" ref="E46:N46" si="11">E40*E7</f>
        <v>461999.99999999994</v>
      </c>
      <c r="F46" s="56">
        <f t="shared" si="11"/>
        <v>472418.1</v>
      </c>
      <c r="G46" s="56">
        <f t="shared" si="11"/>
        <v>483071.12815500004</v>
      </c>
      <c r="H46" s="56">
        <f t="shared" si="11"/>
        <v>493964.38209489518</v>
      </c>
      <c r="I46" s="56">
        <f t="shared" si="11"/>
        <v>505103.2789111351</v>
      </c>
      <c r="J46" s="56">
        <f t="shared" si="11"/>
        <v>516493.35785058117</v>
      </c>
      <c r="K46" s="56">
        <f t="shared" si="11"/>
        <v>528140.28307011176</v>
      </c>
      <c r="L46" s="56">
        <f t="shared" si="11"/>
        <v>540049.8464533427</v>
      </c>
      <c r="M46" s="56">
        <f t="shared" si="11"/>
        <v>552227.97049086553</v>
      </c>
      <c r="N46" s="56">
        <f t="shared" si="11"/>
        <v>564680.71122543444</v>
      </c>
      <c r="P46" s="44"/>
      <c r="Q46" s="37"/>
      <c r="R46" s="39"/>
    </row>
    <row r="47" spans="1:18" ht="13.5" customHeight="1" x14ac:dyDescent="0.25">
      <c r="B47" s="37" t="s">
        <v>42</v>
      </c>
      <c r="E47" s="56">
        <f t="shared" ref="E47:N47" si="12">E70*E21</f>
        <v>4881.5999999999995</v>
      </c>
      <c r="F47" s="56">
        <f t="shared" si="12"/>
        <v>4884.0407999999998</v>
      </c>
      <c r="G47" s="56">
        <f t="shared" si="12"/>
        <v>4886.4828203999987</v>
      </c>
      <c r="H47" s="56">
        <f t="shared" si="12"/>
        <v>4888.9260618101989</v>
      </c>
      <c r="I47" s="56">
        <f t="shared" si="12"/>
        <v>4891.3705248411034</v>
      </c>
      <c r="J47" s="56">
        <f t="shared" si="12"/>
        <v>4893.8162101035241</v>
      </c>
      <c r="K47" s="56">
        <f t="shared" si="12"/>
        <v>4896.2631182085752</v>
      </c>
      <c r="L47" s="56">
        <f t="shared" si="12"/>
        <v>4898.711249767679</v>
      </c>
      <c r="M47" s="56">
        <f t="shared" si="12"/>
        <v>4901.1606053925625</v>
      </c>
      <c r="N47" s="56">
        <f t="shared" si="12"/>
        <v>4903.6111856952584</v>
      </c>
      <c r="Q47" s="37"/>
      <c r="R47" s="39"/>
    </row>
    <row r="48" spans="1:18" ht="13.5" customHeight="1" x14ac:dyDescent="0.25">
      <c r="B48" s="37" t="s">
        <v>43</v>
      </c>
      <c r="E48" s="58">
        <f t="shared" ref="E48:N48" si="13">E70/E36</f>
        <v>22600</v>
      </c>
      <c r="F48" s="57">
        <f t="shared" si="13"/>
        <v>22600</v>
      </c>
      <c r="G48" s="57">
        <f t="shared" si="13"/>
        <v>22600</v>
      </c>
      <c r="H48" s="57">
        <f t="shared" si="13"/>
        <v>22600</v>
      </c>
      <c r="I48" s="57">
        <f t="shared" si="13"/>
        <v>22600</v>
      </c>
      <c r="J48" s="57">
        <f t="shared" si="13"/>
        <v>22600</v>
      </c>
      <c r="K48" s="57">
        <f t="shared" si="13"/>
        <v>22600</v>
      </c>
      <c r="L48" s="57">
        <f t="shared" si="13"/>
        <v>22600</v>
      </c>
      <c r="M48" s="57">
        <f t="shared" si="13"/>
        <v>22600</v>
      </c>
      <c r="N48" s="57">
        <f t="shared" si="13"/>
        <v>22600</v>
      </c>
      <c r="Q48" s="37"/>
      <c r="R48" s="39"/>
    </row>
    <row r="49" spans="1:18" ht="13.5" customHeight="1" x14ac:dyDescent="0.25">
      <c r="A49" s="37" t="s">
        <v>44</v>
      </c>
      <c r="E49" s="56">
        <f t="shared" ref="E49:N49" si="14">SUM(E45:E48)</f>
        <v>518965.59999999992</v>
      </c>
      <c r="F49" s="56">
        <f t="shared" si="14"/>
        <v>529739.94880000001</v>
      </c>
      <c r="G49" s="56">
        <f t="shared" si="14"/>
        <v>540753.47267140006</v>
      </c>
      <c r="H49" s="56">
        <f t="shared" si="14"/>
        <v>552011.52019305737</v>
      </c>
      <c r="I49" s="56">
        <f t="shared" si="14"/>
        <v>563519.56001676444</v>
      </c>
      <c r="J49" s="56">
        <f t="shared" si="14"/>
        <v>575283.18356844247</v>
      </c>
      <c r="K49" s="56">
        <f t="shared" si="14"/>
        <v>587308.1078101712</v>
      </c>
      <c r="L49" s="56">
        <f t="shared" si="14"/>
        <v>599600.17806442338</v>
      </c>
      <c r="M49" s="56">
        <f t="shared" si="14"/>
        <v>612165.37090190675</v>
      </c>
      <c r="N49" s="56">
        <f t="shared" si="14"/>
        <v>625009.79709444626</v>
      </c>
      <c r="Q49" s="37"/>
      <c r="R49" s="39"/>
    </row>
    <row r="50" spans="1:18" ht="13.5" customHeight="1" x14ac:dyDescent="0.25">
      <c r="E50" s="56"/>
      <c r="F50" s="56"/>
      <c r="G50" s="56"/>
      <c r="H50" s="56"/>
      <c r="I50" s="56"/>
      <c r="J50" s="56"/>
      <c r="Q50" s="37"/>
      <c r="R50" s="39"/>
    </row>
    <row r="51" spans="1:18" ht="13.5" customHeight="1" x14ac:dyDescent="0.25">
      <c r="A51" s="37" t="s">
        <v>45</v>
      </c>
      <c r="E51" s="56">
        <f>E42-E49</f>
        <v>207034.40000000008</v>
      </c>
      <c r="F51" s="56">
        <f t="shared" ref="F51:N51" si="15">F42-F49</f>
        <v>212631.35119999992</v>
      </c>
      <c r="G51" s="56">
        <f t="shared" si="15"/>
        <v>218358.30014359998</v>
      </c>
      <c r="H51" s="56">
        <f t="shared" si="15"/>
        <v>224218.22309892077</v>
      </c>
      <c r="I51" s="56">
        <f t="shared" si="15"/>
        <v>230214.16398644797</v>
      </c>
      <c r="J51" s="56">
        <f t="shared" si="15"/>
        <v>236349.2359110422</v>
      </c>
      <c r="K51" s="56">
        <f t="shared" si="15"/>
        <v>242626.62272857584</v>
      </c>
      <c r="L51" s="56">
        <f t="shared" si="15"/>
        <v>249049.5806479723</v>
      </c>
      <c r="M51" s="56">
        <f t="shared" si="15"/>
        <v>255621.43986945343</v>
      </c>
      <c r="N51" s="56">
        <f t="shared" si="15"/>
        <v>262345.60625980783</v>
      </c>
      <c r="Q51" s="37"/>
      <c r="R51" s="39"/>
    </row>
    <row r="52" spans="1:18" ht="13.5" customHeight="1" x14ac:dyDescent="0.25">
      <c r="E52" s="56"/>
      <c r="F52" s="56"/>
      <c r="G52" s="56"/>
      <c r="H52" s="56"/>
      <c r="I52" s="56"/>
      <c r="J52" s="56"/>
      <c r="Q52" s="37"/>
      <c r="R52" s="39"/>
    </row>
    <row r="53" spans="1:18" ht="13.5" customHeight="1" x14ac:dyDescent="0.25">
      <c r="A53" s="37" t="s">
        <v>46</v>
      </c>
      <c r="E53" s="56">
        <f>'Amortization Table'!D14</f>
        <v>22784.271038311635</v>
      </c>
      <c r="F53" s="56">
        <f>'Amortization Table'!D28</f>
        <v>22422.399302436912</v>
      </c>
      <c r="G53" s="56">
        <f>'Amortization Table'!D42</f>
        <v>22042.959460430331</v>
      </c>
      <c r="H53" s="56">
        <f>'Amortization Table'!D56</f>
        <v>21645.09861795816</v>
      </c>
      <c r="I53" s="56">
        <f>'Amortization Table'!D70</f>
        <v>21227.922474473686</v>
      </c>
      <c r="J53" s="56">
        <f>'Amortization Table'!D84</f>
        <v>20790.49331303329</v>
      </c>
      <c r="K53" s="56">
        <f>'Amortization Table'!D98</f>
        <v>20331.827892522306</v>
      </c>
      <c r="L53" s="56">
        <f>'Amortization Table'!C112</f>
        <v>10387.289856268575</v>
      </c>
      <c r="M53" s="56">
        <f>'Amortization Table'!D126</f>
        <v>19346.614321066845</v>
      </c>
      <c r="N53" s="56">
        <f>'Amortization Table'!D140</f>
        <v>18817.851634431674</v>
      </c>
      <c r="Q53" s="37"/>
      <c r="R53" s="39"/>
    </row>
    <row r="54" spans="1:18" ht="13.5" customHeight="1" x14ac:dyDescent="0.25">
      <c r="A54" s="37" t="s">
        <v>47</v>
      </c>
      <c r="E54" s="56">
        <f>E82*E27</f>
        <v>8421.2534983311252</v>
      </c>
      <c r="F54" s="56">
        <f t="shared" ref="F54:N54" si="16">F82*F27</f>
        <v>0</v>
      </c>
      <c r="G54" s="56">
        <f t="shared" si="16"/>
        <v>0</v>
      </c>
      <c r="H54" s="56">
        <f t="shared" si="16"/>
        <v>0</v>
      </c>
      <c r="I54" s="56">
        <f t="shared" si="16"/>
        <v>0</v>
      </c>
      <c r="J54" s="56">
        <f t="shared" si="16"/>
        <v>0</v>
      </c>
      <c r="K54" s="56">
        <f t="shared" si="16"/>
        <v>0</v>
      </c>
      <c r="L54" s="56">
        <f t="shared" si="16"/>
        <v>0</v>
      </c>
      <c r="M54" s="56">
        <f t="shared" si="16"/>
        <v>0</v>
      </c>
      <c r="N54" s="56">
        <f t="shared" si="16"/>
        <v>0</v>
      </c>
      <c r="Q54" s="37"/>
      <c r="R54" s="39"/>
    </row>
    <row r="55" spans="1:18" ht="13.5" customHeight="1" x14ac:dyDescent="0.25">
      <c r="E55" s="56"/>
      <c r="F55" s="56"/>
      <c r="G55" s="56"/>
      <c r="H55" s="56"/>
      <c r="I55" s="56"/>
      <c r="J55" s="56"/>
      <c r="K55" s="56"/>
      <c r="L55" s="56"/>
      <c r="M55" s="56"/>
      <c r="N55" s="56"/>
      <c r="Q55" s="37"/>
      <c r="R55" s="39"/>
    </row>
    <row r="56" spans="1:18" ht="13.5" customHeight="1" x14ac:dyDescent="0.25">
      <c r="A56" s="37" t="s">
        <v>48</v>
      </c>
      <c r="E56" s="56">
        <f>E51-E53-E54</f>
        <v>175828.87546335731</v>
      </c>
      <c r="F56" s="56">
        <f t="shared" ref="F56:N56" si="17">F51-F53-F54</f>
        <v>190208.95189756301</v>
      </c>
      <c r="G56" s="56">
        <f t="shared" si="17"/>
        <v>196315.34068316963</v>
      </c>
      <c r="H56" s="56">
        <f t="shared" si="17"/>
        <v>202573.12448096261</v>
      </c>
      <c r="I56" s="56">
        <f t="shared" si="17"/>
        <v>208986.24151197428</v>
      </c>
      <c r="J56" s="56">
        <f t="shared" si="17"/>
        <v>215558.74259800892</v>
      </c>
      <c r="K56" s="56">
        <f t="shared" si="17"/>
        <v>222294.79483605354</v>
      </c>
      <c r="L56" s="56">
        <f t="shared" si="17"/>
        <v>238662.29079170371</v>
      </c>
      <c r="M56" s="56">
        <f t="shared" si="17"/>
        <v>236274.82554838658</v>
      </c>
      <c r="N56" s="56">
        <f t="shared" si="17"/>
        <v>243527.75462537614</v>
      </c>
      <c r="Q56" s="37"/>
      <c r="R56" s="39"/>
    </row>
    <row r="57" spans="1:18" ht="13.5" customHeight="1" x14ac:dyDescent="0.25">
      <c r="A57" s="37" t="s">
        <v>49</v>
      </c>
      <c r="E57" s="57">
        <f t="shared" ref="E57:N57" si="18">E56*E35</f>
        <v>64740.191945608167</v>
      </c>
      <c r="F57" s="57">
        <f t="shared" si="18"/>
        <v>70034.936088682705</v>
      </c>
      <c r="G57" s="57">
        <f t="shared" si="18"/>
        <v>72283.308439543063</v>
      </c>
      <c r="H57" s="57">
        <f t="shared" si="18"/>
        <v>74587.424433890439</v>
      </c>
      <c r="I57" s="57">
        <f t="shared" si="18"/>
        <v>76948.734124708935</v>
      </c>
      <c r="J57" s="57">
        <f t="shared" si="18"/>
        <v>79368.729024586894</v>
      </c>
      <c r="K57" s="57">
        <f t="shared" si="18"/>
        <v>81848.943458634923</v>
      </c>
      <c r="L57" s="57">
        <f t="shared" si="18"/>
        <v>87875.455469505308</v>
      </c>
      <c r="M57" s="57">
        <f t="shared" si="18"/>
        <v>86996.390766915938</v>
      </c>
      <c r="N57" s="57">
        <f t="shared" si="18"/>
        <v>89666.919253063505</v>
      </c>
      <c r="Q57" s="37"/>
      <c r="R57" s="39"/>
    </row>
    <row r="58" spans="1:18" ht="13.5" customHeight="1" x14ac:dyDescent="0.25">
      <c r="A58" s="37" t="s">
        <v>50</v>
      </c>
      <c r="E58" s="56">
        <f>E56-E57</f>
        <v>111088.68351774914</v>
      </c>
      <c r="F58" s="56">
        <f t="shared" ref="F58:N58" si="19">F56-F57</f>
        <v>120174.0158088803</v>
      </c>
      <c r="G58" s="56">
        <f t="shared" si="19"/>
        <v>124032.03224362657</v>
      </c>
      <c r="H58" s="56">
        <f t="shared" si="19"/>
        <v>127985.70004707217</v>
      </c>
      <c r="I58" s="56">
        <f t="shared" si="19"/>
        <v>132037.50738726533</v>
      </c>
      <c r="J58" s="56">
        <f t="shared" si="19"/>
        <v>136190.01357342204</v>
      </c>
      <c r="K58" s="56">
        <f t="shared" si="19"/>
        <v>140445.85137741861</v>
      </c>
      <c r="L58" s="56">
        <f t="shared" si="19"/>
        <v>150786.8353221984</v>
      </c>
      <c r="M58" s="56">
        <f t="shared" si="19"/>
        <v>149278.43478147063</v>
      </c>
      <c r="N58" s="56">
        <f t="shared" si="19"/>
        <v>153860.83537231263</v>
      </c>
      <c r="Q58" s="37"/>
      <c r="R58" s="39"/>
    </row>
    <row r="59" spans="1:18" ht="13.5" customHeight="1" x14ac:dyDescent="0.25">
      <c r="E59" s="56"/>
      <c r="F59" s="56"/>
      <c r="G59" s="56"/>
      <c r="H59" s="56"/>
      <c r="I59" s="56"/>
      <c r="J59" s="56"/>
      <c r="Q59" s="37"/>
      <c r="R59" s="39"/>
    </row>
    <row r="60" spans="1:18" ht="13.5" customHeight="1" x14ac:dyDescent="0.25">
      <c r="A60" s="38" t="s">
        <v>51</v>
      </c>
      <c r="F60" s="59"/>
      <c r="H60" s="56"/>
      <c r="I60" s="56"/>
      <c r="J60" s="56"/>
      <c r="Q60" s="37"/>
      <c r="R60" s="39"/>
    </row>
    <row r="61" spans="1:18" ht="13.5" customHeight="1" x14ac:dyDescent="0.25">
      <c r="A61" s="37" t="s">
        <v>52</v>
      </c>
      <c r="E61" s="56"/>
      <c r="F61" s="56"/>
      <c r="G61" s="56"/>
      <c r="H61" s="56"/>
      <c r="I61" s="56"/>
      <c r="J61" s="56"/>
      <c r="Q61" s="37"/>
      <c r="R61" s="39"/>
    </row>
    <row r="62" spans="1:18" ht="13.5" customHeight="1" x14ac:dyDescent="0.25">
      <c r="A62" s="37" t="s">
        <v>53</v>
      </c>
      <c r="E62" s="56"/>
      <c r="F62" s="56"/>
      <c r="G62" s="56"/>
      <c r="H62" s="56"/>
      <c r="I62" s="56"/>
      <c r="J62" s="56"/>
      <c r="Q62" s="37"/>
      <c r="R62" s="39"/>
    </row>
    <row r="63" spans="1:18" ht="13.5" customHeight="1" x14ac:dyDescent="0.25">
      <c r="B63" s="37" t="s">
        <v>54</v>
      </c>
      <c r="E63" s="56">
        <f>E37*E40</f>
        <v>26400</v>
      </c>
      <c r="F63" s="56">
        <f t="shared" ref="F63:N63" si="20">F37*F40</f>
        <v>26995.32</v>
      </c>
      <c r="G63" s="56">
        <f t="shared" si="20"/>
        <v>27604.064466000003</v>
      </c>
      <c r="H63" s="56">
        <f t="shared" si="20"/>
        <v>28226.536119708297</v>
      </c>
      <c r="I63" s="56">
        <f t="shared" si="20"/>
        <v>28863.044509207724</v>
      </c>
      <c r="J63" s="56">
        <f t="shared" si="20"/>
        <v>29513.906162890355</v>
      </c>
      <c r="K63" s="56">
        <f t="shared" si="20"/>
        <v>30179.44474686353</v>
      </c>
      <c r="L63" s="56">
        <f t="shared" si="20"/>
        <v>30859.991225905298</v>
      </c>
      <c r="M63" s="56">
        <f>M37*M40</f>
        <v>31555.884028049462</v>
      </c>
      <c r="N63" s="56">
        <f t="shared" si="20"/>
        <v>32267.46921288197</v>
      </c>
      <c r="Q63" s="37"/>
      <c r="R63" s="39"/>
    </row>
    <row r="64" spans="1:18" ht="13.5" customHeight="1" x14ac:dyDescent="0.25">
      <c r="B64" s="37" t="s">
        <v>55</v>
      </c>
      <c r="E64" s="56">
        <v>0</v>
      </c>
      <c r="F64" s="56">
        <v>29918.930362938048</v>
      </c>
      <c r="G64" s="56">
        <v>165421.44239774597</v>
      </c>
      <c r="H64" s="56">
        <v>304418.63589782664</v>
      </c>
      <c r="I64" s="56">
        <v>446988.14975281036</v>
      </c>
      <c r="J64" s="56">
        <v>593209.22647595557</v>
      </c>
      <c r="K64" s="56">
        <v>743162.74015544704</v>
      </c>
      <c r="L64" s="56">
        <v>906394.83000588499</v>
      </c>
      <c r="M64" s="56">
        <v>1060578.0077156746</v>
      </c>
      <c r="N64" s="56">
        <v>1222230.8163014106</v>
      </c>
      <c r="Q64" s="37"/>
      <c r="R64" s="39"/>
    </row>
    <row r="65" spans="1:20" ht="13.5" customHeight="1" x14ac:dyDescent="0.25">
      <c r="B65" s="37" t="s">
        <v>56</v>
      </c>
      <c r="E65" s="56">
        <f>(E40/365)*E33</f>
        <v>14465.753424657534</v>
      </c>
      <c r="F65" s="56">
        <f t="shared" ref="F65:N65" si="21">(F40/365)*F33</f>
        <v>14791.956164383562</v>
      </c>
      <c r="G65" s="56">
        <f t="shared" si="21"/>
        <v>15125.514775890413</v>
      </c>
      <c r="H65" s="56">
        <f t="shared" si="21"/>
        <v>15466.595134086738</v>
      </c>
      <c r="I65" s="56">
        <f t="shared" si="21"/>
        <v>15815.366854360396</v>
      </c>
      <c r="J65" s="56">
        <f t="shared" si="21"/>
        <v>16172.003376926221</v>
      </c>
      <c r="K65" s="56">
        <f t="shared" si="21"/>
        <v>16536.682053075907</v>
      </c>
      <c r="L65" s="56">
        <f t="shared" si="21"/>
        <v>16909.584233372767</v>
      </c>
      <c r="M65" s="56">
        <f t="shared" si="21"/>
        <v>17290.895357835321</v>
      </c>
      <c r="N65" s="56">
        <f t="shared" si="21"/>
        <v>17680.805048154503</v>
      </c>
      <c r="Q65" s="37"/>
      <c r="R65" s="39"/>
    </row>
    <row r="66" spans="1:20" ht="13.5" customHeight="1" x14ac:dyDescent="0.25">
      <c r="B66" s="37" t="s">
        <v>57</v>
      </c>
      <c r="E66" s="60">
        <f t="shared" ref="E66:N66" si="22">E41/365*E31</f>
        <v>195287.67123287669</v>
      </c>
      <c r="F66" s="60">
        <f t="shared" si="22"/>
        <v>199691.40821917809</v>
      </c>
      <c r="G66" s="60">
        <f t="shared" si="22"/>
        <v>204194.44947452057</v>
      </c>
      <c r="H66" s="60">
        <f t="shared" si="22"/>
        <v>208799.03431017097</v>
      </c>
      <c r="I66" s="60">
        <f t="shared" si="22"/>
        <v>213507.45253386535</v>
      </c>
      <c r="J66" s="60">
        <f t="shared" si="22"/>
        <v>218322.045588504</v>
      </c>
      <c r="K66" s="60">
        <f t="shared" si="22"/>
        <v>223245.20771652478</v>
      </c>
      <c r="L66" s="60">
        <f t="shared" si="22"/>
        <v>228279.38715053233</v>
      </c>
      <c r="M66" s="60">
        <f t="shared" si="22"/>
        <v>233427.08733077682</v>
      </c>
      <c r="N66" s="60">
        <f t="shared" si="22"/>
        <v>238690.86815008582</v>
      </c>
      <c r="Q66" s="37"/>
      <c r="R66" s="39"/>
    </row>
    <row r="67" spans="1:20" ht="13.5" customHeight="1" x14ac:dyDescent="0.25">
      <c r="A67" s="37" t="s">
        <v>58</v>
      </c>
      <c r="E67" s="56">
        <f t="shared" ref="E67" si="23">SUM(E63:E66)</f>
        <v>236153.42465753423</v>
      </c>
      <c r="F67" s="56">
        <f t="shared" ref="F67:N67" si="24">SUM(F63:F66)</f>
        <v>271397.61474649969</v>
      </c>
      <c r="G67" s="56">
        <f t="shared" si="24"/>
        <v>412345.471114157</v>
      </c>
      <c r="H67" s="56">
        <f t="shared" si="24"/>
        <v>556910.80146179267</v>
      </c>
      <c r="I67" s="56">
        <f t="shared" si="24"/>
        <v>705174.01365024387</v>
      </c>
      <c r="J67" s="56">
        <f t="shared" si="24"/>
        <v>857217.18160427618</v>
      </c>
      <c r="K67" s="56">
        <f t="shared" si="24"/>
        <v>1013124.0746719113</v>
      </c>
      <c r="L67" s="56">
        <f t="shared" si="24"/>
        <v>1182443.7926156954</v>
      </c>
      <c r="M67" s="56">
        <f t="shared" si="24"/>
        <v>1342851.8744323361</v>
      </c>
      <c r="N67" s="56">
        <f t="shared" si="24"/>
        <v>1510869.9587125329</v>
      </c>
      <c r="Q67" s="37"/>
      <c r="R67" s="39"/>
    </row>
    <row r="68" spans="1:20" ht="13.5" customHeight="1" x14ac:dyDescent="0.25">
      <c r="E68" s="56"/>
      <c r="F68" s="56"/>
      <c r="G68" s="56"/>
      <c r="H68" s="61"/>
      <c r="I68" s="61"/>
      <c r="J68" s="56"/>
      <c r="K68" s="56"/>
      <c r="L68" s="56"/>
      <c r="M68" s="56"/>
      <c r="N68" s="56"/>
      <c r="Q68" s="37"/>
      <c r="R68" s="39"/>
    </row>
    <row r="69" spans="1:20" ht="13.5" customHeight="1" x14ac:dyDescent="0.25">
      <c r="B69" s="37" t="s">
        <v>59</v>
      </c>
      <c r="E69" s="56">
        <f>E12*E13</f>
        <v>12080</v>
      </c>
      <c r="F69" s="56">
        <f>E69*(1+$O$69)</f>
        <v>12080</v>
      </c>
      <c r="G69" s="56">
        <f t="shared" ref="G69:N69" si="25">F69*(1+$O$69)</f>
        <v>12080</v>
      </c>
      <c r="H69" s="56">
        <f t="shared" si="25"/>
        <v>12080</v>
      </c>
      <c r="I69" s="56">
        <f t="shared" si="25"/>
        <v>12080</v>
      </c>
      <c r="J69" s="56">
        <f t="shared" si="25"/>
        <v>12080</v>
      </c>
      <c r="K69" s="56">
        <f t="shared" si="25"/>
        <v>12080</v>
      </c>
      <c r="L69" s="56">
        <f t="shared" si="25"/>
        <v>12080</v>
      </c>
      <c r="M69" s="56">
        <f t="shared" si="25"/>
        <v>12080</v>
      </c>
      <c r="N69" s="56">
        <f t="shared" si="25"/>
        <v>12080</v>
      </c>
      <c r="O69" s="37">
        <v>0</v>
      </c>
      <c r="Q69" s="37"/>
      <c r="R69" s="39"/>
    </row>
    <row r="70" spans="1:20" ht="13.5" customHeight="1" x14ac:dyDescent="0.25">
      <c r="B70" s="37" t="s">
        <v>60</v>
      </c>
      <c r="E70" s="56">
        <f>(E18+E17+E16)*E15</f>
        <v>678000</v>
      </c>
      <c r="F70" s="56">
        <f>E70</f>
        <v>678000</v>
      </c>
      <c r="G70" s="56">
        <f t="shared" ref="G70:N70" si="26">F70</f>
        <v>678000</v>
      </c>
      <c r="H70" s="56">
        <f t="shared" si="26"/>
        <v>678000</v>
      </c>
      <c r="I70" s="56">
        <f t="shared" si="26"/>
        <v>678000</v>
      </c>
      <c r="J70" s="56">
        <f t="shared" si="26"/>
        <v>678000</v>
      </c>
      <c r="K70" s="56">
        <f t="shared" si="26"/>
        <v>678000</v>
      </c>
      <c r="L70" s="56">
        <f t="shared" si="26"/>
        <v>678000</v>
      </c>
      <c r="M70" s="56">
        <f t="shared" si="26"/>
        <v>678000</v>
      </c>
      <c r="N70" s="56">
        <f t="shared" si="26"/>
        <v>678000</v>
      </c>
      <c r="O70" s="37">
        <f>O69</f>
        <v>0</v>
      </c>
      <c r="Q70" s="37"/>
      <c r="R70" s="39"/>
    </row>
    <row r="71" spans="1:20" ht="13.5" customHeight="1" x14ac:dyDescent="0.25">
      <c r="B71" s="37" t="s">
        <v>61</v>
      </c>
      <c r="E71" s="62">
        <f>C71+E48</f>
        <v>22600</v>
      </c>
      <c r="F71" s="62">
        <f t="shared" ref="F71:N71" si="27">E71+F48</f>
        <v>45200</v>
      </c>
      <c r="G71" s="62">
        <f t="shared" si="27"/>
        <v>67800</v>
      </c>
      <c r="H71" s="62">
        <f t="shared" si="27"/>
        <v>90400</v>
      </c>
      <c r="I71" s="62">
        <f t="shared" si="27"/>
        <v>113000</v>
      </c>
      <c r="J71" s="62">
        <f t="shared" si="27"/>
        <v>135600</v>
      </c>
      <c r="K71" s="62">
        <f t="shared" si="27"/>
        <v>158200</v>
      </c>
      <c r="L71" s="62">
        <f t="shared" si="27"/>
        <v>180800</v>
      </c>
      <c r="M71" s="62">
        <f t="shared" si="27"/>
        <v>203400</v>
      </c>
      <c r="N71" s="62">
        <f t="shared" si="27"/>
        <v>226000</v>
      </c>
      <c r="Q71" s="37"/>
      <c r="R71" s="39"/>
    </row>
    <row r="72" spans="1:20" ht="13.5" customHeight="1" x14ac:dyDescent="0.25">
      <c r="E72" s="56"/>
      <c r="F72" s="56"/>
      <c r="G72" s="56"/>
      <c r="H72" s="61"/>
      <c r="I72" s="61"/>
      <c r="J72" s="56"/>
      <c r="K72" s="56"/>
      <c r="L72" s="56"/>
      <c r="M72" s="56"/>
      <c r="N72" s="56"/>
      <c r="Q72" s="37"/>
      <c r="R72" s="39"/>
    </row>
    <row r="73" spans="1:20" ht="13.5" customHeight="1" x14ac:dyDescent="0.25">
      <c r="A73" s="37" t="s">
        <v>62</v>
      </c>
      <c r="E73" s="56">
        <f>E67+E69+E70-E71</f>
        <v>903633.42465753423</v>
      </c>
      <c r="F73" s="56">
        <f t="shared" ref="F73:N73" si="28">F67+F69+F70-F71</f>
        <v>916277.61474649969</v>
      </c>
      <c r="G73" s="56">
        <f t="shared" si="28"/>
        <v>1034625.471114157</v>
      </c>
      <c r="H73" s="56">
        <f t="shared" si="28"/>
        <v>1156590.8014617926</v>
      </c>
      <c r="I73" s="56">
        <f t="shared" si="28"/>
        <v>1282254.0136502439</v>
      </c>
      <c r="J73" s="56">
        <f t="shared" si="28"/>
        <v>1411697.1816042762</v>
      </c>
      <c r="K73" s="56">
        <f t="shared" si="28"/>
        <v>1545004.0746719113</v>
      </c>
      <c r="L73" s="56">
        <f t="shared" si="28"/>
        <v>1691723.7926156954</v>
      </c>
      <c r="M73" s="56">
        <f t="shared" si="28"/>
        <v>1829531.8744323361</v>
      </c>
      <c r="N73" s="56">
        <f t="shared" si="28"/>
        <v>1974949.9587125331</v>
      </c>
      <c r="Q73" s="37"/>
      <c r="R73" s="39"/>
    </row>
    <row r="74" spans="1:20" ht="13.5" customHeight="1" x14ac:dyDescent="0.25">
      <c r="H74" s="56"/>
      <c r="I74" s="56"/>
      <c r="J74" s="56"/>
      <c r="Q74" s="37"/>
      <c r="R74" s="39"/>
    </row>
    <row r="75" spans="1:20" ht="13.5" customHeight="1" x14ac:dyDescent="0.25">
      <c r="A75" s="37" t="s">
        <v>63</v>
      </c>
      <c r="E75" s="56"/>
      <c r="F75" s="56"/>
      <c r="G75" s="56"/>
      <c r="H75" s="56"/>
      <c r="I75" s="56"/>
      <c r="J75" s="56"/>
      <c r="Q75" s="37"/>
      <c r="R75" s="39"/>
    </row>
    <row r="76" spans="1:20" ht="13.5" customHeight="1" x14ac:dyDescent="0.25">
      <c r="A76" s="37" t="s">
        <v>64</v>
      </c>
      <c r="E76" s="56"/>
      <c r="F76" s="56"/>
      <c r="G76" s="56"/>
      <c r="H76" s="56"/>
      <c r="I76" s="56"/>
      <c r="J76" s="56"/>
      <c r="Q76" s="37"/>
      <c r="R76" s="39"/>
    </row>
    <row r="77" spans="1:20" ht="13.5" customHeight="1" x14ac:dyDescent="0.25">
      <c r="B77" s="37" t="s">
        <v>65</v>
      </c>
      <c r="E77" s="56">
        <f>E41/365*E32</f>
        <v>11391.780821917808</v>
      </c>
      <c r="F77" s="56">
        <f t="shared" ref="F77:N77" si="29">F41/365*F32</f>
        <v>11648.665479452056</v>
      </c>
      <c r="G77" s="56">
        <f t="shared" si="29"/>
        <v>11911.342886013701</v>
      </c>
      <c r="H77" s="56">
        <f t="shared" si="29"/>
        <v>12179.943668093307</v>
      </c>
      <c r="I77" s="56">
        <f t="shared" si="29"/>
        <v>12454.601397808812</v>
      </c>
      <c r="J77" s="56">
        <f t="shared" si="29"/>
        <v>12735.452659329399</v>
      </c>
      <c r="K77" s="56">
        <f t="shared" si="29"/>
        <v>13022.637116797277</v>
      </c>
      <c r="L77" s="56">
        <f t="shared" si="29"/>
        <v>13316.297583781054</v>
      </c>
      <c r="M77" s="56">
        <f t="shared" si="29"/>
        <v>13616.580094295316</v>
      </c>
      <c r="N77" s="56">
        <f t="shared" si="29"/>
        <v>13923.633975421673</v>
      </c>
      <c r="Q77" s="37"/>
      <c r="R77" s="39"/>
    </row>
    <row r="78" spans="1:20" ht="13.5" customHeight="1" x14ac:dyDescent="0.25">
      <c r="B78" s="37" t="s">
        <v>66</v>
      </c>
      <c r="E78" s="62">
        <f>E57</f>
        <v>64740.191945608167</v>
      </c>
      <c r="F78" s="62">
        <f t="shared" ref="F78:N78" si="30">F57</f>
        <v>70034.936088682705</v>
      </c>
      <c r="G78" s="62">
        <f t="shared" si="30"/>
        <v>72283.308439543063</v>
      </c>
      <c r="H78" s="62">
        <f t="shared" si="30"/>
        <v>74587.424433890439</v>
      </c>
      <c r="I78" s="62">
        <f t="shared" si="30"/>
        <v>76948.734124708935</v>
      </c>
      <c r="J78" s="62">
        <f t="shared" si="30"/>
        <v>79368.729024586894</v>
      </c>
      <c r="K78" s="62">
        <f t="shared" si="30"/>
        <v>81848.943458634923</v>
      </c>
      <c r="L78" s="62">
        <f t="shared" si="30"/>
        <v>87875.455469505308</v>
      </c>
      <c r="M78" s="62">
        <f t="shared" si="30"/>
        <v>86996.390766915938</v>
      </c>
      <c r="N78" s="62">
        <f t="shared" si="30"/>
        <v>89666.919253063505</v>
      </c>
      <c r="P78" s="48">
        <f>O35</f>
        <v>0.36819999999999997</v>
      </c>
      <c r="Q78" s="37"/>
      <c r="R78" s="39"/>
    </row>
    <row r="79" spans="1:20" ht="13.5" customHeight="1" x14ac:dyDescent="0.25">
      <c r="A79" s="37" t="s">
        <v>67</v>
      </c>
      <c r="E79" s="56">
        <f>SUM(E77:E78)</f>
        <v>76131.972767525978</v>
      </c>
      <c r="F79" s="56">
        <f t="shared" ref="F79:N79" si="31">SUM(F77:F78)</f>
        <v>81683.601568134764</v>
      </c>
      <c r="G79" s="56">
        <f t="shared" si="31"/>
        <v>84194.65132555677</v>
      </c>
      <c r="H79" s="56">
        <f t="shared" si="31"/>
        <v>86767.368101983739</v>
      </c>
      <c r="I79" s="56">
        <f t="shared" si="31"/>
        <v>89403.335522517751</v>
      </c>
      <c r="J79" s="56">
        <f t="shared" si="31"/>
        <v>92104.181683916293</v>
      </c>
      <c r="K79" s="56">
        <f t="shared" si="31"/>
        <v>94871.580575432206</v>
      </c>
      <c r="L79" s="56">
        <f t="shared" si="31"/>
        <v>101191.75305328636</v>
      </c>
      <c r="M79" s="56">
        <f t="shared" si="31"/>
        <v>100612.97086121126</v>
      </c>
      <c r="N79" s="56">
        <f t="shared" si="31"/>
        <v>103590.55322848518</v>
      </c>
      <c r="Q79" s="37"/>
      <c r="R79" s="39"/>
    </row>
    <row r="80" spans="1:20" ht="13.5" customHeight="1" x14ac:dyDescent="0.25">
      <c r="E80" s="56"/>
      <c r="F80" s="56"/>
      <c r="G80" s="56"/>
      <c r="H80" s="56"/>
      <c r="I80" s="56"/>
      <c r="J80" s="56"/>
      <c r="Q80" s="37" t="s">
        <v>163</v>
      </c>
      <c r="R80" s="39" t="s">
        <v>164</v>
      </c>
      <c r="S80" s="37" t="s">
        <v>165</v>
      </c>
      <c r="T80" s="37" t="s">
        <v>166</v>
      </c>
    </row>
    <row r="81" spans="1:20" ht="13.5" customHeight="1" x14ac:dyDescent="0.25">
      <c r="A81" s="37" t="s">
        <v>68</v>
      </c>
      <c r="E81" s="56">
        <f>'Amortization Table'!F13</f>
        <v>475602.08594448998</v>
      </c>
      <c r="F81" s="56">
        <f>'Amortization Table'!F27</f>
        <v>467786.30015310535</v>
      </c>
      <c r="G81" s="56">
        <f>'Amortization Table'!F41</f>
        <v>459591.07451971405</v>
      </c>
      <c r="H81" s="56">
        <f>'Amortization Table'!F55</f>
        <v>450997.98804385052</v>
      </c>
      <c r="I81" s="56">
        <f>'Amortization Table'!F69</f>
        <v>441987.72542450257</v>
      </c>
      <c r="J81" s="56">
        <f>'Amortization Table'!F83</f>
        <v>432540.03364371427</v>
      </c>
      <c r="K81" s="56">
        <f>'Amortization Table'!F97</f>
        <v>422633.67644241493</v>
      </c>
      <c r="L81" s="56">
        <f>'Amortization Table'!F111</f>
        <v>412246.38658614637</v>
      </c>
      <c r="M81" s="56">
        <f>'Amortization Table'!F125</f>
        <v>401354.81581339164</v>
      </c>
      <c r="N81" s="56">
        <f>'Amortization Table'!F139</f>
        <v>389934.48235400184</v>
      </c>
      <c r="P81" s="56">
        <f>AVERAGE(E81:N81)</f>
        <v>435467.45689253311</v>
      </c>
      <c r="Q81" s="63">
        <f>(P81)/(SUM(P81:P87))</f>
        <v>0.33650211938625479</v>
      </c>
      <c r="R81" s="64">
        <f>'Amortization Table'!I1</f>
        <v>4.7500000000000001E-2</v>
      </c>
      <c r="S81" s="63">
        <f>(1-$P$78)*R81</f>
        <v>3.0010500000000002E-2</v>
      </c>
      <c r="T81" s="49">
        <f>S81*Q81</f>
        <v>1.00985968538412E-2</v>
      </c>
    </row>
    <row r="82" spans="1:20" ht="13.5" customHeight="1" x14ac:dyDescent="0.25">
      <c r="A82" s="37" t="s">
        <v>69</v>
      </c>
      <c r="E82" s="62">
        <v>105265.66872913906</v>
      </c>
      <c r="F82" s="62"/>
      <c r="G82" s="62"/>
      <c r="H82" s="65"/>
      <c r="I82" s="66"/>
      <c r="J82" s="66"/>
      <c r="K82" s="67">
        <v>0</v>
      </c>
      <c r="L82" s="67">
        <v>0</v>
      </c>
      <c r="M82" s="67">
        <v>0</v>
      </c>
      <c r="N82" s="67">
        <v>0</v>
      </c>
      <c r="P82" s="56">
        <f>AVERAGE(E82:N82)</f>
        <v>21053.13374582781</v>
      </c>
      <c r="Q82" s="47">
        <f>(P82)/(SUM(P81:P87))</f>
        <v>1.626855006743172E-2</v>
      </c>
      <c r="R82" s="39">
        <f>O27</f>
        <v>0.08</v>
      </c>
      <c r="S82" s="63">
        <f>(1-$P$78)*R82</f>
        <v>5.0544000000000006E-2</v>
      </c>
      <c r="T82" s="49">
        <f>S82*Q82</f>
        <v>8.2227759460826893E-4</v>
      </c>
    </row>
    <row r="83" spans="1:20" ht="13.5" customHeight="1" x14ac:dyDescent="0.25">
      <c r="E83" s="56"/>
      <c r="F83" s="56"/>
      <c r="G83" s="56"/>
      <c r="H83" s="61"/>
      <c r="I83" s="61"/>
      <c r="J83" s="56"/>
      <c r="Q83" s="37"/>
      <c r="R83" s="39"/>
      <c r="S83" s="63"/>
    </row>
    <row r="84" spans="1:20" ht="13.5" customHeight="1" x14ac:dyDescent="0.25">
      <c r="A84" s="37" t="s">
        <v>70</v>
      </c>
      <c r="E84" s="56">
        <f t="shared" ref="E84:N84" si="32">SUM(E79,E81,E82)</f>
        <v>656999.727441155</v>
      </c>
      <c r="F84" s="56">
        <f t="shared" si="32"/>
        <v>549469.90172124014</v>
      </c>
      <c r="G84" s="56">
        <f t="shared" si="32"/>
        <v>543785.72584527079</v>
      </c>
      <c r="H84" s="56">
        <f t="shared" si="32"/>
        <v>537765.35614583432</v>
      </c>
      <c r="I84" s="56">
        <f t="shared" si="32"/>
        <v>531391.06094702031</v>
      </c>
      <c r="J84" s="56">
        <f t="shared" si="32"/>
        <v>524644.21532763052</v>
      </c>
      <c r="K84" s="56">
        <f t="shared" si="32"/>
        <v>517505.25701784715</v>
      </c>
      <c r="L84" s="56">
        <f t="shared" si="32"/>
        <v>513438.13963943272</v>
      </c>
      <c r="M84" s="56">
        <f t="shared" si="32"/>
        <v>501967.78667460289</v>
      </c>
      <c r="N84" s="56">
        <f t="shared" si="32"/>
        <v>493525.03558248701</v>
      </c>
      <c r="Q84" s="37"/>
      <c r="R84" s="39"/>
      <c r="S84" s="63"/>
    </row>
    <row r="85" spans="1:20" ht="13.5" customHeight="1" x14ac:dyDescent="0.25">
      <c r="E85" s="56"/>
      <c r="F85" s="56"/>
      <c r="G85" s="56"/>
      <c r="H85" s="56"/>
      <c r="I85" s="56"/>
      <c r="J85" s="56"/>
      <c r="Q85" s="37"/>
      <c r="R85" s="39"/>
      <c r="S85" s="63"/>
    </row>
    <row r="86" spans="1:20" ht="13.5" customHeight="1" x14ac:dyDescent="0.25">
      <c r="A86" s="37" t="s">
        <v>71</v>
      </c>
      <c r="E86" s="56">
        <f>E73*E28</f>
        <v>135545.01369863012</v>
      </c>
      <c r="F86" s="56">
        <f>E86</f>
        <v>135545.01369863012</v>
      </c>
      <c r="G86" s="56">
        <f t="shared" ref="G86:N86" si="33">F86</f>
        <v>135545.01369863012</v>
      </c>
      <c r="H86" s="56">
        <f t="shared" si="33"/>
        <v>135545.01369863012</v>
      </c>
      <c r="I86" s="56">
        <f t="shared" si="33"/>
        <v>135545.01369863012</v>
      </c>
      <c r="J86" s="56">
        <f t="shared" si="33"/>
        <v>135545.01369863012</v>
      </c>
      <c r="K86" s="56">
        <f t="shared" si="33"/>
        <v>135545.01369863012</v>
      </c>
      <c r="L86" s="56">
        <f t="shared" si="33"/>
        <v>135545.01369863012</v>
      </c>
      <c r="M86" s="56">
        <f t="shared" si="33"/>
        <v>135545.01369863012</v>
      </c>
      <c r="N86" s="56">
        <f t="shared" si="33"/>
        <v>135545.01369863012</v>
      </c>
      <c r="P86" s="56">
        <f>AVERAGE(E86:N86)</f>
        <v>135545.01369863009</v>
      </c>
      <c r="Q86" s="49">
        <f>(SUM(P86:P87))/SUM(P81:P87)</f>
        <v>0.64722933054631371</v>
      </c>
      <c r="R86" s="68">
        <f>(D99+D103)*D101</f>
        <v>0.21834693982739029</v>
      </c>
      <c r="S86" s="63">
        <f>R86</f>
        <v>0.21834693982739029</v>
      </c>
      <c r="T86" s="49">
        <f>Q86*S86</f>
        <v>0.14132054369131805</v>
      </c>
    </row>
    <row r="87" spans="1:20" ht="13.5" customHeight="1" x14ac:dyDescent="0.25">
      <c r="A87" s="37" t="s">
        <v>72</v>
      </c>
      <c r="E87" s="57">
        <f>D87+E58</f>
        <v>111088.68351774914</v>
      </c>
      <c r="F87" s="57">
        <f>E87+F58</f>
        <v>231262.69932662946</v>
      </c>
      <c r="G87" s="57">
        <f t="shared" ref="G87:N87" si="34">F87+G58</f>
        <v>355294.73157025606</v>
      </c>
      <c r="H87" s="57">
        <f t="shared" si="34"/>
        <v>483280.4316173282</v>
      </c>
      <c r="I87" s="57">
        <f t="shared" si="34"/>
        <v>615317.93900459353</v>
      </c>
      <c r="J87" s="57">
        <f t="shared" si="34"/>
        <v>751507.95257801563</v>
      </c>
      <c r="K87" s="57">
        <f t="shared" si="34"/>
        <v>891953.80395543424</v>
      </c>
      <c r="L87" s="57">
        <f t="shared" si="34"/>
        <v>1042740.6392776326</v>
      </c>
      <c r="M87" s="57">
        <f t="shared" si="34"/>
        <v>1192019.0740591031</v>
      </c>
      <c r="N87" s="57">
        <f t="shared" si="34"/>
        <v>1345879.9094314158</v>
      </c>
      <c r="P87" s="56">
        <f>AVERAGE(E87:N87)</f>
        <v>702034.58643381589</v>
      </c>
      <c r="Q87" s="37"/>
      <c r="R87" s="39"/>
    </row>
    <row r="88" spans="1:20" ht="13.5" customHeight="1" x14ac:dyDescent="0.25">
      <c r="E88" s="56"/>
      <c r="F88" s="56"/>
      <c r="G88" s="56"/>
      <c r="H88" s="56"/>
      <c r="I88" s="56"/>
      <c r="J88" s="56"/>
      <c r="P88" s="37" t="s">
        <v>149</v>
      </c>
      <c r="Q88" s="37"/>
      <c r="R88" s="39"/>
      <c r="T88" s="48">
        <f>T86+T82+T81</f>
        <v>0.15224141813976752</v>
      </c>
    </row>
    <row r="89" spans="1:20" ht="13.5" customHeight="1" x14ac:dyDescent="0.25">
      <c r="A89" s="37" t="s">
        <v>73</v>
      </c>
      <c r="E89" s="56">
        <f t="shared" ref="E89:N89" si="35">E84+E87+E86</f>
        <v>903633.42465753434</v>
      </c>
      <c r="F89" s="56">
        <f t="shared" si="35"/>
        <v>916277.61474649969</v>
      </c>
      <c r="G89" s="56">
        <f t="shared" si="35"/>
        <v>1034625.471114157</v>
      </c>
      <c r="H89" s="56">
        <f t="shared" si="35"/>
        <v>1156590.8014617926</v>
      </c>
      <c r="I89" s="56">
        <f t="shared" si="35"/>
        <v>1282254.0136502439</v>
      </c>
      <c r="J89" s="56">
        <f t="shared" si="35"/>
        <v>1411697.1816042762</v>
      </c>
      <c r="K89" s="56">
        <f t="shared" si="35"/>
        <v>1545004.0746719115</v>
      </c>
      <c r="L89" s="56">
        <f t="shared" si="35"/>
        <v>1691723.7926156954</v>
      </c>
      <c r="M89" s="56">
        <f t="shared" si="35"/>
        <v>1829531.8744323361</v>
      </c>
      <c r="N89" s="56">
        <f t="shared" si="35"/>
        <v>1974949.9587125329</v>
      </c>
      <c r="Q89" s="48">
        <f>Q81+Q82+Q86</f>
        <v>1.0000000000000002</v>
      </c>
      <c r="R89" s="39"/>
    </row>
    <row r="90" spans="1:20" ht="13.5" customHeight="1" x14ac:dyDescent="0.25">
      <c r="H90" s="56"/>
      <c r="I90" s="56"/>
      <c r="J90" s="56"/>
      <c r="Q90" s="37"/>
      <c r="R90" s="39"/>
    </row>
    <row r="91" spans="1:20" ht="13.5" customHeight="1" x14ac:dyDescent="0.25">
      <c r="A91" s="37" t="s">
        <v>74</v>
      </c>
      <c r="E91" s="56">
        <f>E73-E89</f>
        <v>0</v>
      </c>
      <c r="F91" s="56">
        <f>F73-F89</f>
        <v>0</v>
      </c>
      <c r="G91" s="56">
        <f t="shared" ref="G91:N91" si="36">G73-G89</f>
        <v>0</v>
      </c>
      <c r="H91" s="56">
        <f t="shared" si="36"/>
        <v>0</v>
      </c>
      <c r="I91" s="56">
        <f t="shared" si="36"/>
        <v>0</v>
      </c>
      <c r="J91" s="56">
        <f t="shared" si="36"/>
        <v>0</v>
      </c>
      <c r="K91" s="56">
        <f t="shared" si="36"/>
        <v>0</v>
      </c>
      <c r="L91" s="56">
        <f t="shared" si="36"/>
        <v>0</v>
      </c>
      <c r="M91" s="56">
        <f t="shared" si="36"/>
        <v>0</v>
      </c>
      <c r="N91" s="56">
        <f t="shared" si="36"/>
        <v>0</v>
      </c>
      <c r="Q91" s="37"/>
      <c r="R91" s="39"/>
    </row>
    <row r="92" spans="1:20" ht="13.5" customHeight="1" x14ac:dyDescent="0.25">
      <c r="D92" s="56"/>
      <c r="E92" s="56"/>
      <c r="F92" s="56"/>
      <c r="G92" s="56"/>
      <c r="H92" s="56"/>
      <c r="I92" s="56"/>
      <c r="J92" s="56"/>
      <c r="K92" s="56"/>
      <c r="L92" s="56"/>
      <c r="M92" s="56"/>
    </row>
    <row r="93" spans="1:20" ht="13.5" customHeight="1" x14ac:dyDescent="0.25">
      <c r="D93" s="56"/>
      <c r="E93" s="56"/>
      <c r="F93" s="56"/>
      <c r="G93" s="56"/>
      <c r="H93" s="56"/>
      <c r="I93" s="56"/>
      <c r="J93" s="56"/>
      <c r="K93" s="56"/>
      <c r="L93" s="56"/>
      <c r="M93" s="56"/>
    </row>
    <row r="94" spans="1:20" ht="13.5" customHeight="1" x14ac:dyDescent="0.25">
      <c r="A94" s="37" t="s">
        <v>153</v>
      </c>
      <c r="D94" s="56">
        <f>E51+E48</f>
        <v>229634.40000000008</v>
      </c>
      <c r="E94" s="56"/>
      <c r="F94" s="56"/>
      <c r="G94" s="56"/>
      <c r="H94" s="56"/>
      <c r="I94" s="56"/>
      <c r="J94" s="56"/>
      <c r="K94" s="56"/>
      <c r="L94" s="56"/>
      <c r="M94" s="56"/>
    </row>
    <row r="95" spans="1:20" ht="13.5" customHeight="1" x14ac:dyDescent="0.25">
      <c r="A95" s="37" t="s">
        <v>154</v>
      </c>
      <c r="D95" s="56">
        <f>E53+E54</f>
        <v>31205.524536642763</v>
      </c>
      <c r="E95" s="56"/>
      <c r="F95" s="56"/>
      <c r="G95" s="56"/>
      <c r="H95" s="56"/>
      <c r="I95" s="56"/>
      <c r="J95" s="56"/>
      <c r="K95" s="56"/>
      <c r="L95" s="56"/>
      <c r="M95" s="56"/>
    </row>
    <row r="96" spans="1:20" ht="13.5" customHeight="1" x14ac:dyDescent="0.25">
      <c r="A96" s="37" t="s">
        <v>152</v>
      </c>
      <c r="D96" s="46">
        <f>D94/D95</f>
        <v>7.3587739161491834</v>
      </c>
      <c r="E96" s="56"/>
      <c r="F96" s="56"/>
      <c r="G96" s="56"/>
      <c r="H96" s="56"/>
      <c r="I96" s="56"/>
      <c r="J96" s="56"/>
      <c r="K96" s="56"/>
      <c r="L96" s="56"/>
      <c r="M96" s="56"/>
    </row>
    <row r="97" spans="1:18" ht="13.5" customHeight="1" x14ac:dyDescent="0.25">
      <c r="A97" s="37" t="s">
        <v>156</v>
      </c>
      <c r="D97" s="56" t="s">
        <v>155</v>
      </c>
      <c r="E97" s="56"/>
      <c r="F97" s="56"/>
      <c r="G97" s="56"/>
      <c r="H97" s="56"/>
      <c r="I97" s="56"/>
      <c r="J97" s="56"/>
      <c r="K97" s="56"/>
      <c r="L97" s="56"/>
      <c r="M97" s="56"/>
    </row>
    <row r="98" spans="1:18" ht="13.5" customHeight="1" x14ac:dyDescent="0.25">
      <c r="A98" s="37" t="s">
        <v>157</v>
      </c>
      <c r="D98" s="69">
        <v>1.7999999999999999E-2</v>
      </c>
      <c r="E98" s="70"/>
      <c r="F98" s="56"/>
      <c r="G98" s="56"/>
      <c r="H98" s="56"/>
      <c r="I98" s="56"/>
      <c r="J98" s="56"/>
      <c r="K98" s="56"/>
      <c r="L98" s="56"/>
      <c r="M98" s="56"/>
    </row>
    <row r="99" spans="1:18" ht="13.5" customHeight="1" x14ac:dyDescent="0.25">
      <c r="A99" s="37" t="s">
        <v>158</v>
      </c>
      <c r="D99" s="71">
        <v>2.2800000000000001E-2</v>
      </c>
      <c r="E99" s="70"/>
      <c r="F99" s="56"/>
      <c r="G99" s="56"/>
      <c r="H99" s="56"/>
      <c r="I99" s="56"/>
      <c r="J99" s="56"/>
      <c r="K99" s="56"/>
      <c r="L99" s="56"/>
      <c r="M99" s="56"/>
    </row>
    <row r="100" spans="1:18" ht="13.5" customHeight="1" x14ac:dyDescent="0.25">
      <c r="A100" s="37" t="s">
        <v>159</v>
      </c>
      <c r="D100" s="72">
        <v>0.1</v>
      </c>
      <c r="E100" s="70"/>
      <c r="F100" s="56"/>
      <c r="G100" s="56"/>
      <c r="H100" s="56"/>
      <c r="I100" s="56"/>
      <c r="J100" s="56"/>
      <c r="K100" s="56"/>
      <c r="L100" s="56"/>
      <c r="M100" s="56"/>
    </row>
    <row r="101" spans="1:18" ht="13.5" customHeight="1" x14ac:dyDescent="0.25">
      <c r="A101" s="37" t="s">
        <v>160</v>
      </c>
      <c r="D101" s="73">
        <f>D100-D99</f>
        <v>7.7200000000000005E-2</v>
      </c>
      <c r="E101" s="56"/>
      <c r="F101" s="56"/>
      <c r="G101" s="56"/>
      <c r="H101" s="56"/>
      <c r="I101" s="56"/>
      <c r="J101" s="56"/>
      <c r="K101" s="56"/>
      <c r="L101" s="56"/>
      <c r="M101" s="56"/>
    </row>
    <row r="102" spans="1:18" ht="13.5" customHeight="1" x14ac:dyDescent="0.25">
      <c r="A102" s="37" t="s">
        <v>162</v>
      </c>
      <c r="D102" s="46">
        <v>0.73</v>
      </c>
      <c r="E102" s="74"/>
      <c r="F102" s="56"/>
      <c r="G102" s="56"/>
      <c r="H102" s="56"/>
      <c r="I102" s="56"/>
      <c r="J102" s="56"/>
      <c r="K102" s="56"/>
      <c r="L102" s="56"/>
      <c r="M102" s="56"/>
    </row>
    <row r="103" spans="1:18" ht="13.5" customHeight="1" x14ac:dyDescent="0.25">
      <c r="A103" s="37" t="s">
        <v>161</v>
      </c>
      <c r="D103" s="46">
        <f>D102*(1+(1-E35))*((E81+E82)/(E86+E87))</f>
        <v>2.8055282361060914</v>
      </c>
      <c r="F103" s="56"/>
      <c r="G103" s="56"/>
      <c r="H103" s="56"/>
      <c r="I103" s="56"/>
      <c r="J103" s="56"/>
      <c r="K103" s="56"/>
      <c r="L103" s="56"/>
      <c r="M103" s="56"/>
    </row>
    <row r="104" spans="1:18" ht="13.5" customHeight="1" x14ac:dyDescent="0.25">
      <c r="A104" s="37" t="s">
        <v>149</v>
      </c>
      <c r="D104" s="73">
        <f>T88</f>
        <v>0.15224141813976752</v>
      </c>
      <c r="F104" s="56"/>
      <c r="G104" s="56"/>
      <c r="H104" s="56"/>
      <c r="I104" s="56"/>
      <c r="J104" s="56"/>
      <c r="K104" s="56"/>
      <c r="L104" s="56"/>
      <c r="M104" s="56"/>
      <c r="R104" s="74"/>
    </row>
    <row r="105" spans="1:18" ht="13.5" customHeight="1" x14ac:dyDescent="0.25">
      <c r="D105" s="56"/>
      <c r="F105" s="56"/>
      <c r="G105" s="56"/>
      <c r="H105" s="56"/>
      <c r="I105" s="56"/>
      <c r="J105" s="56"/>
      <c r="K105" s="56"/>
      <c r="L105" s="56"/>
      <c r="M105" s="56"/>
      <c r="R105" s="75" t="s">
        <v>172</v>
      </c>
    </row>
    <row r="106" spans="1:18" x14ac:dyDescent="0.25">
      <c r="R106" s="76" t="s">
        <v>170</v>
      </c>
    </row>
    <row r="107" spans="1:18" x14ac:dyDescent="0.25">
      <c r="A107" s="38" t="s">
        <v>135</v>
      </c>
    </row>
    <row r="109" spans="1:18" x14ac:dyDescent="0.25">
      <c r="A109" s="38" t="s">
        <v>136</v>
      </c>
      <c r="D109" s="37">
        <v>0</v>
      </c>
      <c r="E109" s="37">
        <v>1</v>
      </c>
      <c r="F109" s="37">
        <v>2</v>
      </c>
      <c r="G109" s="37">
        <v>3</v>
      </c>
      <c r="H109" s="37">
        <v>4</v>
      </c>
      <c r="I109" s="37">
        <v>5</v>
      </c>
      <c r="J109" s="37">
        <v>6</v>
      </c>
      <c r="K109" s="37">
        <v>7</v>
      </c>
      <c r="L109" s="37">
        <v>8</v>
      </c>
      <c r="M109" s="37">
        <v>9</v>
      </c>
      <c r="N109" s="37">
        <v>10</v>
      </c>
      <c r="Q109" s="37"/>
      <c r="R109" s="39"/>
    </row>
    <row r="110" spans="1:18" x14ac:dyDescent="0.25">
      <c r="B110" s="37" t="s">
        <v>137</v>
      </c>
      <c r="E110" s="56">
        <f>(E51+E48)</f>
        <v>229634.40000000008</v>
      </c>
      <c r="F110" s="56">
        <f t="shared" ref="F110:N110" si="37">(F51+F48)</f>
        <v>235231.35119999992</v>
      </c>
      <c r="G110" s="56">
        <f t="shared" si="37"/>
        <v>240958.30014359998</v>
      </c>
      <c r="H110" s="56">
        <f t="shared" si="37"/>
        <v>246818.22309892077</v>
      </c>
      <c r="I110" s="56">
        <f t="shared" si="37"/>
        <v>252814.16398644797</v>
      </c>
      <c r="J110" s="56">
        <f t="shared" si="37"/>
        <v>258949.2359110422</v>
      </c>
      <c r="K110" s="56">
        <f t="shared" si="37"/>
        <v>265226.62272857584</v>
      </c>
      <c r="L110" s="56">
        <f t="shared" si="37"/>
        <v>271649.5806479723</v>
      </c>
      <c r="M110" s="56">
        <f t="shared" si="37"/>
        <v>278221.43986945343</v>
      </c>
      <c r="N110" s="56">
        <f t="shared" si="37"/>
        <v>284945.60625980783</v>
      </c>
      <c r="Q110" s="37"/>
      <c r="R110" s="39"/>
    </row>
    <row r="111" spans="1:18" x14ac:dyDescent="0.25">
      <c r="B111" s="37" t="s">
        <v>138</v>
      </c>
      <c r="E111" s="77">
        <f>E48</f>
        <v>22600</v>
      </c>
      <c r="F111" s="77">
        <f t="shared" ref="F111:N111" si="38">F48</f>
        <v>22600</v>
      </c>
      <c r="G111" s="77">
        <f t="shared" si="38"/>
        <v>22600</v>
      </c>
      <c r="H111" s="77">
        <f t="shared" si="38"/>
        <v>22600</v>
      </c>
      <c r="I111" s="77">
        <f t="shared" si="38"/>
        <v>22600</v>
      </c>
      <c r="J111" s="77">
        <f t="shared" si="38"/>
        <v>22600</v>
      </c>
      <c r="K111" s="77">
        <f t="shared" si="38"/>
        <v>22600</v>
      </c>
      <c r="L111" s="77">
        <f t="shared" si="38"/>
        <v>22600</v>
      </c>
      <c r="M111" s="77">
        <f t="shared" si="38"/>
        <v>22600</v>
      </c>
      <c r="N111" s="77">
        <f t="shared" si="38"/>
        <v>22600</v>
      </c>
      <c r="Q111" s="37"/>
      <c r="R111" s="39"/>
    </row>
    <row r="112" spans="1:18" x14ac:dyDescent="0.25">
      <c r="B112" s="37" t="s">
        <v>139</v>
      </c>
      <c r="E112" s="77">
        <f>E110-E111</f>
        <v>207034.40000000008</v>
      </c>
      <c r="F112" s="77">
        <f t="shared" ref="F112:N112" si="39">F110-F111</f>
        <v>212631.35119999992</v>
      </c>
      <c r="G112" s="77">
        <f t="shared" si="39"/>
        <v>218358.30014359998</v>
      </c>
      <c r="H112" s="77">
        <f t="shared" si="39"/>
        <v>224218.22309892077</v>
      </c>
      <c r="I112" s="77">
        <f t="shared" si="39"/>
        <v>230214.16398644797</v>
      </c>
      <c r="J112" s="77">
        <f t="shared" si="39"/>
        <v>236349.2359110422</v>
      </c>
      <c r="K112" s="77">
        <f t="shared" si="39"/>
        <v>242626.62272857584</v>
      </c>
      <c r="L112" s="77">
        <f t="shared" si="39"/>
        <v>249049.5806479723</v>
      </c>
      <c r="M112" s="77">
        <f t="shared" si="39"/>
        <v>255621.43986945343</v>
      </c>
      <c r="N112" s="77">
        <f t="shared" si="39"/>
        <v>262345.60625980783</v>
      </c>
      <c r="Q112" s="37"/>
      <c r="R112" s="39"/>
    </row>
    <row r="113" spans="1:18" x14ac:dyDescent="0.25">
      <c r="B113" s="37" t="s">
        <v>140</v>
      </c>
      <c r="E113" s="77">
        <f>E112*E35</f>
        <v>76230.066080000033</v>
      </c>
      <c r="F113" s="77">
        <f t="shared" ref="F113:N113" si="40">F112*F35</f>
        <v>78290.863511839969</v>
      </c>
      <c r="G113" s="77">
        <f t="shared" si="40"/>
        <v>80399.526112873515</v>
      </c>
      <c r="H113" s="77">
        <f t="shared" si="40"/>
        <v>82557.149745022631</v>
      </c>
      <c r="I113" s="77">
        <f t="shared" si="40"/>
        <v>84764.855179810154</v>
      </c>
      <c r="J113" s="77">
        <f t="shared" si="40"/>
        <v>87023.788662445746</v>
      </c>
      <c r="K113" s="77">
        <f t="shared" si="40"/>
        <v>89335.122488661626</v>
      </c>
      <c r="L113" s="77">
        <f t="shared" si="40"/>
        <v>91700.055594583406</v>
      </c>
      <c r="M113" s="77">
        <f t="shared" si="40"/>
        <v>94119.814159932765</v>
      </c>
      <c r="N113" s="77">
        <f t="shared" si="40"/>
        <v>96595.652224861245</v>
      </c>
      <c r="Q113" s="37"/>
      <c r="R113" s="39"/>
    </row>
    <row r="114" spans="1:18" x14ac:dyDescent="0.25">
      <c r="B114" s="37" t="s">
        <v>141</v>
      </c>
      <c r="E114" s="77">
        <f>E110-E113</f>
        <v>153404.33392000006</v>
      </c>
      <c r="F114" s="77">
        <f t="shared" ref="F114:N114" si="41">F110-F113</f>
        <v>156940.48768815995</v>
      </c>
      <c r="G114" s="77">
        <f t="shared" si="41"/>
        <v>160558.77403072646</v>
      </c>
      <c r="H114" s="77">
        <f t="shared" si="41"/>
        <v>164261.07335389813</v>
      </c>
      <c r="I114" s="77">
        <f t="shared" si="41"/>
        <v>168049.30880663783</v>
      </c>
      <c r="J114" s="77">
        <f t="shared" si="41"/>
        <v>171925.44724859647</v>
      </c>
      <c r="K114" s="77">
        <f t="shared" si="41"/>
        <v>175891.50023991422</v>
      </c>
      <c r="L114" s="77">
        <f t="shared" si="41"/>
        <v>179949.5250533889</v>
      </c>
      <c r="M114" s="77">
        <f t="shared" si="41"/>
        <v>184101.62570952065</v>
      </c>
      <c r="N114" s="77">
        <f t="shared" si="41"/>
        <v>188349.95403494657</v>
      </c>
      <c r="Q114" s="37"/>
      <c r="R114" s="39"/>
    </row>
    <row r="115" spans="1:18" x14ac:dyDescent="0.25">
      <c r="Q115" s="37"/>
      <c r="R115" s="39"/>
    </row>
    <row r="116" spans="1:18" x14ac:dyDescent="0.25">
      <c r="A116" s="38" t="s">
        <v>142</v>
      </c>
      <c r="Q116" s="37"/>
      <c r="R116" s="39"/>
    </row>
    <row r="117" spans="1:18" x14ac:dyDescent="0.25">
      <c r="A117" s="37" t="s">
        <v>143</v>
      </c>
      <c r="Q117" s="37"/>
      <c r="R117" s="39"/>
    </row>
    <row r="118" spans="1:18" x14ac:dyDescent="0.25">
      <c r="B118" s="37" t="s">
        <v>54</v>
      </c>
      <c r="D118" s="56">
        <f>-(E63-D63)</f>
        <v>-26400</v>
      </c>
      <c r="E118" s="56">
        <f t="shared" ref="E118:N118" si="42">-(F63-E63)</f>
        <v>-595.31999999999971</v>
      </c>
      <c r="F118" s="56">
        <f t="shared" si="42"/>
        <v>-608.74446600000374</v>
      </c>
      <c r="G118" s="56">
        <f t="shared" si="42"/>
        <v>-622.47165370829316</v>
      </c>
      <c r="H118" s="56">
        <f t="shared" si="42"/>
        <v>-636.50838949942772</v>
      </c>
      <c r="I118" s="56">
        <f t="shared" si="42"/>
        <v>-650.86165368263028</v>
      </c>
      <c r="J118" s="78">
        <f t="shared" si="42"/>
        <v>-665.53858397317526</v>
      </c>
      <c r="K118" s="78">
        <f t="shared" si="42"/>
        <v>-680.54647904176818</v>
      </c>
      <c r="L118" s="78">
        <f t="shared" si="42"/>
        <v>-695.89280214416431</v>
      </c>
      <c r="M118" s="78">
        <f t="shared" si="42"/>
        <v>-711.58518483250737</v>
      </c>
      <c r="N118" s="78">
        <f t="shared" si="42"/>
        <v>32267.46921288197</v>
      </c>
      <c r="O118" s="56">
        <f>SUM(D118:N118)</f>
        <v>0</v>
      </c>
      <c r="Q118" s="37"/>
      <c r="R118" s="39"/>
    </row>
    <row r="119" spans="1:18" x14ac:dyDescent="0.25">
      <c r="B119" s="37" t="s">
        <v>55</v>
      </c>
      <c r="D119" s="56">
        <f>-(E64-D64)</f>
        <v>0</v>
      </c>
      <c r="E119" s="56">
        <f t="shared" ref="E119:N119" si="43">-(F64-E64)</f>
        <v>-29918.930362938048</v>
      </c>
      <c r="F119" s="56">
        <f t="shared" si="43"/>
        <v>-135502.51203480791</v>
      </c>
      <c r="G119" s="56">
        <f t="shared" si="43"/>
        <v>-138997.19350008067</v>
      </c>
      <c r="H119" s="56">
        <f t="shared" si="43"/>
        <v>-142569.51385498373</v>
      </c>
      <c r="I119" s="56">
        <f t="shared" si="43"/>
        <v>-146221.0767231452</v>
      </c>
      <c r="J119" s="78">
        <f t="shared" si="43"/>
        <v>-149953.51367949147</v>
      </c>
      <c r="K119" s="78">
        <f t="shared" si="43"/>
        <v>-163232.08985043794</v>
      </c>
      <c r="L119" s="78">
        <f t="shared" si="43"/>
        <v>-154183.1777097896</v>
      </c>
      <c r="M119" s="78">
        <f t="shared" si="43"/>
        <v>-161652.80858573597</v>
      </c>
      <c r="N119" s="78">
        <f t="shared" si="43"/>
        <v>1222230.8163014106</v>
      </c>
      <c r="O119" s="56">
        <f t="shared" ref="O119:O123" si="44">SUM(D119:N119)</f>
        <v>0</v>
      </c>
      <c r="Q119" s="37"/>
      <c r="R119" s="39"/>
    </row>
    <row r="120" spans="1:18" x14ac:dyDescent="0.25">
      <c r="B120" s="37" t="s">
        <v>56</v>
      </c>
      <c r="D120" s="56">
        <f>-(E65-D65)</f>
        <v>-14465.753424657534</v>
      </c>
      <c r="E120" s="56">
        <f t="shared" ref="E120:N120" si="45">-(F65-E65)</f>
        <v>-326.20273972602808</v>
      </c>
      <c r="F120" s="56">
        <f t="shared" si="45"/>
        <v>-333.55861150685087</v>
      </c>
      <c r="G120" s="56">
        <f t="shared" si="45"/>
        <v>-341.0803581963246</v>
      </c>
      <c r="H120" s="56">
        <f t="shared" si="45"/>
        <v>-348.7717202736585</v>
      </c>
      <c r="I120" s="56">
        <f t="shared" si="45"/>
        <v>-356.63652256582463</v>
      </c>
      <c r="J120" s="78">
        <f t="shared" si="45"/>
        <v>-364.678676149686</v>
      </c>
      <c r="K120" s="78">
        <f t="shared" si="45"/>
        <v>-372.90218029686002</v>
      </c>
      <c r="L120" s="78">
        <f t="shared" si="45"/>
        <v>-381.31112446255429</v>
      </c>
      <c r="M120" s="78">
        <f t="shared" si="45"/>
        <v>-389.90969031918212</v>
      </c>
      <c r="N120" s="78">
        <f t="shared" si="45"/>
        <v>17680.805048154503</v>
      </c>
      <c r="O120" s="56">
        <f t="shared" si="44"/>
        <v>0</v>
      </c>
      <c r="Q120" s="37"/>
      <c r="R120" s="39"/>
    </row>
    <row r="121" spans="1:18" x14ac:dyDescent="0.25">
      <c r="B121" s="37" t="s">
        <v>57</v>
      </c>
      <c r="D121" s="56">
        <f>-(E66-D66)</f>
        <v>-195287.67123287669</v>
      </c>
      <c r="E121" s="56">
        <f t="shared" ref="E121:N121" si="46">-(F66-E66)</f>
        <v>-4403.7369863014028</v>
      </c>
      <c r="F121" s="56">
        <f t="shared" si="46"/>
        <v>-4503.0412553424831</v>
      </c>
      <c r="G121" s="56">
        <f t="shared" si="46"/>
        <v>-4604.5848356503993</v>
      </c>
      <c r="H121" s="56">
        <f t="shared" si="46"/>
        <v>-4708.4182236943743</v>
      </c>
      <c r="I121" s="56">
        <f t="shared" si="46"/>
        <v>-4814.5930546386517</v>
      </c>
      <c r="J121" s="78">
        <f t="shared" si="46"/>
        <v>-4923.1621280207764</v>
      </c>
      <c r="K121" s="78">
        <f t="shared" si="46"/>
        <v>-5034.1794340075576</v>
      </c>
      <c r="L121" s="78">
        <f t="shared" si="46"/>
        <v>-5147.7001802444865</v>
      </c>
      <c r="M121" s="78">
        <f t="shared" si="46"/>
        <v>-5263.7808193090023</v>
      </c>
      <c r="N121" s="78">
        <f t="shared" si="46"/>
        <v>238690.86815008582</v>
      </c>
      <c r="O121" s="56">
        <f t="shared" si="44"/>
        <v>0</v>
      </c>
      <c r="Q121" s="37"/>
      <c r="R121" s="39"/>
    </row>
    <row r="122" spans="1:18" x14ac:dyDescent="0.25">
      <c r="B122" s="37" t="s">
        <v>65</v>
      </c>
      <c r="D122" s="56">
        <f>E77-D77</f>
        <v>11391.780821917808</v>
      </c>
      <c r="E122" s="56">
        <f t="shared" ref="E122:N122" si="47">F77-E77</f>
        <v>256.88465753424862</v>
      </c>
      <c r="F122" s="56">
        <f t="shared" si="47"/>
        <v>262.6774065616446</v>
      </c>
      <c r="G122" s="56">
        <f t="shared" si="47"/>
        <v>268.60078207960578</v>
      </c>
      <c r="H122" s="56">
        <f t="shared" si="47"/>
        <v>274.65772971550541</v>
      </c>
      <c r="I122" s="56">
        <f t="shared" si="47"/>
        <v>280.85126152058729</v>
      </c>
      <c r="J122" s="78">
        <f t="shared" si="47"/>
        <v>287.18445746787802</v>
      </c>
      <c r="K122" s="78">
        <f t="shared" si="47"/>
        <v>293.66046698377613</v>
      </c>
      <c r="L122" s="78">
        <f t="shared" si="47"/>
        <v>300.28251051426196</v>
      </c>
      <c r="M122" s="78">
        <f t="shared" si="47"/>
        <v>307.05388112635774</v>
      </c>
      <c r="N122" s="78">
        <f t="shared" si="47"/>
        <v>-13923.633975421673</v>
      </c>
      <c r="O122" s="56">
        <f t="shared" si="44"/>
        <v>0</v>
      </c>
      <c r="Q122" s="37"/>
      <c r="R122" s="39"/>
    </row>
    <row r="123" spans="1:18" x14ac:dyDescent="0.25">
      <c r="B123" s="37" t="s">
        <v>66</v>
      </c>
      <c r="D123" s="56">
        <f>E113-D113</f>
        <v>76230.066080000033</v>
      </c>
      <c r="E123" s="56">
        <f>F113-E113</f>
        <v>2060.7974318399356</v>
      </c>
      <c r="F123" s="56">
        <f t="shared" ref="F123:N123" si="48">G113-F113</f>
        <v>2108.6626010335458</v>
      </c>
      <c r="G123" s="56">
        <f t="shared" si="48"/>
        <v>2157.623632149116</v>
      </c>
      <c r="H123" s="56">
        <f t="shared" si="48"/>
        <v>2207.7054347875237</v>
      </c>
      <c r="I123" s="56">
        <f t="shared" si="48"/>
        <v>2258.9334826355916</v>
      </c>
      <c r="J123" s="78">
        <f t="shared" si="48"/>
        <v>2311.3338262158795</v>
      </c>
      <c r="K123" s="78">
        <f t="shared" si="48"/>
        <v>2364.9331059217802</v>
      </c>
      <c r="L123" s="78">
        <f t="shared" si="48"/>
        <v>2419.7585653493588</v>
      </c>
      <c r="M123" s="78">
        <f t="shared" si="48"/>
        <v>2475.8380649284809</v>
      </c>
      <c r="N123" s="78">
        <f t="shared" si="48"/>
        <v>-96595.652224861245</v>
      </c>
      <c r="O123" s="56">
        <f t="shared" si="44"/>
        <v>0</v>
      </c>
      <c r="Q123" s="37"/>
      <c r="R123" s="39"/>
    </row>
    <row r="124" spans="1:18" x14ac:dyDescent="0.25">
      <c r="J124" s="79"/>
      <c r="K124" s="79"/>
      <c r="L124" s="79"/>
      <c r="M124" s="79"/>
      <c r="N124" s="79"/>
      <c r="Q124" s="37"/>
      <c r="R124" s="39"/>
    </row>
    <row r="125" spans="1:18" x14ac:dyDescent="0.25">
      <c r="A125" s="37" t="s">
        <v>144</v>
      </c>
      <c r="J125" s="79"/>
      <c r="K125" s="79"/>
      <c r="L125" s="79"/>
      <c r="M125" s="79"/>
      <c r="N125" s="79"/>
      <c r="Q125" s="37"/>
      <c r="R125" s="39"/>
    </row>
    <row r="126" spans="1:18" x14ac:dyDescent="0.25">
      <c r="B126" s="37" t="s">
        <v>59</v>
      </c>
      <c r="D126" s="56">
        <f>-(E69-D69)</f>
        <v>-12080</v>
      </c>
      <c r="E126" s="56">
        <f>-(F69-E69)</f>
        <v>0</v>
      </c>
      <c r="F126" s="56">
        <f t="shared" ref="F126:M126" si="49">-(G69-F69)</f>
        <v>0</v>
      </c>
      <c r="G126" s="56">
        <f t="shared" si="49"/>
        <v>0</v>
      </c>
      <c r="H126" s="56">
        <f t="shared" si="49"/>
        <v>0</v>
      </c>
      <c r="I126" s="56">
        <f t="shared" si="49"/>
        <v>0</v>
      </c>
      <c r="J126" s="78">
        <f t="shared" si="49"/>
        <v>0</v>
      </c>
      <c r="K126" s="78">
        <f t="shared" si="49"/>
        <v>0</v>
      </c>
      <c r="L126" s="78">
        <f t="shared" si="49"/>
        <v>0</v>
      </c>
      <c r="M126" s="78">
        <f t="shared" si="49"/>
        <v>0</v>
      </c>
      <c r="N126" s="78">
        <f>-(O69-N69)</f>
        <v>12080</v>
      </c>
      <c r="Q126" s="37"/>
      <c r="R126" s="39"/>
    </row>
    <row r="127" spans="1:18" x14ac:dyDescent="0.25">
      <c r="B127" s="37" t="s">
        <v>145</v>
      </c>
      <c r="J127" s="79"/>
      <c r="K127" s="79"/>
      <c r="L127" s="79"/>
      <c r="M127" s="79"/>
      <c r="N127" s="79"/>
      <c r="Q127" s="37"/>
      <c r="R127" s="39"/>
    </row>
    <row r="128" spans="1:18" x14ac:dyDescent="0.25">
      <c r="B128" s="37" t="s">
        <v>146</v>
      </c>
      <c r="J128" s="79"/>
      <c r="K128" s="79"/>
      <c r="L128" s="79"/>
      <c r="M128" s="79"/>
      <c r="N128" s="79"/>
      <c r="Q128" s="37"/>
      <c r="R128" s="39"/>
    </row>
    <row r="129" spans="1:18" x14ac:dyDescent="0.25">
      <c r="J129" s="79"/>
      <c r="K129" s="79"/>
      <c r="L129" s="79"/>
      <c r="M129" s="79"/>
      <c r="N129" s="79"/>
      <c r="Q129" s="37"/>
      <c r="R129" s="39"/>
    </row>
    <row r="130" spans="1:18" x14ac:dyDescent="0.25">
      <c r="B130" s="37" t="s">
        <v>60</v>
      </c>
      <c r="D130" s="56">
        <f>-(E70-D70)</f>
        <v>-678000</v>
      </c>
      <c r="E130" s="56">
        <f t="shared" ref="E130:N130" si="50">-(F70-E70)</f>
        <v>0</v>
      </c>
      <c r="F130" s="56">
        <f t="shared" si="50"/>
        <v>0</v>
      </c>
      <c r="G130" s="56">
        <f t="shared" si="50"/>
        <v>0</v>
      </c>
      <c r="H130" s="56">
        <f t="shared" si="50"/>
        <v>0</v>
      </c>
      <c r="I130" s="56">
        <f t="shared" si="50"/>
        <v>0</v>
      </c>
      <c r="J130" s="78">
        <f t="shared" si="50"/>
        <v>0</v>
      </c>
      <c r="K130" s="78">
        <f t="shared" si="50"/>
        <v>0</v>
      </c>
      <c r="L130" s="78">
        <f t="shared" si="50"/>
        <v>0</v>
      </c>
      <c r="M130" s="78">
        <f t="shared" si="50"/>
        <v>0</v>
      </c>
      <c r="N130" s="78">
        <f t="shared" si="50"/>
        <v>678000</v>
      </c>
      <c r="Q130" s="37"/>
      <c r="R130" s="39"/>
    </row>
    <row r="131" spans="1:18" x14ac:dyDescent="0.25">
      <c r="B131" s="37" t="s">
        <v>145</v>
      </c>
      <c r="J131" s="79"/>
      <c r="K131" s="79"/>
      <c r="L131" s="79"/>
      <c r="M131" s="79"/>
      <c r="N131" s="79"/>
      <c r="Q131" s="37"/>
      <c r="R131" s="39"/>
    </row>
    <row r="132" spans="1:18" x14ac:dyDescent="0.25">
      <c r="B132" s="37" t="s">
        <v>146</v>
      </c>
      <c r="J132" s="79"/>
      <c r="K132" s="79"/>
      <c r="L132" s="79"/>
      <c r="M132" s="79"/>
      <c r="N132" s="79"/>
      <c r="Q132" s="37"/>
      <c r="R132" s="39"/>
    </row>
    <row r="133" spans="1:18" x14ac:dyDescent="0.25">
      <c r="J133" s="79"/>
      <c r="K133" s="79"/>
      <c r="L133" s="79"/>
      <c r="M133" s="79"/>
      <c r="N133" s="79"/>
      <c r="Q133" s="37"/>
      <c r="R133" s="39"/>
    </row>
    <row r="134" spans="1:18" x14ac:dyDescent="0.25">
      <c r="A134" s="37" t="s">
        <v>147</v>
      </c>
      <c r="D134" s="47">
        <v>624447.522</v>
      </c>
      <c r="J134" s="79"/>
      <c r="K134" s="79"/>
      <c r="L134" s="79"/>
      <c r="M134" s="79"/>
      <c r="N134" s="79"/>
      <c r="Q134" s="37"/>
      <c r="R134" s="39"/>
    </row>
    <row r="135" spans="1:18" x14ac:dyDescent="0.25">
      <c r="D135" s="43">
        <f>SUM(D114:D134)</f>
        <v>-214164.0557556164</v>
      </c>
      <c r="E135" s="43">
        <f t="shared" ref="E135:M135" si="51">SUM(E114:E134)</f>
        <v>120477.82592040877</v>
      </c>
      <c r="F135" s="43">
        <f t="shared" si="51"/>
        <v>18363.971328097894</v>
      </c>
      <c r="G135" s="43">
        <f t="shared" si="51"/>
        <v>18419.668097319503</v>
      </c>
      <c r="H135" s="43">
        <f t="shared" si="51"/>
        <v>18480.224329949979</v>
      </c>
      <c r="I135" s="43">
        <f t="shared" si="51"/>
        <v>18545.925596761695</v>
      </c>
      <c r="J135" s="80">
        <f t="shared" si="51"/>
        <v>18617.072464645098</v>
      </c>
      <c r="K135" s="80">
        <f t="shared" si="51"/>
        <v>9230.3758690356444</v>
      </c>
      <c r="L135" s="80">
        <f t="shared" si="51"/>
        <v>22261.484312611719</v>
      </c>
      <c r="M135" s="80">
        <f t="shared" si="51"/>
        <v>18866.433375378827</v>
      </c>
      <c r="N135" s="80">
        <f>SUM(N114:N134)</f>
        <v>2278780.6265471964</v>
      </c>
      <c r="Q135" s="37"/>
    </row>
    <row r="136" spans="1:18" x14ac:dyDescent="0.25">
      <c r="A136" s="37" t="s">
        <v>167</v>
      </c>
      <c r="D136" s="77"/>
      <c r="I136" s="43">
        <f>(I135*(1+D143))/(D140-D143)</f>
        <v>130223.02897826374</v>
      </c>
      <c r="J136" s="79"/>
      <c r="K136" s="79"/>
      <c r="L136" s="79"/>
      <c r="M136" s="79"/>
      <c r="N136" s="79"/>
      <c r="Q136" s="37"/>
      <c r="R136" s="75" t="s">
        <v>173</v>
      </c>
    </row>
    <row r="137" spans="1:18" x14ac:dyDescent="0.25">
      <c r="A137" s="38" t="s">
        <v>148</v>
      </c>
      <c r="D137" s="43">
        <f>SUM(D114:D134)</f>
        <v>-214164.0557556164</v>
      </c>
      <c r="E137" s="43">
        <f>SUM(E114:E134)</f>
        <v>120477.82592040877</v>
      </c>
      <c r="F137" s="43">
        <f>SUM(F114:F134)</f>
        <v>18363.971328097894</v>
      </c>
      <c r="G137" s="43">
        <f>SUM(G114:G134)</f>
        <v>18419.668097319503</v>
      </c>
      <c r="H137" s="43">
        <f>SUM(H114:H134)</f>
        <v>18480.224329949979</v>
      </c>
      <c r="I137" s="43">
        <f>I135+I136</f>
        <v>148768.95457502545</v>
      </c>
      <c r="J137" s="80">
        <f>SUM(J114:J134)</f>
        <v>18617.072464645098</v>
      </c>
      <c r="K137" s="80">
        <f>SUM(K114:K134)</f>
        <v>9230.3758690356444</v>
      </c>
      <c r="L137" s="80">
        <f>SUM(L114:L134)</f>
        <v>22261.484312611719</v>
      </c>
      <c r="M137" s="80">
        <f>SUM(M114:M134)</f>
        <v>18866.433375378827</v>
      </c>
      <c r="N137" s="80">
        <f>N135+N136</f>
        <v>2278780.6265471964</v>
      </c>
      <c r="Q137" s="37"/>
      <c r="R137" s="76" t="s">
        <v>171</v>
      </c>
    </row>
    <row r="138" spans="1:18" x14ac:dyDescent="0.25">
      <c r="D138" s="43"/>
      <c r="E138" s="43"/>
      <c r="F138" s="43"/>
      <c r="G138" s="43"/>
      <c r="H138" s="43"/>
      <c r="I138" s="43"/>
      <c r="J138" s="43"/>
      <c r="K138" s="43"/>
      <c r="L138" s="43"/>
      <c r="M138" s="43"/>
      <c r="N138" s="43"/>
      <c r="Q138" s="37"/>
    </row>
    <row r="140" spans="1:18" x14ac:dyDescent="0.25">
      <c r="A140" s="38" t="s">
        <v>149</v>
      </c>
      <c r="D140" s="48">
        <f>T88</f>
        <v>0.15224141813976752</v>
      </c>
      <c r="F140" s="77"/>
      <c r="Q140" s="37"/>
      <c r="R140" s="39"/>
    </row>
    <row r="141" spans="1:18" x14ac:dyDescent="0.25">
      <c r="A141" s="38" t="s">
        <v>150</v>
      </c>
      <c r="D141" s="48">
        <f>IRR(D137:I137)</f>
        <v>0.15224142401549345</v>
      </c>
      <c r="Q141" s="37"/>
      <c r="R141" s="39"/>
    </row>
    <row r="142" spans="1:18" x14ac:dyDescent="0.25">
      <c r="A142" s="38" t="s">
        <v>151</v>
      </c>
      <c r="D142" s="77">
        <f>NPV(D140,E137:I137)+D137</f>
        <v>2.9399051272775978E-3</v>
      </c>
      <c r="E142" s="63"/>
      <c r="F142" s="77"/>
      <c r="Q142" s="37"/>
      <c r="R142" s="39"/>
    </row>
    <row r="143" spans="1:18" x14ac:dyDescent="0.25">
      <c r="A143" s="37" t="s">
        <v>168</v>
      </c>
      <c r="D143" s="48">
        <v>8.6E-3</v>
      </c>
    </row>
    <row r="144" spans="1:18" x14ac:dyDescent="0.25">
      <c r="A144" s="37" t="s">
        <v>169</v>
      </c>
    </row>
  </sheetData>
  <hyperlinks>
    <hyperlink ref="R10" r:id="rId1" display="http://www.indeed.com/salary?q1=Retail+Sales+Associate+&amp;l1=San+Diego%2C+CA"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4"/>
  <sheetViews>
    <sheetView topLeftCell="A14" workbookViewId="0">
      <selection activeCell="D31" sqref="D31"/>
    </sheetView>
  </sheetViews>
  <sheetFormatPr defaultRowHeight="15.75" x14ac:dyDescent="0.25"/>
  <cols>
    <col min="1" max="1" width="19" style="12" customWidth="1"/>
    <col min="2" max="2" width="27.85546875" style="12" customWidth="1"/>
    <col min="3" max="3" width="14.42578125" style="12" customWidth="1"/>
    <col min="4" max="4" width="15.7109375" style="12" customWidth="1"/>
    <col min="5" max="5" width="16.7109375" style="12" customWidth="1"/>
    <col min="6" max="6" width="17.85546875" style="12" customWidth="1"/>
    <col min="7" max="7" width="14.7109375" style="12" customWidth="1"/>
    <col min="8" max="8" width="13.85546875" style="12" customWidth="1"/>
    <col min="9" max="9" width="13.42578125" style="12" customWidth="1"/>
    <col min="10" max="10" width="13.7109375" style="12" customWidth="1"/>
    <col min="11" max="11" width="12.42578125" style="12" customWidth="1"/>
    <col min="12" max="12" width="13.28515625" style="12" customWidth="1"/>
    <col min="13" max="13" width="12.5703125" style="12" customWidth="1"/>
    <col min="14" max="15" width="15.140625" style="12" bestFit="1" customWidth="1"/>
    <col min="16" max="16" width="16.28515625" style="12" bestFit="1" customWidth="1"/>
    <col min="17" max="17" width="19.28515625" style="12" bestFit="1" customWidth="1"/>
    <col min="18" max="16384" width="9.140625" style="12"/>
  </cols>
  <sheetData>
    <row r="1" spans="1:17" x14ac:dyDescent="0.25">
      <c r="A1" s="11" t="s">
        <v>174</v>
      </c>
    </row>
    <row r="2" spans="1:17" s="14" customFormat="1" x14ac:dyDescent="0.25">
      <c r="A2" s="13"/>
    </row>
    <row r="3" spans="1:17" x14ac:dyDescent="0.25">
      <c r="A3" s="11"/>
      <c r="C3" s="15">
        <v>0</v>
      </c>
      <c r="D3" s="15">
        <v>1</v>
      </c>
      <c r="E3" s="15">
        <v>2</v>
      </c>
      <c r="F3" s="15">
        <v>3</v>
      </c>
      <c r="G3" s="15">
        <v>4</v>
      </c>
      <c r="H3" s="15">
        <v>5</v>
      </c>
      <c r="I3" s="15">
        <v>6</v>
      </c>
      <c r="J3" s="15">
        <v>7</v>
      </c>
      <c r="K3" s="15">
        <v>8</v>
      </c>
      <c r="L3" s="15">
        <v>9</v>
      </c>
      <c r="M3" s="15">
        <v>10</v>
      </c>
      <c r="N3" s="15"/>
      <c r="O3" s="15"/>
      <c r="P3" s="15"/>
      <c r="Q3" s="15"/>
    </row>
    <row r="4" spans="1:17" x14ac:dyDescent="0.25">
      <c r="A4" s="11" t="s">
        <v>148</v>
      </c>
      <c r="C4" s="16">
        <f>Forecasts!D135</f>
        <v>-214164.0557556164</v>
      </c>
      <c r="D4" s="16">
        <f>Forecasts!E135</f>
        <v>120477.82592040877</v>
      </c>
      <c r="E4" s="16">
        <f>Forecasts!F135</f>
        <v>18363.971328097894</v>
      </c>
      <c r="F4" s="16">
        <f>Forecasts!G135</f>
        <v>18419.668097319503</v>
      </c>
      <c r="G4" s="16">
        <f>Forecasts!H135</f>
        <v>18480.224329949979</v>
      </c>
      <c r="H4" s="16">
        <f>Forecasts!I135</f>
        <v>18545.925596761695</v>
      </c>
      <c r="I4" s="16">
        <f>Forecasts!J135</f>
        <v>18617.072464645098</v>
      </c>
      <c r="J4" s="16">
        <f>Forecasts!K135</f>
        <v>9230.3758690356444</v>
      </c>
      <c r="K4" s="16">
        <f>Forecasts!L135</f>
        <v>22261.484312611719</v>
      </c>
      <c r="L4" s="16">
        <f>Forecasts!M135</f>
        <v>18866.433375378827</v>
      </c>
      <c r="M4" s="16">
        <f>Forecasts!N135</f>
        <v>2278780.6265471964</v>
      </c>
    </row>
    <row r="5" spans="1:17" x14ac:dyDescent="0.25">
      <c r="A5" s="11" t="s">
        <v>150</v>
      </c>
      <c r="C5" s="17">
        <f>Forecasts!D141</f>
        <v>0.15224142401549345</v>
      </c>
    </row>
    <row r="6" spans="1:17" x14ac:dyDescent="0.25">
      <c r="A6" s="18" t="s">
        <v>176</v>
      </c>
      <c r="C6" s="19">
        <f>Forecasts!D140</f>
        <v>0.15224141813976752</v>
      </c>
    </row>
    <row r="7" spans="1:17" x14ac:dyDescent="0.25">
      <c r="A7" s="18" t="s">
        <v>177</v>
      </c>
      <c r="C7" s="20">
        <f>Forecasts!D142</f>
        <v>2.9399051272775978E-3</v>
      </c>
    </row>
    <row r="8" spans="1:17" x14ac:dyDescent="0.25">
      <c r="A8" s="18"/>
      <c r="C8" s="20"/>
    </row>
    <row r="9" spans="1:17" x14ac:dyDescent="0.25">
      <c r="C9" s="20"/>
    </row>
    <row r="10" spans="1:17" x14ac:dyDescent="0.25">
      <c r="A10" s="18"/>
      <c r="C10" s="20"/>
    </row>
    <row r="11" spans="1:17" x14ac:dyDescent="0.25">
      <c r="A11" s="18"/>
      <c r="C11" s="19"/>
    </row>
    <row r="12" spans="1:17" x14ac:dyDescent="0.25">
      <c r="A12" s="18" t="s">
        <v>178</v>
      </c>
      <c r="C12" s="21">
        <f>Forecasts!D99</f>
        <v>2.2800000000000001E-2</v>
      </c>
    </row>
    <row r="13" spans="1:17" x14ac:dyDescent="0.25">
      <c r="A13" s="18" t="s">
        <v>179</v>
      </c>
      <c r="C13" s="22">
        <f>Forecasts!D103</f>
        <v>2.8055282361060914</v>
      </c>
    </row>
    <row r="14" spans="1:17" x14ac:dyDescent="0.25">
      <c r="A14" s="18"/>
      <c r="C14" s="21"/>
    </row>
    <row r="15" spans="1:17" s="14" customFormat="1" x14ac:dyDescent="0.25">
      <c r="B15" s="23"/>
      <c r="E15" s="24"/>
    </row>
    <row r="16" spans="1:17" x14ac:dyDescent="0.25">
      <c r="A16" s="18" t="s">
        <v>180</v>
      </c>
    </row>
    <row r="18" spans="1:17" x14ac:dyDescent="0.25">
      <c r="C18" s="15">
        <v>0</v>
      </c>
      <c r="D18" s="15">
        <v>1</v>
      </c>
      <c r="E18" s="15">
        <v>2</v>
      </c>
      <c r="F18" s="15">
        <v>3</v>
      </c>
      <c r="G18" s="15">
        <v>4</v>
      </c>
      <c r="H18" s="15">
        <v>5</v>
      </c>
      <c r="I18" s="15">
        <v>6</v>
      </c>
      <c r="J18" s="15">
        <v>7</v>
      </c>
      <c r="K18" s="15">
        <v>8</v>
      </c>
      <c r="L18" s="15">
        <v>9</v>
      </c>
      <c r="M18" s="15">
        <v>10</v>
      </c>
      <c r="N18" s="12">
        <v>11</v>
      </c>
      <c r="O18" s="12">
        <v>12</v>
      </c>
    </row>
    <row r="19" spans="1:17" x14ac:dyDescent="0.25">
      <c r="B19" s="17"/>
      <c r="C19" s="15"/>
      <c r="D19" s="15"/>
      <c r="E19" s="15"/>
      <c r="F19" s="15"/>
      <c r="G19" s="15"/>
      <c r="H19" s="15"/>
      <c r="I19" s="15"/>
      <c r="J19" s="15"/>
      <c r="K19" s="15"/>
      <c r="L19" s="15"/>
      <c r="M19" s="15"/>
      <c r="N19" s="15"/>
      <c r="O19" s="15"/>
      <c r="P19" s="15"/>
      <c r="Q19" s="15"/>
    </row>
    <row r="20" spans="1:17" x14ac:dyDescent="0.25">
      <c r="A20" s="25" t="s">
        <v>181</v>
      </c>
      <c r="E20" s="26">
        <f>C4</f>
        <v>-214164.0557556164</v>
      </c>
    </row>
    <row r="21" spans="1:17" x14ac:dyDescent="0.25">
      <c r="A21" s="27"/>
      <c r="C21" s="28"/>
      <c r="E21" s="28"/>
      <c r="F21" s="28"/>
      <c r="G21" s="28"/>
      <c r="H21" s="29"/>
      <c r="I21" s="29"/>
      <c r="J21" s="29"/>
      <c r="K21" s="29"/>
      <c r="L21" s="29"/>
      <c r="M21" s="29"/>
      <c r="N21" s="29"/>
    </row>
    <row r="22" spans="1:17" x14ac:dyDescent="0.25">
      <c r="A22" s="12" t="s">
        <v>182</v>
      </c>
      <c r="C22" s="28">
        <v>0</v>
      </c>
      <c r="D22" s="20">
        <v>0</v>
      </c>
      <c r="E22" s="29">
        <v>0</v>
      </c>
      <c r="F22" s="29">
        <f t="shared" ref="F22:O22" si="0">D4</f>
        <v>120477.82592040877</v>
      </c>
      <c r="G22" s="29">
        <f t="shared" si="0"/>
        <v>18363.971328097894</v>
      </c>
      <c r="H22" s="29">
        <f t="shared" si="0"/>
        <v>18419.668097319503</v>
      </c>
      <c r="I22" s="29">
        <f t="shared" si="0"/>
        <v>18480.224329949979</v>
      </c>
      <c r="J22" s="29">
        <f t="shared" si="0"/>
        <v>18545.925596761695</v>
      </c>
      <c r="K22" s="29">
        <f t="shared" si="0"/>
        <v>18617.072464645098</v>
      </c>
      <c r="L22" s="29">
        <f t="shared" si="0"/>
        <v>9230.3758690356444</v>
      </c>
      <c r="M22" s="29">
        <f t="shared" si="0"/>
        <v>22261.484312611719</v>
      </c>
      <c r="N22" s="29">
        <f t="shared" si="0"/>
        <v>18866.433375378827</v>
      </c>
      <c r="O22" s="29">
        <f t="shared" si="0"/>
        <v>2278780.6265471964</v>
      </c>
    </row>
    <row r="23" spans="1:17" x14ac:dyDescent="0.25">
      <c r="A23" s="25" t="s">
        <v>151</v>
      </c>
      <c r="C23" s="81">
        <f>NPV(C6,D22:O22)+C22</f>
        <v>547036.21454063035</v>
      </c>
      <c r="D23" s="29"/>
      <c r="E23" s="29"/>
      <c r="F23" s="29"/>
      <c r="G23" s="29"/>
      <c r="H23" s="29"/>
      <c r="I23" s="29"/>
      <c r="J23" s="29"/>
      <c r="K23" s="29"/>
      <c r="L23" s="29"/>
      <c r="M23" s="29"/>
    </row>
    <row r="24" spans="1:17" x14ac:dyDescent="0.25">
      <c r="A24" s="30"/>
      <c r="C24" s="29"/>
      <c r="D24" s="29"/>
      <c r="E24" s="29"/>
      <c r="F24" s="29"/>
      <c r="G24" s="29"/>
      <c r="H24" s="29"/>
      <c r="I24" s="29"/>
      <c r="J24" s="29"/>
      <c r="K24" s="29"/>
      <c r="L24" s="29"/>
      <c r="M24" s="29"/>
    </row>
    <row r="26" spans="1:17" x14ac:dyDescent="0.25">
      <c r="A26" s="12" t="s">
        <v>183</v>
      </c>
    </row>
    <row r="27" spans="1:17" x14ac:dyDescent="0.25">
      <c r="A27" s="31" t="s">
        <v>184</v>
      </c>
      <c r="B27" s="31" t="s">
        <v>185</v>
      </c>
      <c r="C27" s="31" t="s">
        <v>186</v>
      </c>
      <c r="D27" s="31" t="s">
        <v>187</v>
      </c>
      <c r="E27" s="31" t="s">
        <v>188</v>
      </c>
      <c r="F27" s="31" t="s">
        <v>189</v>
      </c>
    </row>
    <row r="28" spans="1:17" x14ac:dyDescent="0.25">
      <c r="A28" s="32">
        <f>C23</f>
        <v>547036.21454063035</v>
      </c>
      <c r="B28" s="32">
        <f>-E20</f>
        <v>214164.0557556164</v>
      </c>
      <c r="C28" s="31">
        <v>2</v>
      </c>
      <c r="D28" s="33">
        <v>0.41760000000000003</v>
      </c>
      <c r="E28" s="82">
        <f>C12</f>
        <v>2.2800000000000001E-2</v>
      </c>
      <c r="F28" s="34">
        <f>(A28*_xlfn.NORM.DIST((LN(A28/B28)+(E28+((D28^2)/2))*C28)/(D28*SQRT(C28)),0,1,TRUE))-((B28*EXP(-E28*C28))*_xlfn.NORM.DIST((LN(A28/B28)+(E28+((D28^2)/2))*C28)/(D28*SQRT(C28))-(D28*(SQRT(C28))),0,1,TRUE))</f>
        <v>346225.12362974021</v>
      </c>
    </row>
    <row r="30" spans="1:17" x14ac:dyDescent="0.25">
      <c r="B30" s="26"/>
      <c r="C30" s="35"/>
    </row>
    <row r="31" spans="1:17" x14ac:dyDescent="0.25">
      <c r="B31" s="26"/>
      <c r="C31" s="16"/>
    </row>
    <row r="32" spans="1:17" x14ac:dyDescent="0.25">
      <c r="B32" s="18"/>
      <c r="C32" s="36"/>
      <c r="D32" s="18"/>
    </row>
    <row r="33" spans="2:3" x14ac:dyDescent="0.25">
      <c r="B33" s="26"/>
      <c r="C33" s="16"/>
    </row>
    <row r="34" spans="2:3" x14ac:dyDescent="0.25">
      <c r="C34"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8"/>
  <sheetViews>
    <sheetView tabSelected="1" topLeftCell="C11" zoomScale="90" zoomScaleNormal="90" workbookViewId="0">
      <selection activeCell="D22" sqref="D22"/>
    </sheetView>
  </sheetViews>
  <sheetFormatPr defaultRowHeight="15.75" x14ac:dyDescent="0.25"/>
  <cols>
    <col min="1" max="1" width="19" style="12" customWidth="1"/>
    <col min="2" max="2" width="32.7109375" style="12" customWidth="1"/>
    <col min="3" max="3" width="14.42578125" style="12" customWidth="1"/>
    <col min="4" max="4" width="15.7109375" style="12" customWidth="1"/>
    <col min="5" max="5" width="17.5703125" style="12" customWidth="1"/>
    <col min="6" max="6" width="17.85546875" style="12" customWidth="1"/>
    <col min="7" max="7" width="14.7109375" style="12" customWidth="1"/>
    <col min="8" max="8" width="13.85546875" style="12" customWidth="1"/>
    <col min="9" max="9" width="13.42578125" style="12" customWidth="1"/>
    <col min="10" max="10" width="13.7109375" style="12" customWidth="1"/>
    <col min="11" max="11" width="12.42578125" style="12" customWidth="1"/>
    <col min="12" max="12" width="13.28515625" style="12" customWidth="1"/>
    <col min="13" max="13" width="12.5703125" style="12" customWidth="1"/>
    <col min="14" max="15" width="15.140625" style="12" bestFit="1" customWidth="1"/>
    <col min="16" max="16" width="16.28515625" style="12" bestFit="1" customWidth="1"/>
    <col min="17" max="17" width="19.28515625" style="12" bestFit="1" customWidth="1"/>
    <col min="18" max="16384" width="9.140625" style="12"/>
  </cols>
  <sheetData>
    <row r="1" spans="1:17" x14ac:dyDescent="0.25">
      <c r="A1" s="11" t="s">
        <v>190</v>
      </c>
    </row>
    <row r="2" spans="1:17" s="14" customFormat="1" x14ac:dyDescent="0.25">
      <c r="A2" s="13"/>
    </row>
    <row r="3" spans="1:17" x14ac:dyDescent="0.25">
      <c r="A3" s="11"/>
      <c r="C3" s="15">
        <v>0</v>
      </c>
      <c r="D3" s="15">
        <v>1</v>
      </c>
      <c r="E3" s="15">
        <v>2</v>
      </c>
      <c r="F3" s="15">
        <v>3</v>
      </c>
      <c r="G3" s="15">
        <v>4</v>
      </c>
      <c r="H3" s="15">
        <v>5</v>
      </c>
      <c r="I3" s="15">
        <v>6</v>
      </c>
      <c r="J3" s="15">
        <v>7</v>
      </c>
      <c r="K3" s="15">
        <v>8</v>
      </c>
      <c r="L3" s="15">
        <v>9</v>
      </c>
      <c r="M3" s="15">
        <v>10</v>
      </c>
      <c r="N3" s="15">
        <v>11</v>
      </c>
      <c r="O3" s="15">
        <v>12</v>
      </c>
      <c r="P3" s="15">
        <v>13</v>
      </c>
      <c r="Q3" s="15">
        <v>14</v>
      </c>
    </row>
    <row r="4" spans="1:17" x14ac:dyDescent="0.25">
      <c r="A4" s="11" t="s">
        <v>175</v>
      </c>
      <c r="C4" s="86">
        <f>Forecasts!D135</f>
        <v>-214164.0557556164</v>
      </c>
      <c r="D4" s="86">
        <f>Forecasts!E135</f>
        <v>120477.82592040877</v>
      </c>
      <c r="E4" s="86">
        <f>Forecasts!F135</f>
        <v>18363.971328097894</v>
      </c>
      <c r="F4" s="86">
        <f>Forecasts!G135</f>
        <v>18419.668097319503</v>
      </c>
      <c r="G4" s="86">
        <f>Forecasts!H135</f>
        <v>18480.224329949979</v>
      </c>
      <c r="H4" s="86">
        <f>Forecasts!I135</f>
        <v>18545.925596761695</v>
      </c>
      <c r="I4" s="86">
        <f>Forecasts!J135</f>
        <v>18617.072464645098</v>
      </c>
      <c r="J4" s="86">
        <f>Forecasts!K135</f>
        <v>9230.3758690356444</v>
      </c>
      <c r="K4" s="86">
        <f>Forecasts!L135</f>
        <v>22261.484312611719</v>
      </c>
      <c r="L4" s="86">
        <f>Forecasts!M135</f>
        <v>18866.433375378827</v>
      </c>
      <c r="M4" s="86">
        <f>Forecasts!N135</f>
        <v>2278780.6265471964</v>
      </c>
    </row>
    <row r="5" spans="1:17" x14ac:dyDescent="0.25">
      <c r="A5" s="11"/>
      <c r="C5" s="17"/>
    </row>
    <row r="6" spans="1:17" x14ac:dyDescent="0.25">
      <c r="A6" s="18" t="s">
        <v>176</v>
      </c>
      <c r="C6" s="88">
        <f>Forecasts!D140</f>
        <v>0.15224141813976752</v>
      </c>
    </row>
    <row r="7" spans="1:17" x14ac:dyDescent="0.25">
      <c r="A7" s="18"/>
      <c r="C7" s="89"/>
    </row>
    <row r="8" spans="1:17" x14ac:dyDescent="0.25">
      <c r="A8" s="18"/>
      <c r="C8" s="89"/>
    </row>
    <row r="9" spans="1:17" x14ac:dyDescent="0.25">
      <c r="C9" s="89"/>
    </row>
    <row r="10" spans="1:17" s="14" customFormat="1" x14ac:dyDescent="0.25">
      <c r="B10" s="87"/>
      <c r="E10" s="24"/>
    </row>
    <row r="11" spans="1:17" x14ac:dyDescent="0.25">
      <c r="A11" s="18" t="s">
        <v>191</v>
      </c>
    </row>
    <row r="13" spans="1:17" x14ac:dyDescent="0.25">
      <c r="C13" s="15">
        <v>0</v>
      </c>
      <c r="D13" s="15">
        <v>1</v>
      </c>
      <c r="E13" s="15">
        <v>2</v>
      </c>
      <c r="F13" s="15">
        <v>3</v>
      </c>
      <c r="G13" s="15">
        <v>4</v>
      </c>
      <c r="H13" s="15">
        <v>5</v>
      </c>
      <c r="I13" s="15">
        <v>6</v>
      </c>
      <c r="J13" s="15">
        <v>7</v>
      </c>
      <c r="K13" s="15">
        <v>8</v>
      </c>
      <c r="L13" s="15">
        <v>9</v>
      </c>
      <c r="M13" s="15">
        <v>10</v>
      </c>
    </row>
    <row r="14" spans="1:17" x14ac:dyDescent="0.25">
      <c r="A14" s="18" t="s">
        <v>192</v>
      </c>
    </row>
    <row r="15" spans="1:17" x14ac:dyDescent="0.25">
      <c r="A15" s="12" t="s">
        <v>193</v>
      </c>
      <c r="C15" s="86">
        <f t="shared" ref="C15:M15" si="0">C4</f>
        <v>-214164.0557556164</v>
      </c>
      <c r="D15" s="86">
        <f t="shared" si="0"/>
        <v>120477.82592040877</v>
      </c>
      <c r="E15" s="86">
        <f t="shared" si="0"/>
        <v>18363.971328097894</v>
      </c>
      <c r="F15" s="86">
        <f t="shared" si="0"/>
        <v>18419.668097319503</v>
      </c>
      <c r="G15" s="86">
        <f t="shared" si="0"/>
        <v>18480.224329949979</v>
      </c>
      <c r="H15" s="86">
        <f t="shared" si="0"/>
        <v>18545.925596761695</v>
      </c>
      <c r="I15" s="86">
        <f t="shared" si="0"/>
        <v>18617.072464645098</v>
      </c>
      <c r="J15" s="86">
        <f t="shared" si="0"/>
        <v>9230.3758690356444</v>
      </c>
      <c r="K15" s="86">
        <f t="shared" si="0"/>
        <v>22261.484312611719</v>
      </c>
      <c r="L15" s="86">
        <f t="shared" si="0"/>
        <v>18866.433375378827</v>
      </c>
      <c r="M15" s="86">
        <f t="shared" si="0"/>
        <v>2278780.6265471964</v>
      </c>
      <c r="N15" s="86"/>
      <c r="O15" s="86"/>
    </row>
    <row r="16" spans="1:17" x14ac:dyDescent="0.25">
      <c r="A16" s="12" t="s">
        <v>194</v>
      </c>
      <c r="C16" s="86"/>
      <c r="D16" s="86"/>
      <c r="E16" s="86"/>
      <c r="F16" s="86"/>
      <c r="G16" s="86">
        <v>-200000</v>
      </c>
      <c r="H16" s="86"/>
      <c r="I16" s="86"/>
      <c r="J16" s="86"/>
      <c r="K16" s="86"/>
      <c r="L16" s="86"/>
      <c r="M16" s="86"/>
      <c r="N16" s="86"/>
      <c r="O16" s="86"/>
    </row>
    <row r="17" spans="1:15" x14ac:dyDescent="0.25">
      <c r="A17" s="12" t="s">
        <v>195</v>
      </c>
      <c r="C17" s="86"/>
      <c r="D17" s="86"/>
      <c r="E17" s="86"/>
      <c r="F17" s="86"/>
      <c r="G17" s="86"/>
      <c r="H17" s="86">
        <v>10000</v>
      </c>
      <c r="I17" s="86">
        <v>20000</v>
      </c>
      <c r="J17" s="86">
        <v>30000</v>
      </c>
      <c r="K17" s="86">
        <v>15000</v>
      </c>
      <c r="L17" s="86">
        <v>22000</v>
      </c>
      <c r="M17" s="86">
        <v>20000</v>
      </c>
      <c r="N17" s="86"/>
      <c r="O17" s="86"/>
    </row>
    <row r="18" spans="1:15" x14ac:dyDescent="0.25">
      <c r="A18" s="12" t="s">
        <v>196</v>
      </c>
      <c r="C18" s="86"/>
      <c r="D18" s="86"/>
      <c r="E18" s="86"/>
      <c r="F18" s="86"/>
      <c r="G18" s="86"/>
      <c r="H18" s="86"/>
      <c r="I18" s="86"/>
      <c r="J18" s="86"/>
      <c r="K18" s="86"/>
      <c r="L18" s="86"/>
      <c r="M18" s="86">
        <v>250000</v>
      </c>
      <c r="N18" s="86"/>
      <c r="O18" s="86"/>
    </row>
    <row r="19" spans="1:15" x14ac:dyDescent="0.25">
      <c r="A19" s="12" t="s">
        <v>197</v>
      </c>
      <c r="C19" s="86">
        <f>SUM(C15:C18)</f>
        <v>-214164.0557556164</v>
      </c>
      <c r="D19" s="86">
        <f t="shared" ref="D19:M19" si="1">SUM(D15:D18)</f>
        <v>120477.82592040877</v>
      </c>
      <c r="E19" s="86">
        <f t="shared" si="1"/>
        <v>18363.971328097894</v>
      </c>
      <c r="F19" s="86">
        <f t="shared" si="1"/>
        <v>18419.668097319503</v>
      </c>
      <c r="G19" s="86">
        <f t="shared" si="1"/>
        <v>-181519.77567005003</v>
      </c>
      <c r="H19" s="86">
        <f t="shared" si="1"/>
        <v>28545.925596761695</v>
      </c>
      <c r="I19" s="86">
        <f t="shared" si="1"/>
        <v>38617.072464645098</v>
      </c>
      <c r="J19" s="86">
        <f t="shared" si="1"/>
        <v>39230.375869035648</v>
      </c>
      <c r="K19" s="86">
        <f t="shared" si="1"/>
        <v>37261.484312611719</v>
      </c>
      <c r="L19" s="86">
        <f t="shared" si="1"/>
        <v>40866.433375378823</v>
      </c>
      <c r="M19" s="86">
        <f t="shared" si="1"/>
        <v>2548780.6265471964</v>
      </c>
      <c r="N19" s="86"/>
      <c r="O19" s="86"/>
    </row>
    <row r="20" spans="1:15" x14ac:dyDescent="0.25">
      <c r="A20" s="12" t="s">
        <v>151</v>
      </c>
      <c r="C20" s="86">
        <f>NPV($C$6,D19:M19)+C19</f>
        <v>499671.65771792049</v>
      </c>
      <c r="D20" s="86"/>
      <c r="E20" s="86"/>
      <c r="F20" s="86"/>
      <c r="G20" s="86"/>
      <c r="H20" s="86"/>
      <c r="I20" s="86"/>
      <c r="J20" s="86"/>
      <c r="K20" s="86"/>
      <c r="L20" s="86"/>
      <c r="M20" s="86"/>
      <c r="N20" s="86"/>
      <c r="O20" s="86"/>
    </row>
    <row r="21" spans="1:15" x14ac:dyDescent="0.25">
      <c r="A21" s="12" t="s">
        <v>198</v>
      </c>
      <c r="C21" s="90">
        <f>F40</f>
        <v>0.45499999999999996</v>
      </c>
      <c r="D21" s="86"/>
      <c r="E21" s="86"/>
      <c r="F21" s="86"/>
      <c r="G21" s="86"/>
      <c r="H21" s="86"/>
      <c r="I21" s="86"/>
      <c r="J21" s="86"/>
      <c r="K21" s="86"/>
      <c r="L21" s="86"/>
      <c r="M21" s="86"/>
      <c r="N21" s="86"/>
      <c r="O21" s="86"/>
    </row>
    <row r="22" spans="1:15" x14ac:dyDescent="0.25">
      <c r="C22" s="86"/>
      <c r="D22" s="86"/>
      <c r="E22" s="86"/>
      <c r="F22" s="86"/>
      <c r="G22" s="86"/>
      <c r="H22" s="86"/>
      <c r="I22" s="86"/>
      <c r="J22" s="86"/>
      <c r="K22" s="86"/>
      <c r="L22" s="86"/>
      <c r="M22" s="86"/>
      <c r="N22" s="86"/>
      <c r="O22" s="86"/>
    </row>
    <row r="23" spans="1:15" x14ac:dyDescent="0.25">
      <c r="A23" s="18" t="s">
        <v>199</v>
      </c>
      <c r="C23" s="86"/>
      <c r="D23" s="86"/>
      <c r="E23" s="86"/>
      <c r="F23" s="86"/>
      <c r="G23" s="86"/>
      <c r="H23" s="86"/>
      <c r="I23" s="86"/>
      <c r="J23" s="86"/>
      <c r="K23" s="86"/>
      <c r="L23" s="86"/>
      <c r="M23" s="86"/>
      <c r="N23" s="86"/>
      <c r="O23" s="86"/>
    </row>
    <row r="24" spans="1:15" x14ac:dyDescent="0.25">
      <c r="A24" s="12" t="s">
        <v>193</v>
      </c>
      <c r="C24" s="86">
        <f>C4</f>
        <v>-214164.0557556164</v>
      </c>
      <c r="D24" s="86">
        <f t="shared" ref="D24:M24" si="2">D4</f>
        <v>120477.82592040877</v>
      </c>
      <c r="E24" s="86">
        <f t="shared" si="2"/>
        <v>18363.971328097894</v>
      </c>
      <c r="F24" s="86">
        <f t="shared" si="2"/>
        <v>18419.668097319503</v>
      </c>
      <c r="G24" s="86">
        <f t="shared" si="2"/>
        <v>18480.224329949979</v>
      </c>
      <c r="H24" s="86">
        <f t="shared" si="2"/>
        <v>18545.925596761695</v>
      </c>
      <c r="I24" s="86">
        <f t="shared" si="2"/>
        <v>18617.072464645098</v>
      </c>
      <c r="J24" s="86">
        <f t="shared" si="2"/>
        <v>9230.3758690356444</v>
      </c>
      <c r="K24" s="86">
        <f t="shared" si="2"/>
        <v>22261.484312611719</v>
      </c>
      <c r="L24" s="86">
        <f t="shared" si="2"/>
        <v>18866.433375378827</v>
      </c>
      <c r="M24" s="86">
        <f t="shared" si="2"/>
        <v>2278780.6265471964</v>
      </c>
      <c r="N24" s="86"/>
      <c r="O24" s="86"/>
    </row>
    <row r="25" spans="1:15" x14ac:dyDescent="0.25">
      <c r="A25" s="12" t="s">
        <v>194</v>
      </c>
      <c r="C25" s="86"/>
      <c r="D25" s="86"/>
      <c r="E25" s="86"/>
      <c r="F25" s="86"/>
      <c r="G25" s="86">
        <f>G16</f>
        <v>-200000</v>
      </c>
      <c r="H25" s="86"/>
      <c r="I25" s="86"/>
      <c r="J25" s="86"/>
      <c r="K25" s="86"/>
      <c r="L25" s="86"/>
      <c r="M25" s="86"/>
      <c r="N25" s="86"/>
      <c r="O25" s="86"/>
    </row>
    <row r="26" spans="1:15" x14ac:dyDescent="0.25">
      <c r="A26" s="12" t="s">
        <v>195</v>
      </c>
      <c r="C26" s="86"/>
      <c r="D26" s="86"/>
      <c r="E26" s="86"/>
      <c r="F26" s="86"/>
      <c r="G26" s="86"/>
      <c r="H26" s="86">
        <v>3000</v>
      </c>
      <c r="I26" s="86">
        <v>1000</v>
      </c>
      <c r="J26" s="86">
        <v>500</v>
      </c>
      <c r="K26" s="86">
        <v>2000</v>
      </c>
      <c r="L26" s="86">
        <v>1000</v>
      </c>
      <c r="M26" s="86">
        <v>2000</v>
      </c>
      <c r="N26" s="86"/>
      <c r="O26" s="86"/>
    </row>
    <row r="27" spans="1:15" x14ac:dyDescent="0.25">
      <c r="A27" s="12" t="s">
        <v>196</v>
      </c>
      <c r="C27" s="86"/>
      <c r="D27" s="86"/>
      <c r="E27" s="86"/>
      <c r="F27" s="86"/>
      <c r="G27" s="86"/>
      <c r="H27" s="86"/>
      <c r="I27" s="86"/>
      <c r="J27" s="86"/>
      <c r="K27" s="86"/>
      <c r="L27" s="86"/>
      <c r="M27" s="86">
        <v>80000</v>
      </c>
      <c r="N27" s="86"/>
      <c r="O27" s="86"/>
    </row>
    <row r="28" spans="1:15" x14ac:dyDescent="0.25">
      <c r="A28" s="12" t="s">
        <v>197</v>
      </c>
      <c r="C28" s="86">
        <f>SUM(C24:C27)</f>
        <v>-214164.0557556164</v>
      </c>
      <c r="D28" s="86">
        <f t="shared" ref="D28:M28" si="3">SUM(D24:D27)</f>
        <v>120477.82592040877</v>
      </c>
      <c r="E28" s="86">
        <f t="shared" si="3"/>
        <v>18363.971328097894</v>
      </c>
      <c r="F28" s="86">
        <f t="shared" si="3"/>
        <v>18419.668097319503</v>
      </c>
      <c r="G28" s="86">
        <f t="shared" si="3"/>
        <v>-181519.77567005003</v>
      </c>
      <c r="H28" s="86">
        <f t="shared" si="3"/>
        <v>21545.925596761695</v>
      </c>
      <c r="I28" s="86">
        <f t="shared" si="3"/>
        <v>19617.072464645098</v>
      </c>
      <c r="J28" s="86">
        <f t="shared" si="3"/>
        <v>9730.3758690356444</v>
      </c>
      <c r="K28" s="86">
        <f t="shared" si="3"/>
        <v>24261.484312611719</v>
      </c>
      <c r="L28" s="86">
        <f t="shared" si="3"/>
        <v>19866.433375378827</v>
      </c>
      <c r="M28" s="86">
        <f t="shared" si="3"/>
        <v>2360780.6265471964</v>
      </c>
      <c r="N28" s="86"/>
      <c r="O28" s="86"/>
    </row>
    <row r="29" spans="1:15" x14ac:dyDescent="0.25">
      <c r="A29" s="12" t="s">
        <v>151</v>
      </c>
      <c r="C29" s="86">
        <f>NPV($C$6,D28:M28)+C28</f>
        <v>421541.85164393019</v>
      </c>
      <c r="D29" s="86"/>
      <c r="E29" s="86"/>
      <c r="F29" s="86"/>
      <c r="G29" s="86"/>
      <c r="H29" s="86"/>
      <c r="I29" s="86"/>
      <c r="J29" s="86"/>
      <c r="K29" s="86"/>
      <c r="L29" s="86"/>
      <c r="M29" s="86"/>
      <c r="N29" s="86"/>
      <c r="O29" s="86"/>
    </row>
    <row r="30" spans="1:15" x14ac:dyDescent="0.25">
      <c r="A30" s="12" t="s">
        <v>198</v>
      </c>
      <c r="C30" s="90">
        <f>F44</f>
        <v>0.19500000000000001</v>
      </c>
      <c r="D30" s="86"/>
      <c r="E30" s="86"/>
      <c r="F30" s="86"/>
      <c r="G30" s="86"/>
      <c r="H30" s="86"/>
      <c r="I30" s="86"/>
      <c r="J30" s="86"/>
      <c r="K30" s="86"/>
      <c r="L30" s="86"/>
      <c r="M30" s="86"/>
      <c r="N30" s="86"/>
      <c r="O30" s="86"/>
    </row>
    <row r="31" spans="1:15" x14ac:dyDescent="0.25">
      <c r="C31" s="86"/>
      <c r="D31" s="86"/>
      <c r="E31" s="86"/>
      <c r="F31" s="86"/>
      <c r="G31" s="86"/>
      <c r="H31" s="86"/>
      <c r="I31" s="86"/>
      <c r="J31" s="86"/>
      <c r="K31" s="86"/>
      <c r="L31" s="86"/>
      <c r="M31" s="86"/>
      <c r="N31" s="86"/>
      <c r="O31" s="86"/>
    </row>
    <row r="32" spans="1:15" x14ac:dyDescent="0.25">
      <c r="A32" s="18" t="s">
        <v>200</v>
      </c>
      <c r="C32" s="86"/>
      <c r="D32" s="86"/>
      <c r="E32" s="86"/>
      <c r="F32" s="86"/>
      <c r="G32" s="86"/>
      <c r="H32" s="86"/>
      <c r="I32" s="86"/>
      <c r="J32" s="86"/>
      <c r="K32" s="86"/>
      <c r="L32" s="86"/>
      <c r="M32" s="86"/>
      <c r="N32" s="86"/>
      <c r="O32" s="86"/>
    </row>
    <row r="33" spans="1:15" x14ac:dyDescent="0.25">
      <c r="A33" s="12" t="s">
        <v>201</v>
      </c>
      <c r="C33" s="86">
        <f>C4</f>
        <v>-214164.0557556164</v>
      </c>
      <c r="D33" s="86">
        <f>0.8*D4</f>
        <v>96382.260736327022</v>
      </c>
      <c r="E33" s="86">
        <f>0.8*E4</f>
        <v>14691.177062478317</v>
      </c>
      <c r="F33" s="86">
        <f>0.8*F4</f>
        <v>14735.734477855603</v>
      </c>
      <c r="G33" s="86">
        <f>0.4*G4</f>
        <v>7392.0897319799915</v>
      </c>
      <c r="H33" s="86"/>
      <c r="I33" s="86"/>
      <c r="J33" s="86"/>
      <c r="K33" s="86"/>
      <c r="L33" s="86"/>
      <c r="M33" s="86"/>
      <c r="N33" s="86"/>
      <c r="O33" s="86"/>
    </row>
    <row r="34" spans="1:15" x14ac:dyDescent="0.25">
      <c r="A34" s="12" t="s">
        <v>151</v>
      </c>
      <c r="C34" s="86">
        <f>NPV($C$6,D33:G33)+C33</f>
        <v>-105624.75211416191</v>
      </c>
      <c r="D34" s="86"/>
      <c r="E34" s="86"/>
      <c r="F34" s="86"/>
      <c r="G34" s="86"/>
      <c r="H34" s="86"/>
      <c r="I34" s="86"/>
      <c r="J34" s="86"/>
      <c r="K34" s="86"/>
      <c r="L34" s="86"/>
      <c r="M34" s="86"/>
      <c r="N34" s="86"/>
      <c r="O34" s="86"/>
    </row>
    <row r="35" spans="1:15" x14ac:dyDescent="0.25">
      <c r="A35" s="12" t="s">
        <v>198</v>
      </c>
      <c r="C35" s="90">
        <f>F46</f>
        <v>0.35</v>
      </c>
      <c r="D35" s="86"/>
      <c r="E35" s="86"/>
      <c r="F35" s="86"/>
      <c r="G35" s="86"/>
      <c r="H35" s="86"/>
      <c r="I35" s="86"/>
      <c r="J35" s="86"/>
      <c r="K35" s="86"/>
      <c r="L35" s="86"/>
      <c r="M35" s="86"/>
      <c r="N35" s="86"/>
      <c r="O35" s="86"/>
    </row>
    <row r="36" spans="1:15" x14ac:dyDescent="0.25">
      <c r="C36" s="86"/>
      <c r="D36" s="86"/>
      <c r="E36" s="86"/>
      <c r="F36" s="86"/>
      <c r="G36" s="86"/>
      <c r="H36" s="86"/>
      <c r="I36" s="86"/>
      <c r="J36" s="86"/>
      <c r="K36" s="86"/>
      <c r="L36" s="86"/>
      <c r="M36" s="86"/>
    </row>
    <row r="37" spans="1:15" x14ac:dyDescent="0.25">
      <c r="A37" s="12" t="s">
        <v>202</v>
      </c>
      <c r="C37" s="86">
        <f>C21*C20+C30*C29+C35*C34</f>
        <v>272582.60209226352</v>
      </c>
      <c r="D37" s="86"/>
      <c r="E37" s="86"/>
      <c r="F37" s="86"/>
      <c r="G37" s="86"/>
      <c r="H37" s="86"/>
      <c r="I37" s="86"/>
      <c r="J37" s="86"/>
      <c r="K37" s="86"/>
      <c r="L37" s="86"/>
      <c r="M37" s="86"/>
    </row>
    <row r="38" spans="1:15" x14ac:dyDescent="0.25">
      <c r="E38" s="86"/>
      <c r="F38" s="86"/>
      <c r="G38" s="86"/>
      <c r="H38" s="86"/>
      <c r="I38" s="86"/>
      <c r="J38" s="86"/>
      <c r="K38" s="86"/>
      <c r="L38" s="86"/>
      <c r="M38" s="86"/>
    </row>
    <row r="39" spans="1:15" x14ac:dyDescent="0.25">
      <c r="D39" s="86"/>
      <c r="E39" s="86"/>
      <c r="G39" s="86"/>
      <c r="H39" s="86"/>
      <c r="I39" s="86"/>
      <c r="J39" s="86"/>
      <c r="K39" s="86"/>
      <c r="L39" s="86"/>
      <c r="M39" s="86"/>
    </row>
    <row r="40" spans="1:15" x14ac:dyDescent="0.25">
      <c r="D40" s="90">
        <v>0.7</v>
      </c>
      <c r="E40" s="86" t="s">
        <v>203</v>
      </c>
      <c r="F40" s="93">
        <f>D40*C42</f>
        <v>0.45499999999999996</v>
      </c>
      <c r="G40" s="86"/>
      <c r="H40" s="86"/>
      <c r="I40" s="86"/>
      <c r="J40" s="86"/>
      <c r="K40" s="86"/>
      <c r="L40" s="86"/>
      <c r="M40" s="86"/>
    </row>
    <row r="41" spans="1:15" x14ac:dyDescent="0.25">
      <c r="B41" s="86"/>
      <c r="C41" s="86" t="s">
        <v>204</v>
      </c>
      <c r="D41" s="91"/>
      <c r="E41" s="86"/>
      <c r="F41" s="27"/>
      <c r="G41" s="86"/>
      <c r="H41" s="86"/>
      <c r="I41" s="86"/>
      <c r="J41" s="86"/>
      <c r="K41" s="86"/>
      <c r="L41" s="86"/>
      <c r="M41" s="86"/>
    </row>
    <row r="42" spans="1:15" x14ac:dyDescent="0.25">
      <c r="B42" s="86"/>
      <c r="C42" s="90">
        <v>0.65</v>
      </c>
      <c r="D42" s="83"/>
      <c r="F42" s="27"/>
    </row>
    <row r="43" spans="1:15" x14ac:dyDescent="0.25">
      <c r="A43" s="12" t="s">
        <v>205</v>
      </c>
      <c r="B43" s="86"/>
      <c r="C43" s="91"/>
      <c r="D43" s="85"/>
      <c r="F43" s="27"/>
    </row>
    <row r="44" spans="1:15" x14ac:dyDescent="0.25">
      <c r="B44" s="86"/>
      <c r="C44" s="92"/>
      <c r="D44" s="27">
        <v>0.3</v>
      </c>
      <c r="E44" s="12" t="s">
        <v>206</v>
      </c>
      <c r="F44" s="27">
        <f>D44*C42</f>
        <v>0.19500000000000001</v>
      </c>
    </row>
    <row r="45" spans="1:15" x14ac:dyDescent="0.25">
      <c r="C45" s="85"/>
      <c r="F45" s="27"/>
    </row>
    <row r="46" spans="1:15" x14ac:dyDescent="0.25">
      <c r="C46" s="27">
        <v>0.35</v>
      </c>
      <c r="F46" s="27">
        <f>C46</f>
        <v>0.35</v>
      </c>
    </row>
    <row r="47" spans="1:15" x14ac:dyDescent="0.25">
      <c r="C47" s="12" t="s">
        <v>207</v>
      </c>
      <c r="F47" s="84"/>
    </row>
    <row r="48" spans="1:15" x14ac:dyDescent="0.25">
      <c r="F48" s="27">
        <f>SUM(F40:F46)</f>
        <v>0.99999999999999989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40"/>
  <sheetViews>
    <sheetView workbookViewId="0">
      <selection activeCell="F56" sqref="F56"/>
    </sheetView>
  </sheetViews>
  <sheetFormatPr defaultColWidth="11.5703125" defaultRowHeight="15" x14ac:dyDescent="0.25"/>
  <cols>
    <col min="1" max="1" width="22.7109375" customWidth="1"/>
    <col min="2" max="6" width="16.7109375" customWidth="1"/>
    <col min="7" max="7" width="6.28515625" customWidth="1"/>
    <col min="9" max="9" width="17.42578125" customWidth="1"/>
  </cols>
  <sheetData>
    <row r="1" spans="1:9" x14ac:dyDescent="0.25">
      <c r="A1" s="1"/>
      <c r="B1" s="2" t="s">
        <v>75</v>
      </c>
      <c r="C1" s="2" t="s">
        <v>76</v>
      </c>
      <c r="D1" s="2" t="s">
        <v>77</v>
      </c>
      <c r="E1" s="2" t="s">
        <v>78</v>
      </c>
      <c r="F1" s="2" t="s">
        <v>79</v>
      </c>
      <c r="G1" s="1"/>
      <c r="H1" s="3" t="s">
        <v>80</v>
      </c>
      <c r="I1" s="4">
        <f>Forecasts!E23</f>
        <v>4.7500000000000001E-2</v>
      </c>
    </row>
    <row r="2" spans="1:9" x14ac:dyDescent="0.25">
      <c r="A2" s="5" t="s">
        <v>81</v>
      </c>
      <c r="B2" s="6">
        <f>+I7</f>
        <v>483055.99999999994</v>
      </c>
      <c r="C2" s="6">
        <f t="shared" ref="C2:C13" si="0">+E2-D2</f>
        <v>607.75209115180019</v>
      </c>
      <c r="D2" s="6">
        <f t="shared" ref="D2:D13" si="1">B2*$I$2</f>
        <v>1912.0966666666666</v>
      </c>
      <c r="E2" s="6">
        <f t="shared" ref="E2:E13" si="2">-$I$9</f>
        <v>2519.8487578184668</v>
      </c>
      <c r="F2" s="6">
        <f t="shared" ref="F2:F13" si="3">+B2-C2</f>
        <v>482448.24790884816</v>
      </c>
      <c r="G2" s="1"/>
      <c r="H2" s="3" t="s">
        <v>82</v>
      </c>
      <c r="I2" s="4">
        <f>+I1/12</f>
        <v>3.9583333333333337E-3</v>
      </c>
    </row>
    <row r="3" spans="1:9" x14ac:dyDescent="0.25">
      <c r="A3" s="7" t="s">
        <v>83</v>
      </c>
      <c r="B3" s="6">
        <f t="shared" ref="B3:B13" si="4">+F2</f>
        <v>482448.24790884816</v>
      </c>
      <c r="C3" s="6">
        <f t="shared" si="0"/>
        <v>610.15777651260919</v>
      </c>
      <c r="D3" s="6">
        <f t="shared" si="1"/>
        <v>1909.6909813058576</v>
      </c>
      <c r="E3" s="6">
        <f t="shared" si="2"/>
        <v>2519.8487578184668</v>
      </c>
      <c r="F3" s="6">
        <f t="shared" si="3"/>
        <v>481838.09013233555</v>
      </c>
      <c r="G3" s="1"/>
      <c r="H3" s="3" t="s">
        <v>84</v>
      </c>
      <c r="I3" s="8">
        <v>0</v>
      </c>
    </row>
    <row r="4" spans="1:9" x14ac:dyDescent="0.25">
      <c r="A4" s="7" t="s">
        <v>85</v>
      </c>
      <c r="B4" s="6">
        <f t="shared" si="4"/>
        <v>481838.09013233555</v>
      </c>
      <c r="C4" s="6">
        <f t="shared" si="0"/>
        <v>612.57298437797181</v>
      </c>
      <c r="D4" s="6">
        <f t="shared" si="1"/>
        <v>1907.275773440495</v>
      </c>
      <c r="E4" s="6">
        <f t="shared" si="2"/>
        <v>2519.8487578184668</v>
      </c>
      <c r="F4" s="6">
        <f t="shared" si="3"/>
        <v>481225.51714795758</v>
      </c>
      <c r="G4" s="1"/>
      <c r="H4" s="3" t="s">
        <v>86</v>
      </c>
      <c r="I4" s="9">
        <f>Forecasts!E24</f>
        <v>30</v>
      </c>
    </row>
    <row r="5" spans="1:9" x14ac:dyDescent="0.25">
      <c r="A5" s="7" t="s">
        <v>87</v>
      </c>
      <c r="B5" s="6">
        <f t="shared" si="4"/>
        <v>481225.51714795758</v>
      </c>
      <c r="C5" s="6">
        <f t="shared" si="0"/>
        <v>614.99775244113448</v>
      </c>
      <c r="D5" s="6">
        <f t="shared" si="1"/>
        <v>1904.8510053773323</v>
      </c>
      <c r="E5" s="6">
        <f t="shared" si="2"/>
        <v>2519.8487578184668</v>
      </c>
      <c r="F5" s="6">
        <f t="shared" si="3"/>
        <v>480610.51939551643</v>
      </c>
      <c r="G5" s="1"/>
      <c r="H5" s="3" t="s">
        <v>88</v>
      </c>
      <c r="I5" s="1">
        <f>I4*12</f>
        <v>360</v>
      </c>
    </row>
    <row r="6" spans="1:9" x14ac:dyDescent="0.25">
      <c r="A6" s="7" t="s">
        <v>89</v>
      </c>
      <c r="B6" s="6">
        <f t="shared" si="4"/>
        <v>480610.51939551643</v>
      </c>
      <c r="C6" s="6">
        <f t="shared" si="0"/>
        <v>617.43211854454739</v>
      </c>
      <c r="D6" s="6">
        <f t="shared" si="1"/>
        <v>1902.4166392739194</v>
      </c>
      <c r="E6" s="6">
        <f t="shared" si="2"/>
        <v>2519.8487578184668</v>
      </c>
      <c r="F6" s="6">
        <f t="shared" si="3"/>
        <v>479993.0872769719</v>
      </c>
      <c r="G6" s="1"/>
      <c r="H6" s="3" t="s">
        <v>90</v>
      </c>
      <c r="I6" s="1">
        <v>0</v>
      </c>
    </row>
    <row r="7" spans="1:9" x14ac:dyDescent="0.25">
      <c r="A7" s="7" t="s">
        <v>91</v>
      </c>
      <c r="B7" s="6">
        <f t="shared" si="4"/>
        <v>479993.0872769719</v>
      </c>
      <c r="C7" s="6">
        <f t="shared" si="0"/>
        <v>619.87612068045291</v>
      </c>
      <c r="D7" s="6">
        <f t="shared" si="1"/>
        <v>1899.9726371380139</v>
      </c>
      <c r="E7" s="6">
        <f t="shared" si="2"/>
        <v>2519.8487578184668</v>
      </c>
      <c r="F7" s="6">
        <f t="shared" si="3"/>
        <v>479373.21115629142</v>
      </c>
      <c r="G7" s="1"/>
      <c r="H7" s="3" t="s">
        <v>92</v>
      </c>
      <c r="I7" s="8">
        <f>Forecasts!E26</f>
        <v>483055.99999999994</v>
      </c>
    </row>
    <row r="8" spans="1:9" x14ac:dyDescent="0.25">
      <c r="A8" s="7" t="s">
        <v>93</v>
      </c>
      <c r="B8" s="6">
        <f t="shared" si="4"/>
        <v>479373.21115629142</v>
      </c>
      <c r="C8" s="6">
        <f t="shared" si="0"/>
        <v>622.32979699147972</v>
      </c>
      <c r="D8" s="6">
        <f t="shared" si="1"/>
        <v>1897.518960826987</v>
      </c>
      <c r="E8" s="6">
        <f t="shared" si="2"/>
        <v>2519.8487578184668</v>
      </c>
      <c r="F8" s="6">
        <f t="shared" si="3"/>
        <v>478750.88135929994</v>
      </c>
      <c r="G8" s="1"/>
      <c r="H8" s="3"/>
      <c r="I8" s="1"/>
    </row>
    <row r="9" spans="1:9" x14ac:dyDescent="0.25">
      <c r="A9" s="7" t="s">
        <v>94</v>
      </c>
      <c r="B9" s="6">
        <f t="shared" si="4"/>
        <v>478750.88135929994</v>
      </c>
      <c r="C9" s="6">
        <f t="shared" si="0"/>
        <v>624.79318577123763</v>
      </c>
      <c r="D9" s="6">
        <f t="shared" si="1"/>
        <v>1895.0555720472291</v>
      </c>
      <c r="E9" s="6">
        <f t="shared" si="2"/>
        <v>2519.8487578184668</v>
      </c>
      <c r="F9" s="6">
        <f t="shared" si="3"/>
        <v>478126.08817352873</v>
      </c>
      <c r="G9" s="1"/>
      <c r="H9" s="3" t="s">
        <v>78</v>
      </c>
      <c r="I9" s="6">
        <f>PMT(I2,I5,I7,I3,I6)</f>
        <v>-2519.8487578184668</v>
      </c>
    </row>
    <row r="10" spans="1:9" x14ac:dyDescent="0.25">
      <c r="A10" s="7" t="s">
        <v>95</v>
      </c>
      <c r="B10" s="6">
        <f t="shared" si="4"/>
        <v>478126.08817352873</v>
      </c>
      <c r="C10" s="6">
        <f t="shared" si="0"/>
        <v>627.26632546491533</v>
      </c>
      <c r="D10" s="6">
        <f t="shared" si="1"/>
        <v>1892.5824323535514</v>
      </c>
      <c r="E10" s="6">
        <f t="shared" si="2"/>
        <v>2519.8487578184668</v>
      </c>
      <c r="F10" s="6">
        <f t="shared" si="3"/>
        <v>477498.82184806379</v>
      </c>
      <c r="G10" s="1"/>
      <c r="H10" s="1"/>
      <c r="I10" s="1"/>
    </row>
    <row r="11" spans="1:9" x14ac:dyDescent="0.25">
      <c r="A11" s="7" t="s">
        <v>96</v>
      </c>
      <c r="B11" s="6">
        <f t="shared" si="4"/>
        <v>477498.82184806379</v>
      </c>
      <c r="C11" s="6">
        <f t="shared" si="0"/>
        <v>629.74925466988088</v>
      </c>
      <c r="D11" s="6">
        <f t="shared" si="1"/>
        <v>1890.0995031485859</v>
      </c>
      <c r="E11" s="6">
        <f t="shared" si="2"/>
        <v>2519.8487578184668</v>
      </c>
      <c r="F11" s="6">
        <f t="shared" si="3"/>
        <v>476869.07259339391</v>
      </c>
      <c r="G11" s="1"/>
      <c r="H11" s="1"/>
      <c r="I11" s="1"/>
    </row>
    <row r="12" spans="1:9" x14ac:dyDescent="0.25">
      <c r="A12" s="7" t="s">
        <v>97</v>
      </c>
      <c r="B12" s="6">
        <f t="shared" si="4"/>
        <v>476869.07259339391</v>
      </c>
      <c r="C12" s="6">
        <f t="shared" si="0"/>
        <v>632.24201213628248</v>
      </c>
      <c r="D12" s="6">
        <f t="shared" si="1"/>
        <v>1887.6067456821843</v>
      </c>
      <c r="E12" s="6">
        <f t="shared" si="2"/>
        <v>2519.8487578184668</v>
      </c>
      <c r="F12" s="6">
        <f t="shared" si="3"/>
        <v>476236.83058125764</v>
      </c>
      <c r="G12" s="1"/>
      <c r="H12" s="1"/>
      <c r="I12" s="1"/>
    </row>
    <row r="13" spans="1:9" x14ac:dyDescent="0.25">
      <c r="A13" s="7" t="s">
        <v>98</v>
      </c>
      <c r="B13" s="6">
        <f t="shared" si="4"/>
        <v>476236.83058125764</v>
      </c>
      <c r="C13" s="6">
        <f t="shared" si="0"/>
        <v>634.74463676765504</v>
      </c>
      <c r="D13" s="6">
        <f t="shared" si="1"/>
        <v>1885.1041210508117</v>
      </c>
      <c r="E13" s="6">
        <f t="shared" si="2"/>
        <v>2519.8487578184668</v>
      </c>
      <c r="F13" s="6">
        <f t="shared" si="3"/>
        <v>475602.08594448998</v>
      </c>
      <c r="G13" s="1">
        <v>1</v>
      </c>
      <c r="H13" s="1"/>
      <c r="I13" s="1"/>
    </row>
    <row r="14" spans="1:9" x14ac:dyDescent="0.25">
      <c r="A14" s="10" t="s">
        <v>99</v>
      </c>
      <c r="B14" s="6"/>
      <c r="C14" s="6">
        <f>SUM(C2:C13)</f>
        <v>7453.9140555099675</v>
      </c>
      <c r="D14" s="6">
        <f>SUM(D2:D13)</f>
        <v>22784.271038311635</v>
      </c>
      <c r="E14" s="6"/>
      <c r="F14" s="6"/>
      <c r="G14" s="1"/>
      <c r="H14" s="1"/>
      <c r="I14" s="1"/>
    </row>
    <row r="15" spans="1:9" x14ac:dyDescent="0.25">
      <c r="A15" s="7"/>
      <c r="B15" s="6"/>
      <c r="C15" s="6"/>
      <c r="D15" s="6"/>
      <c r="E15" s="6"/>
      <c r="F15" s="6"/>
      <c r="G15" s="1"/>
      <c r="H15" s="1"/>
      <c r="I15" s="1"/>
    </row>
    <row r="16" spans="1:9" x14ac:dyDescent="0.25">
      <c r="A16" s="5" t="s">
        <v>81</v>
      </c>
      <c r="B16" s="6">
        <f>+F13</f>
        <v>475602.08594448998</v>
      </c>
      <c r="C16" s="6">
        <f t="shared" ref="C16:C27" si="5">+E16-D16</f>
        <v>637.25716762152706</v>
      </c>
      <c r="D16" s="6">
        <f t="shared" ref="D16:D27" si="6">B16*$I$2</f>
        <v>1882.5915901969397</v>
      </c>
      <c r="E16" s="6">
        <f t="shared" ref="E16:E27" si="7">-$I$9</f>
        <v>2519.8487578184668</v>
      </c>
      <c r="F16" s="6">
        <f t="shared" ref="F16:F27" si="8">+B16-C16</f>
        <v>474964.82877686847</v>
      </c>
      <c r="G16" s="1"/>
      <c r="H16" s="1"/>
      <c r="I16" s="1"/>
    </row>
    <row r="17" spans="1:9" x14ac:dyDescent="0.25">
      <c r="A17" s="7" t="s">
        <v>83</v>
      </c>
      <c r="B17" s="6">
        <f t="shared" ref="B17:B27" si="9">+F16</f>
        <v>474964.82877686847</v>
      </c>
      <c r="C17" s="6">
        <f t="shared" si="5"/>
        <v>639.77964391002888</v>
      </c>
      <c r="D17" s="6">
        <f t="shared" si="6"/>
        <v>1880.0691139084379</v>
      </c>
      <c r="E17" s="6">
        <f t="shared" si="7"/>
        <v>2519.8487578184668</v>
      </c>
      <c r="F17" s="6">
        <f t="shared" si="8"/>
        <v>474325.04913295846</v>
      </c>
      <c r="G17" s="1"/>
      <c r="H17" s="1"/>
      <c r="I17" s="1"/>
    </row>
    <row r="18" spans="1:9" x14ac:dyDescent="0.25">
      <c r="A18" s="7" t="s">
        <v>85</v>
      </c>
      <c r="B18" s="6">
        <f t="shared" si="9"/>
        <v>474325.04913295846</v>
      </c>
      <c r="C18" s="6">
        <f t="shared" si="5"/>
        <v>642.31210500050611</v>
      </c>
      <c r="D18" s="6">
        <f t="shared" si="6"/>
        <v>1877.5366528179607</v>
      </c>
      <c r="E18" s="6">
        <f t="shared" si="7"/>
        <v>2519.8487578184668</v>
      </c>
      <c r="F18" s="6">
        <f t="shared" si="8"/>
        <v>473682.73702795798</v>
      </c>
      <c r="G18" s="1"/>
      <c r="H18" s="1"/>
      <c r="I18" s="1"/>
    </row>
    <row r="19" spans="1:9" x14ac:dyDescent="0.25">
      <c r="A19" s="7" t="s">
        <v>87</v>
      </c>
      <c r="B19" s="6">
        <f t="shared" si="9"/>
        <v>473682.73702795798</v>
      </c>
      <c r="C19" s="6">
        <f t="shared" si="5"/>
        <v>644.85459041613285</v>
      </c>
      <c r="D19" s="6">
        <f t="shared" si="6"/>
        <v>1874.9941674023339</v>
      </c>
      <c r="E19" s="6">
        <f t="shared" si="7"/>
        <v>2519.8487578184668</v>
      </c>
      <c r="F19" s="6">
        <f t="shared" si="8"/>
        <v>473037.88243754185</v>
      </c>
      <c r="G19" s="1"/>
      <c r="H19" s="1"/>
      <c r="I19" s="1"/>
    </row>
    <row r="20" spans="1:9" x14ac:dyDescent="0.25">
      <c r="A20" s="7" t="s">
        <v>89</v>
      </c>
      <c r="B20" s="6">
        <f t="shared" si="9"/>
        <v>473037.88243754185</v>
      </c>
      <c r="C20" s="6">
        <f t="shared" si="5"/>
        <v>647.40713983653018</v>
      </c>
      <c r="D20" s="6">
        <f t="shared" si="6"/>
        <v>1872.4416179819366</v>
      </c>
      <c r="E20" s="6">
        <f t="shared" si="7"/>
        <v>2519.8487578184668</v>
      </c>
      <c r="F20" s="6">
        <f t="shared" si="8"/>
        <v>472390.47529770533</v>
      </c>
      <c r="G20" s="1"/>
      <c r="H20" s="1"/>
      <c r="I20" s="1"/>
    </row>
    <row r="21" spans="1:9" x14ac:dyDescent="0.25">
      <c r="A21" s="7" t="s">
        <v>91</v>
      </c>
      <c r="B21" s="6">
        <f t="shared" si="9"/>
        <v>472390.47529770533</v>
      </c>
      <c r="C21" s="6">
        <f t="shared" si="5"/>
        <v>649.96979309838298</v>
      </c>
      <c r="D21" s="6">
        <f t="shared" si="6"/>
        <v>1869.8789647200838</v>
      </c>
      <c r="E21" s="6">
        <f t="shared" si="7"/>
        <v>2519.8487578184668</v>
      </c>
      <c r="F21" s="6">
        <f t="shared" si="8"/>
        <v>471740.50550460693</v>
      </c>
      <c r="G21" s="1"/>
      <c r="H21" s="1"/>
      <c r="I21" s="1"/>
    </row>
    <row r="22" spans="1:9" x14ac:dyDescent="0.25">
      <c r="A22" s="7" t="s">
        <v>93</v>
      </c>
      <c r="B22" s="6">
        <f t="shared" si="9"/>
        <v>471740.50550460693</v>
      </c>
      <c r="C22" s="6">
        <f t="shared" si="5"/>
        <v>652.54259019606411</v>
      </c>
      <c r="D22" s="6">
        <f t="shared" si="6"/>
        <v>1867.3061676224027</v>
      </c>
      <c r="E22" s="6">
        <f t="shared" si="7"/>
        <v>2519.8487578184668</v>
      </c>
      <c r="F22" s="6">
        <f t="shared" si="8"/>
        <v>471087.96291441086</v>
      </c>
      <c r="G22" s="1"/>
      <c r="H22" s="1"/>
      <c r="I22" s="1"/>
    </row>
    <row r="23" spans="1:9" x14ac:dyDescent="0.25">
      <c r="A23" s="7" t="s">
        <v>94</v>
      </c>
      <c r="B23" s="6">
        <f t="shared" si="9"/>
        <v>471087.96291441086</v>
      </c>
      <c r="C23" s="6">
        <f t="shared" si="5"/>
        <v>655.12557128225694</v>
      </c>
      <c r="D23" s="6">
        <f t="shared" si="6"/>
        <v>1864.7231865362098</v>
      </c>
      <c r="E23" s="6">
        <f t="shared" si="7"/>
        <v>2519.8487578184668</v>
      </c>
      <c r="F23" s="6">
        <f t="shared" si="8"/>
        <v>470432.83734312863</v>
      </c>
      <c r="G23" s="1"/>
      <c r="H23" s="1"/>
      <c r="I23" s="1"/>
    </row>
    <row r="24" spans="1:9" x14ac:dyDescent="0.25">
      <c r="A24" s="7" t="s">
        <v>95</v>
      </c>
      <c r="B24" s="6">
        <f t="shared" si="9"/>
        <v>470432.83734312863</v>
      </c>
      <c r="C24" s="6">
        <f t="shared" si="5"/>
        <v>657.71877666858245</v>
      </c>
      <c r="D24" s="6">
        <f t="shared" si="6"/>
        <v>1862.1299811498843</v>
      </c>
      <c r="E24" s="6">
        <f t="shared" si="7"/>
        <v>2519.8487578184668</v>
      </c>
      <c r="F24" s="6">
        <f t="shared" si="8"/>
        <v>469775.11856646003</v>
      </c>
      <c r="G24" s="1"/>
      <c r="H24" s="1"/>
      <c r="I24" s="1"/>
    </row>
    <row r="25" spans="1:9" x14ac:dyDescent="0.25">
      <c r="A25" s="7" t="s">
        <v>96</v>
      </c>
      <c r="B25" s="6">
        <f t="shared" si="9"/>
        <v>469775.11856646003</v>
      </c>
      <c r="C25" s="6">
        <f t="shared" si="5"/>
        <v>660.32224682622905</v>
      </c>
      <c r="D25" s="6">
        <f t="shared" si="6"/>
        <v>1859.5265109922377</v>
      </c>
      <c r="E25" s="6">
        <f t="shared" si="7"/>
        <v>2519.8487578184668</v>
      </c>
      <c r="F25" s="6">
        <f t="shared" si="8"/>
        <v>469114.79631963378</v>
      </c>
      <c r="G25" s="1"/>
      <c r="H25" s="1"/>
      <c r="I25" s="1"/>
    </row>
    <row r="26" spans="1:9" x14ac:dyDescent="0.25">
      <c r="A26" s="7" t="s">
        <v>97</v>
      </c>
      <c r="B26" s="6">
        <f t="shared" si="9"/>
        <v>469114.79631963378</v>
      </c>
      <c r="C26" s="6">
        <f t="shared" si="5"/>
        <v>662.93602238658286</v>
      </c>
      <c r="D26" s="6">
        <f t="shared" si="6"/>
        <v>1856.9127354318839</v>
      </c>
      <c r="E26" s="6">
        <f t="shared" si="7"/>
        <v>2519.8487578184668</v>
      </c>
      <c r="F26" s="6">
        <f t="shared" si="8"/>
        <v>468451.86029724719</v>
      </c>
      <c r="G26" s="1"/>
      <c r="H26" s="1"/>
      <c r="I26" s="1"/>
    </row>
    <row r="27" spans="1:9" x14ac:dyDescent="0.25">
      <c r="A27" s="7" t="s">
        <v>98</v>
      </c>
      <c r="B27" s="6">
        <f t="shared" si="9"/>
        <v>468451.86029724719</v>
      </c>
      <c r="C27" s="6">
        <f t="shared" si="5"/>
        <v>665.56014414186325</v>
      </c>
      <c r="D27" s="6">
        <f t="shared" si="6"/>
        <v>1854.2886136766035</v>
      </c>
      <c r="E27" s="6">
        <f t="shared" si="7"/>
        <v>2519.8487578184668</v>
      </c>
      <c r="F27" s="6">
        <f t="shared" si="8"/>
        <v>467786.30015310535</v>
      </c>
      <c r="G27" s="1">
        <f>G13+1</f>
        <v>2</v>
      </c>
      <c r="H27" s="1"/>
      <c r="I27" s="1"/>
    </row>
    <row r="28" spans="1:9" x14ac:dyDescent="0.25">
      <c r="A28" s="10" t="s">
        <v>99</v>
      </c>
      <c r="B28" s="6"/>
      <c r="C28" s="6">
        <f>SUM(C16:C27)</f>
        <v>7815.7857913846865</v>
      </c>
      <c r="D28" s="6">
        <f>SUM(D16:D27)</f>
        <v>22422.399302436912</v>
      </c>
      <c r="E28" s="6"/>
      <c r="F28" s="6"/>
      <c r="G28" s="1"/>
      <c r="H28" s="1"/>
      <c r="I28" s="1"/>
    </row>
    <row r="29" spans="1:9" x14ac:dyDescent="0.25">
      <c r="A29" s="7"/>
      <c r="B29" s="6"/>
      <c r="C29" s="6"/>
      <c r="D29" s="6"/>
      <c r="E29" s="6"/>
      <c r="F29" s="6"/>
      <c r="G29" s="1"/>
      <c r="H29" s="1"/>
      <c r="I29" s="1"/>
    </row>
    <row r="30" spans="1:9" x14ac:dyDescent="0.25">
      <c r="A30" s="5" t="s">
        <v>81</v>
      </c>
      <c r="B30" s="6">
        <f>+F27</f>
        <v>467786.30015310535</v>
      </c>
      <c r="C30" s="6">
        <f t="shared" ref="C30:C41" si="10">+E30-D30</f>
        <v>668.19465304575806</v>
      </c>
      <c r="D30" s="6">
        <f t="shared" ref="D30:D41" si="11">B30*$I$2</f>
        <v>1851.6541047727087</v>
      </c>
      <c r="E30" s="6">
        <f t="shared" ref="E30:E41" si="12">-$I$9</f>
        <v>2519.8487578184668</v>
      </c>
      <c r="F30" s="6">
        <f t="shared" ref="F30:F41" si="13">+B30-C30</f>
        <v>467118.10550005961</v>
      </c>
      <c r="G30" s="1"/>
      <c r="H30" s="1"/>
      <c r="I30" s="1"/>
    </row>
    <row r="31" spans="1:9" x14ac:dyDescent="0.25">
      <c r="A31" s="7" t="s">
        <v>83</v>
      </c>
      <c r="B31" s="6">
        <f t="shared" ref="B31:B41" si="14">+F30</f>
        <v>467118.10550005961</v>
      </c>
      <c r="C31" s="6">
        <f t="shared" si="10"/>
        <v>670.83959021406395</v>
      </c>
      <c r="D31" s="6">
        <f t="shared" si="11"/>
        <v>1849.0091676044028</v>
      </c>
      <c r="E31" s="6">
        <f t="shared" si="12"/>
        <v>2519.8487578184668</v>
      </c>
      <c r="F31" s="6">
        <f t="shared" si="13"/>
        <v>466447.26590984553</v>
      </c>
      <c r="G31" s="1"/>
      <c r="H31" s="1"/>
      <c r="I31" s="1"/>
    </row>
    <row r="32" spans="1:9" x14ac:dyDescent="0.25">
      <c r="A32" s="7" t="s">
        <v>85</v>
      </c>
      <c r="B32" s="6">
        <f t="shared" si="14"/>
        <v>466447.26590984553</v>
      </c>
      <c r="C32" s="6">
        <f t="shared" si="10"/>
        <v>673.494996925328</v>
      </c>
      <c r="D32" s="6">
        <f t="shared" si="11"/>
        <v>1846.3537608931388</v>
      </c>
      <c r="E32" s="6">
        <f t="shared" si="12"/>
        <v>2519.8487578184668</v>
      </c>
      <c r="F32" s="6">
        <f t="shared" si="13"/>
        <v>465773.77091292018</v>
      </c>
      <c r="G32" s="1"/>
      <c r="H32" s="1"/>
      <c r="I32" s="1"/>
    </row>
    <row r="33" spans="1:9" x14ac:dyDescent="0.25">
      <c r="A33" s="7" t="s">
        <v>87</v>
      </c>
      <c r="B33" s="6">
        <f t="shared" si="14"/>
        <v>465773.77091292018</v>
      </c>
      <c r="C33" s="6">
        <f t="shared" si="10"/>
        <v>676.16091462149097</v>
      </c>
      <c r="D33" s="6">
        <f t="shared" si="11"/>
        <v>1843.6878431969758</v>
      </c>
      <c r="E33" s="6">
        <f t="shared" si="12"/>
        <v>2519.8487578184668</v>
      </c>
      <c r="F33" s="6">
        <f t="shared" si="13"/>
        <v>465097.60999829869</v>
      </c>
      <c r="G33" s="1"/>
      <c r="H33" s="1"/>
      <c r="I33" s="1"/>
    </row>
    <row r="34" spans="1:9" x14ac:dyDescent="0.25">
      <c r="A34" s="7" t="s">
        <v>89</v>
      </c>
      <c r="B34" s="6">
        <f t="shared" si="14"/>
        <v>465097.60999829869</v>
      </c>
      <c r="C34" s="6">
        <f t="shared" si="10"/>
        <v>678.8373849085342</v>
      </c>
      <c r="D34" s="6">
        <f t="shared" si="11"/>
        <v>1841.0113729099326</v>
      </c>
      <c r="E34" s="6">
        <f t="shared" si="12"/>
        <v>2519.8487578184668</v>
      </c>
      <c r="F34" s="6">
        <f t="shared" si="13"/>
        <v>464418.77261339017</v>
      </c>
      <c r="G34" s="1"/>
      <c r="H34" s="1"/>
      <c r="I34" s="1"/>
    </row>
    <row r="35" spans="1:9" x14ac:dyDescent="0.25">
      <c r="A35" s="7" t="s">
        <v>91</v>
      </c>
      <c r="B35" s="6">
        <f t="shared" si="14"/>
        <v>464418.77261339017</v>
      </c>
      <c r="C35" s="6">
        <f t="shared" si="10"/>
        <v>681.52444955713054</v>
      </c>
      <c r="D35" s="6">
        <f t="shared" si="11"/>
        <v>1838.3243082613362</v>
      </c>
      <c r="E35" s="6">
        <f t="shared" si="12"/>
        <v>2519.8487578184668</v>
      </c>
      <c r="F35" s="6">
        <f t="shared" si="13"/>
        <v>463737.24816383305</v>
      </c>
      <c r="G35" s="1"/>
      <c r="H35" s="1"/>
      <c r="I35" s="1"/>
    </row>
    <row r="36" spans="1:9" x14ac:dyDescent="0.25">
      <c r="A36" s="7" t="s">
        <v>93</v>
      </c>
      <c r="B36" s="6">
        <f t="shared" si="14"/>
        <v>463737.24816383305</v>
      </c>
      <c r="C36" s="6">
        <f t="shared" si="10"/>
        <v>684.22215050329419</v>
      </c>
      <c r="D36" s="6">
        <f t="shared" si="11"/>
        <v>1835.6266073151726</v>
      </c>
      <c r="E36" s="6">
        <f t="shared" si="12"/>
        <v>2519.8487578184668</v>
      </c>
      <c r="F36" s="6">
        <f t="shared" si="13"/>
        <v>463053.02601332974</v>
      </c>
      <c r="G36" s="1"/>
      <c r="H36" s="1"/>
      <c r="I36" s="1"/>
    </row>
    <row r="37" spans="1:9" x14ac:dyDescent="0.25">
      <c r="A37" s="7" t="s">
        <v>94</v>
      </c>
      <c r="B37" s="6">
        <f t="shared" si="14"/>
        <v>463053.02601332974</v>
      </c>
      <c r="C37" s="6">
        <f t="shared" si="10"/>
        <v>686.93052984903647</v>
      </c>
      <c r="D37" s="6">
        <f t="shared" si="11"/>
        <v>1832.9182279694303</v>
      </c>
      <c r="E37" s="6">
        <f t="shared" si="12"/>
        <v>2519.8487578184668</v>
      </c>
      <c r="F37" s="6">
        <f t="shared" si="13"/>
        <v>462366.09548348072</v>
      </c>
      <c r="G37" s="1"/>
      <c r="H37" s="1"/>
      <c r="I37" s="1"/>
    </row>
    <row r="38" spans="1:9" x14ac:dyDescent="0.25">
      <c r="A38" s="7" t="s">
        <v>95</v>
      </c>
      <c r="B38" s="6">
        <f t="shared" si="14"/>
        <v>462366.09548348072</v>
      </c>
      <c r="C38" s="6">
        <f t="shared" si="10"/>
        <v>689.64962986302203</v>
      </c>
      <c r="D38" s="6">
        <f t="shared" si="11"/>
        <v>1830.1991279554447</v>
      </c>
      <c r="E38" s="6">
        <f t="shared" si="12"/>
        <v>2519.8487578184668</v>
      </c>
      <c r="F38" s="6">
        <f t="shared" si="13"/>
        <v>461676.44585361768</v>
      </c>
      <c r="G38" s="1"/>
      <c r="H38" s="1"/>
      <c r="I38" s="1"/>
    </row>
    <row r="39" spans="1:9" x14ac:dyDescent="0.25">
      <c r="A39" s="7" t="s">
        <v>96</v>
      </c>
      <c r="B39" s="6">
        <f t="shared" si="14"/>
        <v>461676.44585361768</v>
      </c>
      <c r="C39" s="6">
        <f t="shared" si="10"/>
        <v>692.37949298122999</v>
      </c>
      <c r="D39" s="6">
        <f t="shared" si="11"/>
        <v>1827.4692648372368</v>
      </c>
      <c r="E39" s="6">
        <f t="shared" si="12"/>
        <v>2519.8487578184668</v>
      </c>
      <c r="F39" s="6">
        <f t="shared" si="13"/>
        <v>460984.06636063644</v>
      </c>
      <c r="G39" s="1"/>
      <c r="H39" s="1"/>
      <c r="I39" s="1"/>
    </row>
    <row r="40" spans="1:9" x14ac:dyDescent="0.25">
      <c r="A40" s="7" t="s">
        <v>97</v>
      </c>
      <c r="B40" s="6">
        <f t="shared" si="14"/>
        <v>460984.06636063644</v>
      </c>
      <c r="C40" s="6">
        <f t="shared" si="10"/>
        <v>695.12016180761407</v>
      </c>
      <c r="D40" s="6">
        <f t="shared" si="11"/>
        <v>1824.7285960108527</v>
      </c>
      <c r="E40" s="6">
        <f t="shared" si="12"/>
        <v>2519.8487578184668</v>
      </c>
      <c r="F40" s="6">
        <f t="shared" si="13"/>
        <v>460288.94619882881</v>
      </c>
      <c r="G40" s="1"/>
      <c r="H40" s="1"/>
      <c r="I40" s="1"/>
    </row>
    <row r="41" spans="1:9" x14ac:dyDescent="0.25">
      <c r="A41" s="7" t="s">
        <v>98</v>
      </c>
      <c r="B41" s="6">
        <f t="shared" si="14"/>
        <v>460288.94619882881</v>
      </c>
      <c r="C41" s="6">
        <f t="shared" si="10"/>
        <v>697.87167911476922</v>
      </c>
      <c r="D41" s="6">
        <f t="shared" si="11"/>
        <v>1821.9770787036975</v>
      </c>
      <c r="E41" s="6">
        <f t="shared" si="12"/>
        <v>2519.8487578184668</v>
      </c>
      <c r="F41" s="6">
        <f t="shared" si="13"/>
        <v>459591.07451971405</v>
      </c>
      <c r="G41" s="1">
        <f>G27+1</f>
        <v>3</v>
      </c>
      <c r="H41" s="1"/>
      <c r="I41" s="1"/>
    </row>
    <row r="42" spans="1:9" x14ac:dyDescent="0.25">
      <c r="A42" s="10" t="s">
        <v>99</v>
      </c>
      <c r="B42" s="6"/>
      <c r="C42" s="6">
        <f>SUM(C30:C41)</f>
        <v>8195.2256333912719</v>
      </c>
      <c r="D42" s="6">
        <f>SUM(D30:D41)</f>
        <v>22042.959460430331</v>
      </c>
      <c r="E42" s="6"/>
      <c r="F42" s="6"/>
      <c r="G42" s="1"/>
      <c r="H42" s="1"/>
      <c r="I42" s="1"/>
    </row>
    <row r="43" spans="1:9" x14ac:dyDescent="0.25">
      <c r="A43" s="7"/>
      <c r="B43" s="6"/>
      <c r="C43" s="6"/>
      <c r="D43" s="6"/>
      <c r="E43" s="6"/>
      <c r="F43" s="6"/>
      <c r="G43" s="1"/>
      <c r="H43" s="1"/>
      <c r="I43" s="1"/>
    </row>
    <row r="44" spans="1:9" x14ac:dyDescent="0.25">
      <c r="A44" s="5" t="s">
        <v>81</v>
      </c>
      <c r="B44" s="6">
        <f>+F41</f>
        <v>459591.07451971405</v>
      </c>
      <c r="C44" s="6">
        <f>+E44-D44</f>
        <v>700.63408784459853</v>
      </c>
      <c r="D44" s="6">
        <f>B44*$I$2</f>
        <v>1819.2146699738682</v>
      </c>
      <c r="E44" s="6">
        <f t="shared" ref="E44:E55" si="15">-$I$9</f>
        <v>2519.8487578184668</v>
      </c>
      <c r="F44" s="6">
        <f>+B44-C44</f>
        <v>458890.44043186947</v>
      </c>
      <c r="G44" s="1"/>
      <c r="H44" s="1"/>
      <c r="I44" s="1"/>
    </row>
    <row r="45" spans="1:9" x14ac:dyDescent="0.25">
      <c r="A45" s="7" t="s">
        <v>83</v>
      </c>
      <c r="B45" s="6">
        <f>+F44</f>
        <v>458890.44043186947</v>
      </c>
      <c r="C45" s="6">
        <f>+E45-D45</f>
        <v>703.40743110898325</v>
      </c>
      <c r="D45" s="6">
        <f>B45*$I$2</f>
        <v>1816.4413267094835</v>
      </c>
      <c r="E45" s="6">
        <f t="shared" si="15"/>
        <v>2519.8487578184668</v>
      </c>
      <c r="F45" s="6">
        <f>+B45-C45</f>
        <v>458187.03300076048</v>
      </c>
      <c r="G45" s="1"/>
      <c r="H45" s="1"/>
      <c r="I45" s="1"/>
    </row>
    <row r="46" spans="1:9" x14ac:dyDescent="0.25">
      <c r="A46" s="7" t="s">
        <v>85</v>
      </c>
      <c r="B46" s="6">
        <f>+F45</f>
        <v>458187.03300076048</v>
      </c>
      <c r="C46" s="6">
        <f>+E46-D46</f>
        <v>706.19175219045633</v>
      </c>
      <c r="D46" s="6">
        <f>B46*$I$2</f>
        <v>1813.6570056280104</v>
      </c>
      <c r="E46" s="6">
        <f t="shared" si="15"/>
        <v>2519.8487578184668</v>
      </c>
      <c r="F46" s="6">
        <f>+B46-C46</f>
        <v>457480.84124857001</v>
      </c>
      <c r="G46" s="1"/>
      <c r="H46" s="1"/>
      <c r="I46" s="1"/>
    </row>
    <row r="47" spans="1:9" x14ac:dyDescent="0.25">
      <c r="A47" s="7" t="s">
        <v>87</v>
      </c>
      <c r="B47" s="6">
        <f>+F46</f>
        <v>457480.84124857001</v>
      </c>
      <c r="C47" s="6">
        <f>+E47-D47</f>
        <v>708.987094542877</v>
      </c>
      <c r="D47" s="6">
        <f>B47*$I$2</f>
        <v>1810.8616632755898</v>
      </c>
      <c r="E47" s="6">
        <f t="shared" si="15"/>
        <v>2519.8487578184668</v>
      </c>
      <c r="F47" s="6">
        <f>+B47-C47</f>
        <v>456771.85415402713</v>
      </c>
      <c r="G47" s="1"/>
      <c r="H47" s="1"/>
      <c r="I47" s="1"/>
    </row>
    <row r="48" spans="1:9" x14ac:dyDescent="0.25">
      <c r="A48" s="7" t="s">
        <v>89</v>
      </c>
      <c r="B48" s="6">
        <f t="shared" ref="B48:B55" si="16">+F47</f>
        <v>456771.85415402713</v>
      </c>
      <c r="C48" s="6">
        <f t="shared" ref="C48:C55" si="17">+E48-D48</f>
        <v>711.79350179210928</v>
      </c>
      <c r="D48" s="6">
        <f t="shared" ref="D48:D55" si="18">B48*$I$2</f>
        <v>1808.0552560263575</v>
      </c>
      <c r="E48" s="6">
        <f t="shared" si="15"/>
        <v>2519.8487578184668</v>
      </c>
      <c r="F48" s="6">
        <f t="shared" ref="F48:F55" si="19">+B48-C48</f>
        <v>456060.060652235</v>
      </c>
      <c r="G48" s="1"/>
      <c r="H48" s="1"/>
      <c r="I48" s="1"/>
    </row>
    <row r="49" spans="1:9" x14ac:dyDescent="0.25">
      <c r="A49" s="7" t="s">
        <v>91</v>
      </c>
      <c r="B49" s="6">
        <f t="shared" si="16"/>
        <v>456060.060652235</v>
      </c>
      <c r="C49" s="6">
        <f t="shared" si="17"/>
        <v>714.61101773670316</v>
      </c>
      <c r="D49" s="6">
        <f t="shared" si="18"/>
        <v>1805.2377400817636</v>
      </c>
      <c r="E49" s="6">
        <f t="shared" si="15"/>
        <v>2519.8487578184668</v>
      </c>
      <c r="F49" s="6">
        <f t="shared" si="19"/>
        <v>455345.44963449828</v>
      </c>
      <c r="G49" s="1"/>
      <c r="H49" s="1"/>
      <c r="I49" s="1"/>
    </row>
    <row r="50" spans="1:9" x14ac:dyDescent="0.25">
      <c r="A50" s="7" t="s">
        <v>93</v>
      </c>
      <c r="B50" s="6">
        <f t="shared" si="16"/>
        <v>455345.44963449828</v>
      </c>
      <c r="C50" s="6">
        <f t="shared" si="17"/>
        <v>717.43968634857765</v>
      </c>
      <c r="D50" s="6">
        <f t="shared" si="18"/>
        <v>1802.4090714698891</v>
      </c>
      <c r="E50" s="6">
        <f t="shared" si="15"/>
        <v>2519.8487578184668</v>
      </c>
      <c r="F50" s="6">
        <f t="shared" si="19"/>
        <v>454628.00994814967</v>
      </c>
      <c r="G50" s="1"/>
      <c r="H50" s="1"/>
      <c r="I50" s="1"/>
    </row>
    <row r="51" spans="1:9" x14ac:dyDescent="0.25">
      <c r="A51" s="7" t="s">
        <v>94</v>
      </c>
      <c r="B51" s="6">
        <f t="shared" si="16"/>
        <v>454628.00994814967</v>
      </c>
      <c r="C51" s="6">
        <f t="shared" si="17"/>
        <v>720.27955177370745</v>
      </c>
      <c r="D51" s="6">
        <f t="shared" si="18"/>
        <v>1799.5692060447593</v>
      </c>
      <c r="E51" s="6">
        <f t="shared" si="15"/>
        <v>2519.8487578184668</v>
      </c>
      <c r="F51" s="6">
        <f t="shared" si="19"/>
        <v>453907.73039637599</v>
      </c>
      <c r="G51" s="1"/>
      <c r="H51" s="1"/>
      <c r="I51" s="1"/>
    </row>
    <row r="52" spans="1:9" x14ac:dyDescent="0.25">
      <c r="A52" s="7" t="s">
        <v>95</v>
      </c>
      <c r="B52" s="6">
        <f t="shared" si="16"/>
        <v>453907.73039637599</v>
      </c>
      <c r="C52" s="6">
        <f t="shared" si="17"/>
        <v>723.13065833281166</v>
      </c>
      <c r="D52" s="6">
        <f t="shared" si="18"/>
        <v>1796.7180994856551</v>
      </c>
      <c r="E52" s="6">
        <f t="shared" si="15"/>
        <v>2519.8487578184668</v>
      </c>
      <c r="F52" s="6">
        <f t="shared" si="19"/>
        <v>453184.59973804315</v>
      </c>
      <c r="G52" s="1"/>
      <c r="H52" s="1"/>
      <c r="I52" s="1"/>
    </row>
    <row r="53" spans="1:9" x14ac:dyDescent="0.25">
      <c r="A53" s="7" t="s">
        <v>96</v>
      </c>
      <c r="B53" s="6">
        <f t="shared" si="16"/>
        <v>453184.59973804315</v>
      </c>
      <c r="C53" s="6">
        <f t="shared" si="17"/>
        <v>725.99305052204591</v>
      </c>
      <c r="D53" s="6">
        <f t="shared" si="18"/>
        <v>1793.8557072964209</v>
      </c>
      <c r="E53" s="6">
        <f t="shared" si="15"/>
        <v>2519.8487578184668</v>
      </c>
      <c r="F53" s="6">
        <f t="shared" si="19"/>
        <v>452458.6066875211</v>
      </c>
      <c r="G53" s="1"/>
      <c r="H53" s="1"/>
      <c r="I53" s="1"/>
    </row>
    <row r="54" spans="1:9" x14ac:dyDescent="0.25">
      <c r="A54" s="7" t="s">
        <v>97</v>
      </c>
      <c r="B54" s="6">
        <f t="shared" si="16"/>
        <v>452458.6066875211</v>
      </c>
      <c r="C54" s="6">
        <f t="shared" si="17"/>
        <v>728.86677301369559</v>
      </c>
      <c r="D54" s="6">
        <f t="shared" si="18"/>
        <v>1790.9819848047712</v>
      </c>
      <c r="E54" s="6">
        <f t="shared" si="15"/>
        <v>2519.8487578184668</v>
      </c>
      <c r="F54" s="6">
        <f t="shared" si="19"/>
        <v>451729.73991450737</v>
      </c>
      <c r="G54" s="1"/>
      <c r="H54" s="1"/>
      <c r="I54" s="1"/>
    </row>
    <row r="55" spans="1:9" x14ac:dyDescent="0.25">
      <c r="A55" s="7" t="s">
        <v>98</v>
      </c>
      <c r="B55" s="6">
        <f t="shared" si="16"/>
        <v>451729.73991450737</v>
      </c>
      <c r="C55" s="6">
        <f t="shared" si="17"/>
        <v>731.75187065687487</v>
      </c>
      <c r="D55" s="6">
        <f t="shared" si="18"/>
        <v>1788.0968871615919</v>
      </c>
      <c r="E55" s="6">
        <f t="shared" si="15"/>
        <v>2519.8487578184668</v>
      </c>
      <c r="F55" s="6">
        <f t="shared" si="19"/>
        <v>450997.98804385052</v>
      </c>
      <c r="G55" s="1">
        <f>G41+1</f>
        <v>4</v>
      </c>
      <c r="H55" s="1"/>
      <c r="I55" s="1"/>
    </row>
    <row r="56" spans="1:9" x14ac:dyDescent="0.25">
      <c r="A56" s="10" t="s">
        <v>99</v>
      </c>
      <c r="B56" s="6"/>
      <c r="C56" s="6">
        <f>SUM(C44:C55)</f>
        <v>8593.0864758634416</v>
      </c>
      <c r="D56" s="6">
        <f>SUM(D44:D55)</f>
        <v>21645.09861795816</v>
      </c>
      <c r="E56" s="6"/>
      <c r="F56" s="6"/>
      <c r="G56" s="1"/>
      <c r="H56" s="1"/>
      <c r="I56" s="1"/>
    </row>
    <row r="57" spans="1:9" x14ac:dyDescent="0.25">
      <c r="A57" s="1"/>
      <c r="B57" s="6"/>
      <c r="C57" s="6"/>
      <c r="D57" s="6"/>
      <c r="E57" s="6"/>
      <c r="F57" s="6"/>
      <c r="G57" s="1"/>
      <c r="H57" s="1"/>
      <c r="I57" s="1"/>
    </row>
    <row r="58" spans="1:9" x14ac:dyDescent="0.25">
      <c r="A58" s="5" t="s">
        <v>81</v>
      </c>
      <c r="B58" s="6">
        <f>+F55</f>
        <v>450997.98804385052</v>
      </c>
      <c r="C58" s="6">
        <f t="shared" ref="C58:C69" si="20">+E58-D58</f>
        <v>734.64838847822489</v>
      </c>
      <c r="D58" s="6">
        <f t="shared" ref="D58:D69" si="21">B58*$I$2</f>
        <v>1785.2003693402419</v>
      </c>
      <c r="E58" s="6">
        <f t="shared" ref="E58:E69" si="22">-$I$9</f>
        <v>2519.8487578184668</v>
      </c>
      <c r="F58" s="6">
        <f t="shared" ref="F58:F69" si="23">+B58-C58</f>
        <v>450263.33965537231</v>
      </c>
      <c r="G58" s="1"/>
      <c r="H58" s="1"/>
      <c r="I58" s="1"/>
    </row>
    <row r="59" spans="1:9" x14ac:dyDescent="0.25">
      <c r="A59" s="7" t="s">
        <v>83</v>
      </c>
      <c r="B59" s="6">
        <f t="shared" ref="B59:B69" si="24">+F58</f>
        <v>450263.33965537231</v>
      </c>
      <c r="C59" s="6">
        <f t="shared" si="20"/>
        <v>737.55637168261796</v>
      </c>
      <c r="D59" s="6">
        <f t="shared" si="21"/>
        <v>1782.2923861358488</v>
      </c>
      <c r="E59" s="6">
        <f t="shared" si="22"/>
        <v>2519.8487578184668</v>
      </c>
      <c r="F59" s="6">
        <f t="shared" si="23"/>
        <v>449525.7832836897</v>
      </c>
      <c r="G59" s="1"/>
      <c r="H59" s="1"/>
      <c r="I59" s="1"/>
    </row>
    <row r="60" spans="1:9" x14ac:dyDescent="0.25">
      <c r="A60" s="7" t="s">
        <v>85</v>
      </c>
      <c r="B60" s="6">
        <f t="shared" si="24"/>
        <v>449525.7832836897</v>
      </c>
      <c r="C60" s="6">
        <f t="shared" si="20"/>
        <v>740.47586565386155</v>
      </c>
      <c r="D60" s="6">
        <f t="shared" si="21"/>
        <v>1779.3728921646052</v>
      </c>
      <c r="E60" s="6">
        <f t="shared" si="22"/>
        <v>2519.8487578184668</v>
      </c>
      <c r="F60" s="6">
        <f t="shared" si="23"/>
        <v>448785.30741803581</v>
      </c>
      <c r="G60" s="1"/>
      <c r="H60" s="1"/>
      <c r="I60" s="1"/>
    </row>
    <row r="61" spans="1:9" x14ac:dyDescent="0.25">
      <c r="A61" s="7" t="s">
        <v>87</v>
      </c>
      <c r="B61" s="6">
        <f t="shared" si="24"/>
        <v>448785.30741803581</v>
      </c>
      <c r="C61" s="6">
        <f t="shared" si="20"/>
        <v>743.40691595540829</v>
      </c>
      <c r="D61" s="6">
        <f t="shared" si="21"/>
        <v>1776.4418418630585</v>
      </c>
      <c r="E61" s="6">
        <f t="shared" si="22"/>
        <v>2519.8487578184668</v>
      </c>
      <c r="F61" s="6">
        <f t="shared" si="23"/>
        <v>448041.90050208039</v>
      </c>
      <c r="G61" s="1"/>
      <c r="H61" s="1"/>
      <c r="I61" s="1"/>
    </row>
    <row r="62" spans="1:9" x14ac:dyDescent="0.25">
      <c r="A62" s="7" t="s">
        <v>89</v>
      </c>
      <c r="B62" s="6">
        <f t="shared" si="24"/>
        <v>448041.90050208039</v>
      </c>
      <c r="C62" s="6">
        <f t="shared" si="20"/>
        <v>746.34956833106503</v>
      </c>
      <c r="D62" s="6">
        <f t="shared" si="21"/>
        <v>1773.4991894874017</v>
      </c>
      <c r="E62" s="6">
        <f t="shared" si="22"/>
        <v>2519.8487578184668</v>
      </c>
      <c r="F62" s="6">
        <f t="shared" si="23"/>
        <v>447295.5509337493</v>
      </c>
      <c r="G62" s="1"/>
      <c r="H62" s="1"/>
      <c r="I62" s="1"/>
    </row>
    <row r="63" spans="1:9" x14ac:dyDescent="0.25">
      <c r="A63" s="7" t="s">
        <v>91</v>
      </c>
      <c r="B63" s="6">
        <f t="shared" si="24"/>
        <v>447295.5509337493</v>
      </c>
      <c r="C63" s="6">
        <f t="shared" si="20"/>
        <v>749.30386870570896</v>
      </c>
      <c r="D63" s="6">
        <f t="shared" si="21"/>
        <v>1770.5448891127578</v>
      </c>
      <c r="E63" s="6">
        <f t="shared" si="22"/>
        <v>2519.8487578184668</v>
      </c>
      <c r="F63" s="6">
        <f t="shared" si="23"/>
        <v>446546.2470650436</v>
      </c>
      <c r="G63" s="1"/>
      <c r="H63" s="1"/>
      <c r="I63" s="1"/>
    </row>
    <row r="64" spans="1:9" x14ac:dyDescent="0.25">
      <c r="A64" s="7" t="s">
        <v>93</v>
      </c>
      <c r="B64" s="6">
        <f t="shared" si="24"/>
        <v>446546.2470650436</v>
      </c>
      <c r="C64" s="6">
        <f t="shared" si="20"/>
        <v>752.26986318600234</v>
      </c>
      <c r="D64" s="6">
        <f t="shared" si="21"/>
        <v>1767.5788946324644</v>
      </c>
      <c r="E64" s="6">
        <f t="shared" si="22"/>
        <v>2519.8487578184668</v>
      </c>
      <c r="F64" s="6">
        <f t="shared" si="23"/>
        <v>445793.9772018576</v>
      </c>
      <c r="G64" s="1"/>
      <c r="H64" s="1"/>
      <c r="I64" s="1"/>
    </row>
    <row r="65" spans="1:9" x14ac:dyDescent="0.25">
      <c r="A65" s="7" t="s">
        <v>94</v>
      </c>
      <c r="B65" s="6">
        <f t="shared" si="24"/>
        <v>445793.9772018576</v>
      </c>
      <c r="C65" s="6">
        <f t="shared" si="20"/>
        <v>755.24759806111365</v>
      </c>
      <c r="D65" s="6">
        <f t="shared" si="21"/>
        <v>1764.6011597573531</v>
      </c>
      <c r="E65" s="6">
        <f t="shared" si="22"/>
        <v>2519.8487578184668</v>
      </c>
      <c r="F65" s="6">
        <f t="shared" si="23"/>
        <v>445038.7296037965</v>
      </c>
      <c r="G65" s="1"/>
      <c r="H65" s="1"/>
      <c r="I65" s="1"/>
    </row>
    <row r="66" spans="1:9" x14ac:dyDescent="0.25">
      <c r="A66" s="7" t="s">
        <v>95</v>
      </c>
      <c r="B66" s="6">
        <f t="shared" si="24"/>
        <v>445038.7296037965</v>
      </c>
      <c r="C66" s="6">
        <f t="shared" si="20"/>
        <v>758.23711980343887</v>
      </c>
      <c r="D66" s="6">
        <f t="shared" si="21"/>
        <v>1761.6116380150279</v>
      </c>
      <c r="E66" s="6">
        <f t="shared" si="22"/>
        <v>2519.8487578184668</v>
      </c>
      <c r="F66" s="6">
        <f t="shared" si="23"/>
        <v>444280.49248399306</v>
      </c>
      <c r="G66" s="1"/>
      <c r="H66" s="1"/>
      <c r="I66" s="1"/>
    </row>
    <row r="67" spans="1:9" x14ac:dyDescent="0.25">
      <c r="A67" s="7" t="s">
        <v>96</v>
      </c>
      <c r="B67" s="6">
        <f t="shared" si="24"/>
        <v>444280.49248399306</v>
      </c>
      <c r="C67" s="6">
        <f t="shared" si="20"/>
        <v>761.23847506932748</v>
      </c>
      <c r="D67" s="6">
        <f t="shared" si="21"/>
        <v>1758.6102827491393</v>
      </c>
      <c r="E67" s="6">
        <f t="shared" si="22"/>
        <v>2519.8487578184668</v>
      </c>
      <c r="F67" s="6">
        <f t="shared" si="23"/>
        <v>443519.25400892372</v>
      </c>
      <c r="G67" s="1"/>
      <c r="H67" s="1"/>
      <c r="I67" s="1"/>
    </row>
    <row r="68" spans="1:9" x14ac:dyDescent="0.25">
      <c r="A68" s="7" t="s">
        <v>97</v>
      </c>
      <c r="B68" s="6">
        <f t="shared" si="24"/>
        <v>443519.25400892372</v>
      </c>
      <c r="C68" s="6">
        <f t="shared" si="20"/>
        <v>764.25171069981025</v>
      </c>
      <c r="D68" s="6">
        <f t="shared" si="21"/>
        <v>1755.5970471186565</v>
      </c>
      <c r="E68" s="6">
        <f t="shared" si="22"/>
        <v>2519.8487578184668</v>
      </c>
      <c r="F68" s="6">
        <f t="shared" si="23"/>
        <v>442755.0022982239</v>
      </c>
      <c r="G68" s="1"/>
      <c r="H68" s="1"/>
      <c r="I68" s="1"/>
    </row>
    <row r="69" spans="1:9" x14ac:dyDescent="0.25">
      <c r="A69" s="7" t="s">
        <v>98</v>
      </c>
      <c r="B69" s="6">
        <f t="shared" si="24"/>
        <v>442755.0022982239</v>
      </c>
      <c r="C69" s="6">
        <f t="shared" si="20"/>
        <v>767.27687372133028</v>
      </c>
      <c r="D69" s="6">
        <f t="shared" si="21"/>
        <v>1752.5718840971365</v>
      </c>
      <c r="E69" s="6">
        <f t="shared" si="22"/>
        <v>2519.8487578184668</v>
      </c>
      <c r="F69" s="6">
        <f t="shared" si="23"/>
        <v>441987.72542450257</v>
      </c>
      <c r="G69" s="1">
        <f>G55+1</f>
        <v>5</v>
      </c>
      <c r="H69" s="1"/>
      <c r="I69" s="1"/>
    </row>
    <row r="70" spans="1:9" x14ac:dyDescent="0.25">
      <c r="A70" s="10" t="s">
        <v>99</v>
      </c>
      <c r="B70" s="6"/>
      <c r="C70" s="6">
        <f>SUM(C58:C69)</f>
        <v>9010.2626193479082</v>
      </c>
      <c r="D70" s="6">
        <f>SUM(D58:D69)</f>
        <v>21227.922474473686</v>
      </c>
      <c r="E70" s="6"/>
      <c r="F70" s="6"/>
      <c r="G70" s="1"/>
      <c r="H70" s="1"/>
      <c r="I70" s="1"/>
    </row>
    <row r="71" spans="1:9" x14ac:dyDescent="0.25">
      <c r="A71" s="7"/>
      <c r="B71" s="6"/>
      <c r="C71" s="6"/>
      <c r="D71" s="6"/>
      <c r="E71" s="6"/>
      <c r="F71" s="6"/>
      <c r="G71" s="1"/>
      <c r="H71" s="1"/>
      <c r="I71" s="1"/>
    </row>
    <row r="72" spans="1:9" x14ac:dyDescent="0.25">
      <c r="A72" s="5" t="s">
        <v>81</v>
      </c>
      <c r="B72" s="6">
        <f>+F69</f>
        <v>441987.72542450257</v>
      </c>
      <c r="C72" s="6">
        <f t="shared" ref="C72:C83" si="25">+E72-D72</f>
        <v>770.31401134647717</v>
      </c>
      <c r="D72" s="6">
        <f t="shared" ref="D72:D83" si="26">B72*$I$2</f>
        <v>1749.5347464719896</v>
      </c>
      <c r="E72" s="6">
        <f t="shared" ref="E72:E83" si="27">-$I$9</f>
        <v>2519.8487578184668</v>
      </c>
      <c r="F72" s="6">
        <f t="shared" ref="F72:F83" si="28">+B72-C72</f>
        <v>441217.41141315608</v>
      </c>
      <c r="G72" s="1"/>
      <c r="H72" s="1"/>
      <c r="I72" s="1"/>
    </row>
    <row r="73" spans="1:9" x14ac:dyDescent="0.25">
      <c r="A73" s="7" t="s">
        <v>83</v>
      </c>
      <c r="B73" s="6">
        <f t="shared" ref="B73:B83" si="29">+F72</f>
        <v>441217.41141315608</v>
      </c>
      <c r="C73" s="6">
        <f t="shared" si="25"/>
        <v>773.36317097472374</v>
      </c>
      <c r="D73" s="6">
        <f t="shared" si="26"/>
        <v>1746.485586843743</v>
      </c>
      <c r="E73" s="6">
        <f t="shared" si="27"/>
        <v>2519.8487578184668</v>
      </c>
      <c r="F73" s="6">
        <f t="shared" si="28"/>
        <v>440444.04824218136</v>
      </c>
      <c r="G73" s="1"/>
      <c r="H73" s="1"/>
      <c r="I73" s="1"/>
    </row>
    <row r="74" spans="1:9" x14ac:dyDescent="0.25">
      <c r="A74" s="7" t="s">
        <v>85</v>
      </c>
      <c r="B74" s="6">
        <f t="shared" si="29"/>
        <v>440444.04824218136</v>
      </c>
      <c r="C74" s="6">
        <f t="shared" si="25"/>
        <v>776.42440019316541</v>
      </c>
      <c r="D74" s="6">
        <f t="shared" si="26"/>
        <v>1743.4243576253014</v>
      </c>
      <c r="E74" s="6">
        <f t="shared" si="27"/>
        <v>2519.8487578184668</v>
      </c>
      <c r="F74" s="6">
        <f t="shared" si="28"/>
        <v>439667.62384198821</v>
      </c>
      <c r="G74" s="1"/>
      <c r="H74" s="1"/>
      <c r="I74" s="1"/>
    </row>
    <row r="75" spans="1:9" x14ac:dyDescent="0.25">
      <c r="A75" s="7" t="s">
        <v>87</v>
      </c>
      <c r="B75" s="6">
        <f t="shared" si="29"/>
        <v>439667.62384198821</v>
      </c>
      <c r="C75" s="6">
        <f t="shared" si="25"/>
        <v>779.49774677726327</v>
      </c>
      <c r="D75" s="6">
        <f t="shared" si="26"/>
        <v>1740.3510110412035</v>
      </c>
      <c r="E75" s="6">
        <f t="shared" si="27"/>
        <v>2519.8487578184668</v>
      </c>
      <c r="F75" s="6">
        <f t="shared" si="28"/>
        <v>438888.12609521096</v>
      </c>
      <c r="G75" s="1"/>
      <c r="H75" s="1"/>
      <c r="I75" s="1"/>
    </row>
    <row r="76" spans="1:9" x14ac:dyDescent="0.25">
      <c r="A76" s="7" t="s">
        <v>89</v>
      </c>
      <c r="B76" s="6">
        <f t="shared" si="29"/>
        <v>438888.12609521096</v>
      </c>
      <c r="C76" s="6">
        <f t="shared" si="25"/>
        <v>782.58325869158989</v>
      </c>
      <c r="D76" s="6">
        <f t="shared" si="26"/>
        <v>1737.2654991268769</v>
      </c>
      <c r="E76" s="6">
        <f t="shared" si="27"/>
        <v>2519.8487578184668</v>
      </c>
      <c r="F76" s="6">
        <f t="shared" si="28"/>
        <v>438105.54283651937</v>
      </c>
      <c r="G76" s="1"/>
      <c r="H76" s="1"/>
      <c r="I76" s="1"/>
    </row>
    <row r="77" spans="1:9" x14ac:dyDescent="0.25">
      <c r="A77" s="7" t="s">
        <v>91</v>
      </c>
      <c r="B77" s="6">
        <f t="shared" si="29"/>
        <v>438105.54283651937</v>
      </c>
      <c r="C77" s="6">
        <f t="shared" si="25"/>
        <v>785.68098409057757</v>
      </c>
      <c r="D77" s="6">
        <f t="shared" si="26"/>
        <v>1734.1677737278892</v>
      </c>
      <c r="E77" s="6">
        <f t="shared" si="27"/>
        <v>2519.8487578184668</v>
      </c>
      <c r="F77" s="6">
        <f t="shared" si="28"/>
        <v>437319.86185242876</v>
      </c>
      <c r="G77" s="1"/>
      <c r="H77" s="1"/>
      <c r="I77" s="1"/>
    </row>
    <row r="78" spans="1:9" x14ac:dyDescent="0.25">
      <c r="A78" s="7" t="s">
        <v>93</v>
      </c>
      <c r="B78" s="6">
        <f t="shared" si="29"/>
        <v>437319.86185242876</v>
      </c>
      <c r="C78" s="6">
        <f t="shared" si="25"/>
        <v>788.79097131926937</v>
      </c>
      <c r="D78" s="6">
        <f t="shared" si="26"/>
        <v>1731.0577864991974</v>
      </c>
      <c r="E78" s="6">
        <f t="shared" si="27"/>
        <v>2519.8487578184668</v>
      </c>
      <c r="F78" s="6">
        <f t="shared" si="28"/>
        <v>436531.07088110951</v>
      </c>
      <c r="G78" s="1"/>
      <c r="H78" s="1"/>
      <c r="I78" s="1"/>
    </row>
    <row r="79" spans="1:9" x14ac:dyDescent="0.25">
      <c r="A79" s="7" t="s">
        <v>94</v>
      </c>
      <c r="B79" s="6">
        <f t="shared" si="29"/>
        <v>436531.07088110951</v>
      </c>
      <c r="C79" s="6">
        <f t="shared" si="25"/>
        <v>791.91326891407471</v>
      </c>
      <c r="D79" s="6">
        <f t="shared" si="26"/>
        <v>1727.9354889043921</v>
      </c>
      <c r="E79" s="6">
        <f t="shared" si="27"/>
        <v>2519.8487578184668</v>
      </c>
      <c r="F79" s="6">
        <f t="shared" si="28"/>
        <v>435739.15761219541</v>
      </c>
      <c r="G79" s="1"/>
      <c r="H79" s="1"/>
      <c r="I79" s="1"/>
    </row>
    <row r="80" spans="1:9" x14ac:dyDescent="0.25">
      <c r="A80" s="7" t="s">
        <v>95</v>
      </c>
      <c r="B80" s="6">
        <f t="shared" si="29"/>
        <v>435739.15761219541</v>
      </c>
      <c r="C80" s="6">
        <f t="shared" si="25"/>
        <v>795.04792560352644</v>
      </c>
      <c r="D80" s="6">
        <f t="shared" si="26"/>
        <v>1724.8008322149403</v>
      </c>
      <c r="E80" s="6">
        <f t="shared" si="27"/>
        <v>2519.8487578184668</v>
      </c>
      <c r="F80" s="6">
        <f t="shared" si="28"/>
        <v>434944.1096865919</v>
      </c>
      <c r="G80" s="1"/>
      <c r="H80" s="1"/>
      <c r="I80" s="1"/>
    </row>
    <row r="81" spans="1:9" x14ac:dyDescent="0.25">
      <c r="A81" s="7" t="s">
        <v>96</v>
      </c>
      <c r="B81" s="6">
        <f t="shared" si="29"/>
        <v>434944.1096865919</v>
      </c>
      <c r="C81" s="6">
        <f t="shared" si="25"/>
        <v>798.19499030904035</v>
      </c>
      <c r="D81" s="6">
        <f t="shared" si="26"/>
        <v>1721.6537675094264</v>
      </c>
      <c r="E81" s="6">
        <f t="shared" si="27"/>
        <v>2519.8487578184668</v>
      </c>
      <c r="F81" s="6">
        <f t="shared" si="28"/>
        <v>434145.91469628288</v>
      </c>
      <c r="G81" s="1"/>
      <c r="H81" s="1"/>
      <c r="I81" s="1"/>
    </row>
    <row r="82" spans="1:9" x14ac:dyDescent="0.25">
      <c r="A82" s="7" t="s">
        <v>97</v>
      </c>
      <c r="B82" s="6">
        <f t="shared" si="29"/>
        <v>434145.91469628288</v>
      </c>
      <c r="C82" s="6">
        <f t="shared" si="25"/>
        <v>801.35451214568025</v>
      </c>
      <c r="D82" s="6">
        <f t="shared" si="26"/>
        <v>1718.4942456727865</v>
      </c>
      <c r="E82" s="6">
        <f t="shared" si="27"/>
        <v>2519.8487578184668</v>
      </c>
      <c r="F82" s="6">
        <f t="shared" si="28"/>
        <v>433344.5601841372</v>
      </c>
      <c r="G82" s="1"/>
      <c r="H82" s="1"/>
      <c r="I82" s="1"/>
    </row>
    <row r="83" spans="1:9" x14ac:dyDescent="0.25">
      <c r="A83" s="7" t="s">
        <v>98</v>
      </c>
      <c r="B83" s="6">
        <f t="shared" si="29"/>
        <v>433344.5601841372</v>
      </c>
      <c r="C83" s="6">
        <f t="shared" si="25"/>
        <v>804.52654042292352</v>
      </c>
      <c r="D83" s="6">
        <f t="shared" si="26"/>
        <v>1715.3222173955432</v>
      </c>
      <c r="E83" s="6">
        <f t="shared" si="27"/>
        <v>2519.8487578184668</v>
      </c>
      <c r="F83" s="6">
        <f t="shared" si="28"/>
        <v>432540.03364371427</v>
      </c>
      <c r="G83" s="1">
        <f>G69+1</f>
        <v>6</v>
      </c>
      <c r="H83" s="1"/>
      <c r="I83" s="1"/>
    </row>
    <row r="84" spans="1:9" x14ac:dyDescent="0.25">
      <c r="A84" s="10" t="s">
        <v>99</v>
      </c>
      <c r="B84" s="6"/>
      <c r="C84" s="6">
        <f>SUM(C72:C83)</f>
        <v>9447.6917807883128</v>
      </c>
      <c r="D84" s="6">
        <f>SUM(D72:D83)</f>
        <v>20790.49331303329</v>
      </c>
      <c r="E84" s="6"/>
      <c r="F84" s="6"/>
      <c r="G84" s="1"/>
      <c r="H84" s="1"/>
      <c r="I84" s="1"/>
    </row>
    <row r="85" spans="1:9" x14ac:dyDescent="0.25">
      <c r="A85" s="7"/>
      <c r="B85" s="6"/>
      <c r="C85" s="6"/>
      <c r="D85" s="6"/>
      <c r="E85" s="6"/>
      <c r="F85" s="6"/>
      <c r="G85" s="1"/>
      <c r="H85" s="1"/>
      <c r="I85" s="1"/>
    </row>
    <row r="86" spans="1:9" x14ac:dyDescent="0.25">
      <c r="A86" s="5" t="s">
        <v>81</v>
      </c>
      <c r="B86" s="6">
        <f>+F83</f>
        <v>432540.03364371427</v>
      </c>
      <c r="C86" s="6">
        <f>+E86-D86</f>
        <v>807.71112464543103</v>
      </c>
      <c r="D86" s="6">
        <f>B86*$I$2</f>
        <v>1712.1376331730357</v>
      </c>
      <c r="E86" s="6">
        <f t="shared" ref="E86:E97" si="30">-$I$9</f>
        <v>2519.8487578184668</v>
      </c>
      <c r="F86" s="6">
        <f>+B86-C86</f>
        <v>431732.32251906884</v>
      </c>
    </row>
    <row r="87" spans="1:9" x14ac:dyDescent="0.25">
      <c r="A87" s="7" t="s">
        <v>83</v>
      </c>
      <c r="B87" s="6">
        <f>+F86</f>
        <v>431732.32251906884</v>
      </c>
      <c r="C87" s="6">
        <f>+E87-D87</f>
        <v>810.90831451381905</v>
      </c>
      <c r="D87" s="6">
        <f>B87*$I$2</f>
        <v>1708.9404433046477</v>
      </c>
      <c r="E87" s="6">
        <f t="shared" si="30"/>
        <v>2519.8487578184668</v>
      </c>
      <c r="F87" s="6">
        <f>+B87-C87</f>
        <v>430921.41420455504</v>
      </c>
    </row>
    <row r="88" spans="1:9" x14ac:dyDescent="0.25">
      <c r="A88" s="7" t="s">
        <v>85</v>
      </c>
      <c r="B88" s="6">
        <f>+F87</f>
        <v>430921.41420455504</v>
      </c>
      <c r="C88" s="6">
        <f>+E88-D88</f>
        <v>814.1181599254362</v>
      </c>
      <c r="D88" s="6">
        <f>B88*$I$2</f>
        <v>1705.7305978930306</v>
      </c>
      <c r="E88" s="6">
        <f t="shared" si="30"/>
        <v>2519.8487578184668</v>
      </c>
      <c r="F88" s="6">
        <f>+B88-C88</f>
        <v>430107.29604462959</v>
      </c>
    </row>
    <row r="89" spans="1:9" x14ac:dyDescent="0.25">
      <c r="A89" s="7" t="s">
        <v>87</v>
      </c>
      <c r="B89" s="6">
        <f>+F88</f>
        <v>430107.29604462959</v>
      </c>
      <c r="C89" s="6">
        <f>+E89-D89</f>
        <v>817.34071097514106</v>
      </c>
      <c r="D89" s="6">
        <f>B89*$I$2</f>
        <v>1702.5080468433257</v>
      </c>
      <c r="E89" s="6">
        <f t="shared" si="30"/>
        <v>2519.8487578184668</v>
      </c>
      <c r="F89" s="6">
        <f>+B89-C89</f>
        <v>429289.95533365448</v>
      </c>
    </row>
    <row r="90" spans="1:9" x14ac:dyDescent="0.25">
      <c r="A90" s="7" t="s">
        <v>89</v>
      </c>
      <c r="B90" s="6">
        <f t="shared" ref="B90:B97" si="31">+F89</f>
        <v>429289.95533365448</v>
      </c>
      <c r="C90" s="6">
        <f t="shared" ref="C90:C97" si="32">+E90-D90</f>
        <v>820.57601795608434</v>
      </c>
      <c r="D90" s="6">
        <f t="shared" ref="D90:D97" si="33">B90*$I$2</f>
        <v>1699.2727398623824</v>
      </c>
      <c r="E90" s="6">
        <f t="shared" si="30"/>
        <v>2519.8487578184668</v>
      </c>
      <c r="F90" s="6">
        <f t="shared" ref="F90:F97" si="34">+B90-C90</f>
        <v>428469.3793156984</v>
      </c>
    </row>
    <row r="91" spans="1:9" x14ac:dyDescent="0.25">
      <c r="A91" s="7" t="s">
        <v>91</v>
      </c>
      <c r="B91" s="6">
        <f t="shared" si="31"/>
        <v>428469.3793156984</v>
      </c>
      <c r="C91" s="6">
        <f t="shared" si="32"/>
        <v>823.82413136049377</v>
      </c>
      <c r="D91" s="6">
        <f t="shared" si="33"/>
        <v>1696.024626457973</v>
      </c>
      <c r="E91" s="6">
        <f t="shared" si="30"/>
        <v>2519.8487578184668</v>
      </c>
      <c r="F91" s="6">
        <f t="shared" si="34"/>
        <v>427645.55518433789</v>
      </c>
    </row>
    <row r="92" spans="1:9" x14ac:dyDescent="0.25">
      <c r="A92" s="7" t="s">
        <v>93</v>
      </c>
      <c r="B92" s="6">
        <f t="shared" si="31"/>
        <v>427645.55518433789</v>
      </c>
      <c r="C92" s="6">
        <f t="shared" si="32"/>
        <v>827.08510188046239</v>
      </c>
      <c r="D92" s="6">
        <f t="shared" si="33"/>
        <v>1692.7636559380044</v>
      </c>
      <c r="E92" s="6">
        <f t="shared" si="30"/>
        <v>2519.8487578184668</v>
      </c>
      <c r="F92" s="6">
        <f t="shared" si="34"/>
        <v>426818.47008245741</v>
      </c>
    </row>
    <row r="93" spans="1:9" x14ac:dyDescent="0.25">
      <c r="A93" s="7" t="s">
        <v>94</v>
      </c>
      <c r="B93" s="6">
        <f t="shared" si="31"/>
        <v>426818.47008245741</v>
      </c>
      <c r="C93" s="6">
        <f t="shared" si="32"/>
        <v>830.3589804087394</v>
      </c>
      <c r="D93" s="6">
        <f t="shared" si="33"/>
        <v>1689.4897774097274</v>
      </c>
      <c r="E93" s="6">
        <f t="shared" si="30"/>
        <v>2519.8487578184668</v>
      </c>
      <c r="F93" s="6">
        <f t="shared" si="34"/>
        <v>425988.11110204866</v>
      </c>
    </row>
    <row r="94" spans="1:9" x14ac:dyDescent="0.25">
      <c r="A94" s="7" t="s">
        <v>95</v>
      </c>
      <c r="B94" s="6">
        <f t="shared" si="31"/>
        <v>425988.11110204866</v>
      </c>
      <c r="C94" s="6">
        <f t="shared" si="32"/>
        <v>833.6458180395241</v>
      </c>
      <c r="D94" s="6">
        <f t="shared" si="33"/>
        <v>1686.2029397789427</v>
      </c>
      <c r="E94" s="6">
        <f t="shared" si="30"/>
        <v>2519.8487578184668</v>
      </c>
      <c r="F94" s="6">
        <f t="shared" si="34"/>
        <v>425154.46528400911</v>
      </c>
    </row>
    <row r="95" spans="1:9" x14ac:dyDescent="0.25">
      <c r="A95" s="7" t="s">
        <v>96</v>
      </c>
      <c r="B95" s="6">
        <f t="shared" si="31"/>
        <v>425154.46528400911</v>
      </c>
      <c r="C95" s="6">
        <f t="shared" si="32"/>
        <v>836.94566606926378</v>
      </c>
      <c r="D95" s="6">
        <f t="shared" si="33"/>
        <v>1682.903091749203</v>
      </c>
      <c r="E95" s="6">
        <f t="shared" si="30"/>
        <v>2519.8487578184668</v>
      </c>
      <c r="F95" s="6">
        <f t="shared" si="34"/>
        <v>424317.51961793983</v>
      </c>
    </row>
    <row r="96" spans="1:9" x14ac:dyDescent="0.25">
      <c r="A96" s="7" t="s">
        <v>97</v>
      </c>
      <c r="B96" s="6">
        <f t="shared" si="31"/>
        <v>424317.51961793983</v>
      </c>
      <c r="C96" s="6">
        <f t="shared" si="32"/>
        <v>840.25857599745473</v>
      </c>
      <c r="D96" s="6">
        <f t="shared" si="33"/>
        <v>1679.590181821012</v>
      </c>
      <c r="E96" s="6">
        <f t="shared" si="30"/>
        <v>2519.8487578184668</v>
      </c>
      <c r="F96" s="6">
        <f t="shared" si="34"/>
        <v>423477.2610419424</v>
      </c>
    </row>
    <row r="97" spans="1:7" x14ac:dyDescent="0.25">
      <c r="A97" s="7" t="s">
        <v>98</v>
      </c>
      <c r="B97" s="6">
        <f t="shared" si="31"/>
        <v>423477.2610419424</v>
      </c>
      <c r="C97" s="6">
        <f t="shared" si="32"/>
        <v>843.58459952744465</v>
      </c>
      <c r="D97" s="6">
        <f t="shared" si="33"/>
        <v>1676.2641582910221</v>
      </c>
      <c r="E97" s="6">
        <f t="shared" si="30"/>
        <v>2519.8487578184668</v>
      </c>
      <c r="F97" s="6">
        <f t="shared" si="34"/>
        <v>422633.67644241493</v>
      </c>
      <c r="G97" s="1">
        <f>G83+1</f>
        <v>7</v>
      </c>
    </row>
    <row r="98" spans="1:7" x14ac:dyDescent="0.25">
      <c r="A98" s="10" t="s">
        <v>99</v>
      </c>
      <c r="B98" s="6"/>
      <c r="C98" s="6">
        <f>SUM(C86:C97)</f>
        <v>9906.3572012992954</v>
      </c>
      <c r="D98" s="6">
        <f>SUM(D86:D97)</f>
        <v>20331.827892522306</v>
      </c>
      <c r="E98" s="6"/>
      <c r="F98" s="6"/>
    </row>
    <row r="100" spans="1:7" x14ac:dyDescent="0.25">
      <c r="A100" s="5" t="s">
        <v>81</v>
      </c>
      <c r="B100" s="6">
        <f>+F97</f>
        <v>422633.67644241493</v>
      </c>
      <c r="C100" s="6">
        <f t="shared" ref="C100:C111" si="35">+E100-D100</f>
        <v>846.92378856724076</v>
      </c>
      <c r="D100" s="6">
        <f t="shared" ref="D100:D111" si="36">B100*$I$2</f>
        <v>1672.924969251226</v>
      </c>
      <c r="E100" s="6">
        <f t="shared" ref="E100:E111" si="37">-$I$9</f>
        <v>2519.8487578184668</v>
      </c>
      <c r="F100" s="6">
        <f t="shared" ref="F100:F111" si="38">+B100-C100</f>
        <v>421786.75265384768</v>
      </c>
    </row>
    <row r="101" spans="1:7" x14ac:dyDescent="0.25">
      <c r="A101" s="7" t="s">
        <v>83</v>
      </c>
      <c r="B101" s="6">
        <f t="shared" ref="B101:B111" si="39">+F100</f>
        <v>421786.75265384768</v>
      </c>
      <c r="C101" s="6">
        <f t="shared" si="35"/>
        <v>850.27619523031944</v>
      </c>
      <c r="D101" s="6">
        <f t="shared" si="36"/>
        <v>1669.5725625881473</v>
      </c>
      <c r="E101" s="6">
        <f t="shared" si="37"/>
        <v>2519.8487578184668</v>
      </c>
      <c r="F101" s="6">
        <f t="shared" si="38"/>
        <v>420936.47645861737</v>
      </c>
    </row>
    <row r="102" spans="1:7" x14ac:dyDescent="0.25">
      <c r="A102" s="7" t="s">
        <v>85</v>
      </c>
      <c r="B102" s="6">
        <f t="shared" si="39"/>
        <v>420936.47645861737</v>
      </c>
      <c r="C102" s="6">
        <f t="shared" si="35"/>
        <v>853.64187183643958</v>
      </c>
      <c r="D102" s="6">
        <f t="shared" si="36"/>
        <v>1666.2068859820272</v>
      </c>
      <c r="E102" s="6">
        <f t="shared" si="37"/>
        <v>2519.8487578184668</v>
      </c>
      <c r="F102" s="6">
        <f t="shared" si="38"/>
        <v>420082.83458678093</v>
      </c>
    </row>
    <row r="103" spans="1:7" x14ac:dyDescent="0.25">
      <c r="A103" s="7" t="s">
        <v>87</v>
      </c>
      <c r="B103" s="6">
        <f t="shared" si="39"/>
        <v>420082.83458678093</v>
      </c>
      <c r="C103" s="6">
        <f t="shared" si="35"/>
        <v>857.0208709124588</v>
      </c>
      <c r="D103" s="6">
        <f t="shared" si="36"/>
        <v>1662.827886906008</v>
      </c>
      <c r="E103" s="6">
        <f t="shared" si="37"/>
        <v>2519.8487578184668</v>
      </c>
      <c r="F103" s="6">
        <f t="shared" si="38"/>
        <v>419225.81371586845</v>
      </c>
    </row>
    <row r="104" spans="1:7" x14ac:dyDescent="0.25">
      <c r="A104" s="7" t="s">
        <v>89</v>
      </c>
      <c r="B104" s="6">
        <f t="shared" si="39"/>
        <v>419225.81371586845</v>
      </c>
      <c r="C104" s="6">
        <f t="shared" si="35"/>
        <v>860.4132451931539</v>
      </c>
      <c r="D104" s="6">
        <f t="shared" si="36"/>
        <v>1659.4355126253129</v>
      </c>
      <c r="E104" s="6">
        <f t="shared" si="37"/>
        <v>2519.8487578184668</v>
      </c>
      <c r="F104" s="6">
        <f t="shared" si="38"/>
        <v>418365.40047067532</v>
      </c>
    </row>
    <row r="105" spans="1:7" x14ac:dyDescent="0.25">
      <c r="A105" s="7" t="s">
        <v>91</v>
      </c>
      <c r="B105" s="6">
        <f t="shared" si="39"/>
        <v>418365.40047067532</v>
      </c>
      <c r="C105" s="6">
        <f t="shared" si="35"/>
        <v>863.8190476220434</v>
      </c>
      <c r="D105" s="6">
        <f t="shared" si="36"/>
        <v>1656.0297101964234</v>
      </c>
      <c r="E105" s="6">
        <f t="shared" si="37"/>
        <v>2519.8487578184668</v>
      </c>
      <c r="F105" s="6">
        <f t="shared" si="38"/>
        <v>417501.58142305329</v>
      </c>
    </row>
    <row r="106" spans="1:7" x14ac:dyDescent="0.25">
      <c r="A106" s="7" t="s">
        <v>93</v>
      </c>
      <c r="B106" s="6">
        <f t="shared" si="39"/>
        <v>417501.58142305329</v>
      </c>
      <c r="C106" s="6">
        <f t="shared" si="35"/>
        <v>867.23833135221412</v>
      </c>
      <c r="D106" s="6">
        <f t="shared" si="36"/>
        <v>1652.6104264662526</v>
      </c>
      <c r="E106" s="6">
        <f t="shared" si="37"/>
        <v>2519.8487578184668</v>
      </c>
      <c r="F106" s="6">
        <f t="shared" si="38"/>
        <v>416634.3430917011</v>
      </c>
    </row>
    <row r="107" spans="1:7" x14ac:dyDescent="0.25">
      <c r="A107" s="7" t="s">
        <v>94</v>
      </c>
      <c r="B107" s="6">
        <f t="shared" si="39"/>
        <v>416634.3430917011</v>
      </c>
      <c r="C107" s="6">
        <f t="shared" si="35"/>
        <v>870.67114974714968</v>
      </c>
      <c r="D107" s="6">
        <f t="shared" si="36"/>
        <v>1649.1776080713171</v>
      </c>
      <c r="E107" s="6">
        <f t="shared" si="37"/>
        <v>2519.8487578184668</v>
      </c>
      <c r="F107" s="6">
        <f t="shared" si="38"/>
        <v>415763.67194195394</v>
      </c>
    </row>
    <row r="108" spans="1:7" x14ac:dyDescent="0.25">
      <c r="A108" s="7" t="s">
        <v>95</v>
      </c>
      <c r="B108" s="6">
        <f t="shared" si="39"/>
        <v>415763.67194195394</v>
      </c>
      <c r="C108" s="6">
        <f t="shared" si="35"/>
        <v>874.11755638156569</v>
      </c>
      <c r="D108" s="6">
        <f t="shared" si="36"/>
        <v>1645.7312014369011</v>
      </c>
      <c r="E108" s="6">
        <f t="shared" si="37"/>
        <v>2519.8487578184668</v>
      </c>
      <c r="F108" s="6">
        <f t="shared" si="38"/>
        <v>414889.55438557238</v>
      </c>
    </row>
    <row r="109" spans="1:7" x14ac:dyDescent="0.25">
      <c r="A109" s="7" t="s">
        <v>96</v>
      </c>
      <c r="B109" s="6">
        <f t="shared" si="39"/>
        <v>414889.55438557238</v>
      </c>
      <c r="C109" s="6">
        <f t="shared" si="35"/>
        <v>877.57760504224257</v>
      </c>
      <c r="D109" s="6">
        <f t="shared" si="36"/>
        <v>1642.2711527762242</v>
      </c>
      <c r="E109" s="6">
        <f t="shared" si="37"/>
        <v>2519.8487578184668</v>
      </c>
      <c r="F109" s="6">
        <f t="shared" si="38"/>
        <v>414011.97678053012</v>
      </c>
    </row>
    <row r="110" spans="1:7" x14ac:dyDescent="0.25">
      <c r="A110" s="7" t="s">
        <v>97</v>
      </c>
      <c r="B110" s="6">
        <f t="shared" si="39"/>
        <v>414011.97678053012</v>
      </c>
      <c r="C110" s="6">
        <f t="shared" si="35"/>
        <v>881.05134972886822</v>
      </c>
      <c r="D110" s="6">
        <f t="shared" si="36"/>
        <v>1638.7974080895985</v>
      </c>
      <c r="E110" s="6">
        <f t="shared" si="37"/>
        <v>2519.8487578184668</v>
      </c>
      <c r="F110" s="6">
        <f t="shared" si="38"/>
        <v>413130.92543080123</v>
      </c>
    </row>
    <row r="111" spans="1:7" x14ac:dyDescent="0.25">
      <c r="A111" s="7" t="s">
        <v>98</v>
      </c>
      <c r="B111" s="6">
        <f t="shared" si="39"/>
        <v>413130.92543080123</v>
      </c>
      <c r="C111" s="6">
        <f t="shared" si="35"/>
        <v>884.5388446548784</v>
      </c>
      <c r="D111" s="6">
        <f t="shared" si="36"/>
        <v>1635.3099131635884</v>
      </c>
      <c r="E111" s="6">
        <f t="shared" si="37"/>
        <v>2519.8487578184668</v>
      </c>
      <c r="F111" s="6">
        <f t="shared" si="38"/>
        <v>412246.38658614637</v>
      </c>
      <c r="G111" s="1">
        <f>G97+1</f>
        <v>8</v>
      </c>
    </row>
    <row r="112" spans="1:7" x14ac:dyDescent="0.25">
      <c r="A112" s="10" t="s">
        <v>99</v>
      </c>
      <c r="B112" s="6"/>
      <c r="C112" s="6">
        <f>SUM(C100:C111)</f>
        <v>10387.289856268575</v>
      </c>
      <c r="D112" s="6">
        <f>SUM(D100:D111)</f>
        <v>19850.895237553032</v>
      </c>
      <c r="E112" s="6"/>
      <c r="F112" s="6"/>
    </row>
    <row r="113" spans="1:7" x14ac:dyDescent="0.25">
      <c r="A113" s="7"/>
      <c r="B113" s="6"/>
      <c r="C113" s="6"/>
      <c r="D113" s="6"/>
      <c r="E113" s="6"/>
      <c r="F113" s="6"/>
    </row>
    <row r="114" spans="1:7" x14ac:dyDescent="0.25">
      <c r="A114" s="5" t="s">
        <v>81</v>
      </c>
      <c r="B114" s="6">
        <f>+F111</f>
        <v>412246.38658614637</v>
      </c>
      <c r="C114" s="6">
        <f t="shared" ref="C114:C125" si="40">+E114-D114</f>
        <v>888.04014424830393</v>
      </c>
      <c r="D114" s="6">
        <f t="shared" ref="D114:D125" si="41">B114*$I$2</f>
        <v>1631.8086135701628</v>
      </c>
      <c r="E114" s="6">
        <f t="shared" ref="E114:E125" si="42">-$I$9</f>
        <v>2519.8487578184668</v>
      </c>
      <c r="F114" s="6">
        <f t="shared" ref="F114:F125" si="43">+B114-C114</f>
        <v>411358.34644189809</v>
      </c>
    </row>
    <row r="115" spans="1:7" x14ac:dyDescent="0.25">
      <c r="A115" s="7" t="s">
        <v>83</v>
      </c>
      <c r="B115" s="6">
        <f t="shared" ref="B115:B125" si="44">+F114</f>
        <v>411358.34644189809</v>
      </c>
      <c r="C115" s="6">
        <f t="shared" si="40"/>
        <v>891.55530315262013</v>
      </c>
      <c r="D115" s="6">
        <f t="shared" si="41"/>
        <v>1628.2934546658466</v>
      </c>
      <c r="E115" s="6">
        <f t="shared" si="42"/>
        <v>2519.8487578184668</v>
      </c>
      <c r="F115" s="6">
        <f t="shared" si="43"/>
        <v>410466.7911387455</v>
      </c>
    </row>
    <row r="116" spans="1:7" x14ac:dyDescent="0.25">
      <c r="A116" s="7" t="s">
        <v>85</v>
      </c>
      <c r="B116" s="6">
        <f t="shared" si="44"/>
        <v>410466.7911387455</v>
      </c>
      <c r="C116" s="6">
        <f t="shared" si="40"/>
        <v>895.08437622759902</v>
      </c>
      <c r="D116" s="6">
        <f t="shared" si="41"/>
        <v>1624.7643815908677</v>
      </c>
      <c r="E116" s="6">
        <f t="shared" si="42"/>
        <v>2519.8487578184668</v>
      </c>
      <c r="F116" s="6">
        <f t="shared" si="43"/>
        <v>409571.70676251792</v>
      </c>
    </row>
    <row r="117" spans="1:7" x14ac:dyDescent="0.25">
      <c r="A117" s="7" t="s">
        <v>87</v>
      </c>
      <c r="B117" s="6">
        <f t="shared" si="44"/>
        <v>409571.70676251792</v>
      </c>
      <c r="C117" s="6">
        <f t="shared" si="40"/>
        <v>898.62741855016657</v>
      </c>
      <c r="D117" s="6">
        <f t="shared" si="41"/>
        <v>1621.2213392683002</v>
      </c>
      <c r="E117" s="6">
        <f t="shared" si="42"/>
        <v>2519.8487578184668</v>
      </c>
      <c r="F117" s="6">
        <f t="shared" si="43"/>
        <v>408673.07934396778</v>
      </c>
    </row>
    <row r="118" spans="1:7" x14ac:dyDescent="0.25">
      <c r="A118" s="7" t="s">
        <v>89</v>
      </c>
      <c r="B118" s="6">
        <f t="shared" si="44"/>
        <v>408673.07934396778</v>
      </c>
      <c r="C118" s="6">
        <f t="shared" si="40"/>
        <v>902.18448541526072</v>
      </c>
      <c r="D118" s="6">
        <f t="shared" si="41"/>
        <v>1617.664272403206</v>
      </c>
      <c r="E118" s="6">
        <f t="shared" si="42"/>
        <v>2519.8487578184668</v>
      </c>
      <c r="F118" s="6">
        <f t="shared" si="43"/>
        <v>407770.89485855249</v>
      </c>
    </row>
    <row r="119" spans="1:7" x14ac:dyDescent="0.25">
      <c r="A119" s="7" t="s">
        <v>91</v>
      </c>
      <c r="B119" s="6">
        <f t="shared" si="44"/>
        <v>407770.89485855249</v>
      </c>
      <c r="C119" s="6">
        <f t="shared" si="40"/>
        <v>905.75563233669641</v>
      </c>
      <c r="D119" s="6">
        <f t="shared" si="41"/>
        <v>1614.0931254817704</v>
      </c>
      <c r="E119" s="6">
        <f t="shared" si="42"/>
        <v>2519.8487578184668</v>
      </c>
      <c r="F119" s="6">
        <f t="shared" si="43"/>
        <v>406865.13922621578</v>
      </c>
    </row>
    <row r="120" spans="1:7" x14ac:dyDescent="0.25">
      <c r="A120" s="7" t="s">
        <v>93</v>
      </c>
      <c r="B120" s="6">
        <f t="shared" si="44"/>
        <v>406865.13922621578</v>
      </c>
      <c r="C120" s="6">
        <f t="shared" si="40"/>
        <v>909.34091504802927</v>
      </c>
      <c r="D120" s="6">
        <f t="shared" si="41"/>
        <v>1610.5078427704375</v>
      </c>
      <c r="E120" s="6">
        <f t="shared" si="42"/>
        <v>2519.8487578184668</v>
      </c>
      <c r="F120" s="6">
        <f t="shared" si="43"/>
        <v>405955.79831116775</v>
      </c>
    </row>
    <row r="121" spans="1:7" x14ac:dyDescent="0.25">
      <c r="A121" s="7" t="s">
        <v>94</v>
      </c>
      <c r="B121" s="6">
        <f t="shared" si="44"/>
        <v>405955.79831116775</v>
      </c>
      <c r="C121" s="6">
        <f t="shared" si="40"/>
        <v>912.9403895034277</v>
      </c>
      <c r="D121" s="6">
        <f t="shared" si="41"/>
        <v>1606.9083683150391</v>
      </c>
      <c r="E121" s="6">
        <f t="shared" si="42"/>
        <v>2519.8487578184668</v>
      </c>
      <c r="F121" s="6">
        <f t="shared" si="43"/>
        <v>405042.85792166431</v>
      </c>
    </row>
    <row r="122" spans="1:7" x14ac:dyDescent="0.25">
      <c r="A122" s="7" t="s">
        <v>95</v>
      </c>
      <c r="B122" s="6">
        <f t="shared" si="44"/>
        <v>405042.85792166431</v>
      </c>
      <c r="C122" s="6">
        <f t="shared" si="40"/>
        <v>916.55411187854543</v>
      </c>
      <c r="D122" s="6">
        <f t="shared" si="41"/>
        <v>1603.2946459399213</v>
      </c>
      <c r="E122" s="6">
        <f t="shared" si="42"/>
        <v>2519.8487578184668</v>
      </c>
      <c r="F122" s="6">
        <f t="shared" si="43"/>
        <v>404126.30380978575</v>
      </c>
    </row>
    <row r="123" spans="1:7" x14ac:dyDescent="0.25">
      <c r="A123" s="7" t="s">
        <v>96</v>
      </c>
      <c r="B123" s="6">
        <f t="shared" si="44"/>
        <v>404126.30380978575</v>
      </c>
      <c r="C123" s="6">
        <f t="shared" si="40"/>
        <v>920.18213857139813</v>
      </c>
      <c r="D123" s="6">
        <f t="shared" si="41"/>
        <v>1599.6666192470686</v>
      </c>
      <c r="E123" s="6">
        <f t="shared" si="42"/>
        <v>2519.8487578184668</v>
      </c>
      <c r="F123" s="6">
        <f t="shared" si="43"/>
        <v>403206.12167121435</v>
      </c>
    </row>
    <row r="124" spans="1:7" x14ac:dyDescent="0.25">
      <c r="A124" s="7" t="s">
        <v>97</v>
      </c>
      <c r="B124" s="6">
        <f t="shared" si="44"/>
        <v>403206.12167121435</v>
      </c>
      <c r="C124" s="6">
        <f t="shared" si="40"/>
        <v>923.82452620324307</v>
      </c>
      <c r="D124" s="6">
        <f t="shared" si="41"/>
        <v>1596.0242316152237</v>
      </c>
      <c r="E124" s="6">
        <f t="shared" si="42"/>
        <v>2519.8487578184668</v>
      </c>
      <c r="F124" s="6">
        <f t="shared" si="43"/>
        <v>402282.29714501114</v>
      </c>
    </row>
    <row r="125" spans="1:7" x14ac:dyDescent="0.25">
      <c r="A125" s="7" t="s">
        <v>98</v>
      </c>
      <c r="B125" s="6">
        <f t="shared" si="44"/>
        <v>402282.29714501114</v>
      </c>
      <c r="C125" s="6">
        <f t="shared" si="40"/>
        <v>927.4813316194643</v>
      </c>
      <c r="D125" s="6">
        <f t="shared" si="41"/>
        <v>1592.3674261990025</v>
      </c>
      <c r="E125" s="6">
        <f t="shared" si="42"/>
        <v>2519.8487578184668</v>
      </c>
      <c r="F125" s="6">
        <f t="shared" si="43"/>
        <v>401354.81581339164</v>
      </c>
      <c r="G125" s="1">
        <f>G111+1</f>
        <v>9</v>
      </c>
    </row>
    <row r="126" spans="1:7" x14ac:dyDescent="0.25">
      <c r="A126" s="10" t="s">
        <v>99</v>
      </c>
      <c r="B126" s="6"/>
      <c r="C126" s="6">
        <f>SUM(C114:C125)</f>
        <v>10891.570772754754</v>
      </c>
      <c r="D126" s="6">
        <f>SUM(D114:D125)</f>
        <v>19346.614321066845</v>
      </c>
      <c r="E126" s="6"/>
      <c r="F126" s="6"/>
    </row>
    <row r="127" spans="1:7" x14ac:dyDescent="0.25">
      <c r="A127" s="7"/>
      <c r="B127" s="6"/>
      <c r="C127" s="6"/>
      <c r="D127" s="6"/>
      <c r="E127" s="6"/>
      <c r="F127" s="6"/>
    </row>
    <row r="128" spans="1:7" x14ac:dyDescent="0.25">
      <c r="A128" s="5" t="s">
        <v>81</v>
      </c>
      <c r="B128" s="6">
        <f>+F125</f>
        <v>401354.81581339164</v>
      </c>
      <c r="C128" s="6">
        <f>+E128-D128</f>
        <v>931.15261189045805</v>
      </c>
      <c r="D128" s="6">
        <f>B128*$I$2</f>
        <v>1588.6961459280087</v>
      </c>
      <c r="E128" s="6">
        <f t="shared" ref="E128:E139" si="45">-$I$9</f>
        <v>2519.8487578184668</v>
      </c>
      <c r="F128" s="6">
        <f>+B128-C128</f>
        <v>400423.66320150119</v>
      </c>
    </row>
    <row r="129" spans="1:7" x14ac:dyDescent="0.25">
      <c r="A129" s="7" t="s">
        <v>83</v>
      </c>
      <c r="B129" s="6">
        <f>+F128</f>
        <v>400423.66320150119</v>
      </c>
      <c r="C129" s="6">
        <f>+E129-D129</f>
        <v>934.83842431252447</v>
      </c>
      <c r="D129" s="6">
        <f>B129*$I$2</f>
        <v>1585.0103335059423</v>
      </c>
      <c r="E129" s="6">
        <f t="shared" si="45"/>
        <v>2519.8487578184668</v>
      </c>
      <c r="F129" s="6">
        <f>+B129-C129</f>
        <v>399488.82477718865</v>
      </c>
    </row>
    <row r="130" spans="1:7" x14ac:dyDescent="0.25">
      <c r="A130" s="7" t="s">
        <v>85</v>
      </c>
      <c r="B130" s="6">
        <f>+F129</f>
        <v>399488.82477718865</v>
      </c>
      <c r="C130" s="6">
        <f>+E130-D130</f>
        <v>938.53882640876145</v>
      </c>
      <c r="D130" s="6">
        <f>B130*$I$2</f>
        <v>1581.3099314097053</v>
      </c>
      <c r="E130" s="6">
        <f t="shared" si="45"/>
        <v>2519.8487578184668</v>
      </c>
      <c r="F130" s="6">
        <f>+B130-C130</f>
        <v>398550.28595077991</v>
      </c>
    </row>
    <row r="131" spans="1:7" x14ac:dyDescent="0.25">
      <c r="A131" s="7" t="s">
        <v>87</v>
      </c>
      <c r="B131" s="6">
        <f>+F130</f>
        <v>398550.28595077991</v>
      </c>
      <c r="C131" s="6">
        <f>+E131-D131</f>
        <v>942.25387592996276</v>
      </c>
      <c r="D131" s="6">
        <f>B131*$I$2</f>
        <v>1577.594881888504</v>
      </c>
      <c r="E131" s="6">
        <f t="shared" si="45"/>
        <v>2519.8487578184668</v>
      </c>
      <c r="F131" s="6">
        <f>+B131-C131</f>
        <v>397608.03207484994</v>
      </c>
    </row>
    <row r="132" spans="1:7" x14ac:dyDescent="0.25">
      <c r="A132" s="7" t="s">
        <v>89</v>
      </c>
      <c r="B132" s="6">
        <f t="shared" ref="B132:B139" si="46">+F131</f>
        <v>397608.03207484994</v>
      </c>
      <c r="C132" s="6">
        <f t="shared" ref="C132:C139" si="47">+E132-D132</f>
        <v>945.98363085551887</v>
      </c>
      <c r="D132" s="6">
        <f t="shared" ref="D132:D139" si="48">B132*$I$2</f>
        <v>1573.8651269629479</v>
      </c>
      <c r="E132" s="6">
        <f t="shared" si="45"/>
        <v>2519.8487578184668</v>
      </c>
      <c r="F132" s="6">
        <f t="shared" ref="F132:F139" si="49">+B132-C132</f>
        <v>396662.04844399443</v>
      </c>
    </row>
    <row r="133" spans="1:7" x14ac:dyDescent="0.25">
      <c r="A133" s="7" t="s">
        <v>91</v>
      </c>
      <c r="B133" s="6">
        <f t="shared" si="46"/>
        <v>396662.04844399443</v>
      </c>
      <c r="C133" s="6">
        <f t="shared" si="47"/>
        <v>949.72814939432192</v>
      </c>
      <c r="D133" s="6">
        <f t="shared" si="48"/>
        <v>1570.1206084241448</v>
      </c>
      <c r="E133" s="6">
        <f t="shared" si="45"/>
        <v>2519.8487578184668</v>
      </c>
      <c r="F133" s="6">
        <f t="shared" si="49"/>
        <v>395712.3202946001</v>
      </c>
    </row>
    <row r="134" spans="1:7" x14ac:dyDescent="0.25">
      <c r="A134" s="7" t="s">
        <v>93</v>
      </c>
      <c r="B134" s="6">
        <f t="shared" si="46"/>
        <v>395712.3202946001</v>
      </c>
      <c r="C134" s="6">
        <f t="shared" si="47"/>
        <v>953.48748998567453</v>
      </c>
      <c r="D134" s="6">
        <f t="shared" si="48"/>
        <v>1566.3612678327922</v>
      </c>
      <c r="E134" s="6">
        <f t="shared" si="45"/>
        <v>2519.8487578184668</v>
      </c>
      <c r="F134" s="6">
        <f t="shared" si="49"/>
        <v>394758.83280461445</v>
      </c>
    </row>
    <row r="135" spans="1:7" x14ac:dyDescent="0.25">
      <c r="A135" s="7" t="s">
        <v>94</v>
      </c>
      <c r="B135" s="6">
        <f t="shared" si="46"/>
        <v>394758.83280461445</v>
      </c>
      <c r="C135" s="6">
        <f t="shared" si="47"/>
        <v>957.26171130020111</v>
      </c>
      <c r="D135" s="6">
        <f t="shared" si="48"/>
        <v>1562.5870465182657</v>
      </c>
      <c r="E135" s="6">
        <f t="shared" si="45"/>
        <v>2519.8487578184668</v>
      </c>
      <c r="F135" s="6">
        <f t="shared" si="49"/>
        <v>393801.57109331427</v>
      </c>
    </row>
    <row r="136" spans="1:7" x14ac:dyDescent="0.25">
      <c r="A136" s="7" t="s">
        <v>95</v>
      </c>
      <c r="B136" s="6">
        <f t="shared" si="46"/>
        <v>393801.57109331427</v>
      </c>
      <c r="C136" s="6">
        <f t="shared" si="47"/>
        <v>961.05087224076442</v>
      </c>
      <c r="D136" s="6">
        <f t="shared" si="48"/>
        <v>1558.7978855777023</v>
      </c>
      <c r="E136" s="6">
        <f t="shared" si="45"/>
        <v>2519.8487578184668</v>
      </c>
      <c r="F136" s="6">
        <f t="shared" si="49"/>
        <v>392840.52022107353</v>
      </c>
    </row>
    <row r="137" spans="1:7" x14ac:dyDescent="0.25">
      <c r="A137" s="7" t="s">
        <v>96</v>
      </c>
      <c r="B137" s="6">
        <f t="shared" si="46"/>
        <v>392840.52022107353</v>
      </c>
      <c r="C137" s="6">
        <f t="shared" si="47"/>
        <v>964.85503194338389</v>
      </c>
      <c r="D137" s="6">
        <f t="shared" si="48"/>
        <v>1554.9937258750829</v>
      </c>
      <c r="E137" s="6">
        <f t="shared" si="45"/>
        <v>2519.8487578184668</v>
      </c>
      <c r="F137" s="6">
        <f t="shared" si="49"/>
        <v>391875.66518913017</v>
      </c>
    </row>
    <row r="138" spans="1:7" x14ac:dyDescent="0.25">
      <c r="A138" s="7" t="s">
        <v>97</v>
      </c>
      <c r="B138" s="6">
        <f t="shared" si="46"/>
        <v>391875.66518913017</v>
      </c>
      <c r="C138" s="6">
        <f t="shared" si="47"/>
        <v>968.67424977815972</v>
      </c>
      <c r="D138" s="6">
        <f t="shared" si="48"/>
        <v>1551.174508040307</v>
      </c>
      <c r="E138" s="6">
        <f t="shared" si="45"/>
        <v>2519.8487578184668</v>
      </c>
      <c r="F138" s="6">
        <f t="shared" si="49"/>
        <v>390906.99093935202</v>
      </c>
    </row>
    <row r="139" spans="1:7" x14ac:dyDescent="0.25">
      <c r="A139" s="7" t="s">
        <v>98</v>
      </c>
      <c r="B139" s="6">
        <f t="shared" si="46"/>
        <v>390906.99093935202</v>
      </c>
      <c r="C139" s="6">
        <f t="shared" si="47"/>
        <v>972.50858535019825</v>
      </c>
      <c r="D139" s="6">
        <f t="shared" si="48"/>
        <v>1547.3401724682685</v>
      </c>
      <c r="E139" s="6">
        <f t="shared" si="45"/>
        <v>2519.8487578184668</v>
      </c>
      <c r="F139" s="6">
        <f t="shared" si="49"/>
        <v>389934.48235400184</v>
      </c>
      <c r="G139" s="1">
        <f>G125+1</f>
        <v>10</v>
      </c>
    </row>
    <row r="140" spans="1:7" x14ac:dyDescent="0.25">
      <c r="A140" s="10" t="s">
        <v>99</v>
      </c>
      <c r="B140" s="6"/>
      <c r="C140" s="6">
        <f>SUM(C128:C139)</f>
        <v>11420.333459389931</v>
      </c>
      <c r="D140" s="6">
        <f>SUM(D128:D139)</f>
        <v>18817.851634431674</v>
      </c>
      <c r="E140" s="6"/>
      <c r="F140" s="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
  <sheetViews>
    <sheetView workbookViewId="0">
      <selection activeCell="A2" sqref="A2:XFD2"/>
    </sheetView>
  </sheetViews>
  <sheetFormatPr defaultRowHeight="15" x14ac:dyDescent="0.25"/>
  <cols>
    <col min="1" max="1" width="38.42578125" bestFit="1" customWidth="1"/>
  </cols>
  <sheetData>
    <row r="1" spans="1:2" x14ac:dyDescent="0.25">
      <c r="A1" t="s">
        <v>101</v>
      </c>
      <c r="B1" t="s">
        <v>102</v>
      </c>
    </row>
    <row r="2" spans="1:2" x14ac:dyDescent="0.25">
      <c r="A2" t="s">
        <v>103</v>
      </c>
      <c r="B2" t="s">
        <v>104</v>
      </c>
    </row>
    <row r="3" spans="1:2" x14ac:dyDescent="0.25">
      <c r="A3" t="s">
        <v>106</v>
      </c>
      <c r="B3" t="s">
        <v>105</v>
      </c>
    </row>
    <row r="4" spans="1:2" x14ac:dyDescent="0.25">
      <c r="A4" t="s">
        <v>109</v>
      </c>
      <c r="B4" t="s">
        <v>108</v>
      </c>
    </row>
    <row r="5" spans="1:2" x14ac:dyDescent="0.25">
      <c r="A5" t="s">
        <v>115</v>
      </c>
      <c r="B5" t="s">
        <v>116</v>
      </c>
    </row>
    <row r="6" spans="1:2" x14ac:dyDescent="0.25">
      <c r="A6" t="s">
        <v>117</v>
      </c>
      <c r="B6" t="s">
        <v>118</v>
      </c>
    </row>
    <row r="7" spans="1:2" x14ac:dyDescent="0.25">
      <c r="A7" t="s">
        <v>119</v>
      </c>
      <c r="B7" t="s">
        <v>120</v>
      </c>
    </row>
    <row r="8" spans="1:2" x14ac:dyDescent="0.25">
      <c r="A8" t="s">
        <v>121</v>
      </c>
      <c r="B8" t="s">
        <v>122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Forecasts</vt:lpstr>
      <vt:lpstr>Real Options</vt:lpstr>
      <vt:lpstr>Real Options 2</vt:lpstr>
      <vt:lpstr>Amortization Table</vt:lpstr>
      <vt:lpstr>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2023-09-15T17:20:22Z</dcterms:created>
  <dcterms:modified xsi:type="dcterms:W3CDTF">2023-09-15T17:20:36Z</dcterms:modified>
</cp:coreProperties>
</file>