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1" documentId="11_E53E55B872AB825B18481E6C6559D403D853AD44" xr6:coauthVersionLast="47" xr6:coauthVersionMax="47" xr10:uidLastSave="{B38896B0-37BE-4CAB-B327-6E4E5615BE43}"/>
  <bookViews>
    <workbookView xWindow="-120" yWindow="-120" windowWidth="23280" windowHeight="15000" xr2:uid="{00000000-000D-0000-FFFF-FFFF00000000}"/>
  </bookViews>
  <sheets>
    <sheet name="Forecast" sheetId="1" r:id="rId1"/>
    <sheet name="Sheet1" sheetId="3" r:id="rId2"/>
    <sheet name="Sheet2" sheetId="4" r:id="rId3"/>
    <sheet name="Sheet3" sheetId="5" r:id="rId4"/>
    <sheet name="Mortgage"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7" i="1" l="1"/>
  <c r="P159" i="1"/>
  <c r="T87" i="1"/>
  <c r="T88" i="1" s="1"/>
  <c r="I205" i="1" l="1"/>
  <c r="E163" i="1" l="1"/>
  <c r="E171" i="1"/>
  <c r="E179" i="1"/>
  <c r="L1" i="2" l="1"/>
  <c r="L4" i="2" s="1"/>
  <c r="L5" i="2" s="1"/>
  <c r="C3" i="2" s="1"/>
  <c r="F47" i="1"/>
  <c r="F48" i="1"/>
  <c r="F52" i="1" s="1"/>
  <c r="F49" i="1"/>
  <c r="F24" i="1"/>
  <c r="G24" i="1" s="1"/>
  <c r="G55" i="1" s="1"/>
  <c r="F55" i="1"/>
  <c r="F57" i="1"/>
  <c r="F83" i="1"/>
  <c r="F84" i="1"/>
  <c r="F59" i="1"/>
  <c r="G6" i="1"/>
  <c r="G49" i="1" s="1"/>
  <c r="G9" i="1"/>
  <c r="H9" i="1" s="1"/>
  <c r="I9" i="1" s="1"/>
  <c r="J9" i="1" s="1"/>
  <c r="K9" i="1" s="1"/>
  <c r="L9" i="1" s="1"/>
  <c r="M9" i="1" s="1"/>
  <c r="N9" i="1" s="1"/>
  <c r="O9" i="1" s="1"/>
  <c r="P9" i="1" s="1"/>
  <c r="G7" i="1"/>
  <c r="H7" i="1" s="1"/>
  <c r="I7" i="1" s="1"/>
  <c r="J7" i="1" s="1"/>
  <c r="K7" i="1" s="1"/>
  <c r="L7" i="1" s="1"/>
  <c r="M7" i="1" s="1"/>
  <c r="N7" i="1" s="1"/>
  <c r="O7" i="1" s="1"/>
  <c r="P7" i="1" s="1"/>
  <c r="G47" i="1"/>
  <c r="G20" i="1"/>
  <c r="G48" i="1" s="1"/>
  <c r="G52" i="1" s="1"/>
  <c r="G21" i="1"/>
  <c r="G19" i="1"/>
  <c r="G28" i="1"/>
  <c r="H28" i="1" s="1"/>
  <c r="I28" i="1" s="1"/>
  <c r="G22" i="1"/>
  <c r="G31" i="1"/>
  <c r="H31" i="1" s="1"/>
  <c r="G30" i="1"/>
  <c r="G8" i="1"/>
  <c r="G10" i="1"/>
  <c r="G83" i="1"/>
  <c r="G39" i="1"/>
  <c r="G58" i="1"/>
  <c r="G84" i="1"/>
  <c r="G40" i="1"/>
  <c r="H40" i="1" s="1"/>
  <c r="I40" i="1" s="1"/>
  <c r="J40" i="1" s="1"/>
  <c r="K40" i="1" s="1"/>
  <c r="L40" i="1" s="1"/>
  <c r="M40" i="1" s="1"/>
  <c r="N40" i="1" s="1"/>
  <c r="O40" i="1" s="1"/>
  <c r="P40" i="1" s="1"/>
  <c r="G59" i="1"/>
  <c r="G29" i="1"/>
  <c r="G32" i="1"/>
  <c r="H20" i="1"/>
  <c r="I20" i="1" s="1"/>
  <c r="H21" i="1"/>
  <c r="H19" i="1"/>
  <c r="H22" i="1"/>
  <c r="H8" i="1"/>
  <c r="H10" i="1"/>
  <c r="H39" i="1"/>
  <c r="H32" i="1"/>
  <c r="I21" i="1"/>
  <c r="J21" i="1" s="1"/>
  <c r="K21" i="1" s="1"/>
  <c r="L21" i="1" s="1"/>
  <c r="M21" i="1" s="1"/>
  <c r="N21" i="1" s="1"/>
  <c r="O21" i="1" s="1"/>
  <c r="P21" i="1" s="1"/>
  <c r="I19" i="1"/>
  <c r="I22" i="1"/>
  <c r="J22" i="1" s="1"/>
  <c r="K22" i="1" s="1"/>
  <c r="L22" i="1" s="1"/>
  <c r="M22" i="1" s="1"/>
  <c r="N22" i="1" s="1"/>
  <c r="O22" i="1" s="1"/>
  <c r="P22" i="1" s="1"/>
  <c r="I31" i="1"/>
  <c r="I39" i="1"/>
  <c r="J39" i="1" s="1"/>
  <c r="J28" i="1"/>
  <c r="K28" i="1" s="1"/>
  <c r="L28" i="1" s="1"/>
  <c r="M28" i="1" s="1"/>
  <c r="N28" i="1" s="1"/>
  <c r="O28" i="1" s="1"/>
  <c r="P28" i="1" s="1"/>
  <c r="K39" i="1"/>
  <c r="L39" i="1" s="1"/>
  <c r="M39" i="1" s="1"/>
  <c r="N39" i="1" s="1"/>
  <c r="O39" i="1" s="1"/>
  <c r="P39" i="1" s="1"/>
  <c r="S100" i="1"/>
  <c r="F105" i="1"/>
  <c r="G41" i="1"/>
  <c r="G105" i="1" s="1"/>
  <c r="H41" i="1"/>
  <c r="H105" i="1" s="1"/>
  <c r="G36" i="1"/>
  <c r="H36" i="1" s="1"/>
  <c r="I36" i="1" s="1"/>
  <c r="J36" i="1" s="1"/>
  <c r="K36" i="1" s="1"/>
  <c r="L36" i="1" s="1"/>
  <c r="M36" i="1" s="1"/>
  <c r="N36" i="1" s="1"/>
  <c r="O36" i="1" s="1"/>
  <c r="P36" i="1" s="1"/>
  <c r="G125" i="1"/>
  <c r="H125" i="1"/>
  <c r="I125" i="1"/>
  <c r="J125" i="1"/>
  <c r="K125" i="1"/>
  <c r="L125" i="1"/>
  <c r="M125" i="1"/>
  <c r="N125" i="1"/>
  <c r="O125" i="1"/>
  <c r="P125" i="1"/>
  <c r="F25" i="1"/>
  <c r="G25" i="1"/>
  <c r="H25" i="1" s="1"/>
  <c r="F125" i="1"/>
  <c r="F87" i="1"/>
  <c r="G87" i="1"/>
  <c r="F86" i="1"/>
  <c r="E125" i="1"/>
  <c r="E132" i="1"/>
  <c r="E136" i="1"/>
  <c r="B3" i="2"/>
  <c r="L7" i="2"/>
  <c r="G78" i="1" l="1"/>
  <c r="G94" i="1"/>
  <c r="G57" i="1"/>
  <c r="H30" i="1"/>
  <c r="G50" i="1"/>
  <c r="G136" i="1"/>
  <c r="F136" i="1"/>
  <c r="J31" i="1"/>
  <c r="G117" i="1"/>
  <c r="G86" i="1"/>
  <c r="G132" i="1"/>
  <c r="F132" i="1"/>
  <c r="I8" i="1"/>
  <c r="H84" i="1"/>
  <c r="F78" i="1"/>
  <c r="F94" i="1"/>
  <c r="E128" i="1" s="1"/>
  <c r="I25" i="1"/>
  <c r="H87" i="1"/>
  <c r="J20" i="1"/>
  <c r="H24" i="1"/>
  <c r="F50" i="1"/>
  <c r="H83" i="1"/>
  <c r="I10" i="1"/>
  <c r="I32" i="1"/>
  <c r="J32" i="1" s="1"/>
  <c r="K32" i="1" s="1"/>
  <c r="L32" i="1" s="1"/>
  <c r="M32" i="1" s="1"/>
  <c r="N32" i="1" s="1"/>
  <c r="O32" i="1" s="1"/>
  <c r="P32" i="1" s="1"/>
  <c r="T91" i="1"/>
  <c r="F58" i="1"/>
  <c r="E140" i="1"/>
  <c r="F140" i="1"/>
  <c r="H6" i="1"/>
  <c r="F14" i="1"/>
  <c r="G14" i="1" s="1"/>
  <c r="H14" i="1" s="1"/>
  <c r="I14" i="1" s="1"/>
  <c r="J14" i="1" s="1"/>
  <c r="K14" i="1" s="1"/>
  <c r="L14" i="1" s="1"/>
  <c r="M14" i="1" s="1"/>
  <c r="N14" i="1" s="1"/>
  <c r="O14" i="1" s="1"/>
  <c r="P14" i="1" s="1"/>
  <c r="U99" i="1"/>
  <c r="D3" i="2"/>
  <c r="E3" i="2" s="1"/>
  <c r="C4" i="2"/>
  <c r="I41" i="1"/>
  <c r="H29" i="1"/>
  <c r="I84" i="1" l="1"/>
  <c r="J8" i="1"/>
  <c r="F117" i="1"/>
  <c r="F85" i="1"/>
  <c r="H132" i="1"/>
  <c r="J10" i="1"/>
  <c r="I83" i="1"/>
  <c r="H140" i="1" s="1"/>
  <c r="K20" i="1"/>
  <c r="F127" i="1"/>
  <c r="E127" i="1"/>
  <c r="F128" i="1"/>
  <c r="H55" i="1"/>
  <c r="I24" i="1"/>
  <c r="G53" i="1"/>
  <c r="G76" i="1" s="1"/>
  <c r="G56" i="1"/>
  <c r="G79" i="1"/>
  <c r="V99" i="1"/>
  <c r="J25" i="1"/>
  <c r="I87" i="1"/>
  <c r="I30" i="1"/>
  <c r="H57" i="1"/>
  <c r="G60" i="1"/>
  <c r="G140" i="1"/>
  <c r="H58" i="1"/>
  <c r="K31" i="1"/>
  <c r="H49" i="1"/>
  <c r="I6" i="1"/>
  <c r="H47" i="1"/>
  <c r="F53" i="1"/>
  <c r="F76" i="1" s="1"/>
  <c r="F60" i="1"/>
  <c r="F79" i="1"/>
  <c r="F56" i="1"/>
  <c r="F116" i="1" s="1"/>
  <c r="F118" i="1" s="1"/>
  <c r="F119" i="1" s="1"/>
  <c r="E129" i="1" s="1"/>
  <c r="H136" i="1"/>
  <c r="H59" i="1"/>
  <c r="H86" i="1" s="1"/>
  <c r="U100" i="1"/>
  <c r="V100" i="1" s="1"/>
  <c r="F15" i="1"/>
  <c r="B4" i="2"/>
  <c r="C5" i="2"/>
  <c r="I105" i="1"/>
  <c r="J41" i="1"/>
  <c r="I29" i="1"/>
  <c r="J6" i="1" l="1"/>
  <c r="I47" i="1"/>
  <c r="I49" i="1"/>
  <c r="J24" i="1"/>
  <c r="I55" i="1"/>
  <c r="L31" i="1"/>
  <c r="F88" i="1"/>
  <c r="G85" i="1"/>
  <c r="G88" i="1" s="1"/>
  <c r="F61" i="1"/>
  <c r="F63" i="1" s="1"/>
  <c r="J84" i="1"/>
  <c r="K8" i="1"/>
  <c r="I140" i="1"/>
  <c r="I58" i="1"/>
  <c r="I57" i="1"/>
  <c r="J30" i="1"/>
  <c r="E126" i="1"/>
  <c r="F126" i="1"/>
  <c r="K25" i="1"/>
  <c r="J87" i="1"/>
  <c r="I59" i="1"/>
  <c r="I86" i="1" s="1"/>
  <c r="G80" i="1"/>
  <c r="G90" i="1" s="1"/>
  <c r="J83" i="1"/>
  <c r="K10" i="1"/>
  <c r="E124" i="1"/>
  <c r="E146" i="1" s="1"/>
  <c r="F124" i="1"/>
  <c r="F80" i="1"/>
  <c r="F90" i="1" s="1"/>
  <c r="H85" i="1"/>
  <c r="H88" i="1" s="1"/>
  <c r="H117" i="1"/>
  <c r="L20" i="1"/>
  <c r="H48" i="1"/>
  <c r="H52" i="1" s="1"/>
  <c r="G61" i="1"/>
  <c r="G63" i="1" s="1"/>
  <c r="G116" i="1"/>
  <c r="G118" i="1" s="1"/>
  <c r="G119" i="1" s="1"/>
  <c r="F129" i="1" s="1"/>
  <c r="G15" i="1"/>
  <c r="F66" i="1"/>
  <c r="C6" i="2"/>
  <c r="D4" i="2"/>
  <c r="J105" i="1"/>
  <c r="K41" i="1"/>
  <c r="G120" i="1"/>
  <c r="F120" i="1"/>
  <c r="J29" i="1"/>
  <c r="H50" i="1" l="1"/>
  <c r="J58" i="1"/>
  <c r="K30" i="1"/>
  <c r="J57" i="1"/>
  <c r="I50" i="1"/>
  <c r="I48" i="1"/>
  <c r="I52" i="1" s="1"/>
  <c r="M31" i="1"/>
  <c r="J132" i="1"/>
  <c r="J136" i="1"/>
  <c r="J59" i="1"/>
  <c r="J86" i="1" s="1"/>
  <c r="M20" i="1"/>
  <c r="K6" i="1"/>
  <c r="J49" i="1"/>
  <c r="J47" i="1"/>
  <c r="H78" i="1"/>
  <c r="H94" i="1"/>
  <c r="G128" i="1" s="1"/>
  <c r="F205" i="1"/>
  <c r="E158" i="1"/>
  <c r="L25" i="1"/>
  <c r="K87" i="1"/>
  <c r="K84" i="1"/>
  <c r="L8" i="1"/>
  <c r="L10" i="1"/>
  <c r="K83" i="1"/>
  <c r="J140" i="1" s="1"/>
  <c r="K24" i="1"/>
  <c r="J55" i="1"/>
  <c r="F146" i="1"/>
  <c r="F158" i="1" s="1"/>
  <c r="F166" i="1" s="1"/>
  <c r="I136" i="1"/>
  <c r="I85" i="1"/>
  <c r="I88" i="1" s="1"/>
  <c r="I117" i="1"/>
  <c r="I132" i="1"/>
  <c r="H15" i="1"/>
  <c r="G66" i="1"/>
  <c r="E4" i="2"/>
  <c r="C7" i="2"/>
  <c r="K105" i="1"/>
  <c r="L41" i="1"/>
  <c r="K29" i="1"/>
  <c r="N20" i="1" l="1"/>
  <c r="F160" i="1"/>
  <c r="K57" i="1"/>
  <c r="L30" i="1"/>
  <c r="J85" i="1"/>
  <c r="J88" i="1" s="1"/>
  <c r="J117" i="1"/>
  <c r="L83" i="1"/>
  <c r="M10" i="1"/>
  <c r="G127" i="1"/>
  <c r="L84" i="1"/>
  <c r="M8" i="1"/>
  <c r="J48" i="1"/>
  <c r="J52" i="1" s="1"/>
  <c r="N31" i="1"/>
  <c r="L87" i="1"/>
  <c r="M25" i="1"/>
  <c r="E166" i="1"/>
  <c r="E160" i="1"/>
  <c r="K140" i="1"/>
  <c r="K58" i="1"/>
  <c r="K59" i="1"/>
  <c r="K86" i="1" s="1"/>
  <c r="H79" i="1"/>
  <c r="H53" i="1"/>
  <c r="H76" i="1" s="1"/>
  <c r="H56" i="1"/>
  <c r="H60" i="1"/>
  <c r="H116" i="1"/>
  <c r="H118" i="1" s="1"/>
  <c r="H119" i="1" s="1"/>
  <c r="G129" i="1" s="1"/>
  <c r="I53" i="1"/>
  <c r="I76" i="1" s="1"/>
  <c r="I79" i="1"/>
  <c r="I56" i="1"/>
  <c r="I60" i="1"/>
  <c r="L24" i="1"/>
  <c r="K55" i="1"/>
  <c r="I116" i="1"/>
  <c r="I118" i="1" s="1"/>
  <c r="I119" i="1" s="1"/>
  <c r="H129" i="1" s="1"/>
  <c r="K132" i="1"/>
  <c r="L6" i="1"/>
  <c r="K47" i="1"/>
  <c r="K49" i="1"/>
  <c r="I94" i="1"/>
  <c r="H128" i="1" s="1"/>
  <c r="I78" i="1"/>
  <c r="H127" i="1" s="1"/>
  <c r="F174" i="1"/>
  <c r="F176" i="1" s="1"/>
  <c r="F168" i="1"/>
  <c r="I15" i="1"/>
  <c r="H66" i="1"/>
  <c r="C8" i="2"/>
  <c r="B5" i="2"/>
  <c r="L105" i="1"/>
  <c r="M41" i="1"/>
  <c r="L29" i="1"/>
  <c r="H80" i="1" l="1"/>
  <c r="H90" i="1" s="1"/>
  <c r="H124" i="1"/>
  <c r="G124" i="1"/>
  <c r="L59" i="1"/>
  <c r="L86" i="1" s="1"/>
  <c r="I61" i="1"/>
  <c r="I63" i="1" s="1"/>
  <c r="K136" i="1"/>
  <c r="L132" i="1"/>
  <c r="J50" i="1"/>
  <c r="H61" i="1"/>
  <c r="H63" i="1" s="1"/>
  <c r="M84" i="1"/>
  <c r="N8" i="1"/>
  <c r="H126" i="1"/>
  <c r="G126" i="1"/>
  <c r="G146" i="1" s="1"/>
  <c r="G158" i="1" s="1"/>
  <c r="H120" i="1"/>
  <c r="H146" i="1" s="1"/>
  <c r="K48" i="1"/>
  <c r="K52" i="1" s="1"/>
  <c r="O31" i="1"/>
  <c r="N10" i="1"/>
  <c r="M83" i="1"/>
  <c r="O20" i="1"/>
  <c r="J78" i="1"/>
  <c r="J94" i="1"/>
  <c r="I128" i="1" s="1"/>
  <c r="M30" i="1"/>
  <c r="L57" i="1"/>
  <c r="I127" i="1"/>
  <c r="M24" i="1"/>
  <c r="L55" i="1"/>
  <c r="E174" i="1"/>
  <c r="E176" i="1" s="1"/>
  <c r="E168" i="1"/>
  <c r="M87" i="1"/>
  <c r="N25" i="1"/>
  <c r="M6" i="1"/>
  <c r="L49" i="1"/>
  <c r="L47" i="1"/>
  <c r="I80" i="1"/>
  <c r="I90" i="1" s="1"/>
  <c r="K117" i="1"/>
  <c r="K85" i="1"/>
  <c r="K88" i="1" s="1"/>
  <c r="L58" i="1"/>
  <c r="L140" i="1"/>
  <c r="I66" i="1"/>
  <c r="J15" i="1"/>
  <c r="D5" i="2"/>
  <c r="C9" i="2"/>
  <c r="M105" i="1"/>
  <c r="N41" i="1"/>
  <c r="I120" i="1"/>
  <c r="M29" i="1"/>
  <c r="G166" i="1" l="1"/>
  <c r="G160" i="1"/>
  <c r="L48" i="1"/>
  <c r="L52" i="1" s="1"/>
  <c r="M47" i="1"/>
  <c r="N6" i="1"/>
  <c r="M49" i="1"/>
  <c r="N83" i="1"/>
  <c r="M140" i="1" s="1"/>
  <c r="O10" i="1"/>
  <c r="P31" i="1"/>
  <c r="M132" i="1"/>
  <c r="M59" i="1"/>
  <c r="M86" i="1" s="1"/>
  <c r="L136" i="1"/>
  <c r="M58" i="1"/>
  <c r="N87" i="1"/>
  <c r="O25" i="1"/>
  <c r="M57" i="1"/>
  <c r="N30" i="1"/>
  <c r="O8" i="1"/>
  <c r="N84" i="1"/>
  <c r="M136" i="1" s="1"/>
  <c r="K78" i="1"/>
  <c r="K94" i="1"/>
  <c r="J128" i="1" s="1"/>
  <c r="J53" i="1"/>
  <c r="J76" i="1" s="1"/>
  <c r="J79" i="1"/>
  <c r="J56" i="1"/>
  <c r="J60" i="1"/>
  <c r="J116" i="1"/>
  <c r="N24" i="1"/>
  <c r="M55" i="1"/>
  <c r="L117" i="1"/>
  <c r="L85" i="1"/>
  <c r="L88" i="1" s="1"/>
  <c r="P20" i="1"/>
  <c r="K50" i="1"/>
  <c r="H199" i="1"/>
  <c r="H158" i="1"/>
  <c r="J66" i="1"/>
  <c r="K15" i="1"/>
  <c r="C10" i="2"/>
  <c r="E5" i="2"/>
  <c r="N105" i="1"/>
  <c r="O41" i="1"/>
  <c r="N29" i="1"/>
  <c r="J118" i="1" l="1"/>
  <c r="J119" i="1" s="1"/>
  <c r="I129" i="1" s="1"/>
  <c r="J120" i="1"/>
  <c r="J61" i="1"/>
  <c r="J63" i="1" s="1"/>
  <c r="O30" i="1"/>
  <c r="N57" i="1"/>
  <c r="L78" i="1"/>
  <c r="L94" i="1"/>
  <c r="K128" i="1" s="1"/>
  <c r="N58" i="1"/>
  <c r="K79" i="1"/>
  <c r="K53" i="1"/>
  <c r="K76" i="1" s="1"/>
  <c r="K56" i="1"/>
  <c r="K60" i="1"/>
  <c r="K116" i="1"/>
  <c r="P8" i="1"/>
  <c r="P84" i="1" s="1"/>
  <c r="O84" i="1"/>
  <c r="N49" i="1"/>
  <c r="O6" i="1"/>
  <c r="N47" i="1"/>
  <c r="N136" i="1"/>
  <c r="N59" i="1"/>
  <c r="N86" i="1" s="1"/>
  <c r="I126" i="1"/>
  <c r="M50" i="1"/>
  <c r="M48" i="1"/>
  <c r="M52" i="1" s="1"/>
  <c r="J80" i="1"/>
  <c r="J90" i="1" s="1"/>
  <c r="J124" i="1"/>
  <c r="I124" i="1"/>
  <c r="I146" i="1" s="1"/>
  <c r="I199" i="1" s="1"/>
  <c r="P25" i="1"/>
  <c r="P87" i="1" s="1"/>
  <c r="O87" i="1"/>
  <c r="N132" i="1"/>
  <c r="L50" i="1"/>
  <c r="M117" i="1"/>
  <c r="M85" i="1"/>
  <c r="M88" i="1" s="1"/>
  <c r="N55" i="1"/>
  <c r="O24" i="1"/>
  <c r="J127" i="1"/>
  <c r="O83" i="1"/>
  <c r="N140" i="1" s="1"/>
  <c r="P10" i="1"/>
  <c r="P83" i="1" s="1"/>
  <c r="G174" i="1"/>
  <c r="G176" i="1" s="1"/>
  <c r="G168" i="1"/>
  <c r="I158" i="1"/>
  <c r="H160" i="1"/>
  <c r="H166" i="1"/>
  <c r="L15" i="1"/>
  <c r="K66" i="1"/>
  <c r="B6" i="2"/>
  <c r="C11" i="2"/>
  <c r="P41" i="1"/>
  <c r="P105" i="1" s="1"/>
  <c r="O105" i="1"/>
  <c r="O29" i="1"/>
  <c r="N48" i="1" l="1"/>
  <c r="N52" i="1" s="1"/>
  <c r="O47" i="1"/>
  <c r="P6" i="1"/>
  <c r="O49" i="1"/>
  <c r="P58" i="1"/>
  <c r="P140" i="1"/>
  <c r="K127" i="1"/>
  <c r="M94" i="1"/>
  <c r="L128" i="1" s="1"/>
  <c r="M78" i="1"/>
  <c r="R132" i="1"/>
  <c r="P132" i="1"/>
  <c r="K118" i="1"/>
  <c r="K119" i="1" s="1"/>
  <c r="J129" i="1" s="1"/>
  <c r="K61" i="1"/>
  <c r="K63" i="1" s="1"/>
  <c r="P30" i="1"/>
  <c r="P57" i="1" s="1"/>
  <c r="O57" i="1"/>
  <c r="L53" i="1"/>
  <c r="L76" i="1" s="1"/>
  <c r="L79" i="1"/>
  <c r="L126" i="1" s="1"/>
  <c r="L56" i="1"/>
  <c r="L61" i="1" s="1"/>
  <c r="L63" i="1" s="1"/>
  <c r="L60" i="1"/>
  <c r="O59" i="1"/>
  <c r="O86" i="1" s="1"/>
  <c r="O136" i="1"/>
  <c r="K80" i="1"/>
  <c r="K90" i="1" s="1"/>
  <c r="O140" i="1"/>
  <c r="O58" i="1"/>
  <c r="M79" i="1"/>
  <c r="M53" i="1"/>
  <c r="M76" i="1" s="1"/>
  <c r="M56" i="1"/>
  <c r="M60" i="1"/>
  <c r="O55" i="1"/>
  <c r="P24" i="1"/>
  <c r="P55" i="1" s="1"/>
  <c r="O132" i="1"/>
  <c r="J126" i="1"/>
  <c r="P136" i="1"/>
  <c r="P59" i="1"/>
  <c r="P86" i="1" s="1"/>
  <c r="N117" i="1"/>
  <c r="N85" i="1"/>
  <c r="N88" i="1" s="1"/>
  <c r="I166" i="1"/>
  <c r="I160" i="1"/>
  <c r="H168" i="1"/>
  <c r="H174" i="1"/>
  <c r="H176" i="1" s="1"/>
  <c r="M15" i="1"/>
  <c r="L66" i="1"/>
  <c r="C12" i="2"/>
  <c r="D6" i="2"/>
  <c r="S105" i="1"/>
  <c r="P29" i="1"/>
  <c r="L124" i="1" l="1"/>
  <c r="L80" i="1"/>
  <c r="L90" i="1" s="1"/>
  <c r="M61" i="1"/>
  <c r="M63" i="1" s="1"/>
  <c r="M116" i="1"/>
  <c r="M118" i="1" s="1"/>
  <c r="M119" i="1" s="1"/>
  <c r="M80" i="1"/>
  <c r="M90" i="1" s="1"/>
  <c r="N50" i="1"/>
  <c r="O117" i="1"/>
  <c r="O85" i="1"/>
  <c r="O88" i="1" s="1"/>
  <c r="P85" i="1"/>
  <c r="R140" i="1" s="1"/>
  <c r="P117" i="1"/>
  <c r="P49" i="1"/>
  <c r="P47" i="1"/>
  <c r="P137" i="1"/>
  <c r="R137" i="1" s="1"/>
  <c r="P138" i="1" s="1"/>
  <c r="L116" i="1"/>
  <c r="K120" i="1"/>
  <c r="P141" i="1"/>
  <c r="R141" i="1"/>
  <c r="P142" i="1" s="1"/>
  <c r="L127" i="1"/>
  <c r="P133" i="1"/>
  <c r="R133" i="1" s="1"/>
  <c r="P134" i="1" s="1"/>
  <c r="K126" i="1"/>
  <c r="K124" i="1"/>
  <c r="O48" i="1"/>
  <c r="O52" i="1" s="1"/>
  <c r="R136" i="1"/>
  <c r="N78" i="1"/>
  <c r="N94" i="1"/>
  <c r="M128" i="1" s="1"/>
  <c r="J146" i="1"/>
  <c r="I168" i="1"/>
  <c r="I174" i="1"/>
  <c r="I176" i="1" s="1"/>
  <c r="M66" i="1"/>
  <c r="N15" i="1"/>
  <c r="C13" i="2"/>
  <c r="E6" i="2"/>
  <c r="O78" i="1" l="1"/>
  <c r="O94" i="1"/>
  <c r="N128" i="1" s="1"/>
  <c r="L118" i="1"/>
  <c r="L119" i="1" s="1"/>
  <c r="K129" i="1" s="1"/>
  <c r="K146" i="1" s="1"/>
  <c r="L120" i="1"/>
  <c r="L129" i="1"/>
  <c r="M120" i="1"/>
  <c r="O50" i="1"/>
  <c r="M127" i="1"/>
  <c r="J199" i="1"/>
  <c r="J158" i="1"/>
  <c r="P48" i="1"/>
  <c r="P52" i="1" s="1"/>
  <c r="N79" i="1"/>
  <c r="N53" i="1"/>
  <c r="N76" i="1" s="1"/>
  <c r="N56" i="1"/>
  <c r="N61" i="1" s="1"/>
  <c r="N63" i="1" s="1"/>
  <c r="N60" i="1"/>
  <c r="P88" i="1"/>
  <c r="N66" i="1"/>
  <c r="O15" i="1"/>
  <c r="B7" i="2"/>
  <c r="C14" i="2"/>
  <c r="N80" i="1" l="1"/>
  <c r="N90" i="1" s="1"/>
  <c r="M124" i="1"/>
  <c r="P50" i="1"/>
  <c r="K199" i="1"/>
  <c r="K158" i="1"/>
  <c r="N126" i="1"/>
  <c r="M126" i="1"/>
  <c r="L146" i="1"/>
  <c r="O127" i="1"/>
  <c r="O53" i="1"/>
  <c r="O76" i="1" s="1"/>
  <c r="O79" i="1"/>
  <c r="O56" i="1"/>
  <c r="O60" i="1"/>
  <c r="O116" i="1"/>
  <c r="O118" i="1" s="1"/>
  <c r="O119" i="1" s="1"/>
  <c r="P78" i="1"/>
  <c r="P127" i="1" s="1"/>
  <c r="P94" i="1"/>
  <c r="J159" i="1"/>
  <c r="J160" i="1" s="1"/>
  <c r="J166" i="1"/>
  <c r="N116" i="1"/>
  <c r="N127" i="1"/>
  <c r="P15" i="1"/>
  <c r="P66" i="1" s="1"/>
  <c r="O66" i="1"/>
  <c r="C17" i="2"/>
  <c r="C15" i="2"/>
  <c r="D7" i="2"/>
  <c r="E7" i="2" s="1"/>
  <c r="N118" i="1" l="1"/>
  <c r="N119" i="1" s="1"/>
  <c r="M129" i="1" s="1"/>
  <c r="M146" i="1" s="1"/>
  <c r="N120" i="1"/>
  <c r="O80" i="1"/>
  <c r="O90" i="1" s="1"/>
  <c r="P79" i="1"/>
  <c r="P126" i="1" s="1"/>
  <c r="P53" i="1"/>
  <c r="P76" i="1" s="1"/>
  <c r="O124" i="1" s="1"/>
  <c r="P56" i="1"/>
  <c r="P61" i="1" s="1"/>
  <c r="P63" i="1" s="1"/>
  <c r="P60" i="1"/>
  <c r="N129" i="1"/>
  <c r="O61" i="1"/>
  <c r="O63" i="1" s="1"/>
  <c r="K159" i="1"/>
  <c r="K160" i="1"/>
  <c r="K166" i="1"/>
  <c r="J174" i="1"/>
  <c r="J176" i="1" s="1"/>
  <c r="J167" i="1"/>
  <c r="J168" i="1" s="1"/>
  <c r="O120" i="1"/>
  <c r="O128" i="1"/>
  <c r="P128" i="1"/>
  <c r="L158" i="1"/>
  <c r="L199" i="1"/>
  <c r="N124" i="1"/>
  <c r="B8" i="2"/>
  <c r="C18" i="2"/>
  <c r="P124" i="1" l="1"/>
  <c r="P80" i="1"/>
  <c r="P90" i="1" s="1"/>
  <c r="N146" i="1"/>
  <c r="K167" i="1"/>
  <c r="K168" i="1" s="1"/>
  <c r="K174" i="1"/>
  <c r="K176" i="1" s="1"/>
  <c r="L159" i="1"/>
  <c r="L166" i="1"/>
  <c r="L167" i="1" s="1"/>
  <c r="L168" i="1" s="1"/>
  <c r="L160" i="1"/>
  <c r="O126" i="1"/>
  <c r="P116" i="1"/>
  <c r="P118" i="1" s="1"/>
  <c r="P119" i="1" s="1"/>
  <c r="M158" i="1"/>
  <c r="M199" i="1"/>
  <c r="C19" i="2"/>
  <c r="D8" i="2"/>
  <c r="E8" i="2" s="1"/>
  <c r="B9" i="2" s="1"/>
  <c r="M159" i="1" l="1"/>
  <c r="M166" i="1"/>
  <c r="M167" i="1" s="1"/>
  <c r="M168" i="1" s="1"/>
  <c r="M160" i="1"/>
  <c r="P120" i="1"/>
  <c r="P129" i="1"/>
  <c r="O129" i="1"/>
  <c r="O146" i="1" s="1"/>
  <c r="N199" i="1"/>
  <c r="N158" i="1"/>
  <c r="D9" i="2"/>
  <c r="E9" i="2" s="1"/>
  <c r="B10" i="2" s="1"/>
  <c r="C20" i="2"/>
  <c r="N159" i="1" l="1"/>
  <c r="N160" i="1"/>
  <c r="N166" i="1"/>
  <c r="N167" i="1" s="1"/>
  <c r="N168" i="1" s="1"/>
  <c r="O199" i="1"/>
  <c r="P199" i="1" s="1"/>
  <c r="O158" i="1"/>
  <c r="P146" i="1"/>
  <c r="E149" i="1"/>
  <c r="C21" i="2"/>
  <c r="D10" i="2"/>
  <c r="E10" i="2" s="1"/>
  <c r="B11" i="2" s="1"/>
  <c r="O159" i="1" l="1"/>
  <c r="O166" i="1"/>
  <c r="O167" i="1" s="1"/>
  <c r="O168" i="1" s="1"/>
  <c r="O160" i="1"/>
  <c r="P158" i="1"/>
  <c r="Q199" i="1"/>
  <c r="D11" i="2"/>
  <c r="E11" i="2" s="1"/>
  <c r="B12" i="2" s="1"/>
  <c r="C22" i="2"/>
  <c r="P166" i="1" l="1"/>
  <c r="P160" i="1"/>
  <c r="D12" i="2"/>
  <c r="E12" i="2" s="1"/>
  <c r="B13" i="2" s="1"/>
  <c r="C23" i="2"/>
  <c r="L174" i="1" l="1"/>
  <c r="L176" i="1" s="1"/>
  <c r="P168" i="1"/>
  <c r="C24" i="2"/>
  <c r="D13" i="2"/>
  <c r="E13" i="2" s="1"/>
  <c r="B14" i="2" s="1"/>
  <c r="D14" i="2" l="1"/>
  <c r="F99" i="1"/>
  <c r="C25" i="2"/>
  <c r="C26" i="2" l="1"/>
  <c r="F101" i="1"/>
  <c r="D15" i="2"/>
  <c r="F65" i="1" s="1"/>
  <c r="E14" i="2"/>
  <c r="E15" i="2" l="1"/>
  <c r="F95" i="1" s="1"/>
  <c r="F96" i="1" s="1"/>
  <c r="F103" i="1" s="1"/>
  <c r="B17" i="2"/>
  <c r="F68" i="1"/>
  <c r="F69" i="1" s="1"/>
  <c r="F71" i="1" s="1"/>
  <c r="F106" i="1" s="1"/>
  <c r="T83" i="1"/>
  <c r="C27" i="2"/>
  <c r="C28" i="2" l="1"/>
  <c r="F107" i="1"/>
  <c r="F109" i="1" s="1"/>
  <c r="F111" i="1" s="1"/>
  <c r="D17" i="2"/>
  <c r="E17" i="2" l="1"/>
  <c r="C31" i="2"/>
  <c r="C29" i="2"/>
  <c r="C32" i="2" l="1"/>
  <c r="B18" i="2"/>
  <c r="D18" i="2" l="1"/>
  <c r="C33" i="2"/>
  <c r="C34" i="2" l="1"/>
  <c r="E18" i="2"/>
  <c r="B19" i="2" l="1"/>
  <c r="C35" i="2"/>
  <c r="D19" i="2" l="1"/>
  <c r="C36" i="2"/>
  <c r="C37" i="2" l="1"/>
  <c r="E19" i="2"/>
  <c r="B20" i="2" l="1"/>
  <c r="C38" i="2"/>
  <c r="C39" i="2" l="1"/>
  <c r="D20" i="2"/>
  <c r="E20" i="2" l="1"/>
  <c r="C40" i="2"/>
  <c r="C41" i="2" l="1"/>
  <c r="B21" i="2"/>
  <c r="C42" i="2" l="1"/>
  <c r="D21" i="2"/>
  <c r="C45" i="2" l="1"/>
  <c r="C43" i="2"/>
  <c r="E21" i="2"/>
  <c r="B22" i="2" l="1"/>
  <c r="C46" i="2"/>
  <c r="C47" i="2" l="1"/>
  <c r="D22" i="2"/>
  <c r="E22" i="2" s="1"/>
  <c r="B23" i="2" s="1"/>
  <c r="D23" i="2" l="1"/>
  <c r="E23" i="2" s="1"/>
  <c r="B24" i="2" s="1"/>
  <c r="C48" i="2"/>
  <c r="D24" i="2" l="1"/>
  <c r="E24" i="2" s="1"/>
  <c r="B25" i="2" s="1"/>
  <c r="C49" i="2"/>
  <c r="D25" i="2" l="1"/>
  <c r="E25" i="2" s="1"/>
  <c r="B26" i="2" s="1"/>
  <c r="C50" i="2"/>
  <c r="D26" i="2" l="1"/>
  <c r="E26" i="2" s="1"/>
  <c r="B27" i="2" s="1"/>
  <c r="C51" i="2"/>
  <c r="C52" i="2" l="1"/>
  <c r="D27" i="2"/>
  <c r="E27" i="2" s="1"/>
  <c r="B28" i="2" s="1"/>
  <c r="D28" i="2" l="1"/>
  <c r="C53" i="2"/>
  <c r="C54" i="2" l="1"/>
  <c r="E28" i="2"/>
  <c r="D29" i="2"/>
  <c r="G65" i="1" s="1"/>
  <c r="G68" i="1" s="1"/>
  <c r="G69" i="1" s="1"/>
  <c r="G71" i="1" s="1"/>
  <c r="G106" i="1" s="1"/>
  <c r="G107" i="1" l="1"/>
  <c r="E29" i="2"/>
  <c r="G95" i="1" s="1"/>
  <c r="B31" i="2"/>
  <c r="C55" i="2"/>
  <c r="D31" i="2" l="1"/>
  <c r="G96" i="1"/>
  <c r="G99" i="1"/>
  <c r="C56" i="2"/>
  <c r="G101" i="1" l="1"/>
  <c r="G103" i="1" s="1"/>
  <c r="G109" i="1" s="1"/>
  <c r="G111" i="1" s="1"/>
  <c r="C59" i="2"/>
  <c r="C57" i="2"/>
  <c r="E31" i="2"/>
  <c r="B32" i="2" l="1"/>
  <c r="C60" i="2"/>
  <c r="C61" i="2" l="1"/>
  <c r="D32" i="2"/>
  <c r="E32" i="2" l="1"/>
  <c r="C62" i="2"/>
  <c r="C63" i="2" l="1"/>
  <c r="B33" i="2"/>
  <c r="D33" i="2" l="1"/>
  <c r="C64" i="2"/>
  <c r="C65" i="2" l="1"/>
  <c r="E33" i="2"/>
  <c r="B34" i="2" l="1"/>
  <c r="C66" i="2"/>
  <c r="C67" i="2" l="1"/>
  <c r="D34" i="2"/>
  <c r="E34" i="2" l="1"/>
  <c r="C68" i="2"/>
  <c r="C69" i="2" l="1"/>
  <c r="B35" i="2"/>
  <c r="D35" i="2" l="1"/>
  <c r="C70" i="2"/>
  <c r="E35" i="2" l="1"/>
  <c r="C73" i="2"/>
  <c r="C71" i="2"/>
  <c r="C74" i="2" l="1"/>
  <c r="B36" i="2"/>
  <c r="D36" i="2" l="1"/>
  <c r="E36" i="2" s="1"/>
  <c r="B37" i="2" s="1"/>
  <c r="C75" i="2"/>
  <c r="C76" i="2" l="1"/>
  <c r="D37" i="2"/>
  <c r="E37" i="2" s="1"/>
  <c r="B38" i="2" s="1"/>
  <c r="D38" i="2" l="1"/>
  <c r="E38" i="2" s="1"/>
  <c r="B39" i="2" s="1"/>
  <c r="C77" i="2"/>
  <c r="C78" i="2" l="1"/>
  <c r="D39" i="2"/>
  <c r="E39" i="2" s="1"/>
  <c r="B40" i="2" s="1"/>
  <c r="D40" i="2" l="1"/>
  <c r="E40" i="2" s="1"/>
  <c r="B41" i="2" s="1"/>
  <c r="C79" i="2"/>
  <c r="C80" i="2" l="1"/>
  <c r="D41" i="2"/>
  <c r="E41" i="2" s="1"/>
  <c r="B42" i="2" s="1"/>
  <c r="D42" i="2" l="1"/>
  <c r="C81" i="2"/>
  <c r="C82" i="2" l="1"/>
  <c r="E42" i="2"/>
  <c r="D43" i="2"/>
  <c r="H65" i="1" s="1"/>
  <c r="H68" i="1" s="1"/>
  <c r="H69" i="1" s="1"/>
  <c r="H71" i="1" s="1"/>
  <c r="H106" i="1" s="1"/>
  <c r="H107" i="1" l="1"/>
  <c r="E43" i="2"/>
  <c r="H95" i="1" s="1"/>
  <c r="B45" i="2"/>
  <c r="C83" i="2"/>
  <c r="H96" i="1" l="1"/>
  <c r="H99" i="1"/>
  <c r="C84" i="2"/>
  <c r="D45" i="2"/>
  <c r="H101" i="1" l="1"/>
  <c r="H103" i="1" s="1"/>
  <c r="H109" i="1" s="1"/>
  <c r="H111" i="1" s="1"/>
  <c r="E45" i="2"/>
  <c r="C87" i="2"/>
  <c r="C85" i="2"/>
  <c r="B46" i="2" l="1"/>
  <c r="C88" i="2"/>
  <c r="C89" i="2" l="1"/>
  <c r="D46" i="2"/>
  <c r="E46" i="2" l="1"/>
  <c r="C90" i="2"/>
  <c r="C91" i="2" l="1"/>
  <c r="B47" i="2"/>
  <c r="D47" i="2" l="1"/>
  <c r="C92" i="2"/>
  <c r="C93" i="2" l="1"/>
  <c r="E47" i="2"/>
  <c r="B48" i="2" l="1"/>
  <c r="C94" i="2"/>
  <c r="C95" i="2" l="1"/>
  <c r="D48" i="2"/>
  <c r="E48" i="2" l="1"/>
  <c r="C96" i="2"/>
  <c r="C97" i="2" l="1"/>
  <c r="B49" i="2"/>
  <c r="D49" i="2" l="1"/>
  <c r="C98" i="2"/>
  <c r="C101" i="2" l="1"/>
  <c r="C99" i="2"/>
  <c r="E49" i="2"/>
  <c r="B50" i="2" l="1"/>
  <c r="C102" i="2"/>
  <c r="C103" i="2" l="1"/>
  <c r="D50" i="2"/>
  <c r="E50" i="2" s="1"/>
  <c r="B51" i="2" s="1"/>
  <c r="D51" i="2" l="1"/>
  <c r="E51" i="2" s="1"/>
  <c r="B52" i="2" s="1"/>
  <c r="C104" i="2"/>
  <c r="D52" i="2" l="1"/>
  <c r="E52" i="2" s="1"/>
  <c r="B53" i="2" s="1"/>
  <c r="C105" i="2"/>
  <c r="C106" i="2" l="1"/>
  <c r="D53" i="2"/>
  <c r="E53" i="2" s="1"/>
  <c r="B54" i="2" s="1"/>
  <c r="D54" i="2" l="1"/>
  <c r="E54" i="2" s="1"/>
  <c r="B55" i="2" s="1"/>
  <c r="C107" i="2"/>
  <c r="C108" i="2" l="1"/>
  <c r="D55" i="2"/>
  <c r="E55" i="2" s="1"/>
  <c r="B56" i="2" s="1"/>
  <c r="D56" i="2" l="1"/>
  <c r="C109" i="2"/>
  <c r="C110" i="2" l="1"/>
  <c r="E56" i="2"/>
  <c r="D57" i="2"/>
  <c r="I65" i="1" s="1"/>
  <c r="I68" i="1" s="1"/>
  <c r="I69" i="1" s="1"/>
  <c r="I71" i="1" s="1"/>
  <c r="I106" i="1" s="1"/>
  <c r="I107" i="1" l="1"/>
  <c r="E57" i="2"/>
  <c r="I95" i="1" s="1"/>
  <c r="B59" i="2"/>
  <c r="C111" i="2"/>
  <c r="C112" i="2" l="1"/>
  <c r="I96" i="1"/>
  <c r="I99" i="1"/>
  <c r="D59" i="2"/>
  <c r="I101" i="1" l="1"/>
  <c r="I103" i="1" s="1"/>
  <c r="I109" i="1" s="1"/>
  <c r="I111" i="1" s="1"/>
  <c r="E59" i="2"/>
  <c r="C115" i="2"/>
  <c r="C113" i="2"/>
  <c r="B60" i="2" l="1"/>
  <c r="C116" i="2"/>
  <c r="C117" i="2" l="1"/>
  <c r="D60" i="2"/>
  <c r="E60" i="2" l="1"/>
  <c r="C118" i="2"/>
  <c r="C119" i="2" l="1"/>
  <c r="B61" i="2"/>
  <c r="D61" i="2" l="1"/>
  <c r="C120" i="2"/>
  <c r="C121" i="2" l="1"/>
  <c r="E61" i="2"/>
  <c r="B62" i="2" l="1"/>
  <c r="C122" i="2"/>
  <c r="C123" i="2" l="1"/>
  <c r="D62" i="2"/>
  <c r="E62" i="2" l="1"/>
  <c r="C124" i="2"/>
  <c r="C125" i="2" l="1"/>
  <c r="B63" i="2"/>
  <c r="D63" i="2" l="1"/>
  <c r="C126" i="2"/>
  <c r="C129" i="2" l="1"/>
  <c r="C127" i="2"/>
  <c r="E63" i="2"/>
  <c r="B64" i="2" l="1"/>
  <c r="C130" i="2"/>
  <c r="C131" i="2" l="1"/>
  <c r="D64" i="2"/>
  <c r="E64" i="2" s="1"/>
  <c r="B65" i="2" s="1"/>
  <c r="D65" i="2" l="1"/>
  <c r="E65" i="2" s="1"/>
  <c r="B66" i="2" s="1"/>
  <c r="C132" i="2"/>
  <c r="C133" i="2" l="1"/>
  <c r="D66" i="2"/>
  <c r="E66" i="2" s="1"/>
  <c r="B67" i="2" s="1"/>
  <c r="D67" i="2" l="1"/>
  <c r="E67" i="2" s="1"/>
  <c r="B68" i="2"/>
  <c r="C134" i="2"/>
  <c r="C135" i="2" l="1"/>
  <c r="D68" i="2"/>
  <c r="E68" i="2" s="1"/>
  <c r="B69" i="2" s="1"/>
  <c r="D69" i="2" l="1"/>
  <c r="E69" i="2" s="1"/>
  <c r="B70" i="2" s="1"/>
  <c r="C136" i="2"/>
  <c r="C137" i="2" l="1"/>
  <c r="D70" i="2"/>
  <c r="E70" i="2" l="1"/>
  <c r="D71" i="2"/>
  <c r="J65" i="1" s="1"/>
  <c r="J68" i="1" s="1"/>
  <c r="J69" i="1" s="1"/>
  <c r="J71" i="1" s="1"/>
  <c r="J106" i="1" s="1"/>
  <c r="C138" i="2"/>
  <c r="C139" i="2" l="1"/>
  <c r="J107" i="1"/>
  <c r="E71" i="2"/>
  <c r="J95" i="1" s="1"/>
  <c r="B73" i="2"/>
  <c r="D73" i="2" l="1"/>
  <c r="J96" i="1"/>
  <c r="J99" i="1"/>
  <c r="C140" i="2"/>
  <c r="J101" i="1" l="1"/>
  <c r="J103" i="1" s="1"/>
  <c r="J109" i="1" s="1"/>
  <c r="J111" i="1" s="1"/>
  <c r="C143" i="2"/>
  <c r="C141" i="2"/>
  <c r="E73" i="2"/>
  <c r="B74" i="2" l="1"/>
  <c r="C144" i="2"/>
  <c r="C145" i="2" l="1"/>
  <c r="D74" i="2"/>
  <c r="E74" i="2" l="1"/>
  <c r="C146" i="2"/>
  <c r="C147" i="2" l="1"/>
  <c r="B75" i="2"/>
  <c r="D75" i="2" l="1"/>
  <c r="C148" i="2"/>
  <c r="C149" i="2" l="1"/>
  <c r="E75" i="2"/>
  <c r="B76" i="2" l="1"/>
  <c r="C150" i="2"/>
  <c r="C151" i="2" l="1"/>
  <c r="D76" i="2"/>
  <c r="E76" i="2" l="1"/>
  <c r="C152" i="2"/>
  <c r="C153" i="2" l="1"/>
  <c r="B77" i="2"/>
  <c r="D77" i="2" l="1"/>
  <c r="C154" i="2"/>
  <c r="C157" i="2" l="1"/>
  <c r="C155" i="2"/>
  <c r="E77" i="2"/>
  <c r="B78" i="2" l="1"/>
  <c r="C158" i="2"/>
  <c r="C159" i="2" l="1"/>
  <c r="D78" i="2"/>
  <c r="E78" i="2" s="1"/>
  <c r="B79" i="2" s="1"/>
  <c r="D79" i="2" l="1"/>
  <c r="E79" i="2" s="1"/>
  <c r="B80" i="2" s="1"/>
  <c r="C160" i="2"/>
  <c r="C161" i="2" l="1"/>
  <c r="D80" i="2"/>
  <c r="E80" i="2" s="1"/>
  <c r="B81" i="2" s="1"/>
  <c r="D81" i="2" l="1"/>
  <c r="E81" i="2" s="1"/>
  <c r="B82" i="2" s="1"/>
  <c r="C162" i="2"/>
  <c r="D82" i="2" l="1"/>
  <c r="E82" i="2" s="1"/>
  <c r="B83" i="2" s="1"/>
  <c r="C163" i="2"/>
  <c r="D83" i="2" l="1"/>
  <c r="E83" i="2" s="1"/>
  <c r="B84" i="2" s="1"/>
  <c r="C164" i="2"/>
  <c r="C165" i="2" l="1"/>
  <c r="D84" i="2"/>
  <c r="E84" i="2" l="1"/>
  <c r="D85" i="2"/>
  <c r="K65" i="1" s="1"/>
  <c r="K68" i="1" s="1"/>
  <c r="K69" i="1" s="1"/>
  <c r="K71" i="1" s="1"/>
  <c r="K106" i="1" s="1"/>
  <c r="K107" i="1" s="1"/>
  <c r="C166" i="2"/>
  <c r="C167" i="2" l="1"/>
  <c r="E85" i="2"/>
  <c r="K95" i="1" s="1"/>
  <c r="B87" i="2"/>
  <c r="D87" i="2" l="1"/>
  <c r="K96" i="1"/>
  <c r="K99" i="1"/>
  <c r="C168" i="2"/>
  <c r="K101" i="1" l="1"/>
  <c r="K103" i="1" s="1"/>
  <c r="K109" i="1" s="1"/>
  <c r="K111" i="1" s="1"/>
  <c r="C171" i="2"/>
  <c r="C169" i="2"/>
  <c r="E87" i="2"/>
  <c r="C172" i="2" l="1"/>
  <c r="B88" i="2"/>
  <c r="D88" i="2" l="1"/>
  <c r="C173" i="2"/>
  <c r="C174" i="2" l="1"/>
  <c r="E88" i="2"/>
  <c r="B89" i="2" l="1"/>
  <c r="C175" i="2"/>
  <c r="C176" i="2" l="1"/>
  <c r="D89" i="2"/>
  <c r="E89" i="2" l="1"/>
  <c r="C177" i="2"/>
  <c r="C178" i="2" l="1"/>
  <c r="B90" i="2"/>
  <c r="D90" i="2" l="1"/>
  <c r="C179" i="2"/>
  <c r="C180" i="2" l="1"/>
  <c r="E90" i="2"/>
  <c r="B91" i="2" l="1"/>
  <c r="C181" i="2"/>
  <c r="C182" i="2" l="1"/>
  <c r="D91" i="2"/>
  <c r="E91" i="2" l="1"/>
  <c r="C185" i="2"/>
  <c r="C183" i="2"/>
  <c r="C186" i="2" l="1"/>
  <c r="B92" i="2"/>
  <c r="D92" i="2" l="1"/>
  <c r="E92" i="2" s="1"/>
  <c r="B93" i="2" s="1"/>
  <c r="C187" i="2"/>
  <c r="C188" i="2" l="1"/>
  <c r="D93" i="2"/>
  <c r="E93" i="2" s="1"/>
  <c r="B94" i="2" s="1"/>
  <c r="D94" i="2" l="1"/>
  <c r="E94" i="2" s="1"/>
  <c r="B95" i="2" s="1"/>
  <c r="C189" i="2"/>
  <c r="C190" i="2" l="1"/>
  <c r="D95" i="2"/>
  <c r="E95" i="2" s="1"/>
  <c r="B96" i="2" s="1"/>
  <c r="D96" i="2" l="1"/>
  <c r="E96" i="2" s="1"/>
  <c r="B97" i="2" s="1"/>
  <c r="C191" i="2"/>
  <c r="C192" i="2" l="1"/>
  <c r="D97" i="2"/>
  <c r="E97" i="2" s="1"/>
  <c r="B98" i="2" s="1"/>
  <c r="D98" i="2" l="1"/>
  <c r="C193" i="2"/>
  <c r="C194" i="2" l="1"/>
  <c r="E98" i="2"/>
  <c r="D99" i="2"/>
  <c r="L65" i="1" s="1"/>
  <c r="L68" i="1" s="1"/>
  <c r="L69" i="1" s="1"/>
  <c r="L71" i="1" s="1"/>
  <c r="L106" i="1" s="1"/>
  <c r="L107" i="1" s="1"/>
  <c r="E99" i="2" l="1"/>
  <c r="L95" i="1" s="1"/>
  <c r="B101" i="2"/>
  <c r="C195" i="2"/>
  <c r="C196" i="2" l="1"/>
  <c r="D101" i="2"/>
  <c r="L96" i="1"/>
  <c r="L99" i="1"/>
  <c r="L101" i="1" l="1"/>
  <c r="L103" i="1" s="1"/>
  <c r="L109" i="1" s="1"/>
  <c r="L111" i="1" s="1"/>
  <c r="E101" i="2"/>
  <c r="C199" i="2"/>
  <c r="C197" i="2"/>
  <c r="C200" i="2" l="1"/>
  <c r="B102" i="2"/>
  <c r="D102" i="2" l="1"/>
  <c r="C201" i="2"/>
  <c r="C202" i="2" l="1"/>
  <c r="E102" i="2"/>
  <c r="B103" i="2" l="1"/>
  <c r="C203" i="2"/>
  <c r="C204" i="2" l="1"/>
  <c r="D103" i="2"/>
  <c r="E103" i="2" l="1"/>
  <c r="C205" i="2"/>
  <c r="C206" i="2" l="1"/>
  <c r="B104" i="2"/>
  <c r="D104" i="2" l="1"/>
  <c r="C207" i="2"/>
  <c r="C208" i="2" l="1"/>
  <c r="E104" i="2"/>
  <c r="B105" i="2" l="1"/>
  <c r="C209" i="2"/>
  <c r="C210" i="2" l="1"/>
  <c r="D105" i="2"/>
  <c r="E105" i="2" l="1"/>
  <c r="C213" i="2"/>
  <c r="C211" i="2"/>
  <c r="C214" i="2" l="1"/>
  <c r="B106" i="2"/>
  <c r="D106" i="2" l="1"/>
  <c r="E106" i="2" s="1"/>
  <c r="B107" i="2" s="1"/>
  <c r="C215" i="2"/>
  <c r="C216" i="2" l="1"/>
  <c r="D107" i="2"/>
  <c r="E107" i="2" s="1"/>
  <c r="B108" i="2"/>
  <c r="D108" i="2" l="1"/>
  <c r="E108" i="2" s="1"/>
  <c r="B109" i="2" s="1"/>
  <c r="C217" i="2"/>
  <c r="D109" i="2" l="1"/>
  <c r="E109" i="2" s="1"/>
  <c r="B110" i="2" s="1"/>
  <c r="C218" i="2"/>
  <c r="C219" i="2" l="1"/>
  <c r="D110" i="2"/>
  <c r="E110" i="2" s="1"/>
  <c r="B111" i="2" s="1"/>
  <c r="D111" i="2" l="1"/>
  <c r="E111" i="2" s="1"/>
  <c r="B112" i="2" s="1"/>
  <c r="C220" i="2"/>
  <c r="C221" i="2" l="1"/>
  <c r="D112" i="2"/>
  <c r="E112" i="2" l="1"/>
  <c r="D113" i="2"/>
  <c r="M65" i="1" s="1"/>
  <c r="M68" i="1" s="1"/>
  <c r="M69" i="1" s="1"/>
  <c r="M71" i="1" s="1"/>
  <c r="M106" i="1" s="1"/>
  <c r="M107" i="1" s="1"/>
  <c r="C222" i="2"/>
  <c r="C223" i="2" l="1"/>
  <c r="E113" i="2"/>
  <c r="M95" i="1" s="1"/>
  <c r="B115" i="2"/>
  <c r="M96" i="1" l="1"/>
  <c r="M99" i="1"/>
  <c r="D115" i="2"/>
  <c r="C224" i="2"/>
  <c r="E115" i="2" l="1"/>
  <c r="C227" i="2"/>
  <c r="C225" i="2"/>
  <c r="M101" i="1"/>
  <c r="M103" i="1" s="1"/>
  <c r="M109" i="1" s="1"/>
  <c r="M111" i="1" s="1"/>
  <c r="C228" i="2" l="1"/>
  <c r="B116" i="2"/>
  <c r="D116" i="2" l="1"/>
  <c r="C229" i="2"/>
  <c r="C230" i="2" l="1"/>
  <c r="E116" i="2"/>
  <c r="B117" i="2" l="1"/>
  <c r="C231" i="2"/>
  <c r="C232" i="2" l="1"/>
  <c r="D117" i="2"/>
  <c r="E117" i="2" l="1"/>
  <c r="C233" i="2"/>
  <c r="C234" i="2" l="1"/>
  <c r="B118" i="2"/>
  <c r="D118" i="2" l="1"/>
  <c r="C235" i="2"/>
  <c r="C236" i="2" l="1"/>
  <c r="E118" i="2"/>
  <c r="B119" i="2" l="1"/>
  <c r="C237" i="2"/>
  <c r="C238" i="2" l="1"/>
  <c r="D119" i="2"/>
  <c r="E119" i="2" l="1"/>
  <c r="C241" i="2"/>
  <c r="C239" i="2"/>
  <c r="C242" i="2" l="1"/>
  <c r="B120" i="2"/>
  <c r="D120" i="2" l="1"/>
  <c r="E120" i="2" s="1"/>
  <c r="B121" i="2" s="1"/>
  <c r="C243" i="2"/>
  <c r="C244" i="2" l="1"/>
  <c r="D121" i="2"/>
  <c r="E121" i="2" s="1"/>
  <c r="B122" i="2" s="1"/>
  <c r="D122" i="2" l="1"/>
  <c r="E122" i="2" s="1"/>
  <c r="B123" i="2" s="1"/>
  <c r="C245" i="2"/>
  <c r="C246" i="2" l="1"/>
  <c r="D123" i="2"/>
  <c r="E123" i="2" s="1"/>
  <c r="B124" i="2"/>
  <c r="D124" i="2" l="1"/>
  <c r="E124" i="2" s="1"/>
  <c r="B125" i="2" s="1"/>
  <c r="C247" i="2"/>
  <c r="C248" i="2" l="1"/>
  <c r="D125" i="2"/>
  <c r="E125" i="2" s="1"/>
  <c r="B126" i="2" s="1"/>
  <c r="D126" i="2" l="1"/>
  <c r="C249" i="2"/>
  <c r="C250" i="2" l="1"/>
  <c r="E126" i="2"/>
  <c r="D127" i="2"/>
  <c r="N65" i="1" s="1"/>
  <c r="N68" i="1" s="1"/>
  <c r="N69" i="1" s="1"/>
  <c r="N71" i="1" s="1"/>
  <c r="N106" i="1" s="1"/>
  <c r="N107" i="1" s="1"/>
  <c r="E127" i="2" l="1"/>
  <c r="N95" i="1" s="1"/>
  <c r="B129" i="2"/>
  <c r="C251" i="2"/>
  <c r="C252" i="2" l="1"/>
  <c r="D129" i="2"/>
  <c r="N96" i="1"/>
  <c r="N99" i="1"/>
  <c r="N101" i="1" l="1"/>
  <c r="N103" i="1" s="1"/>
  <c r="N109" i="1" s="1"/>
  <c r="N111" i="1" s="1"/>
  <c r="E129" i="2"/>
  <c r="C255" i="2"/>
  <c r="C253" i="2"/>
  <c r="B130" i="2" l="1"/>
  <c r="C256" i="2"/>
  <c r="C257" i="2" l="1"/>
  <c r="D130" i="2"/>
  <c r="E130" i="2" l="1"/>
  <c r="C258" i="2"/>
  <c r="C259" i="2" l="1"/>
  <c r="B131" i="2"/>
  <c r="D131" i="2" l="1"/>
  <c r="C260" i="2"/>
  <c r="C261" i="2" l="1"/>
  <c r="E131" i="2"/>
  <c r="B132" i="2" l="1"/>
  <c r="C262" i="2"/>
  <c r="D132" i="2" l="1"/>
  <c r="C263" i="2"/>
  <c r="C264" i="2" l="1"/>
  <c r="E132" i="2"/>
  <c r="B133" i="2" l="1"/>
  <c r="C265" i="2"/>
  <c r="C266" i="2" l="1"/>
  <c r="D133" i="2"/>
  <c r="E133" i="2" l="1"/>
  <c r="C267" i="2"/>
  <c r="B134" i="2" l="1"/>
  <c r="D134" i="2" l="1"/>
  <c r="E134" i="2" s="1"/>
  <c r="B135" i="2" s="1"/>
  <c r="D135" i="2" l="1"/>
  <c r="E135" i="2" s="1"/>
  <c r="B136" i="2" s="1"/>
  <c r="D136" i="2" l="1"/>
  <c r="E136" i="2" s="1"/>
  <c r="B137" i="2" s="1"/>
  <c r="D137" i="2" l="1"/>
  <c r="E137" i="2" s="1"/>
  <c r="B138" i="2" s="1"/>
  <c r="D138" i="2" l="1"/>
  <c r="E138" i="2" s="1"/>
  <c r="B139" i="2" s="1"/>
  <c r="D139" i="2" l="1"/>
  <c r="E139" i="2" s="1"/>
  <c r="B140" i="2" s="1"/>
  <c r="D140" i="2" l="1"/>
  <c r="E140" i="2" l="1"/>
  <c r="D141" i="2"/>
  <c r="O65" i="1" s="1"/>
  <c r="O68" i="1" s="1"/>
  <c r="O69" i="1" s="1"/>
  <c r="O71" i="1" s="1"/>
  <c r="O106" i="1" s="1"/>
  <c r="O107" i="1" l="1"/>
  <c r="E141" i="2"/>
  <c r="O95" i="1" s="1"/>
  <c r="B143" i="2"/>
  <c r="D143" i="2" l="1"/>
  <c r="O96" i="1"/>
  <c r="O99" i="1"/>
  <c r="O101" i="1" l="1"/>
  <c r="O103" i="1" s="1"/>
  <c r="O109" i="1" s="1"/>
  <c r="O111" i="1" s="1"/>
  <c r="E143" i="2"/>
  <c r="B144" i="2" l="1"/>
  <c r="D144" i="2" l="1"/>
  <c r="E144" i="2" l="1"/>
  <c r="B145" i="2" l="1"/>
  <c r="D145" i="2" l="1"/>
  <c r="E145" i="2" l="1"/>
  <c r="B146" i="2" l="1"/>
  <c r="D146" i="2" l="1"/>
  <c r="E146" i="2" l="1"/>
  <c r="B147" i="2" l="1"/>
  <c r="D147" i="2" l="1"/>
  <c r="E147" i="2" l="1"/>
  <c r="B148" i="2" l="1"/>
  <c r="D148" i="2" l="1"/>
  <c r="E148" i="2" s="1"/>
  <c r="B149" i="2" s="1"/>
  <c r="D149" i="2" l="1"/>
  <c r="E149" i="2" s="1"/>
  <c r="B150" i="2" s="1"/>
  <c r="D150" i="2" l="1"/>
  <c r="E150" i="2" s="1"/>
  <c r="B151" i="2" s="1"/>
  <c r="D151" i="2" l="1"/>
  <c r="E151" i="2" s="1"/>
  <c r="B152" i="2" s="1"/>
  <c r="D152" i="2" l="1"/>
  <c r="E152" i="2" s="1"/>
  <c r="B153" i="2" s="1"/>
  <c r="D153" i="2" l="1"/>
  <c r="E153" i="2" s="1"/>
  <c r="B154" i="2" s="1"/>
  <c r="D154" i="2" l="1"/>
  <c r="E154" i="2" l="1"/>
  <c r="D155" i="2"/>
  <c r="P65" i="1" s="1"/>
  <c r="P68" i="1" s="1"/>
  <c r="P69" i="1" s="1"/>
  <c r="P71" i="1" s="1"/>
  <c r="P106" i="1" s="1"/>
  <c r="P107" i="1" l="1"/>
  <c r="S106" i="1"/>
  <c r="E155" i="2"/>
  <c r="P95" i="1" s="1"/>
  <c r="B157" i="2"/>
  <c r="P96" i="1" l="1"/>
  <c r="P99" i="1"/>
  <c r="D157" i="2"/>
  <c r="P101" i="1" l="1"/>
  <c r="P103" i="1" s="1"/>
  <c r="P109" i="1" s="1"/>
  <c r="P111" i="1" s="1"/>
  <c r="S99" i="1"/>
  <c r="E157" i="2"/>
  <c r="B158" i="2" l="1"/>
  <c r="S108" i="1"/>
  <c r="T100" i="1" l="1"/>
  <c r="W100" i="1" s="1"/>
  <c r="T105" i="1"/>
  <c r="D158" i="2"/>
  <c r="T99" i="1"/>
  <c r="T93" i="1" l="1"/>
  <c r="T96" i="1" s="1"/>
  <c r="W99" i="1"/>
  <c r="T108" i="1"/>
  <c r="E158" i="2"/>
  <c r="U105" i="1" l="1"/>
  <c r="V105" i="1" s="1"/>
  <c r="W105" i="1" s="1"/>
  <c r="W108" i="1" s="1"/>
  <c r="E148" i="1" s="1"/>
  <c r="E162" i="1" s="1"/>
  <c r="B159" i="2"/>
  <c r="E178" i="1" l="1"/>
  <c r="E200" i="1"/>
  <c r="E205" i="1" s="1"/>
  <c r="J205" i="1" s="1"/>
  <c r="E150" i="1"/>
  <c r="E170" i="1"/>
  <c r="D159" i="2"/>
  <c r="E152" i="1" l="1"/>
  <c r="F152" i="1" s="1"/>
  <c r="E193" i="1"/>
  <c r="E159" i="2"/>
  <c r="B160" i="2" l="1"/>
  <c r="D160" i="2" l="1"/>
  <c r="E160" i="2" l="1"/>
  <c r="B161" i="2" l="1"/>
  <c r="D161" i="2" l="1"/>
  <c r="E161" i="2" l="1"/>
  <c r="B162" i="2" l="1"/>
  <c r="D162" i="2" l="1"/>
  <c r="E162" i="2" s="1"/>
  <c r="B163" i="2" s="1"/>
  <c r="D163" i="2" l="1"/>
  <c r="E163" i="2" s="1"/>
  <c r="B164" i="2" s="1"/>
  <c r="D164" i="2" l="1"/>
  <c r="E164" i="2" s="1"/>
  <c r="B165" i="2" s="1"/>
  <c r="D165" i="2" l="1"/>
  <c r="E165" i="2" s="1"/>
  <c r="B166" i="2" s="1"/>
  <c r="D166" i="2" l="1"/>
  <c r="E166" i="2" s="1"/>
  <c r="B167" i="2" s="1"/>
  <c r="D167" i="2" l="1"/>
  <c r="E167" i="2" s="1"/>
  <c r="B168" i="2" s="1"/>
  <c r="D168" i="2" l="1"/>
  <c r="E168" i="2" l="1"/>
  <c r="D169" i="2"/>
  <c r="E169" i="2" l="1"/>
  <c r="B171" i="2"/>
  <c r="D171" i="2" l="1"/>
  <c r="E171" i="2" l="1"/>
  <c r="B172" i="2" l="1"/>
  <c r="D172" i="2" l="1"/>
  <c r="E172" i="2" l="1"/>
  <c r="B173" i="2" l="1"/>
  <c r="D173" i="2" l="1"/>
  <c r="E173" i="2" l="1"/>
  <c r="B174" i="2" l="1"/>
  <c r="D174" i="2" l="1"/>
  <c r="E174" i="2" l="1"/>
  <c r="B175" i="2" l="1"/>
  <c r="D175" i="2" l="1"/>
  <c r="E175" i="2" l="1"/>
  <c r="B176" i="2" l="1"/>
  <c r="D176" i="2" l="1"/>
  <c r="E176" i="2" s="1"/>
  <c r="B177" i="2" s="1"/>
  <c r="D177" i="2" l="1"/>
  <c r="E177" i="2" s="1"/>
  <c r="B178" i="2" s="1"/>
  <c r="D178" i="2" l="1"/>
  <c r="E178" i="2" s="1"/>
  <c r="B179" i="2" s="1"/>
  <c r="D179" i="2" l="1"/>
  <c r="E179" i="2" s="1"/>
  <c r="B180" i="2" s="1"/>
  <c r="D180" i="2" l="1"/>
  <c r="E180" i="2" s="1"/>
  <c r="B181" i="2" s="1"/>
  <c r="D181" i="2" l="1"/>
  <c r="E181" i="2" s="1"/>
  <c r="B182" i="2" s="1"/>
  <c r="D182" i="2" l="1"/>
  <c r="E182" i="2" l="1"/>
  <c r="D183" i="2"/>
  <c r="E183" i="2" l="1"/>
  <c r="B185" i="2"/>
  <c r="D185" i="2" l="1"/>
  <c r="E185" i="2" l="1"/>
  <c r="B186" i="2" l="1"/>
  <c r="D186" i="2" l="1"/>
  <c r="E186" i="2" l="1"/>
  <c r="B187" i="2" l="1"/>
  <c r="D187" i="2" l="1"/>
  <c r="E187" i="2" l="1"/>
  <c r="B188" i="2" l="1"/>
  <c r="D188" i="2" l="1"/>
  <c r="E188" i="2" l="1"/>
  <c r="B189" i="2" l="1"/>
  <c r="D189" i="2" l="1"/>
  <c r="E189" i="2" l="1"/>
  <c r="B190" i="2" l="1"/>
  <c r="D190" i="2" l="1"/>
  <c r="E190" i="2" s="1"/>
  <c r="B191" i="2" s="1"/>
  <c r="D191" i="2" l="1"/>
  <c r="E191" i="2" s="1"/>
  <c r="B192" i="2" s="1"/>
  <c r="D192" i="2" l="1"/>
  <c r="E192" i="2" s="1"/>
  <c r="B193" i="2" s="1"/>
  <c r="D193" i="2" l="1"/>
  <c r="E193" i="2" s="1"/>
  <c r="B194" i="2" s="1"/>
  <c r="D194" i="2" l="1"/>
  <c r="E194" i="2" s="1"/>
  <c r="B195" i="2" s="1"/>
  <c r="D195" i="2" l="1"/>
  <c r="E195" i="2" s="1"/>
  <c r="B196" i="2" s="1"/>
  <c r="D196" i="2" l="1"/>
  <c r="E196" i="2" l="1"/>
  <c r="D197" i="2"/>
  <c r="E197" i="2" l="1"/>
  <c r="B199" i="2"/>
  <c r="D199" i="2" l="1"/>
  <c r="E199" i="2" l="1"/>
  <c r="B200" i="2" l="1"/>
  <c r="D200" i="2" l="1"/>
  <c r="E200" i="2" l="1"/>
  <c r="B201" i="2" l="1"/>
  <c r="D201" i="2" l="1"/>
  <c r="E201" i="2" l="1"/>
  <c r="B202" i="2" l="1"/>
  <c r="D202" i="2" l="1"/>
  <c r="E202" i="2" l="1"/>
  <c r="B203" i="2" l="1"/>
  <c r="D203" i="2" l="1"/>
  <c r="E203" i="2" l="1"/>
  <c r="B204" i="2" l="1"/>
  <c r="D204" i="2" l="1"/>
  <c r="E204" i="2" s="1"/>
  <c r="B205" i="2" s="1"/>
  <c r="D205" i="2" l="1"/>
  <c r="E205" i="2" s="1"/>
  <c r="B206" i="2" s="1"/>
  <c r="D206" i="2" l="1"/>
  <c r="E206" i="2" s="1"/>
  <c r="B207" i="2" s="1"/>
  <c r="D207" i="2" l="1"/>
  <c r="E207" i="2" s="1"/>
  <c r="B208" i="2" s="1"/>
  <c r="D208" i="2" l="1"/>
  <c r="E208" i="2" s="1"/>
  <c r="B209" i="2" s="1"/>
  <c r="D209" i="2" l="1"/>
  <c r="E209" i="2" s="1"/>
  <c r="B210" i="2" s="1"/>
  <c r="D210" i="2" l="1"/>
  <c r="E210" i="2" l="1"/>
  <c r="D211" i="2"/>
  <c r="E211" i="2" l="1"/>
  <c r="B213" i="2"/>
  <c r="D213" i="2" l="1"/>
  <c r="E213" i="2" l="1"/>
  <c r="B214" i="2" l="1"/>
  <c r="D214" i="2" l="1"/>
  <c r="E214" i="2" l="1"/>
  <c r="B215" i="2" l="1"/>
  <c r="D215" i="2" l="1"/>
  <c r="E215" i="2" l="1"/>
  <c r="B216" i="2" l="1"/>
  <c r="D216" i="2" l="1"/>
  <c r="E216" i="2" l="1"/>
  <c r="B217" i="2" l="1"/>
  <c r="D217" i="2" l="1"/>
  <c r="E217" i="2" l="1"/>
  <c r="B218" i="2" l="1"/>
  <c r="D218" i="2" l="1"/>
  <c r="E218" i="2" s="1"/>
  <c r="B219" i="2" s="1"/>
  <c r="D219" i="2" l="1"/>
  <c r="E219" i="2" s="1"/>
  <c r="B220" i="2" s="1"/>
  <c r="D220" i="2" l="1"/>
  <c r="E220" i="2" s="1"/>
  <c r="B221" i="2" s="1"/>
  <c r="D221" i="2" l="1"/>
  <c r="E221" i="2" s="1"/>
  <c r="B222" i="2" s="1"/>
  <c r="D222" i="2" l="1"/>
  <c r="E222" i="2" s="1"/>
  <c r="B223" i="2" s="1"/>
  <c r="D223" i="2" l="1"/>
  <c r="E223" i="2" s="1"/>
  <c r="B224" i="2" s="1"/>
  <c r="D224" i="2" l="1"/>
  <c r="E224" i="2" l="1"/>
  <c r="D225" i="2"/>
  <c r="E225" i="2" l="1"/>
  <c r="B227" i="2"/>
  <c r="D227" i="2" l="1"/>
  <c r="E227" i="2" l="1"/>
  <c r="B228" i="2" l="1"/>
  <c r="D228" i="2" l="1"/>
  <c r="E228" i="2" l="1"/>
  <c r="B229" i="2" l="1"/>
  <c r="D229" i="2" l="1"/>
  <c r="E229" i="2" l="1"/>
  <c r="B230" i="2" l="1"/>
  <c r="D230" i="2" l="1"/>
  <c r="E230" i="2" l="1"/>
  <c r="B231" i="2" l="1"/>
  <c r="D231" i="2" l="1"/>
  <c r="E231" i="2" l="1"/>
  <c r="B232" i="2" l="1"/>
  <c r="D232" i="2" l="1"/>
  <c r="E232" i="2" s="1"/>
  <c r="B233" i="2"/>
  <c r="D233" i="2" l="1"/>
  <c r="E233" i="2" s="1"/>
  <c r="B234" i="2" s="1"/>
  <c r="D234" i="2" l="1"/>
  <c r="E234" i="2" s="1"/>
  <c r="B235" i="2" s="1"/>
  <c r="D235" i="2" l="1"/>
  <c r="E235" i="2" s="1"/>
  <c r="B236" i="2" s="1"/>
  <c r="D236" i="2" l="1"/>
  <c r="E236" i="2" s="1"/>
  <c r="B237" i="2" s="1"/>
  <c r="D237" i="2" l="1"/>
  <c r="E237" i="2" s="1"/>
  <c r="B238" i="2" s="1"/>
  <c r="D238" i="2" l="1"/>
  <c r="E238" i="2" l="1"/>
  <c r="D239" i="2"/>
  <c r="E239" i="2" l="1"/>
  <c r="B241" i="2"/>
  <c r="D241" i="2" l="1"/>
  <c r="E241" i="2" l="1"/>
  <c r="B242" i="2" l="1"/>
  <c r="D242" i="2" l="1"/>
  <c r="E242" i="2" l="1"/>
  <c r="B243" i="2" l="1"/>
  <c r="D243" i="2" l="1"/>
  <c r="E243" i="2" l="1"/>
  <c r="B244" i="2" l="1"/>
  <c r="D244" i="2" l="1"/>
  <c r="E244" i="2" l="1"/>
  <c r="B245" i="2" l="1"/>
  <c r="D245" i="2" l="1"/>
  <c r="E245" i="2" l="1"/>
  <c r="B246" i="2" l="1"/>
  <c r="D246" i="2" l="1"/>
  <c r="E246" i="2" s="1"/>
  <c r="B247" i="2" s="1"/>
  <c r="D247" i="2" l="1"/>
  <c r="E247" i="2" s="1"/>
  <c r="B248" i="2" s="1"/>
  <c r="D248" i="2" l="1"/>
  <c r="E248" i="2" s="1"/>
  <c r="B249" i="2" s="1"/>
  <c r="D249" i="2" l="1"/>
  <c r="E249" i="2" s="1"/>
  <c r="B250" i="2"/>
  <c r="D250" i="2" l="1"/>
  <c r="E250" i="2" s="1"/>
  <c r="B251" i="2" s="1"/>
  <c r="D251" i="2" l="1"/>
  <c r="E251" i="2" s="1"/>
  <c r="B252" i="2" s="1"/>
  <c r="D252" i="2" l="1"/>
  <c r="E252" i="2" l="1"/>
  <c r="D253" i="2"/>
  <c r="E253" i="2" l="1"/>
  <c r="B255" i="2"/>
  <c r="D255" i="2" l="1"/>
  <c r="E255" i="2" l="1"/>
  <c r="B256" i="2" l="1"/>
  <c r="D256" i="2" l="1"/>
  <c r="E256" i="2" l="1"/>
  <c r="B257" i="2" l="1"/>
  <c r="D257" i="2" l="1"/>
  <c r="E257" i="2" l="1"/>
  <c r="B258" i="2" l="1"/>
  <c r="D258" i="2" l="1"/>
  <c r="E258" i="2" l="1"/>
  <c r="B259" i="2" l="1"/>
  <c r="D259" i="2" l="1"/>
  <c r="E259" i="2" l="1"/>
  <c r="B260" i="2" l="1"/>
  <c r="D260" i="2" l="1"/>
  <c r="E260" i="2" s="1"/>
  <c r="B261" i="2" s="1"/>
  <c r="D261" i="2" l="1"/>
  <c r="E261" i="2" s="1"/>
  <c r="B262" i="2" s="1"/>
  <c r="D262" i="2" l="1"/>
  <c r="E262" i="2" s="1"/>
  <c r="B263" i="2" s="1"/>
  <c r="D263" i="2" l="1"/>
  <c r="E263" i="2" s="1"/>
  <c r="B264" i="2" s="1"/>
  <c r="D264" i="2" l="1"/>
  <c r="E264" i="2" s="1"/>
  <c r="B265" i="2"/>
  <c r="D265" i="2" l="1"/>
  <c r="E265" i="2" s="1"/>
  <c r="B266" i="2" s="1"/>
  <c r="D266" i="2" s="1"/>
  <c r="E266" i="2" l="1"/>
  <c r="E267" i="2" s="1"/>
  <c r="D267" i="2"/>
</calcChain>
</file>

<file path=xl/sharedStrings.xml><?xml version="1.0" encoding="utf-8"?>
<sst xmlns="http://schemas.openxmlformats.org/spreadsheetml/2006/main" count="240" uniqueCount="193">
  <si>
    <t>Population of Sandpoint</t>
  </si>
  <si>
    <t>Bowling allys in Sandpoint</t>
  </si>
  <si>
    <t>Building Cost</t>
  </si>
  <si>
    <t>Zillow</t>
  </si>
  <si>
    <t>Yelp</t>
  </si>
  <si>
    <t>United States Census Bureau</t>
  </si>
  <si>
    <t>Average Price per person</t>
  </si>
  <si>
    <t>average bounce price</t>
  </si>
  <si>
    <t>US Average  bowlers per day</t>
  </si>
  <si>
    <t>https://www.whitehutchinson.com/leisure/articles/whats-happening-to-bowling.shtml</t>
  </si>
  <si>
    <t>Food Sales Revenue</t>
  </si>
  <si>
    <t>Total Revenue</t>
  </si>
  <si>
    <t>COGS</t>
  </si>
  <si>
    <t>Average Wage</t>
  </si>
  <si>
    <t>Wages</t>
  </si>
  <si>
    <t>Utilities</t>
  </si>
  <si>
    <t>Insurance</t>
  </si>
  <si>
    <t>Gross Margin</t>
  </si>
  <si>
    <t>General Admin</t>
  </si>
  <si>
    <t>General admin as percentage of revenue</t>
  </si>
  <si>
    <t>insurance as percentage of property</t>
  </si>
  <si>
    <t>Total Expenses</t>
  </si>
  <si>
    <t>Net Income Before Tax</t>
  </si>
  <si>
    <t>Utilities as a percentage of Revenue</t>
  </si>
  <si>
    <t>Bowling Revenue</t>
  </si>
  <si>
    <t>Bounce house Revenue</t>
  </si>
  <si>
    <t>Number of Employees</t>
  </si>
  <si>
    <t>Average Tax Rate</t>
  </si>
  <si>
    <t>Income Tax</t>
  </si>
  <si>
    <t>Net Income</t>
  </si>
  <si>
    <t>http://www.huckleberrylanes.com/SPECIALS</t>
  </si>
  <si>
    <t>Ratio's and Asumptions</t>
  </si>
  <si>
    <t>Sources</t>
  </si>
  <si>
    <t>Facts:</t>
  </si>
  <si>
    <t>Assumptions:</t>
  </si>
  <si>
    <t>% of people who use the bounce houses</t>
  </si>
  <si>
    <t>COGS as a percentage of Food Revenue</t>
  </si>
  <si>
    <t>Total Hours Open Per year</t>
  </si>
  <si>
    <t>Expense Ratios:</t>
  </si>
  <si>
    <t>Change</t>
  </si>
  <si>
    <t>Huckleberry Lanes</t>
  </si>
  <si>
    <t>2018 Numbers</t>
  </si>
  <si>
    <t>Income Statement:</t>
  </si>
  <si>
    <t>Balance Sheet:</t>
  </si>
  <si>
    <t>Minimum Cash</t>
  </si>
  <si>
    <t>Extra Cash</t>
  </si>
  <si>
    <t>Accoutns recievable</t>
  </si>
  <si>
    <t>Total Current Assets</t>
  </si>
  <si>
    <t>Assets</t>
  </si>
  <si>
    <t>Current Assets:</t>
  </si>
  <si>
    <t>Fixed Assets:</t>
  </si>
  <si>
    <t>Equipment</t>
  </si>
  <si>
    <t>Building</t>
  </si>
  <si>
    <t>Land</t>
  </si>
  <si>
    <t>Total Assets</t>
  </si>
  <si>
    <t>Liabilities and Owners Equity</t>
  </si>
  <si>
    <t>Other Ratios:</t>
  </si>
  <si>
    <t>Inventory</t>
  </si>
  <si>
    <t>Total Fixed Assets</t>
  </si>
  <si>
    <t>Days of inventory</t>
  </si>
  <si>
    <t>Days of receivables</t>
  </si>
  <si>
    <t>Days of payables</t>
  </si>
  <si>
    <t>Cash/Gross Margin</t>
  </si>
  <si>
    <t>Equipment Cost Per Lane</t>
  </si>
  <si>
    <t>Number of Lanes</t>
  </si>
  <si>
    <t>Number of Bounce Houses</t>
  </si>
  <si>
    <t>Cost of Bounce Houses</t>
  </si>
  <si>
    <t>https://www.bowling.com/braden.aspx</t>
  </si>
  <si>
    <t>https://www.blastzonecommercial.com/magic-castle-13-commercial-inflatable-bouncer?fee=21&amp;fep=320&amp;keyword=&amp;utm_campaign=749175522&amp;utm_adgroup=40817294793&amp;matchtype=&amp;network=g&amp;device=c&amp;adposition=1o4&amp;gclid=Cj0KCQjwuMrXBRC_ARIsALWZrIgMMQFxh320GMBXF2xvWJVPbeb4sXOQuINxyQyceQJEGRLoi4HHsMQaAniBEALw_wcB</t>
  </si>
  <si>
    <t>Average depr. Year (Equipment)</t>
  </si>
  <si>
    <t>Average depr. Year (Building)</t>
  </si>
  <si>
    <t>Long-term debt, current portion</t>
  </si>
  <si>
    <t>Extra Bank Loan / Line of credit payable</t>
  </si>
  <si>
    <t>Total Liabilities</t>
  </si>
  <si>
    <t>Common Stock</t>
  </si>
  <si>
    <t>Retained Earnings</t>
  </si>
  <si>
    <t>Total liabilities and stockholders equity</t>
  </si>
  <si>
    <t>Accounts payable</t>
  </si>
  <si>
    <t>https://www.wellsfargo.com/mortgage/rates/</t>
  </si>
  <si>
    <t>Mortgage Interest Rate</t>
  </si>
  <si>
    <t>Equity Line Interest Rate</t>
  </si>
  <si>
    <t>https://www.top10bestbusinessloans.com/reviews/bluevine</t>
  </si>
  <si>
    <t>Mortgage Loan</t>
  </si>
  <si>
    <t>Current Liabilities:</t>
  </si>
  <si>
    <t>Long Term Liabilities:</t>
  </si>
  <si>
    <t>Total Current Liabilities</t>
  </si>
  <si>
    <t>Total Long Term Liabilities</t>
  </si>
  <si>
    <t>PMT</t>
  </si>
  <si>
    <t>INT</t>
  </si>
  <si>
    <t>FV</t>
  </si>
  <si>
    <t>PV</t>
  </si>
  <si>
    <t>NPER</t>
  </si>
  <si>
    <t>Principal</t>
  </si>
  <si>
    <t>Date</t>
  </si>
  <si>
    <t>Total</t>
  </si>
  <si>
    <t>Total Stockholders Equity</t>
  </si>
  <si>
    <t>DFN</t>
  </si>
  <si>
    <t>Mortgage Interest Expense</t>
  </si>
  <si>
    <t>Other Interst Expense</t>
  </si>
  <si>
    <t>Financial Statements</t>
  </si>
  <si>
    <t>Depreciation Expense (Buildings)</t>
  </si>
  <si>
    <t>Depreciation Expense (Equipment)</t>
  </si>
  <si>
    <t>We projected this increase off of historical rates found on the United States Census Bureau</t>
  </si>
  <si>
    <t>We decresed this based off of a historical trend of bowling becoming less popular in the United States</t>
  </si>
  <si>
    <t>Percentage of food sales (food Sales/Bowling Revenue)</t>
  </si>
  <si>
    <t>We Increased this based on expected minimum wage hikes over the next few years</t>
  </si>
  <si>
    <t>We got this number based on being open for 3 days a week for 12 hours a day.</t>
  </si>
  <si>
    <t>We thought that in an attempt to increase profits they would find a cheeper food supplier to increase gross margin in food sales</t>
  </si>
  <si>
    <t>Because this business is a cash run business we kept receivables the same at around three days for credit card payment delay postings.</t>
  </si>
  <si>
    <t>Inventory is based on food sales so they are perishable items which would go bad if left in inventory for too long. Also there food sales are not large enough justify a need for a higher days of inventory number</t>
  </si>
  <si>
    <t>We changed this number to account for any major remodels, or renovations that would be added as capital improvements to the building</t>
  </si>
  <si>
    <t>We changed this equipment for cost to add for any major overhaul, and improvments, and replacement of bowling lane equipment. Equipment in the bowling lanes is rated to last between 10-15 years with no major overall so we worked that into our calculation.</t>
  </si>
  <si>
    <t>FREE CASH FLOWS</t>
  </si>
  <si>
    <t>Cash From Operatoins</t>
  </si>
  <si>
    <t>Operating Profit</t>
  </si>
  <si>
    <t>Less: Depreciation</t>
  </si>
  <si>
    <t>Taxable Operating Profit</t>
  </si>
  <si>
    <t>Taxes on Operations</t>
  </si>
  <si>
    <t>Total Cash from Operations</t>
  </si>
  <si>
    <t>Cash from Changes in Balance Sheet</t>
  </si>
  <si>
    <t>Working Capital</t>
  </si>
  <si>
    <t>Minimum Cash Balance</t>
  </si>
  <si>
    <t>Accounts Receivable</t>
  </si>
  <si>
    <t xml:space="preserve">Inventory </t>
  </si>
  <si>
    <t>Accounts Payable (COGS Expense)</t>
  </si>
  <si>
    <t>Fixed Assets</t>
  </si>
  <si>
    <t>Adjustment for Sale</t>
  </si>
  <si>
    <t>Taxes on Sale</t>
  </si>
  <si>
    <t>Buildings</t>
  </si>
  <si>
    <t>Goodwill At Purchase</t>
  </si>
  <si>
    <t>Total Free Cash Flows</t>
  </si>
  <si>
    <t>WACC</t>
  </si>
  <si>
    <t>IRR</t>
  </si>
  <si>
    <t>NPV</t>
  </si>
  <si>
    <t>Book</t>
  </si>
  <si>
    <t>Gain</t>
  </si>
  <si>
    <t>Less: Accumulated Depr Buildings</t>
  </si>
  <si>
    <t>Less: Accumulated Depr Equipment</t>
  </si>
  <si>
    <t>Percent Adjustment</t>
  </si>
  <si>
    <t>CREDIT RATING</t>
  </si>
  <si>
    <t>Coverage Ratio</t>
  </si>
  <si>
    <t>Used worst ratio, in first year of operation</t>
  </si>
  <si>
    <t>Credit Rating</t>
  </si>
  <si>
    <t>BB</t>
  </si>
  <si>
    <t>Spread Above T-Bill</t>
  </si>
  <si>
    <t>T-Bill Return</t>
  </si>
  <si>
    <t>Mortage Loan</t>
  </si>
  <si>
    <t>T-Bill Rate plus Spread based on Credit Rating</t>
  </si>
  <si>
    <t>Extra Bank Loan</t>
  </si>
  <si>
    <t>Add 3% to Mortgage Loan Rate</t>
  </si>
  <si>
    <t>CAPM</t>
  </si>
  <si>
    <t>Average over all years of forecast</t>
  </si>
  <si>
    <t>Unlevered Beta</t>
  </si>
  <si>
    <t>From NYU Stern chart for this industry, adjusted down</t>
  </si>
  <si>
    <t>Relevered Beta</t>
  </si>
  <si>
    <t>Based on this company's forecasted debt and equity</t>
  </si>
  <si>
    <t>S&amp;P 500 Return</t>
  </si>
  <si>
    <t>Equity Cost</t>
  </si>
  <si>
    <t>Average</t>
  </si>
  <si>
    <t>Proportion</t>
  </si>
  <si>
    <t>Rate</t>
  </si>
  <si>
    <t>Tax Adjusted</t>
  </si>
  <si>
    <t>Weighted</t>
  </si>
  <si>
    <t>Income Before Interest and Taxes</t>
  </si>
  <si>
    <t>Annual Interest Rate</t>
  </si>
  <si>
    <t>https://ycharts.com/indicators/4_week_treasury_bill_rate</t>
  </si>
  <si>
    <t>Comon Stock</t>
  </si>
  <si>
    <t>https://finance.yahoo.com/quote/SPY/performance/</t>
  </si>
  <si>
    <t>Income Taxes Payable</t>
  </si>
  <si>
    <t>DCF</t>
  </si>
  <si>
    <t>Loss</t>
  </si>
  <si>
    <t>Success, Success:</t>
  </si>
  <si>
    <t>Option to Renovate in 4 years</t>
  </si>
  <si>
    <t>Predicted free cash flows</t>
  </si>
  <si>
    <t>Value of Option</t>
  </si>
  <si>
    <t>Sum</t>
  </si>
  <si>
    <t>Success, Fail:</t>
  </si>
  <si>
    <t>Fail:</t>
  </si>
  <si>
    <t xml:space="preserve">No Option </t>
  </si>
  <si>
    <t>Probability</t>
  </si>
  <si>
    <t>Phase I Business Purchase</t>
  </si>
  <si>
    <t>Phase II Renovate</t>
  </si>
  <si>
    <t xml:space="preserve">Value of Option </t>
  </si>
  <si>
    <t>S</t>
  </si>
  <si>
    <t>X</t>
  </si>
  <si>
    <t>t</t>
  </si>
  <si>
    <t>STDEV(%)</t>
  </si>
  <si>
    <t>r</t>
  </si>
  <si>
    <t>Option Price</t>
  </si>
  <si>
    <t>Free Cash Flows of Option</t>
  </si>
  <si>
    <t>Black Scholes</t>
  </si>
  <si>
    <t>Decision Tree Options</t>
  </si>
  <si>
    <t>NPV (S or the Good Stuff)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</si>
</sst>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mm/dd/yy;@"/>
    <numFmt numFmtId="168" formatCode="_(\$* #,##0_);_(\$* \(#,##0\);_(\$* \-??_);_(@_)"/>
    <numFmt numFmtId="169" formatCode="0.0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2"/>
      <color rgb="FF000000"/>
      <name val="Calibri"/>
      <family val="2"/>
    </font>
    <font>
      <sz val="12"/>
      <color rgb="FF000000"/>
      <name val="Calibri"/>
      <family val="2"/>
    </font>
    <font>
      <sz val="12"/>
      <name val="Calibri"/>
      <family val="2"/>
      <scheme val="minor"/>
    </font>
    <font>
      <sz val="12"/>
      <color rgb="FF00B0F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9" fontId="0" fillId="0" borderId="0" xfId="3" applyFont="1"/>
    <xf numFmtId="164" fontId="0" fillId="0" borderId="0" xfId="1" applyNumberFormat="1" applyFont="1"/>
    <xf numFmtId="44" fontId="0" fillId="0" borderId="0" xfId="2" applyFont="1"/>
    <xf numFmtId="165" fontId="0" fillId="0" borderId="0" xfId="2" applyNumberFormat="1" applyFont="1"/>
    <xf numFmtId="0" fontId="0" fillId="0" borderId="0" xfId="3" applyNumberFormat="1" applyFont="1"/>
    <xf numFmtId="165" fontId="0" fillId="0" borderId="0" xfId="0" applyNumberFormat="1"/>
    <xf numFmtId="164" fontId="0" fillId="0" borderId="1" xfId="1" applyNumberFormat="1" applyFont="1" applyBorder="1"/>
    <xf numFmtId="165" fontId="0" fillId="0" borderId="2" xfId="0" applyNumberFormat="1" applyBorder="1"/>
    <xf numFmtId="0" fontId="0" fillId="0" borderId="0" xfId="0" applyAlignment="1">
      <alignment horizontal="left" indent="1"/>
    </xf>
    <xf numFmtId="0" fontId="0" fillId="0" borderId="0" xfId="0" applyAlignment="1">
      <alignment horizontal="left" indent="2"/>
    </xf>
    <xf numFmtId="0" fontId="2" fillId="0" borderId="0" xfId="0" applyFont="1"/>
    <xf numFmtId="0" fontId="0" fillId="0" borderId="3" xfId="0" applyBorder="1"/>
    <xf numFmtId="44" fontId="0" fillId="0" borderId="0" xfId="0" applyNumberFormat="1"/>
    <xf numFmtId="9" fontId="0" fillId="0" borderId="0" xfId="0" applyNumberFormat="1"/>
    <xf numFmtId="166" fontId="0" fillId="0" borderId="0" xfId="3" applyNumberFormat="1" applyFont="1"/>
    <xf numFmtId="10" fontId="0" fillId="0" borderId="0" xfId="3" applyNumberFormat="1" applyFont="1"/>
    <xf numFmtId="164" fontId="0" fillId="0" borderId="0" xfId="0" applyNumberFormat="1"/>
    <xf numFmtId="0" fontId="2" fillId="0" borderId="3" xfId="0" applyFont="1" applyBorder="1" applyAlignment="1">
      <alignment horizontal="center"/>
    </xf>
    <xf numFmtId="0" fontId="3" fillId="0" borderId="0" xfId="0" applyFont="1"/>
    <xf numFmtId="0" fontId="2" fillId="0" borderId="0" xfId="0" applyFont="1" applyAlignment="1">
      <alignment horizontal="center"/>
    </xf>
    <xf numFmtId="0" fontId="0" fillId="0" borderId="0" xfId="0" applyAlignment="1">
      <alignment horizontal="left"/>
    </xf>
    <xf numFmtId="0" fontId="2" fillId="0" borderId="0" xfId="0" applyFont="1" applyAlignment="1">
      <alignment horizontal="left"/>
    </xf>
    <xf numFmtId="164" fontId="0" fillId="0" borderId="0" xfId="3" applyNumberFormat="1" applyFont="1"/>
    <xf numFmtId="164" fontId="0" fillId="0" borderId="1" xfId="0" applyNumberFormat="1" applyBorder="1"/>
    <xf numFmtId="167" fontId="0" fillId="0" borderId="0" xfId="0" applyNumberFormat="1" applyAlignment="1">
      <alignment horizontal="center" vertical="center"/>
    </xf>
    <xf numFmtId="165" fontId="0" fillId="0" borderId="1" xfId="0" applyNumberFormat="1" applyBorder="1"/>
    <xf numFmtId="164" fontId="0" fillId="0" borderId="2" xfId="0" applyNumberFormat="1" applyBorder="1"/>
    <xf numFmtId="10" fontId="0" fillId="0" borderId="0" xfId="0" applyNumberFormat="1"/>
    <xf numFmtId="0" fontId="0" fillId="2" borderId="0" xfId="0" applyFill="1"/>
    <xf numFmtId="0" fontId="0" fillId="0" borderId="3" xfId="0" applyBorder="1" applyAlignment="1">
      <alignment horizontal="center"/>
    </xf>
    <xf numFmtId="0" fontId="6" fillId="0" borderId="0" xfId="0" applyFont="1"/>
    <xf numFmtId="0" fontId="7" fillId="0" borderId="0" xfId="0" applyFont="1"/>
    <xf numFmtId="43" fontId="0" fillId="0" borderId="0" xfId="0" applyNumberFormat="1"/>
    <xf numFmtId="164" fontId="0" fillId="0" borderId="0" xfId="0" applyNumberFormat="1" applyAlignment="1">
      <alignment horizontal="left"/>
    </xf>
    <xf numFmtId="0" fontId="0" fillId="0" borderId="2" xfId="0" applyBorder="1"/>
    <xf numFmtId="43" fontId="0" fillId="0" borderId="2" xfId="0" applyNumberFormat="1" applyBorder="1"/>
    <xf numFmtId="43" fontId="7" fillId="0" borderId="0" xfId="1" applyFont="1" applyAlignment="1"/>
    <xf numFmtId="0" fontId="7" fillId="0" borderId="0" xfId="0" applyFont="1" applyAlignment="1">
      <alignment horizontal="right"/>
    </xf>
    <xf numFmtId="10" fontId="7" fillId="0" borderId="0" xfId="0" applyNumberFormat="1" applyFont="1"/>
    <xf numFmtId="10" fontId="7" fillId="0" borderId="0" xfId="3" applyNumberFormat="1" applyFont="1" applyAlignment="1"/>
    <xf numFmtId="165" fontId="7" fillId="0" borderId="0" xfId="0" applyNumberFormat="1" applyFont="1"/>
    <xf numFmtId="166" fontId="7" fillId="0" borderId="0" xfId="0" applyNumberFormat="1" applyFont="1"/>
    <xf numFmtId="10" fontId="6" fillId="0" borderId="0" xfId="3" applyNumberFormat="1" applyFont="1" applyAlignment="1"/>
    <xf numFmtId="43" fontId="0" fillId="0" borderId="0" xfId="1" applyFont="1"/>
    <xf numFmtId="0" fontId="0" fillId="0" borderId="1" xfId="0" applyBorder="1"/>
    <xf numFmtId="0" fontId="2" fillId="0" borderId="1" xfId="0" applyFont="1" applyBorder="1"/>
    <xf numFmtId="9" fontId="2" fillId="0" borderId="1" xfId="3" applyFont="1" applyBorder="1"/>
    <xf numFmtId="9" fontId="2" fillId="0" borderId="5" xfId="3" applyFont="1" applyBorder="1"/>
    <xf numFmtId="9" fontId="2" fillId="0" borderId="6" xfId="3" applyFont="1" applyBorder="1"/>
    <xf numFmtId="9" fontId="2" fillId="0" borderId="0" xfId="3" applyFont="1"/>
    <xf numFmtId="9" fontId="0" fillId="0" borderId="4" xfId="3" applyFont="1" applyBorder="1"/>
    <xf numFmtId="9" fontId="0" fillId="0" borderId="5" xfId="3" applyFont="1" applyBorder="1"/>
    <xf numFmtId="9" fontId="0" fillId="0" borderId="6" xfId="3" applyFont="1" applyBorder="1"/>
    <xf numFmtId="44" fontId="0" fillId="3" borderId="0" xfId="0" applyNumberFormat="1" applyFill="1"/>
    <xf numFmtId="0" fontId="8" fillId="0" borderId="7" xfId="0" applyFont="1" applyBorder="1"/>
    <xf numFmtId="168" fontId="8" fillId="0" borderId="7" xfId="2" applyNumberFormat="1" applyFont="1" applyBorder="1"/>
    <xf numFmtId="9" fontId="8" fillId="0" borderId="7" xfId="3" applyFont="1" applyBorder="1"/>
    <xf numFmtId="168" fontId="9" fillId="0" borderId="7" xfId="2" applyNumberFormat="1" applyFont="1" applyBorder="1"/>
    <xf numFmtId="8" fontId="0" fillId="0" borderId="0" xfId="0" applyNumberFormat="1"/>
    <xf numFmtId="0" fontId="4" fillId="0" borderId="0" xfId="0" applyFont="1" applyAlignment="1">
      <alignment horizontal="center"/>
    </xf>
    <xf numFmtId="169" fontId="7" fillId="0" borderId="0" xfId="0" applyNumberFormat="1" applyFont="1"/>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 fillId="0" borderId="1" xfId="0" applyFont="1" applyBorder="1" applyAlignment="1">
      <alignment horizontal="center"/>
    </xf>
    <xf numFmtId="0" fontId="3" fillId="0" borderId="1" xfId="0" applyFont="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L205"/>
  <sheetViews>
    <sheetView tabSelected="1" topLeftCell="A129" zoomScale="79" zoomScaleNormal="80" workbookViewId="0">
      <selection activeCell="S113" sqref="S113"/>
    </sheetView>
  </sheetViews>
  <sheetFormatPr defaultRowHeight="15" x14ac:dyDescent="0.25"/>
  <cols>
    <col min="1" max="2" width="3.5703125" customWidth="1"/>
    <col min="3" max="3" width="32.28515625" customWidth="1"/>
    <col min="4" max="4" width="2.5703125" customWidth="1"/>
    <col min="5" max="6" width="11.85546875" bestFit="1" customWidth="1"/>
    <col min="7" max="7" width="10.85546875" bestFit="1" customWidth="1"/>
    <col min="8" max="15" width="9.85546875" bestFit="1" customWidth="1"/>
    <col min="16" max="16" width="10.85546875" bestFit="1" customWidth="1"/>
    <col min="17" max="17" width="9.28515625" bestFit="1" customWidth="1"/>
    <col min="18" max="18" width="12.28515625" customWidth="1"/>
    <col min="19" max="19" width="18.85546875" customWidth="1"/>
    <col min="22" max="22" width="12.42578125" customWidth="1"/>
  </cols>
  <sheetData>
    <row r="2" spans="2:38" ht="21" x14ac:dyDescent="0.35">
      <c r="B2" s="19"/>
      <c r="C2" s="63" t="s">
        <v>40</v>
      </c>
      <c r="D2" s="63"/>
      <c r="E2" s="63"/>
      <c r="F2" s="63"/>
      <c r="G2" s="63"/>
      <c r="H2" s="63"/>
      <c r="I2" s="63"/>
      <c r="J2" s="63"/>
      <c r="K2" s="63"/>
      <c r="L2" s="63"/>
      <c r="M2" s="63"/>
      <c r="N2" s="63"/>
      <c r="O2" s="63"/>
      <c r="P2" s="63"/>
      <c r="Q2" s="63"/>
      <c r="R2" s="63"/>
    </row>
    <row r="3" spans="2:38" x14ac:dyDescent="0.25">
      <c r="F3" s="62" t="s">
        <v>31</v>
      </c>
      <c r="G3" s="62"/>
      <c r="H3" s="62"/>
      <c r="I3" s="62"/>
      <c r="J3" s="62"/>
      <c r="K3" s="62"/>
      <c r="L3" s="62"/>
      <c r="M3" s="62"/>
      <c r="N3" s="62"/>
      <c r="O3" s="62"/>
      <c r="P3" s="62"/>
      <c r="Q3" s="11" t="s">
        <v>39</v>
      </c>
      <c r="R3" s="11" t="s">
        <v>32</v>
      </c>
    </row>
    <row r="4" spans="2:38" x14ac:dyDescent="0.25">
      <c r="F4" s="18">
        <v>2018</v>
      </c>
      <c r="G4" s="18">
        <v>2019</v>
      </c>
      <c r="H4" s="18">
        <v>2020</v>
      </c>
      <c r="I4" s="18">
        <v>2021</v>
      </c>
      <c r="J4" s="18">
        <v>2022</v>
      </c>
      <c r="K4" s="18">
        <v>2023</v>
      </c>
      <c r="L4" s="18">
        <v>2024</v>
      </c>
      <c r="M4" s="18">
        <v>2025</v>
      </c>
      <c r="N4" s="18">
        <v>2026</v>
      </c>
      <c r="O4" s="18">
        <v>2027</v>
      </c>
      <c r="P4" s="18">
        <v>2028</v>
      </c>
      <c r="Q4" s="12"/>
      <c r="R4" s="30" t="s">
        <v>41</v>
      </c>
    </row>
    <row r="5" spans="2:38" x14ac:dyDescent="0.25">
      <c r="C5" s="11" t="s">
        <v>33</v>
      </c>
      <c r="D5" s="11"/>
    </row>
    <row r="6" spans="2:38" x14ac:dyDescent="0.25">
      <c r="C6" s="9" t="s">
        <v>0</v>
      </c>
      <c r="D6" s="9"/>
      <c r="F6" s="2">
        <v>7894</v>
      </c>
      <c r="G6" s="17">
        <f t="shared" ref="G6:P6" si="0">+F6*(1+$Q6)</f>
        <v>7972.9400000000005</v>
      </c>
      <c r="H6" s="17">
        <f t="shared" si="0"/>
        <v>8052.6694000000007</v>
      </c>
      <c r="I6" s="17">
        <f t="shared" si="0"/>
        <v>8133.1960940000008</v>
      </c>
      <c r="J6" s="17">
        <f t="shared" si="0"/>
        <v>8214.5280549400013</v>
      </c>
      <c r="K6" s="17">
        <f t="shared" si="0"/>
        <v>8296.6733354894022</v>
      </c>
      <c r="L6" s="17">
        <f t="shared" si="0"/>
        <v>8379.6400688442955</v>
      </c>
      <c r="M6" s="17">
        <f t="shared" si="0"/>
        <v>8463.4364695327386</v>
      </c>
      <c r="N6" s="17">
        <f t="shared" si="0"/>
        <v>8548.0708342280668</v>
      </c>
      <c r="O6" s="17">
        <f t="shared" si="0"/>
        <v>8633.551542570347</v>
      </c>
      <c r="P6" s="17">
        <f t="shared" si="0"/>
        <v>8719.8870579960512</v>
      </c>
      <c r="Q6" s="1">
        <v>0.01</v>
      </c>
      <c r="R6" t="s">
        <v>5</v>
      </c>
      <c r="S6" s="29" t="s">
        <v>102</v>
      </c>
      <c r="T6" s="29"/>
      <c r="U6" s="29"/>
      <c r="V6" s="29"/>
      <c r="W6" s="29"/>
      <c r="X6" s="29"/>
      <c r="Y6" s="29"/>
      <c r="Z6" s="29"/>
      <c r="AA6" s="29"/>
      <c r="AB6" s="29"/>
      <c r="AC6" s="29"/>
      <c r="AD6" s="29"/>
      <c r="AE6" s="29"/>
      <c r="AF6" s="29"/>
      <c r="AG6" s="29"/>
      <c r="AH6" s="29"/>
      <c r="AI6" s="29"/>
      <c r="AJ6" s="29"/>
      <c r="AK6" s="29"/>
      <c r="AL6" s="29"/>
    </row>
    <row r="7" spans="2:38" x14ac:dyDescent="0.25">
      <c r="C7" s="9" t="s">
        <v>1</v>
      </c>
      <c r="D7" s="9"/>
      <c r="F7">
        <v>2</v>
      </c>
      <c r="G7">
        <f>+F7</f>
        <v>2</v>
      </c>
      <c r="H7">
        <f t="shared" ref="H7:P7" si="1">+G7</f>
        <v>2</v>
      </c>
      <c r="I7">
        <f t="shared" si="1"/>
        <v>2</v>
      </c>
      <c r="J7">
        <f t="shared" si="1"/>
        <v>2</v>
      </c>
      <c r="K7">
        <f t="shared" si="1"/>
        <v>2</v>
      </c>
      <c r="L7">
        <f t="shared" si="1"/>
        <v>2</v>
      </c>
      <c r="M7">
        <f t="shared" si="1"/>
        <v>2</v>
      </c>
      <c r="N7">
        <f t="shared" si="1"/>
        <v>2</v>
      </c>
      <c r="O7">
        <f t="shared" si="1"/>
        <v>2</v>
      </c>
      <c r="P7">
        <f t="shared" si="1"/>
        <v>2</v>
      </c>
      <c r="R7" t="s">
        <v>4</v>
      </c>
      <c r="S7" s="29"/>
      <c r="T7" s="29"/>
      <c r="U7" s="29"/>
      <c r="V7" s="29"/>
      <c r="W7" s="29"/>
      <c r="X7" s="29"/>
      <c r="Y7" s="29"/>
      <c r="Z7" s="29"/>
      <c r="AA7" s="29"/>
      <c r="AB7" s="29"/>
      <c r="AC7" s="29"/>
      <c r="AD7" s="29"/>
      <c r="AE7" s="29"/>
      <c r="AF7" s="29"/>
      <c r="AG7" s="29"/>
      <c r="AH7" s="29"/>
      <c r="AI7" s="29"/>
      <c r="AJ7" s="29"/>
      <c r="AK7" s="29"/>
      <c r="AL7" s="29"/>
    </row>
    <row r="8" spans="2:38" x14ac:dyDescent="0.25">
      <c r="C8" s="9" t="s">
        <v>2</v>
      </c>
      <c r="D8" s="9"/>
      <c r="F8" s="4">
        <v>255000</v>
      </c>
      <c r="G8" s="6">
        <f>+F8*(1+$Q8)</f>
        <v>258824.99999999997</v>
      </c>
      <c r="H8" s="6">
        <f t="shared" ref="H8:O8" si="2">+G8*(1+$Q8)</f>
        <v>262707.37499999994</v>
      </c>
      <c r="I8" s="6">
        <f t="shared" si="2"/>
        <v>266647.98562499991</v>
      </c>
      <c r="J8" s="6">
        <f t="shared" si="2"/>
        <v>270647.7054093749</v>
      </c>
      <c r="K8" s="6">
        <f t="shared" si="2"/>
        <v>274707.4209905155</v>
      </c>
      <c r="L8" s="6">
        <f t="shared" si="2"/>
        <v>278828.03230537323</v>
      </c>
      <c r="M8" s="6">
        <f t="shared" si="2"/>
        <v>283010.45278995379</v>
      </c>
      <c r="N8" s="6">
        <f t="shared" si="2"/>
        <v>287255.60958180309</v>
      </c>
      <c r="O8" s="6">
        <f t="shared" si="2"/>
        <v>291564.44372553012</v>
      </c>
      <c r="P8" s="6">
        <f>+O8*(1+$Q8)</f>
        <v>295937.91038141306</v>
      </c>
      <c r="Q8" s="16">
        <v>1.4999999999999999E-2</v>
      </c>
      <c r="R8" t="s">
        <v>3</v>
      </c>
      <c r="S8" s="29" t="s">
        <v>110</v>
      </c>
      <c r="T8" s="29"/>
      <c r="U8" s="29"/>
      <c r="V8" s="29"/>
      <c r="W8" s="29"/>
      <c r="X8" s="29"/>
      <c r="Y8" s="29"/>
      <c r="Z8" s="29"/>
      <c r="AA8" s="29"/>
      <c r="AB8" s="29"/>
      <c r="AC8" s="29"/>
      <c r="AD8" s="29"/>
      <c r="AE8" s="29"/>
      <c r="AF8" s="29"/>
      <c r="AG8" s="29"/>
      <c r="AH8" s="29"/>
      <c r="AI8" s="29"/>
      <c r="AJ8" s="29"/>
      <c r="AK8" s="29"/>
      <c r="AL8" s="29"/>
    </row>
    <row r="9" spans="2:38" x14ac:dyDescent="0.25">
      <c r="C9" s="9" t="s">
        <v>8</v>
      </c>
      <c r="D9" s="9"/>
      <c r="F9" s="16">
        <v>0.02</v>
      </c>
      <c r="G9" s="28">
        <f>+F9+$Q9</f>
        <v>1.9800000000000002E-2</v>
      </c>
      <c r="H9" s="28">
        <f t="shared" ref="H9:P9" si="3">+G9+$Q9</f>
        <v>1.9600000000000003E-2</v>
      </c>
      <c r="I9" s="28">
        <f t="shared" si="3"/>
        <v>1.9400000000000004E-2</v>
      </c>
      <c r="J9" s="28">
        <f t="shared" si="3"/>
        <v>1.9200000000000005E-2</v>
      </c>
      <c r="K9" s="28">
        <f t="shared" si="3"/>
        <v>1.9000000000000006E-2</v>
      </c>
      <c r="L9" s="28">
        <f t="shared" si="3"/>
        <v>1.8800000000000008E-2</v>
      </c>
      <c r="M9" s="28">
        <f t="shared" si="3"/>
        <v>1.8600000000000009E-2</v>
      </c>
      <c r="N9" s="28">
        <f t="shared" si="3"/>
        <v>1.840000000000001E-2</v>
      </c>
      <c r="O9" s="28">
        <f t="shared" si="3"/>
        <v>1.8200000000000011E-2</v>
      </c>
      <c r="P9" s="28">
        <f t="shared" si="3"/>
        <v>1.8000000000000013E-2</v>
      </c>
      <c r="Q9" s="16">
        <v>-2.0000000000000001E-4</v>
      </c>
      <c r="R9" t="s">
        <v>9</v>
      </c>
      <c r="S9" s="29" t="s">
        <v>103</v>
      </c>
      <c r="T9" s="29"/>
      <c r="U9" s="29"/>
      <c r="V9" s="29"/>
      <c r="W9" s="29"/>
      <c r="X9" s="29"/>
      <c r="Y9" s="29"/>
      <c r="Z9" s="29"/>
      <c r="AA9" s="29"/>
      <c r="AB9" s="29"/>
      <c r="AC9" s="29"/>
      <c r="AD9" s="29"/>
      <c r="AE9" s="29"/>
      <c r="AF9" s="29"/>
      <c r="AG9" s="29"/>
      <c r="AH9" s="29"/>
      <c r="AI9" s="29"/>
      <c r="AJ9" s="29"/>
      <c r="AK9" s="29"/>
      <c r="AL9" s="29"/>
    </row>
    <row r="10" spans="2:38" x14ac:dyDescent="0.25">
      <c r="C10" s="9" t="s">
        <v>63</v>
      </c>
      <c r="D10" s="9"/>
      <c r="F10" s="23">
        <v>25000</v>
      </c>
      <c r="G10" s="6">
        <f t="shared" ref="G10:P10" si="4">+F10*(1+$Q10)</f>
        <v>25500</v>
      </c>
      <c r="H10" s="6">
        <f t="shared" si="4"/>
        <v>26010</v>
      </c>
      <c r="I10" s="6">
        <f t="shared" si="4"/>
        <v>26530.2</v>
      </c>
      <c r="J10" s="6">
        <f t="shared" si="4"/>
        <v>27060.804</v>
      </c>
      <c r="K10" s="6">
        <f t="shared" si="4"/>
        <v>27602.020080000002</v>
      </c>
      <c r="L10" s="6">
        <f t="shared" si="4"/>
        <v>28154.060481600001</v>
      </c>
      <c r="M10" s="6">
        <f t="shared" si="4"/>
        <v>28717.141691232002</v>
      </c>
      <c r="N10" s="6">
        <f t="shared" si="4"/>
        <v>29291.484525056643</v>
      </c>
      <c r="O10" s="6">
        <f t="shared" si="4"/>
        <v>29877.314215557777</v>
      </c>
      <c r="P10" s="6">
        <f t="shared" si="4"/>
        <v>30474.860499868933</v>
      </c>
      <c r="Q10" s="16">
        <v>0.02</v>
      </c>
      <c r="R10" t="s">
        <v>67</v>
      </c>
      <c r="S10" s="29" t="s">
        <v>111</v>
      </c>
      <c r="T10" s="29"/>
      <c r="U10" s="29"/>
      <c r="V10" s="29"/>
      <c r="W10" s="29"/>
      <c r="X10" s="29"/>
      <c r="Y10" s="29"/>
      <c r="Z10" s="29"/>
      <c r="AA10" s="29"/>
      <c r="AB10" s="29"/>
      <c r="AC10" s="29"/>
      <c r="AD10" s="29"/>
      <c r="AE10" s="29"/>
      <c r="AF10" s="29"/>
      <c r="AG10" s="29"/>
      <c r="AH10" s="29"/>
      <c r="AI10" s="29"/>
      <c r="AJ10" s="29"/>
      <c r="AK10" s="29"/>
      <c r="AL10" s="29"/>
    </row>
    <row r="11" spans="2:38" x14ac:dyDescent="0.25">
      <c r="C11" s="9" t="s">
        <v>64</v>
      </c>
      <c r="D11" s="9"/>
      <c r="F11" s="5">
        <v>12</v>
      </c>
      <c r="G11" s="5">
        <v>12</v>
      </c>
      <c r="H11" s="5">
        <v>12</v>
      </c>
      <c r="I11" s="5">
        <v>12</v>
      </c>
      <c r="J11" s="5">
        <v>12</v>
      </c>
      <c r="K11" s="5">
        <v>12</v>
      </c>
      <c r="L11" s="5">
        <v>12</v>
      </c>
      <c r="M11" s="5">
        <v>12</v>
      </c>
      <c r="N11" s="5">
        <v>12</v>
      </c>
      <c r="O11" s="5">
        <v>12</v>
      </c>
      <c r="P11" s="5">
        <v>12</v>
      </c>
      <c r="Q11" s="16"/>
      <c r="R11" t="s">
        <v>30</v>
      </c>
      <c r="S11" s="29"/>
      <c r="T11" s="29"/>
      <c r="U11" s="29"/>
      <c r="V11" s="29"/>
      <c r="W11" s="29"/>
      <c r="X11" s="29"/>
      <c r="Y11" s="29"/>
      <c r="Z11" s="29"/>
      <c r="AA11" s="29"/>
      <c r="AB11" s="29"/>
      <c r="AC11" s="29"/>
      <c r="AD11" s="29"/>
      <c r="AE11" s="29"/>
      <c r="AF11" s="29"/>
      <c r="AG11" s="29"/>
      <c r="AH11" s="29"/>
      <c r="AI11" s="29"/>
      <c r="AJ11" s="29"/>
      <c r="AK11" s="29"/>
      <c r="AL11" s="29"/>
    </row>
    <row r="12" spans="2:38" x14ac:dyDescent="0.25">
      <c r="C12" s="9" t="s">
        <v>65</v>
      </c>
      <c r="D12" s="9"/>
      <c r="F12" s="23">
        <v>3</v>
      </c>
      <c r="G12" s="23">
        <v>3</v>
      </c>
      <c r="H12" s="23">
        <v>3</v>
      </c>
      <c r="I12" s="23">
        <v>3</v>
      </c>
      <c r="J12" s="23">
        <v>3</v>
      </c>
      <c r="K12" s="23">
        <v>3</v>
      </c>
      <c r="L12" s="23">
        <v>3</v>
      </c>
      <c r="M12" s="23">
        <v>3</v>
      </c>
      <c r="N12" s="23">
        <v>3</v>
      </c>
      <c r="O12" s="23">
        <v>3</v>
      </c>
      <c r="P12" s="23">
        <v>3</v>
      </c>
      <c r="Q12" s="16"/>
      <c r="R12" t="s">
        <v>30</v>
      </c>
      <c r="S12" s="29"/>
      <c r="T12" s="29"/>
      <c r="U12" s="29"/>
      <c r="V12" s="29"/>
      <c r="W12" s="29"/>
      <c r="X12" s="29"/>
      <c r="Y12" s="29"/>
      <c r="Z12" s="29"/>
      <c r="AA12" s="29"/>
      <c r="AB12" s="29"/>
      <c r="AC12" s="29"/>
      <c r="AD12" s="29"/>
      <c r="AE12" s="29"/>
      <c r="AF12" s="29"/>
      <c r="AG12" s="29"/>
      <c r="AH12" s="29"/>
      <c r="AI12" s="29"/>
      <c r="AJ12" s="29"/>
      <c r="AK12" s="29"/>
      <c r="AL12" s="29"/>
    </row>
    <row r="13" spans="2:38" x14ac:dyDescent="0.25">
      <c r="C13" s="9" t="s">
        <v>66</v>
      </c>
      <c r="D13" s="9"/>
      <c r="F13" s="23">
        <v>1399.99</v>
      </c>
      <c r="G13" s="23">
        <v>1399.99</v>
      </c>
      <c r="H13" s="23">
        <v>1399.99</v>
      </c>
      <c r="I13" s="23">
        <v>1399.99</v>
      </c>
      <c r="J13" s="23">
        <v>1399.99</v>
      </c>
      <c r="K13" s="23">
        <v>1399.99</v>
      </c>
      <c r="L13" s="23">
        <v>1399.99</v>
      </c>
      <c r="M13" s="23">
        <v>1399.99</v>
      </c>
      <c r="N13" s="23">
        <v>1399.99</v>
      </c>
      <c r="O13" s="23">
        <v>1399.99</v>
      </c>
      <c r="P13" s="23">
        <v>1399.99</v>
      </c>
      <c r="Q13" s="16"/>
      <c r="R13" t="s">
        <v>68</v>
      </c>
      <c r="S13" s="29"/>
      <c r="T13" s="29"/>
      <c r="U13" s="29"/>
      <c r="V13" s="29"/>
      <c r="W13" s="29"/>
      <c r="X13" s="29"/>
      <c r="Y13" s="29"/>
      <c r="Z13" s="29"/>
      <c r="AA13" s="29"/>
      <c r="AB13" s="29"/>
      <c r="AC13" s="29"/>
      <c r="AD13" s="29"/>
      <c r="AE13" s="29"/>
      <c r="AF13" s="29"/>
      <c r="AG13" s="29"/>
      <c r="AH13" s="29"/>
      <c r="AI13" s="29"/>
      <c r="AJ13" s="29"/>
      <c r="AK13" s="29"/>
      <c r="AL13" s="29"/>
    </row>
    <row r="14" spans="2:38" x14ac:dyDescent="0.25">
      <c r="C14" s="9" t="s">
        <v>79</v>
      </c>
      <c r="D14" s="9"/>
      <c r="F14" s="16">
        <f>+T87</f>
        <v>5.2900000000000003E-2</v>
      </c>
      <c r="G14" s="16">
        <f>+F14</f>
        <v>5.2900000000000003E-2</v>
      </c>
      <c r="H14" s="16">
        <f t="shared" ref="H14:P14" si="5">+G14</f>
        <v>5.2900000000000003E-2</v>
      </c>
      <c r="I14" s="16">
        <f t="shared" si="5"/>
        <v>5.2900000000000003E-2</v>
      </c>
      <c r="J14" s="16">
        <f t="shared" si="5"/>
        <v>5.2900000000000003E-2</v>
      </c>
      <c r="K14" s="16">
        <f t="shared" si="5"/>
        <v>5.2900000000000003E-2</v>
      </c>
      <c r="L14" s="16">
        <f t="shared" si="5"/>
        <v>5.2900000000000003E-2</v>
      </c>
      <c r="M14" s="16">
        <f t="shared" si="5"/>
        <v>5.2900000000000003E-2</v>
      </c>
      <c r="N14" s="16">
        <f t="shared" si="5"/>
        <v>5.2900000000000003E-2</v>
      </c>
      <c r="O14" s="16">
        <f t="shared" si="5"/>
        <v>5.2900000000000003E-2</v>
      </c>
      <c r="P14" s="16">
        <f t="shared" si="5"/>
        <v>5.2900000000000003E-2</v>
      </c>
      <c r="Q14" s="16"/>
      <c r="R14" t="s">
        <v>78</v>
      </c>
      <c r="S14" s="29"/>
      <c r="T14" s="29"/>
      <c r="U14" s="29"/>
      <c r="V14" s="29"/>
      <c r="W14" s="29"/>
      <c r="X14" s="29"/>
      <c r="Y14" s="29"/>
      <c r="Z14" s="29"/>
      <c r="AA14" s="29"/>
      <c r="AB14" s="29"/>
      <c r="AC14" s="29"/>
      <c r="AD14" s="29"/>
      <c r="AE14" s="29"/>
      <c r="AF14" s="29"/>
      <c r="AG14" s="29"/>
      <c r="AH14" s="29"/>
      <c r="AI14" s="29"/>
      <c r="AJ14" s="29"/>
      <c r="AK14" s="29"/>
      <c r="AL14" s="29"/>
    </row>
    <row r="15" spans="2:38" x14ac:dyDescent="0.25">
      <c r="C15" s="9" t="s">
        <v>80</v>
      </c>
      <c r="D15" s="9"/>
      <c r="F15" s="16">
        <f>+T88</f>
        <v>8.2900000000000001E-2</v>
      </c>
      <c r="G15" s="16">
        <f>+F15</f>
        <v>8.2900000000000001E-2</v>
      </c>
      <c r="H15" s="16">
        <f t="shared" ref="H15:P15" si="6">+G15</f>
        <v>8.2900000000000001E-2</v>
      </c>
      <c r="I15" s="16">
        <f t="shared" si="6"/>
        <v>8.2900000000000001E-2</v>
      </c>
      <c r="J15" s="16">
        <f t="shared" si="6"/>
        <v>8.2900000000000001E-2</v>
      </c>
      <c r="K15" s="16">
        <f t="shared" si="6"/>
        <v>8.2900000000000001E-2</v>
      </c>
      <c r="L15" s="16">
        <f t="shared" si="6"/>
        <v>8.2900000000000001E-2</v>
      </c>
      <c r="M15" s="16">
        <f t="shared" si="6"/>
        <v>8.2900000000000001E-2</v>
      </c>
      <c r="N15" s="16">
        <f t="shared" si="6"/>
        <v>8.2900000000000001E-2</v>
      </c>
      <c r="O15" s="16">
        <f t="shared" si="6"/>
        <v>8.2900000000000001E-2</v>
      </c>
      <c r="P15" s="16">
        <f t="shared" si="6"/>
        <v>8.2900000000000001E-2</v>
      </c>
      <c r="Q15" s="16"/>
      <c r="R15" t="s">
        <v>81</v>
      </c>
      <c r="S15" s="29"/>
      <c r="T15" s="29"/>
      <c r="U15" s="29"/>
      <c r="V15" s="29"/>
      <c r="W15" s="29"/>
      <c r="X15" s="29"/>
      <c r="Y15" s="29"/>
      <c r="Z15" s="29"/>
      <c r="AA15" s="29"/>
      <c r="AB15" s="29"/>
      <c r="AC15" s="29"/>
      <c r="AD15" s="29"/>
      <c r="AE15" s="29"/>
      <c r="AF15" s="29"/>
      <c r="AG15" s="29"/>
      <c r="AH15" s="29"/>
      <c r="AI15" s="29"/>
      <c r="AJ15" s="29"/>
      <c r="AK15" s="29"/>
      <c r="AL15" s="29"/>
    </row>
    <row r="16" spans="2:38" x14ac:dyDescent="0.25">
      <c r="F16" s="1"/>
      <c r="S16" s="29"/>
      <c r="T16" s="29"/>
      <c r="U16" s="29"/>
      <c r="V16" s="29"/>
      <c r="W16" s="29"/>
      <c r="X16" s="29"/>
      <c r="Y16" s="29"/>
      <c r="Z16" s="29"/>
      <c r="AA16" s="29"/>
      <c r="AB16" s="29"/>
      <c r="AC16" s="29"/>
      <c r="AD16" s="29"/>
      <c r="AE16" s="29"/>
      <c r="AF16" s="29"/>
      <c r="AG16" s="29"/>
      <c r="AH16" s="29"/>
      <c r="AI16" s="29"/>
      <c r="AJ16" s="29"/>
      <c r="AK16" s="29"/>
      <c r="AL16" s="29"/>
    </row>
    <row r="17" spans="3:38" x14ac:dyDescent="0.25">
      <c r="C17" s="11" t="s">
        <v>34</v>
      </c>
      <c r="D17" s="11"/>
      <c r="F17" s="1"/>
      <c r="S17" s="29"/>
      <c r="T17" s="29"/>
      <c r="U17" s="29"/>
      <c r="V17" s="29"/>
      <c r="W17" s="29"/>
      <c r="X17" s="29"/>
      <c r="Y17" s="29"/>
      <c r="Z17" s="29"/>
      <c r="AA17" s="29"/>
      <c r="AB17" s="29"/>
      <c r="AC17" s="29"/>
      <c r="AD17" s="29"/>
      <c r="AE17" s="29"/>
      <c r="AF17" s="29"/>
      <c r="AG17" s="29"/>
      <c r="AH17" s="29"/>
      <c r="AI17" s="29"/>
      <c r="AJ17" s="29"/>
      <c r="AK17" s="29"/>
      <c r="AL17" s="29"/>
    </row>
    <row r="18" spans="3:38" x14ac:dyDescent="0.25">
      <c r="C18" s="9" t="s">
        <v>6</v>
      </c>
      <c r="D18" s="9"/>
      <c r="F18" s="3">
        <v>8</v>
      </c>
      <c r="G18" s="3">
        <v>8</v>
      </c>
      <c r="H18" s="3">
        <v>8</v>
      </c>
      <c r="I18" s="3">
        <v>8</v>
      </c>
      <c r="J18" s="3">
        <v>8.5</v>
      </c>
      <c r="K18" s="3">
        <v>8.5</v>
      </c>
      <c r="L18" s="3">
        <v>8.5</v>
      </c>
      <c r="M18" s="3">
        <v>8.5</v>
      </c>
      <c r="N18" s="3">
        <v>8.5</v>
      </c>
      <c r="O18" s="3">
        <v>9</v>
      </c>
      <c r="P18" s="3">
        <v>9</v>
      </c>
      <c r="R18" t="s">
        <v>30</v>
      </c>
      <c r="S18" s="29"/>
      <c r="T18" s="29"/>
      <c r="U18" s="29"/>
      <c r="V18" s="29"/>
      <c r="W18" s="29"/>
      <c r="X18" s="29"/>
      <c r="Y18" s="29"/>
      <c r="Z18" s="29"/>
      <c r="AA18" s="29"/>
      <c r="AB18" s="29"/>
      <c r="AC18" s="29"/>
      <c r="AD18" s="29"/>
      <c r="AE18" s="29"/>
      <c r="AF18" s="29"/>
      <c r="AG18" s="29"/>
      <c r="AH18" s="29"/>
      <c r="AI18" s="29"/>
      <c r="AJ18" s="29"/>
      <c r="AK18" s="29"/>
      <c r="AL18" s="29"/>
    </row>
    <row r="19" spans="3:38" x14ac:dyDescent="0.25">
      <c r="C19" s="9" t="s">
        <v>7</v>
      </c>
      <c r="D19" s="9"/>
      <c r="F19" s="3">
        <v>5.25</v>
      </c>
      <c r="G19" s="13">
        <f>+F19</f>
        <v>5.25</v>
      </c>
      <c r="H19" s="13">
        <f t="shared" ref="H19:I19" si="7">+G19</f>
        <v>5.25</v>
      </c>
      <c r="I19" s="3">
        <f t="shared" si="7"/>
        <v>5.25</v>
      </c>
      <c r="J19" s="3">
        <v>5.75</v>
      </c>
      <c r="K19" s="3">
        <v>5.75</v>
      </c>
      <c r="L19" s="3">
        <v>5.75</v>
      </c>
      <c r="M19" s="3">
        <v>5.75</v>
      </c>
      <c r="N19" s="3">
        <v>5.75</v>
      </c>
      <c r="O19" s="3">
        <v>6.25</v>
      </c>
      <c r="P19" s="3">
        <v>6.25</v>
      </c>
      <c r="R19" t="s">
        <v>30</v>
      </c>
      <c r="S19" s="29"/>
      <c r="T19" s="29"/>
      <c r="U19" s="29"/>
      <c r="V19" s="29"/>
      <c r="W19" s="29"/>
      <c r="X19" s="29"/>
      <c r="Y19" s="29"/>
      <c r="Z19" s="29"/>
      <c r="AA19" s="29"/>
      <c r="AB19" s="29"/>
      <c r="AC19" s="29"/>
      <c r="AD19" s="29"/>
      <c r="AE19" s="29"/>
      <c r="AF19" s="29"/>
      <c r="AG19" s="29"/>
      <c r="AH19" s="29"/>
      <c r="AI19" s="29"/>
      <c r="AJ19" s="29"/>
      <c r="AK19" s="29"/>
      <c r="AL19" s="29"/>
    </row>
    <row r="20" spans="3:38" x14ac:dyDescent="0.25">
      <c r="C20" s="9" t="s">
        <v>104</v>
      </c>
      <c r="D20" s="9"/>
      <c r="F20" s="1">
        <v>0.65</v>
      </c>
      <c r="G20" s="14">
        <f>+F20+$Q20</f>
        <v>0.65</v>
      </c>
      <c r="H20" s="14">
        <f t="shared" ref="H20:P20" si="8">+G20+$Q20</f>
        <v>0.65</v>
      </c>
      <c r="I20" s="14">
        <f>+H20+$Q20</f>
        <v>0.65</v>
      </c>
      <c r="J20" s="14">
        <f t="shared" si="8"/>
        <v>0.65</v>
      </c>
      <c r="K20" s="14">
        <f t="shared" si="8"/>
        <v>0.65</v>
      </c>
      <c r="L20" s="14">
        <f t="shared" si="8"/>
        <v>0.65</v>
      </c>
      <c r="M20" s="14">
        <f t="shared" si="8"/>
        <v>0.65</v>
      </c>
      <c r="N20" s="14">
        <f t="shared" si="8"/>
        <v>0.65</v>
      </c>
      <c r="O20" s="14">
        <f t="shared" si="8"/>
        <v>0.65</v>
      </c>
      <c r="P20" s="14">
        <f t="shared" si="8"/>
        <v>0.65</v>
      </c>
      <c r="Q20" s="16"/>
      <c r="S20" s="29"/>
      <c r="T20" s="29"/>
      <c r="U20" s="29"/>
      <c r="V20" s="29"/>
      <c r="W20" s="29"/>
      <c r="X20" s="29"/>
      <c r="Y20" s="29"/>
      <c r="Z20" s="29"/>
      <c r="AA20" s="29"/>
      <c r="AB20" s="29"/>
      <c r="AC20" s="29"/>
      <c r="AD20" s="29"/>
      <c r="AE20" s="29"/>
      <c r="AF20" s="29"/>
      <c r="AG20" s="29"/>
      <c r="AH20" s="29"/>
      <c r="AI20" s="29"/>
      <c r="AJ20" s="29"/>
      <c r="AK20" s="29"/>
      <c r="AL20" s="29"/>
    </row>
    <row r="21" spans="3:38" x14ac:dyDescent="0.25">
      <c r="C21" s="9" t="s">
        <v>35</v>
      </c>
      <c r="D21" s="9"/>
      <c r="F21" s="1">
        <v>0.75</v>
      </c>
      <c r="G21" s="14">
        <f>+F21</f>
        <v>0.75</v>
      </c>
      <c r="H21" s="14">
        <f t="shared" ref="H21:P21" si="9">+G21</f>
        <v>0.75</v>
      </c>
      <c r="I21" s="14">
        <f t="shared" si="9"/>
        <v>0.75</v>
      </c>
      <c r="J21" s="14">
        <f t="shared" si="9"/>
        <v>0.75</v>
      </c>
      <c r="K21" s="14">
        <f t="shared" si="9"/>
        <v>0.75</v>
      </c>
      <c r="L21" s="14">
        <f t="shared" si="9"/>
        <v>0.75</v>
      </c>
      <c r="M21" s="14">
        <f t="shared" si="9"/>
        <v>0.75</v>
      </c>
      <c r="N21" s="14">
        <f t="shared" si="9"/>
        <v>0.75</v>
      </c>
      <c r="O21" s="14">
        <f t="shared" si="9"/>
        <v>0.75</v>
      </c>
      <c r="P21" s="14">
        <f t="shared" si="9"/>
        <v>0.75</v>
      </c>
      <c r="S21" s="29"/>
      <c r="T21" s="29"/>
      <c r="U21" s="29"/>
      <c r="V21" s="29"/>
      <c r="W21" s="29"/>
      <c r="X21" s="29"/>
      <c r="Y21" s="29"/>
      <c r="Z21" s="29"/>
      <c r="AA21" s="29"/>
      <c r="AB21" s="29"/>
      <c r="AC21" s="29"/>
      <c r="AD21" s="29"/>
      <c r="AE21" s="29"/>
      <c r="AF21" s="29"/>
      <c r="AG21" s="29"/>
      <c r="AH21" s="29"/>
      <c r="AI21" s="29"/>
      <c r="AJ21" s="29"/>
      <c r="AK21" s="29"/>
      <c r="AL21" s="29"/>
    </row>
    <row r="22" spans="3:38" x14ac:dyDescent="0.25">
      <c r="C22" s="9" t="s">
        <v>26</v>
      </c>
      <c r="D22" s="9"/>
      <c r="F22" s="5">
        <v>5</v>
      </c>
      <c r="G22">
        <f>+F22</f>
        <v>5</v>
      </c>
      <c r="H22">
        <f t="shared" ref="H22:P22" si="10">+G22</f>
        <v>5</v>
      </c>
      <c r="I22">
        <f t="shared" si="10"/>
        <v>5</v>
      </c>
      <c r="J22">
        <f t="shared" si="10"/>
        <v>5</v>
      </c>
      <c r="K22">
        <f t="shared" si="10"/>
        <v>5</v>
      </c>
      <c r="L22">
        <f t="shared" si="10"/>
        <v>5</v>
      </c>
      <c r="M22">
        <f t="shared" si="10"/>
        <v>5</v>
      </c>
      <c r="N22">
        <f t="shared" si="10"/>
        <v>5</v>
      </c>
      <c r="O22">
        <f t="shared" si="10"/>
        <v>5</v>
      </c>
      <c r="P22">
        <f t="shared" si="10"/>
        <v>5</v>
      </c>
      <c r="S22" s="29"/>
      <c r="T22" s="29"/>
      <c r="U22" s="29"/>
      <c r="V22" s="29"/>
      <c r="W22" s="29"/>
      <c r="X22" s="29"/>
      <c r="Y22" s="29"/>
      <c r="Z22" s="29"/>
      <c r="AA22" s="29"/>
      <c r="AB22" s="29"/>
      <c r="AC22" s="29"/>
      <c r="AD22" s="29"/>
      <c r="AE22" s="29"/>
      <c r="AF22" s="29"/>
      <c r="AG22" s="29"/>
      <c r="AH22" s="29"/>
      <c r="AI22" s="29"/>
      <c r="AJ22" s="29"/>
      <c r="AK22" s="29"/>
      <c r="AL22" s="29"/>
    </row>
    <row r="23" spans="3:38" x14ac:dyDescent="0.25">
      <c r="C23" s="9" t="s">
        <v>13</v>
      </c>
      <c r="D23" s="9"/>
      <c r="F23" s="3">
        <v>9</v>
      </c>
      <c r="G23" s="3">
        <v>9</v>
      </c>
      <c r="H23" s="3">
        <v>9</v>
      </c>
      <c r="I23" s="3">
        <v>9.25</v>
      </c>
      <c r="J23" s="3">
        <v>9.25</v>
      </c>
      <c r="K23" s="3">
        <v>9.25</v>
      </c>
      <c r="L23" s="3">
        <v>9.5</v>
      </c>
      <c r="M23" s="3">
        <v>9.5</v>
      </c>
      <c r="N23" s="3">
        <v>9.5</v>
      </c>
      <c r="O23" s="3">
        <v>10</v>
      </c>
      <c r="P23" s="3">
        <v>10</v>
      </c>
      <c r="S23" s="29" t="s">
        <v>105</v>
      </c>
      <c r="T23" s="29"/>
      <c r="U23" s="29"/>
      <c r="V23" s="29"/>
      <c r="W23" s="29"/>
      <c r="X23" s="29"/>
      <c r="Y23" s="29"/>
      <c r="Z23" s="29"/>
      <c r="AA23" s="29"/>
      <c r="AB23" s="29"/>
      <c r="AC23" s="29"/>
      <c r="AD23" s="29"/>
      <c r="AE23" s="29"/>
      <c r="AF23" s="29"/>
      <c r="AG23" s="29"/>
      <c r="AH23" s="29"/>
      <c r="AI23" s="29"/>
      <c r="AJ23" s="29"/>
      <c r="AK23" s="29"/>
      <c r="AL23" s="29"/>
    </row>
    <row r="24" spans="3:38" x14ac:dyDescent="0.25">
      <c r="C24" s="9" t="s">
        <v>37</v>
      </c>
      <c r="D24" s="9"/>
      <c r="F24" s="2">
        <f>36*52</f>
        <v>1872</v>
      </c>
      <c r="G24" s="2">
        <f>+F24</f>
        <v>1872</v>
      </c>
      <c r="H24" s="2">
        <f t="shared" ref="H24:P24" si="11">+G24</f>
        <v>1872</v>
      </c>
      <c r="I24" s="2">
        <f t="shared" si="11"/>
        <v>1872</v>
      </c>
      <c r="J24" s="2">
        <f t="shared" si="11"/>
        <v>1872</v>
      </c>
      <c r="K24" s="2">
        <f t="shared" si="11"/>
        <v>1872</v>
      </c>
      <c r="L24" s="2">
        <f t="shared" si="11"/>
        <v>1872</v>
      </c>
      <c r="M24" s="2">
        <f t="shared" si="11"/>
        <v>1872</v>
      </c>
      <c r="N24" s="2">
        <f t="shared" si="11"/>
        <v>1872</v>
      </c>
      <c r="O24" s="2">
        <f t="shared" si="11"/>
        <v>1872</v>
      </c>
      <c r="P24" s="2">
        <f t="shared" si="11"/>
        <v>1872</v>
      </c>
      <c r="S24" s="29" t="s">
        <v>106</v>
      </c>
      <c r="T24" s="29"/>
      <c r="U24" s="29"/>
      <c r="V24" s="29"/>
      <c r="W24" s="29"/>
      <c r="X24" s="29"/>
      <c r="Y24" s="29"/>
      <c r="Z24" s="29"/>
      <c r="AA24" s="29"/>
      <c r="AB24" s="29"/>
      <c r="AC24" s="29"/>
      <c r="AD24" s="29"/>
      <c r="AE24" s="29"/>
      <c r="AF24" s="29"/>
      <c r="AG24" s="29"/>
      <c r="AH24" s="29"/>
      <c r="AI24" s="29"/>
      <c r="AJ24" s="29"/>
      <c r="AK24" s="29"/>
      <c r="AL24" s="29"/>
    </row>
    <row r="25" spans="3:38" x14ac:dyDescent="0.25">
      <c r="C25" s="9" t="s">
        <v>53</v>
      </c>
      <c r="D25" s="9"/>
      <c r="F25" s="2">
        <f>+F8*0.3</f>
        <v>76500</v>
      </c>
      <c r="G25" s="2">
        <f>+F25</f>
        <v>76500</v>
      </c>
      <c r="H25" s="2">
        <f t="shared" ref="H25:P25" si="12">+G25</f>
        <v>76500</v>
      </c>
      <c r="I25" s="2">
        <f t="shared" si="12"/>
        <v>76500</v>
      </c>
      <c r="J25" s="2">
        <f t="shared" si="12"/>
        <v>76500</v>
      </c>
      <c r="K25" s="2">
        <f t="shared" si="12"/>
        <v>76500</v>
      </c>
      <c r="L25" s="2">
        <f t="shared" si="12"/>
        <v>76500</v>
      </c>
      <c r="M25" s="2">
        <f t="shared" si="12"/>
        <v>76500</v>
      </c>
      <c r="N25" s="2">
        <f t="shared" si="12"/>
        <v>76500</v>
      </c>
      <c r="O25" s="2">
        <f t="shared" si="12"/>
        <v>76500</v>
      </c>
      <c r="P25" s="2">
        <f t="shared" si="12"/>
        <v>76500</v>
      </c>
      <c r="S25" s="29"/>
      <c r="T25" s="29"/>
      <c r="U25" s="29"/>
      <c r="V25" s="29"/>
      <c r="W25" s="29"/>
      <c r="X25" s="29"/>
      <c r="Y25" s="29"/>
      <c r="Z25" s="29"/>
      <c r="AA25" s="29"/>
      <c r="AB25" s="29"/>
      <c r="AC25" s="29"/>
      <c r="AD25" s="29"/>
      <c r="AE25" s="29"/>
      <c r="AF25" s="29"/>
      <c r="AG25" s="29"/>
      <c r="AH25" s="29"/>
      <c r="AI25" s="29"/>
      <c r="AJ25" s="29"/>
      <c r="AK25" s="29"/>
      <c r="AL25" s="29"/>
    </row>
    <row r="26" spans="3:38" x14ac:dyDescent="0.25">
      <c r="S26" s="29"/>
      <c r="T26" s="29"/>
      <c r="U26" s="29"/>
      <c r="V26" s="29"/>
      <c r="W26" s="29"/>
      <c r="X26" s="29"/>
      <c r="Y26" s="29"/>
      <c r="Z26" s="29"/>
      <c r="AA26" s="29"/>
      <c r="AB26" s="29"/>
      <c r="AC26" s="29"/>
      <c r="AD26" s="29"/>
      <c r="AE26" s="29"/>
      <c r="AF26" s="29"/>
      <c r="AG26" s="29"/>
      <c r="AH26" s="29"/>
      <c r="AI26" s="29"/>
      <c r="AJ26" s="29"/>
      <c r="AK26" s="29"/>
      <c r="AL26" s="29"/>
    </row>
    <row r="27" spans="3:38" x14ac:dyDescent="0.25">
      <c r="C27" s="11" t="s">
        <v>38</v>
      </c>
      <c r="D27" s="11"/>
      <c r="S27" s="29"/>
      <c r="T27" s="29"/>
      <c r="U27" s="29"/>
      <c r="V27" s="29"/>
      <c r="W27" s="29"/>
      <c r="X27" s="29"/>
      <c r="Y27" s="29"/>
      <c r="Z27" s="29"/>
      <c r="AA27" s="29"/>
      <c r="AB27" s="29"/>
      <c r="AC27" s="29"/>
      <c r="AD27" s="29"/>
      <c r="AE27" s="29"/>
      <c r="AF27" s="29"/>
      <c r="AG27" s="29"/>
      <c r="AH27" s="29"/>
      <c r="AI27" s="29"/>
      <c r="AJ27" s="29"/>
      <c r="AK27" s="29"/>
      <c r="AL27" s="29"/>
    </row>
    <row r="28" spans="3:38" x14ac:dyDescent="0.25">
      <c r="C28" s="9" t="s">
        <v>36</v>
      </c>
      <c r="D28" s="9"/>
      <c r="F28" s="1">
        <v>0.4</v>
      </c>
      <c r="G28" s="14">
        <f>+F28*(1+$Q28)</f>
        <v>0.39600000000000002</v>
      </c>
      <c r="H28" s="14">
        <f t="shared" ref="H28:P28" si="13">+G28*(1+$Q28)</f>
        <v>0.39204</v>
      </c>
      <c r="I28" s="14">
        <f t="shared" si="13"/>
        <v>0.38811960000000001</v>
      </c>
      <c r="J28" s="14">
        <f t="shared" si="13"/>
        <v>0.38423840399999998</v>
      </c>
      <c r="K28" s="14">
        <f t="shared" si="13"/>
        <v>0.38039601996</v>
      </c>
      <c r="L28" s="14">
        <f t="shared" si="13"/>
        <v>0.3765920597604</v>
      </c>
      <c r="M28" s="14">
        <f t="shared" si="13"/>
        <v>0.372826139162796</v>
      </c>
      <c r="N28" s="14">
        <f t="shared" si="13"/>
        <v>0.36909787777116804</v>
      </c>
      <c r="O28" s="14">
        <f t="shared" si="13"/>
        <v>0.36540689899345635</v>
      </c>
      <c r="P28" s="14">
        <f t="shared" si="13"/>
        <v>0.36175283000352176</v>
      </c>
      <c r="Q28" s="1">
        <v>-0.01</v>
      </c>
      <c r="S28" s="29" t="s">
        <v>107</v>
      </c>
      <c r="T28" s="29"/>
      <c r="U28" s="29"/>
      <c r="V28" s="29"/>
      <c r="W28" s="29"/>
      <c r="X28" s="29"/>
      <c r="Y28" s="29"/>
      <c r="Z28" s="29"/>
      <c r="AA28" s="29"/>
      <c r="AB28" s="29"/>
      <c r="AC28" s="29"/>
      <c r="AD28" s="29"/>
      <c r="AE28" s="29"/>
      <c r="AF28" s="29"/>
      <c r="AG28" s="29"/>
      <c r="AH28" s="29"/>
      <c r="AI28" s="29"/>
      <c r="AJ28" s="29"/>
      <c r="AK28" s="29"/>
      <c r="AL28" s="29"/>
    </row>
    <row r="29" spans="3:38" x14ac:dyDescent="0.25">
      <c r="C29" s="9" t="s">
        <v>19</v>
      </c>
      <c r="D29" s="9"/>
      <c r="F29" s="1">
        <v>0.16</v>
      </c>
      <c r="G29" s="14">
        <f>+F29</f>
        <v>0.16</v>
      </c>
      <c r="H29" s="14">
        <f t="shared" ref="H29:P29" si="14">+G29</f>
        <v>0.16</v>
      </c>
      <c r="I29" s="14">
        <f t="shared" si="14"/>
        <v>0.16</v>
      </c>
      <c r="J29" s="14">
        <f t="shared" si="14"/>
        <v>0.16</v>
      </c>
      <c r="K29" s="14">
        <f t="shared" si="14"/>
        <v>0.16</v>
      </c>
      <c r="L29" s="14">
        <f t="shared" si="14"/>
        <v>0.16</v>
      </c>
      <c r="M29" s="14">
        <f t="shared" si="14"/>
        <v>0.16</v>
      </c>
      <c r="N29" s="14">
        <f t="shared" si="14"/>
        <v>0.16</v>
      </c>
      <c r="O29" s="14">
        <f t="shared" si="14"/>
        <v>0.16</v>
      </c>
      <c r="P29" s="14">
        <f t="shared" si="14"/>
        <v>0.16</v>
      </c>
      <c r="S29" s="29"/>
      <c r="T29" s="29"/>
      <c r="U29" s="29"/>
      <c r="V29" s="29"/>
      <c r="W29" s="29"/>
      <c r="X29" s="29"/>
      <c r="Y29" s="29"/>
      <c r="Z29" s="29"/>
      <c r="AA29" s="29"/>
      <c r="AB29" s="29"/>
      <c r="AC29" s="29"/>
      <c r="AD29" s="29"/>
      <c r="AE29" s="29"/>
      <c r="AF29" s="29"/>
      <c r="AG29" s="29"/>
      <c r="AH29" s="29"/>
      <c r="AI29" s="29"/>
      <c r="AJ29" s="29"/>
      <c r="AK29" s="29"/>
      <c r="AL29" s="29"/>
    </row>
    <row r="30" spans="3:38" x14ac:dyDescent="0.25">
      <c r="C30" s="9" t="s">
        <v>20</v>
      </c>
      <c r="D30" s="9"/>
      <c r="F30" s="1">
        <v>0.05</v>
      </c>
      <c r="G30" s="14">
        <f>+F30</f>
        <v>0.05</v>
      </c>
      <c r="H30" s="14">
        <f t="shared" ref="H30:P30" si="15">+G30</f>
        <v>0.05</v>
      </c>
      <c r="I30" s="14">
        <f t="shared" si="15"/>
        <v>0.05</v>
      </c>
      <c r="J30" s="14">
        <f t="shared" si="15"/>
        <v>0.05</v>
      </c>
      <c r="K30" s="14">
        <f t="shared" si="15"/>
        <v>0.05</v>
      </c>
      <c r="L30" s="14">
        <f t="shared" si="15"/>
        <v>0.05</v>
      </c>
      <c r="M30" s="14">
        <f t="shared" si="15"/>
        <v>0.05</v>
      </c>
      <c r="N30" s="14">
        <f t="shared" si="15"/>
        <v>0.05</v>
      </c>
      <c r="O30" s="14">
        <f t="shared" si="15"/>
        <v>0.05</v>
      </c>
      <c r="P30" s="14">
        <f t="shared" si="15"/>
        <v>0.05</v>
      </c>
      <c r="S30" s="29"/>
      <c r="T30" s="29"/>
      <c r="U30" s="29"/>
      <c r="V30" s="29"/>
      <c r="W30" s="29"/>
      <c r="X30" s="29"/>
      <c r="Y30" s="29"/>
      <c r="Z30" s="29"/>
      <c r="AA30" s="29"/>
      <c r="AB30" s="29"/>
      <c r="AC30" s="29"/>
      <c r="AD30" s="29"/>
      <c r="AE30" s="29"/>
      <c r="AF30" s="29"/>
      <c r="AG30" s="29"/>
      <c r="AH30" s="29"/>
      <c r="AI30" s="29"/>
      <c r="AJ30" s="29"/>
      <c r="AK30" s="29"/>
      <c r="AL30" s="29"/>
    </row>
    <row r="31" spans="3:38" x14ac:dyDescent="0.25">
      <c r="C31" s="9" t="s">
        <v>23</v>
      </c>
      <c r="D31" s="9"/>
      <c r="F31" s="1">
        <v>0.13</v>
      </c>
      <c r="G31" s="14">
        <f t="shared" ref="G31:P31" si="16">+F31*(1+$Q31)</f>
        <v>0.13</v>
      </c>
      <c r="H31" s="14">
        <f t="shared" si="16"/>
        <v>0.13</v>
      </c>
      <c r="I31" s="14">
        <f t="shared" si="16"/>
        <v>0.13</v>
      </c>
      <c r="J31" s="14">
        <f t="shared" si="16"/>
        <v>0.13</v>
      </c>
      <c r="K31" s="14">
        <f t="shared" si="16"/>
        <v>0.13</v>
      </c>
      <c r="L31" s="14">
        <f t="shared" si="16"/>
        <v>0.13</v>
      </c>
      <c r="M31" s="14">
        <f t="shared" si="16"/>
        <v>0.13</v>
      </c>
      <c r="N31" s="14">
        <f t="shared" si="16"/>
        <v>0.13</v>
      </c>
      <c r="O31" s="14">
        <f t="shared" si="16"/>
        <v>0.13</v>
      </c>
      <c r="P31" s="14">
        <f t="shared" si="16"/>
        <v>0.13</v>
      </c>
      <c r="Q31" s="16"/>
      <c r="S31" s="29"/>
      <c r="T31" s="29"/>
      <c r="U31" s="29"/>
      <c r="V31" s="29"/>
      <c r="W31" s="29"/>
      <c r="X31" s="29"/>
      <c r="Y31" s="29"/>
      <c r="Z31" s="29"/>
      <c r="AA31" s="29"/>
      <c r="AB31" s="29"/>
      <c r="AC31" s="29"/>
      <c r="AD31" s="29"/>
      <c r="AE31" s="29"/>
      <c r="AF31" s="29"/>
      <c r="AG31" s="29"/>
      <c r="AH31" s="29"/>
      <c r="AI31" s="29"/>
      <c r="AJ31" s="29"/>
      <c r="AK31" s="29"/>
      <c r="AL31" s="29"/>
    </row>
    <row r="32" spans="3:38" x14ac:dyDescent="0.25">
      <c r="C32" s="9" t="s">
        <v>27</v>
      </c>
      <c r="D32" s="9"/>
      <c r="F32" s="1">
        <v>0.22</v>
      </c>
      <c r="G32" s="1">
        <f>+F32</f>
        <v>0.22</v>
      </c>
      <c r="H32" s="1">
        <f t="shared" ref="H32:P32" si="17">+G32</f>
        <v>0.22</v>
      </c>
      <c r="I32" s="1">
        <f t="shared" si="17"/>
        <v>0.22</v>
      </c>
      <c r="J32" s="1">
        <f t="shared" si="17"/>
        <v>0.22</v>
      </c>
      <c r="K32" s="1">
        <f t="shared" si="17"/>
        <v>0.22</v>
      </c>
      <c r="L32" s="1">
        <f t="shared" si="17"/>
        <v>0.22</v>
      </c>
      <c r="M32" s="1">
        <f t="shared" si="17"/>
        <v>0.22</v>
      </c>
      <c r="N32" s="1">
        <f t="shared" si="17"/>
        <v>0.22</v>
      </c>
      <c r="O32" s="1">
        <f t="shared" si="17"/>
        <v>0.22</v>
      </c>
      <c r="P32" s="1">
        <f t="shared" si="17"/>
        <v>0.22</v>
      </c>
      <c r="S32" s="29"/>
      <c r="T32" s="29"/>
      <c r="U32" s="29"/>
      <c r="V32" s="29"/>
      <c r="W32" s="29"/>
      <c r="X32" s="29"/>
      <c r="Y32" s="29"/>
      <c r="Z32" s="29"/>
      <c r="AA32" s="29"/>
      <c r="AB32" s="29"/>
      <c r="AC32" s="29"/>
      <c r="AD32" s="29"/>
      <c r="AE32" s="29"/>
      <c r="AF32" s="29"/>
      <c r="AG32" s="29"/>
      <c r="AH32" s="29"/>
      <c r="AI32" s="29"/>
      <c r="AJ32" s="29"/>
      <c r="AK32" s="29"/>
      <c r="AL32" s="29"/>
    </row>
    <row r="33" spans="2:38" x14ac:dyDescent="0.25">
      <c r="F33" s="5"/>
      <c r="S33" s="29"/>
      <c r="T33" s="29"/>
      <c r="U33" s="29"/>
      <c r="V33" s="29"/>
      <c r="W33" s="29"/>
      <c r="X33" s="29"/>
      <c r="Y33" s="29"/>
      <c r="Z33" s="29"/>
      <c r="AA33" s="29"/>
      <c r="AB33" s="29"/>
      <c r="AC33" s="29"/>
      <c r="AD33" s="29"/>
      <c r="AE33" s="29"/>
      <c r="AF33" s="29"/>
      <c r="AG33" s="29"/>
      <c r="AH33" s="29"/>
      <c r="AI33" s="29"/>
      <c r="AJ33" s="29"/>
      <c r="AK33" s="29"/>
      <c r="AL33" s="29"/>
    </row>
    <row r="34" spans="2:38" x14ac:dyDescent="0.25">
      <c r="C34" s="22" t="s">
        <v>56</v>
      </c>
      <c r="D34" s="22"/>
      <c r="F34" s="5"/>
      <c r="S34" s="29"/>
      <c r="T34" s="29"/>
      <c r="U34" s="29"/>
      <c r="V34" s="29"/>
      <c r="W34" s="29"/>
      <c r="X34" s="29"/>
      <c r="Y34" s="29"/>
      <c r="Z34" s="29"/>
      <c r="AA34" s="29"/>
      <c r="AB34" s="29"/>
      <c r="AC34" s="29"/>
      <c r="AD34" s="29"/>
      <c r="AE34" s="29"/>
      <c r="AF34" s="29"/>
      <c r="AG34" s="29"/>
      <c r="AH34" s="29"/>
      <c r="AI34" s="29"/>
      <c r="AJ34" s="29"/>
      <c r="AK34" s="29"/>
      <c r="AL34" s="29"/>
    </row>
    <row r="35" spans="2:38" x14ac:dyDescent="0.25">
      <c r="C35" s="9" t="s">
        <v>59</v>
      </c>
      <c r="D35" s="9"/>
      <c r="F35" s="5">
        <v>16</v>
      </c>
      <c r="G35" s="5">
        <v>16</v>
      </c>
      <c r="H35" s="5">
        <v>16</v>
      </c>
      <c r="I35" s="5">
        <v>16</v>
      </c>
      <c r="J35" s="5">
        <v>16</v>
      </c>
      <c r="K35" s="5">
        <v>16</v>
      </c>
      <c r="L35" s="5">
        <v>16</v>
      </c>
      <c r="M35" s="5">
        <v>16</v>
      </c>
      <c r="N35" s="5">
        <v>16</v>
      </c>
      <c r="O35" s="5">
        <v>16</v>
      </c>
      <c r="P35" s="5">
        <v>16</v>
      </c>
      <c r="S35" s="29" t="s">
        <v>109</v>
      </c>
      <c r="T35" s="29"/>
      <c r="U35" s="29"/>
      <c r="V35" s="29"/>
      <c r="W35" s="29"/>
      <c r="X35" s="29"/>
      <c r="Y35" s="29"/>
      <c r="Z35" s="29"/>
      <c r="AA35" s="29"/>
      <c r="AB35" s="29"/>
      <c r="AC35" s="29"/>
      <c r="AD35" s="29"/>
      <c r="AE35" s="29"/>
      <c r="AF35" s="29"/>
      <c r="AG35" s="29"/>
      <c r="AH35" s="29"/>
      <c r="AI35" s="29"/>
      <c r="AJ35" s="29"/>
      <c r="AK35" s="29"/>
      <c r="AL35" s="29"/>
    </row>
    <row r="36" spans="2:38" x14ac:dyDescent="0.25">
      <c r="C36" s="9" t="s">
        <v>60</v>
      </c>
      <c r="D36" s="9"/>
      <c r="F36" s="5">
        <v>3</v>
      </c>
      <c r="G36">
        <f>+F36</f>
        <v>3</v>
      </c>
      <c r="H36">
        <f t="shared" ref="H36:P36" si="18">+G36</f>
        <v>3</v>
      </c>
      <c r="I36">
        <f t="shared" si="18"/>
        <v>3</v>
      </c>
      <c r="J36">
        <f t="shared" si="18"/>
        <v>3</v>
      </c>
      <c r="K36">
        <f t="shared" si="18"/>
        <v>3</v>
      </c>
      <c r="L36">
        <f t="shared" si="18"/>
        <v>3</v>
      </c>
      <c r="M36">
        <f t="shared" si="18"/>
        <v>3</v>
      </c>
      <c r="N36">
        <f t="shared" si="18"/>
        <v>3</v>
      </c>
      <c r="O36">
        <f t="shared" si="18"/>
        <v>3</v>
      </c>
      <c r="P36">
        <f t="shared" si="18"/>
        <v>3</v>
      </c>
      <c r="S36" s="29" t="s">
        <v>108</v>
      </c>
      <c r="T36" s="29"/>
      <c r="U36" s="29"/>
      <c r="V36" s="29"/>
      <c r="W36" s="29"/>
      <c r="X36" s="29"/>
      <c r="Y36" s="29"/>
      <c r="Z36" s="29"/>
      <c r="AA36" s="29"/>
      <c r="AB36" s="29"/>
      <c r="AC36" s="29"/>
      <c r="AD36" s="29"/>
      <c r="AE36" s="29"/>
      <c r="AF36" s="29"/>
      <c r="AG36" s="29"/>
      <c r="AH36" s="29"/>
      <c r="AI36" s="29"/>
      <c r="AJ36" s="29"/>
      <c r="AK36" s="29"/>
      <c r="AL36" s="29"/>
    </row>
    <row r="37" spans="2:38" x14ac:dyDescent="0.25">
      <c r="C37" s="9" t="s">
        <v>61</v>
      </c>
      <c r="D37" s="9"/>
      <c r="F37" s="5">
        <v>15</v>
      </c>
      <c r="G37" s="5">
        <v>15</v>
      </c>
      <c r="H37" s="5">
        <v>15</v>
      </c>
      <c r="I37" s="5">
        <v>15</v>
      </c>
      <c r="J37" s="5">
        <v>15</v>
      </c>
      <c r="K37" s="5">
        <v>15</v>
      </c>
      <c r="L37" s="5">
        <v>15</v>
      </c>
      <c r="M37" s="5">
        <v>15</v>
      </c>
      <c r="N37" s="5">
        <v>15</v>
      </c>
      <c r="O37" s="5">
        <v>15</v>
      </c>
      <c r="P37" s="5">
        <v>15</v>
      </c>
      <c r="S37" s="29"/>
      <c r="T37" s="29"/>
      <c r="U37" s="29"/>
      <c r="V37" s="29"/>
      <c r="W37" s="29"/>
      <c r="X37" s="29"/>
      <c r="Y37" s="29"/>
      <c r="Z37" s="29"/>
      <c r="AA37" s="29"/>
      <c r="AB37" s="29"/>
      <c r="AC37" s="29"/>
      <c r="AD37" s="29"/>
      <c r="AE37" s="29"/>
      <c r="AF37" s="29"/>
      <c r="AG37" s="29"/>
      <c r="AH37" s="29"/>
      <c r="AI37" s="29"/>
      <c r="AJ37" s="29"/>
      <c r="AK37" s="29"/>
      <c r="AL37" s="29"/>
    </row>
    <row r="38" spans="2:38" x14ac:dyDescent="0.25">
      <c r="C38" s="9" t="s">
        <v>62</v>
      </c>
      <c r="D38" s="9"/>
      <c r="F38" s="15">
        <v>3.5000000000000003E-2</v>
      </c>
      <c r="G38" s="15">
        <v>3.5000000000000003E-2</v>
      </c>
      <c r="H38" s="15">
        <v>3.5000000000000003E-2</v>
      </c>
      <c r="I38" s="15">
        <v>3.5000000000000003E-2</v>
      </c>
      <c r="J38" s="15">
        <v>3.5000000000000003E-2</v>
      </c>
      <c r="K38" s="15">
        <v>3.5000000000000003E-2</v>
      </c>
      <c r="L38" s="15">
        <v>3.5000000000000003E-2</v>
      </c>
      <c r="M38" s="15">
        <v>3.5000000000000003E-2</v>
      </c>
      <c r="N38" s="15">
        <v>3.5000000000000003E-2</v>
      </c>
      <c r="O38" s="15">
        <v>3.5000000000000003E-2</v>
      </c>
      <c r="P38" s="15">
        <v>3.5000000000000003E-2</v>
      </c>
      <c r="S38" s="29"/>
      <c r="T38" s="29"/>
      <c r="U38" s="29"/>
      <c r="V38" s="29"/>
      <c r="W38" s="29"/>
      <c r="X38" s="29"/>
      <c r="Y38" s="29"/>
      <c r="Z38" s="29"/>
      <c r="AA38" s="29"/>
      <c r="AB38" s="29"/>
      <c r="AC38" s="29"/>
      <c r="AD38" s="29"/>
      <c r="AE38" s="29"/>
      <c r="AF38" s="29"/>
      <c r="AG38" s="29"/>
      <c r="AH38" s="29"/>
      <c r="AI38" s="29"/>
      <c r="AJ38" s="29"/>
      <c r="AK38" s="29"/>
      <c r="AL38" s="29"/>
    </row>
    <row r="39" spans="2:38" x14ac:dyDescent="0.25">
      <c r="C39" s="9" t="s">
        <v>69</v>
      </c>
      <c r="D39" s="9"/>
      <c r="F39" s="5">
        <v>15</v>
      </c>
      <c r="G39">
        <f>+F39</f>
        <v>15</v>
      </c>
      <c r="H39">
        <f t="shared" ref="H39:P39" si="19">+G39</f>
        <v>15</v>
      </c>
      <c r="I39">
        <f t="shared" si="19"/>
        <v>15</v>
      </c>
      <c r="J39">
        <f t="shared" si="19"/>
        <v>15</v>
      </c>
      <c r="K39">
        <f t="shared" si="19"/>
        <v>15</v>
      </c>
      <c r="L39">
        <f t="shared" si="19"/>
        <v>15</v>
      </c>
      <c r="M39">
        <f t="shared" si="19"/>
        <v>15</v>
      </c>
      <c r="N39">
        <f t="shared" si="19"/>
        <v>15</v>
      </c>
      <c r="O39">
        <f t="shared" si="19"/>
        <v>15</v>
      </c>
      <c r="P39">
        <f t="shared" si="19"/>
        <v>15</v>
      </c>
      <c r="S39" s="29"/>
      <c r="T39" s="29"/>
      <c r="U39" s="29"/>
      <c r="V39" s="29"/>
      <c r="W39" s="29"/>
      <c r="X39" s="29"/>
      <c r="Y39" s="29"/>
      <c r="Z39" s="29"/>
      <c r="AA39" s="29"/>
      <c r="AB39" s="29"/>
      <c r="AC39" s="29"/>
      <c r="AD39" s="29"/>
      <c r="AE39" s="29"/>
      <c r="AF39" s="29"/>
      <c r="AG39" s="29"/>
      <c r="AH39" s="29"/>
      <c r="AI39" s="29"/>
      <c r="AJ39" s="29"/>
      <c r="AK39" s="29"/>
      <c r="AL39" s="29"/>
    </row>
    <row r="40" spans="2:38" x14ac:dyDescent="0.25">
      <c r="C40" s="9" t="s">
        <v>70</v>
      </c>
      <c r="D40" s="9"/>
      <c r="F40" s="5">
        <v>39</v>
      </c>
      <c r="G40">
        <f>+F40</f>
        <v>39</v>
      </c>
      <c r="H40">
        <f t="shared" ref="H40:P40" si="20">+G40</f>
        <v>39</v>
      </c>
      <c r="I40">
        <f t="shared" si="20"/>
        <v>39</v>
      </c>
      <c r="J40">
        <f t="shared" si="20"/>
        <v>39</v>
      </c>
      <c r="K40">
        <f t="shared" si="20"/>
        <v>39</v>
      </c>
      <c r="L40">
        <f t="shared" si="20"/>
        <v>39</v>
      </c>
      <c r="M40">
        <f t="shared" si="20"/>
        <v>39</v>
      </c>
      <c r="N40">
        <f t="shared" si="20"/>
        <v>39</v>
      </c>
      <c r="O40">
        <f t="shared" si="20"/>
        <v>39</v>
      </c>
      <c r="P40">
        <f t="shared" si="20"/>
        <v>39</v>
      </c>
      <c r="S40" s="29"/>
      <c r="T40" s="29"/>
      <c r="U40" s="29"/>
      <c r="V40" s="29"/>
      <c r="W40" s="29"/>
      <c r="X40" s="29"/>
      <c r="Y40" s="29"/>
      <c r="Z40" s="29"/>
      <c r="AA40" s="29"/>
      <c r="AB40" s="29"/>
      <c r="AC40" s="29"/>
      <c r="AD40" s="29"/>
      <c r="AE40" s="29"/>
      <c r="AF40" s="29"/>
      <c r="AG40" s="29"/>
      <c r="AH40" s="29"/>
      <c r="AI40" s="29"/>
      <c r="AJ40" s="29"/>
      <c r="AK40" s="29"/>
      <c r="AL40" s="29"/>
    </row>
    <row r="41" spans="2:38" x14ac:dyDescent="0.25">
      <c r="C41" s="9" t="s">
        <v>166</v>
      </c>
      <c r="D41" s="9"/>
      <c r="F41" s="5">
        <v>65000</v>
      </c>
      <c r="G41" s="5">
        <f>+F41*(1+$Q$41)</f>
        <v>65000</v>
      </c>
      <c r="H41" s="5">
        <f t="shared" ref="H41:P41" si="21">+G41*(1+$Q$41)</f>
        <v>65000</v>
      </c>
      <c r="I41" s="5">
        <f t="shared" si="21"/>
        <v>65000</v>
      </c>
      <c r="J41" s="5">
        <f t="shared" si="21"/>
        <v>65000</v>
      </c>
      <c r="K41" s="5">
        <f t="shared" si="21"/>
        <v>65000</v>
      </c>
      <c r="L41" s="5">
        <f t="shared" si="21"/>
        <v>65000</v>
      </c>
      <c r="M41" s="5">
        <f t="shared" si="21"/>
        <v>65000</v>
      </c>
      <c r="N41" s="5">
        <f t="shared" si="21"/>
        <v>65000</v>
      </c>
      <c r="O41" s="5">
        <f t="shared" si="21"/>
        <v>65000</v>
      </c>
      <c r="P41" s="5">
        <f t="shared" si="21"/>
        <v>65000</v>
      </c>
      <c r="Q41" s="14">
        <v>0</v>
      </c>
      <c r="S41" s="29"/>
      <c r="T41" s="29"/>
      <c r="U41" s="29"/>
      <c r="V41" s="29"/>
      <c r="W41" s="29"/>
      <c r="X41" s="29"/>
      <c r="Y41" s="29"/>
      <c r="Z41" s="29"/>
      <c r="AA41" s="29"/>
      <c r="AB41" s="29"/>
      <c r="AC41" s="29"/>
      <c r="AD41" s="29"/>
      <c r="AE41" s="29"/>
      <c r="AF41" s="29"/>
      <c r="AG41" s="29"/>
      <c r="AH41" s="29"/>
      <c r="AI41" s="29"/>
      <c r="AJ41" s="29"/>
      <c r="AK41" s="29"/>
      <c r="AL41" s="29"/>
    </row>
    <row r="43" spans="2:38" ht="23.25" x14ac:dyDescent="0.35">
      <c r="C43" s="64" t="s">
        <v>99</v>
      </c>
      <c r="D43" s="64"/>
      <c r="E43" s="64"/>
      <c r="F43" s="64"/>
      <c r="G43" s="64"/>
      <c r="H43" s="64"/>
      <c r="I43" s="64"/>
      <c r="J43" s="64"/>
      <c r="K43" s="64"/>
      <c r="L43" s="64"/>
      <c r="M43" s="64"/>
      <c r="N43" s="64"/>
      <c r="O43" s="64"/>
      <c r="P43" s="64"/>
    </row>
    <row r="45" spans="2:38" x14ac:dyDescent="0.25">
      <c r="F45" s="18">
        <v>2018</v>
      </c>
      <c r="G45" s="18">
        <v>2019</v>
      </c>
      <c r="H45" s="18">
        <v>2020</v>
      </c>
      <c r="I45" s="18">
        <v>2021</v>
      </c>
      <c r="J45" s="18">
        <v>2022</v>
      </c>
      <c r="K45" s="18">
        <v>2023</v>
      </c>
      <c r="L45" s="18">
        <v>2024</v>
      </c>
      <c r="M45" s="18">
        <v>2025</v>
      </c>
      <c r="N45" s="18">
        <v>2026</v>
      </c>
      <c r="O45" s="18">
        <v>2027</v>
      </c>
      <c r="P45" s="18">
        <v>2028</v>
      </c>
    </row>
    <row r="46" spans="2:38" x14ac:dyDescent="0.25">
      <c r="B46" s="11" t="s">
        <v>42</v>
      </c>
      <c r="F46" s="20"/>
      <c r="G46" s="20"/>
      <c r="H46" s="20"/>
      <c r="I46" s="20"/>
      <c r="J46" s="20"/>
      <c r="K46" s="20"/>
      <c r="L46" s="20"/>
      <c r="M46" s="20"/>
      <c r="N46" s="20"/>
      <c r="O46" s="20"/>
      <c r="P46" s="20"/>
    </row>
    <row r="47" spans="2:38" x14ac:dyDescent="0.25">
      <c r="C47" t="s">
        <v>24</v>
      </c>
      <c r="F47" s="4">
        <f>+(F6*F9*F18)*156/F7</f>
        <v>98517.119999999995</v>
      </c>
      <c r="G47" s="4">
        <f t="shared" ref="G47:P47" si="22">+(G6*G9*G18)*156/G7</f>
        <v>98507.268288000007</v>
      </c>
      <c r="H47" s="4">
        <f t="shared" si="22"/>
        <v>98487.367829760013</v>
      </c>
      <c r="I47" s="4">
        <f t="shared" si="22"/>
        <v>98457.218635526428</v>
      </c>
      <c r="J47" s="4">
        <f t="shared" si="22"/>
        <v>104567.65632816427</v>
      </c>
      <c r="K47" s="4">
        <f t="shared" si="22"/>
        <v>104513.19400716003</v>
      </c>
      <c r="L47" s="4">
        <f t="shared" si="22"/>
        <v>104447.18567410289</v>
      </c>
      <c r="M47" s="4">
        <f t="shared" si="22"/>
        <v>104369.40585498387</v>
      </c>
      <c r="N47" s="4">
        <f t="shared" si="22"/>
        <v>104279.62572091509</v>
      </c>
      <c r="O47" s="4">
        <f t="shared" si="22"/>
        <v>110305.70792849585</v>
      </c>
      <c r="P47" s="4">
        <f t="shared" si="22"/>
        <v>110184.49286483819</v>
      </c>
    </row>
    <row r="48" spans="2:38" x14ac:dyDescent="0.25">
      <c r="C48" t="s">
        <v>10</v>
      </c>
      <c r="F48" s="2">
        <f>+F20*F47</f>
        <v>64036.127999999997</v>
      </c>
      <c r="G48" s="2">
        <f t="shared" ref="G48:P48" si="23">+G20*G47</f>
        <v>64029.724387200004</v>
      </c>
      <c r="H48" s="2">
        <f t="shared" si="23"/>
        <v>64016.789089344013</v>
      </c>
      <c r="I48" s="2">
        <f t="shared" si="23"/>
        <v>63997.192113092184</v>
      </c>
      <c r="J48" s="2">
        <f t="shared" si="23"/>
        <v>67968.976613306775</v>
      </c>
      <c r="K48" s="2">
        <f t="shared" si="23"/>
        <v>67933.576104654014</v>
      </c>
      <c r="L48" s="2">
        <f t="shared" si="23"/>
        <v>67890.67068816688</v>
      </c>
      <c r="M48" s="2">
        <f t="shared" si="23"/>
        <v>67840.113805739515</v>
      </c>
      <c r="N48" s="2">
        <f t="shared" si="23"/>
        <v>67781.756718594814</v>
      </c>
      <c r="O48" s="2">
        <f t="shared" si="23"/>
        <v>71698.710153522305</v>
      </c>
      <c r="P48" s="2">
        <f t="shared" si="23"/>
        <v>71619.920362144825</v>
      </c>
    </row>
    <row r="49" spans="3:16" x14ac:dyDescent="0.25">
      <c r="C49" t="s">
        <v>25</v>
      </c>
      <c r="F49" s="7">
        <f>+F6*F9*F21*F19*156</f>
        <v>96977.790000000008</v>
      </c>
      <c r="G49" s="7">
        <f t="shared" ref="G49:P49" si="24">+G6*G9*G21*G19*156</f>
        <v>96968.092220999999</v>
      </c>
      <c r="H49" s="7">
        <f t="shared" si="24"/>
        <v>96948.502707420019</v>
      </c>
      <c r="I49" s="7">
        <f t="shared" si="24"/>
        <v>96918.824594346326</v>
      </c>
      <c r="J49" s="7">
        <f t="shared" si="24"/>
        <v>106105.41598004903</v>
      </c>
      <c r="K49" s="7">
        <f t="shared" si="24"/>
        <v>106050.15274255944</v>
      </c>
      <c r="L49" s="7">
        <f t="shared" si="24"/>
        <v>105983.17369872204</v>
      </c>
      <c r="M49" s="7">
        <f t="shared" si="24"/>
        <v>105904.25005873363</v>
      </c>
      <c r="N49" s="7">
        <f t="shared" si="24"/>
        <v>105813.1496285756</v>
      </c>
      <c r="O49" s="7">
        <f t="shared" si="24"/>
        <v>114901.77909218318</v>
      </c>
      <c r="P49" s="7">
        <f t="shared" si="24"/>
        <v>114775.51340087311</v>
      </c>
    </row>
    <row r="50" spans="3:16" x14ac:dyDescent="0.25">
      <c r="C50" s="10" t="s">
        <v>11</v>
      </c>
      <c r="D50" s="10"/>
      <c r="F50" s="2">
        <f>SUM(F47:F49)</f>
        <v>259531.038</v>
      </c>
      <c r="G50" s="2">
        <f t="shared" ref="G50:P50" si="25">SUM(G47:G49)</f>
        <v>259505.08489620002</v>
      </c>
      <c r="H50" s="2">
        <f t="shared" si="25"/>
        <v>259452.65962652402</v>
      </c>
      <c r="I50" s="2">
        <f t="shared" si="25"/>
        <v>259373.23534296494</v>
      </c>
      <c r="J50" s="2">
        <f t="shared" si="25"/>
        <v>278642.04892152012</v>
      </c>
      <c r="K50" s="2">
        <f t="shared" si="25"/>
        <v>278496.92285437346</v>
      </c>
      <c r="L50" s="2">
        <f t="shared" si="25"/>
        <v>278321.03006099182</v>
      </c>
      <c r="M50" s="2">
        <f t="shared" si="25"/>
        <v>278113.76971945702</v>
      </c>
      <c r="N50" s="2">
        <f t="shared" si="25"/>
        <v>277874.53206808551</v>
      </c>
      <c r="O50" s="2">
        <f t="shared" si="25"/>
        <v>296906.19717420131</v>
      </c>
      <c r="P50" s="2">
        <f t="shared" si="25"/>
        <v>296579.9266278561</v>
      </c>
    </row>
    <row r="51" spans="3:16" x14ac:dyDescent="0.25">
      <c r="F51" s="2"/>
      <c r="G51" s="2"/>
      <c r="H51" s="2"/>
      <c r="I51" s="2"/>
      <c r="J51" s="2"/>
      <c r="K51" s="2"/>
      <c r="L51" s="2"/>
      <c r="M51" s="2"/>
      <c r="N51" s="2"/>
      <c r="O51" s="2"/>
      <c r="P51" s="2"/>
    </row>
    <row r="52" spans="3:16" x14ac:dyDescent="0.25">
      <c r="C52" t="s">
        <v>12</v>
      </c>
      <c r="F52" s="7">
        <f>+F48*F28</f>
        <v>25614.4512</v>
      </c>
      <c r="G52" s="7">
        <f t="shared" ref="G52:O52" si="26">+G48*G28</f>
        <v>25355.770857331201</v>
      </c>
      <c r="H52" s="7">
        <f t="shared" si="26"/>
        <v>25097.141994586425</v>
      </c>
      <c r="I52" s="7">
        <f t="shared" si="26"/>
        <v>24838.564604056493</v>
      </c>
      <c r="J52" s="7">
        <f t="shared" si="26"/>
        <v>26116.291095410317</v>
      </c>
      <c r="K52" s="7">
        <f t="shared" si="26"/>
        <v>25841.661971860147</v>
      </c>
      <c r="L52" s="7">
        <f t="shared" si="26"/>
        <v>25567.087512971779</v>
      </c>
      <c r="M52" s="7">
        <f t="shared" si="26"/>
        <v>25292.56771055856</v>
      </c>
      <c r="N52" s="7">
        <f t="shared" si="26"/>
        <v>25018.102556434955</v>
      </c>
      <c r="O52" s="7">
        <f t="shared" si="26"/>
        <v>26199.203339029227</v>
      </c>
      <c r="P52" s="7">
        <f>+P48*P28</f>
        <v>25908.708875632743</v>
      </c>
    </row>
    <row r="53" spans="3:16" x14ac:dyDescent="0.25">
      <c r="C53" s="10" t="s">
        <v>17</v>
      </c>
      <c r="D53" s="10"/>
      <c r="F53" s="2">
        <f>+F50-F52</f>
        <v>233916.58679999999</v>
      </c>
      <c r="G53" s="2">
        <f t="shared" ref="G53:P53" si="27">+G50-G52</f>
        <v>234149.31403886882</v>
      </c>
      <c r="H53" s="2">
        <f t="shared" si="27"/>
        <v>234355.5176319376</v>
      </c>
      <c r="I53" s="2">
        <f t="shared" si="27"/>
        <v>234534.67073890843</v>
      </c>
      <c r="J53" s="2">
        <f t="shared" si="27"/>
        <v>252525.7578261098</v>
      </c>
      <c r="K53" s="2">
        <f t="shared" si="27"/>
        <v>252655.26088251331</v>
      </c>
      <c r="L53" s="2">
        <f t="shared" si="27"/>
        <v>252753.94254802004</v>
      </c>
      <c r="M53" s="2">
        <f t="shared" si="27"/>
        <v>252821.20200889846</v>
      </c>
      <c r="N53" s="2">
        <f t="shared" si="27"/>
        <v>252856.42951165055</v>
      </c>
      <c r="O53" s="2">
        <f t="shared" si="27"/>
        <v>270706.99383517209</v>
      </c>
      <c r="P53" s="2">
        <f t="shared" si="27"/>
        <v>270671.21775222337</v>
      </c>
    </row>
    <row r="54" spans="3:16" x14ac:dyDescent="0.25">
      <c r="F54" s="2"/>
      <c r="G54" s="2"/>
      <c r="H54" s="2"/>
      <c r="I54" s="2"/>
      <c r="J54" s="2"/>
      <c r="K54" s="2"/>
      <c r="L54" s="2"/>
      <c r="M54" s="2"/>
      <c r="N54" s="2"/>
      <c r="O54" s="2"/>
      <c r="P54" s="2"/>
    </row>
    <row r="55" spans="3:16" x14ac:dyDescent="0.25">
      <c r="C55" t="s">
        <v>14</v>
      </c>
      <c r="F55" s="2">
        <f t="shared" ref="F55:P55" si="28">+F24*F23*F22</f>
        <v>84240</v>
      </c>
      <c r="G55" s="2">
        <f t="shared" si="28"/>
        <v>84240</v>
      </c>
      <c r="H55" s="2">
        <f t="shared" si="28"/>
        <v>84240</v>
      </c>
      <c r="I55" s="2">
        <f t="shared" si="28"/>
        <v>86580</v>
      </c>
      <c r="J55" s="2">
        <f t="shared" si="28"/>
        <v>86580</v>
      </c>
      <c r="K55" s="2">
        <f t="shared" si="28"/>
        <v>86580</v>
      </c>
      <c r="L55" s="2">
        <f t="shared" si="28"/>
        <v>88920</v>
      </c>
      <c r="M55" s="2">
        <f t="shared" si="28"/>
        <v>88920</v>
      </c>
      <c r="N55" s="2">
        <f t="shared" si="28"/>
        <v>88920</v>
      </c>
      <c r="O55" s="2">
        <f t="shared" si="28"/>
        <v>93600</v>
      </c>
      <c r="P55" s="2">
        <f t="shared" si="28"/>
        <v>93600</v>
      </c>
    </row>
    <row r="56" spans="3:16" x14ac:dyDescent="0.25">
      <c r="C56" t="s">
        <v>15</v>
      </c>
      <c r="F56" s="2">
        <f>+F31*F50</f>
        <v>33739.034939999998</v>
      </c>
      <c r="G56" s="2">
        <f t="shared" ref="G56:P56" si="29">+G31*G50</f>
        <v>33735.661036506004</v>
      </c>
      <c r="H56" s="2">
        <f t="shared" si="29"/>
        <v>33728.845751448127</v>
      </c>
      <c r="I56" s="2">
        <f t="shared" si="29"/>
        <v>33718.52059458544</v>
      </c>
      <c r="J56" s="2">
        <f t="shared" si="29"/>
        <v>36223.466359797618</v>
      </c>
      <c r="K56" s="2">
        <f t="shared" si="29"/>
        <v>36204.59997106855</v>
      </c>
      <c r="L56" s="2">
        <f t="shared" si="29"/>
        <v>36181.733907928938</v>
      </c>
      <c r="M56" s="2">
        <f t="shared" si="29"/>
        <v>36154.790063529414</v>
      </c>
      <c r="N56" s="2">
        <f t="shared" si="29"/>
        <v>36123.689168851117</v>
      </c>
      <c r="O56" s="2">
        <f t="shared" si="29"/>
        <v>38597.805632646174</v>
      </c>
      <c r="P56" s="2">
        <f t="shared" si="29"/>
        <v>38555.390461621297</v>
      </c>
    </row>
    <row r="57" spans="3:16" x14ac:dyDescent="0.25">
      <c r="C57" t="s">
        <v>16</v>
      </c>
      <c r="F57" s="2">
        <f t="shared" ref="F57:P57" si="30">+F30*F8</f>
        <v>12750</v>
      </c>
      <c r="G57" s="2">
        <f t="shared" si="30"/>
        <v>12941.25</v>
      </c>
      <c r="H57" s="2">
        <f t="shared" si="30"/>
        <v>13135.368749999998</v>
      </c>
      <c r="I57" s="2">
        <f t="shared" si="30"/>
        <v>13332.399281249996</v>
      </c>
      <c r="J57" s="2">
        <f t="shared" si="30"/>
        <v>13532.385270468745</v>
      </c>
      <c r="K57" s="2">
        <f t="shared" si="30"/>
        <v>13735.371049525776</v>
      </c>
      <c r="L57" s="2">
        <f t="shared" si="30"/>
        <v>13941.401615268662</v>
      </c>
      <c r="M57" s="2">
        <f t="shared" si="30"/>
        <v>14150.522639497691</v>
      </c>
      <c r="N57" s="2">
        <f t="shared" si="30"/>
        <v>14362.780479090155</v>
      </c>
      <c r="O57" s="2">
        <f t="shared" si="30"/>
        <v>14578.222186276507</v>
      </c>
      <c r="P57" s="2">
        <f t="shared" si="30"/>
        <v>14796.895519070655</v>
      </c>
    </row>
    <row r="58" spans="3:16" x14ac:dyDescent="0.25">
      <c r="C58" t="s">
        <v>101</v>
      </c>
      <c r="F58" s="2">
        <f t="shared" ref="F58:P58" si="31">F83/F39</f>
        <v>20279.998</v>
      </c>
      <c r="G58" s="2">
        <f t="shared" si="31"/>
        <v>20679.998</v>
      </c>
      <c r="H58" s="2">
        <f t="shared" si="31"/>
        <v>21087.998</v>
      </c>
      <c r="I58" s="2">
        <f t="shared" si="31"/>
        <v>21504.157999999999</v>
      </c>
      <c r="J58" s="2">
        <f t="shared" si="31"/>
        <v>21928.641199999998</v>
      </c>
      <c r="K58" s="2">
        <f t="shared" si="31"/>
        <v>22361.614064000001</v>
      </c>
      <c r="L58" s="2">
        <f t="shared" si="31"/>
        <v>22803.246385279999</v>
      </c>
      <c r="M58" s="2">
        <f t="shared" si="31"/>
        <v>23253.7113529856</v>
      </c>
      <c r="N58" s="44">
        <f>N83/N39</f>
        <v>23713.185620045311</v>
      </c>
      <c r="O58" s="2">
        <f t="shared" si="31"/>
        <v>24181.849372446221</v>
      </c>
      <c r="P58" s="2">
        <f t="shared" si="31"/>
        <v>24659.886399895146</v>
      </c>
    </row>
    <row r="59" spans="3:16" x14ac:dyDescent="0.25">
      <c r="C59" t="s">
        <v>100</v>
      </c>
      <c r="F59" s="2">
        <f t="shared" ref="F59:P59" si="32">F84/F40</f>
        <v>6538.4615384615381</v>
      </c>
      <c r="G59" s="2">
        <f t="shared" si="32"/>
        <v>6636.538461538461</v>
      </c>
      <c r="H59" s="2">
        <f t="shared" si="32"/>
        <v>6736.0865384615372</v>
      </c>
      <c r="I59" s="2">
        <f t="shared" si="32"/>
        <v>6837.1278365384596</v>
      </c>
      <c r="J59" s="2">
        <f t="shared" si="32"/>
        <v>6939.6847540865356</v>
      </c>
      <c r="K59" s="2">
        <f t="shared" si="32"/>
        <v>7043.780025397833</v>
      </c>
      <c r="L59" s="2">
        <f t="shared" si="32"/>
        <v>7149.4367257788008</v>
      </c>
      <c r="M59" s="2">
        <f t="shared" si="32"/>
        <v>7256.6782766654815</v>
      </c>
      <c r="N59" s="2">
        <f t="shared" si="32"/>
        <v>7365.5284508154637</v>
      </c>
      <c r="O59" s="2">
        <f t="shared" si="32"/>
        <v>7476.0113775776954</v>
      </c>
      <c r="P59" s="2">
        <f t="shared" si="32"/>
        <v>7588.1515482413606</v>
      </c>
    </row>
    <row r="60" spans="3:16" x14ac:dyDescent="0.25">
      <c r="C60" t="s">
        <v>18</v>
      </c>
      <c r="F60" s="7">
        <f t="shared" ref="F60:P60" si="33">F50*F29</f>
        <v>41524.966079999998</v>
      </c>
      <c r="G60" s="7">
        <f t="shared" si="33"/>
        <v>41520.813583392002</v>
      </c>
      <c r="H60" s="7">
        <f t="shared" si="33"/>
        <v>41512.425540243843</v>
      </c>
      <c r="I60" s="7">
        <f t="shared" si="33"/>
        <v>41499.717654874388</v>
      </c>
      <c r="J60" s="7">
        <f t="shared" si="33"/>
        <v>44582.727827443217</v>
      </c>
      <c r="K60" s="7">
        <f t="shared" si="33"/>
        <v>44559.507656699752</v>
      </c>
      <c r="L60" s="7">
        <f t="shared" si="33"/>
        <v>44531.364809758692</v>
      </c>
      <c r="M60" s="7">
        <f t="shared" si="33"/>
        <v>44498.203155113122</v>
      </c>
      <c r="N60" s="7">
        <f t="shared" si="33"/>
        <v>44459.92513089368</v>
      </c>
      <c r="O60" s="7">
        <f t="shared" si="33"/>
        <v>47504.991547872211</v>
      </c>
      <c r="P60" s="7">
        <f t="shared" si="33"/>
        <v>47452.788260456975</v>
      </c>
    </row>
    <row r="61" spans="3:16" x14ac:dyDescent="0.25">
      <c r="C61" s="10" t="s">
        <v>21</v>
      </c>
      <c r="D61" s="10"/>
      <c r="F61" s="2">
        <f t="shared" ref="F61:P61" si="34">SUM(F55:F60)</f>
        <v>199072.46055846155</v>
      </c>
      <c r="G61" s="2">
        <f t="shared" si="34"/>
        <v>199754.26108143647</v>
      </c>
      <c r="H61" s="2">
        <f t="shared" si="34"/>
        <v>200440.72458015347</v>
      </c>
      <c r="I61" s="2">
        <f t="shared" si="34"/>
        <v>203471.92336724827</v>
      </c>
      <c r="J61" s="2">
        <f t="shared" si="34"/>
        <v>209786.90541179612</v>
      </c>
      <c r="K61" s="2">
        <f t="shared" si="34"/>
        <v>210484.8727666919</v>
      </c>
      <c r="L61" s="2">
        <f t="shared" si="34"/>
        <v>213527.18344401507</v>
      </c>
      <c r="M61" s="2">
        <f t="shared" si="34"/>
        <v>214233.90548779129</v>
      </c>
      <c r="N61" s="2">
        <f t="shared" si="34"/>
        <v>214945.10884969574</v>
      </c>
      <c r="O61" s="2">
        <f t="shared" si="34"/>
        <v>225938.88011681882</v>
      </c>
      <c r="P61" s="2">
        <f t="shared" si="34"/>
        <v>226653.1121892854</v>
      </c>
    </row>
    <row r="62" spans="3:16" x14ac:dyDescent="0.25">
      <c r="C62" s="10"/>
      <c r="D62" s="10"/>
      <c r="F62" s="2"/>
      <c r="G62" s="2"/>
      <c r="H62" s="2"/>
      <c r="I62" s="2"/>
      <c r="J62" s="2"/>
      <c r="K62" s="2"/>
      <c r="L62" s="2"/>
      <c r="M62" s="2"/>
      <c r="N62" s="2"/>
      <c r="O62" s="2"/>
      <c r="P62" s="2"/>
    </row>
    <row r="63" spans="3:16" x14ac:dyDescent="0.25">
      <c r="C63" s="21" t="s">
        <v>163</v>
      </c>
      <c r="D63" s="10"/>
      <c r="F63" s="2">
        <f>+F53-F61</f>
        <v>34844.126241538441</v>
      </c>
      <c r="G63" s="2">
        <f t="shared" ref="G63:P63" si="35">+G53-G61</f>
        <v>34395.052957432345</v>
      </c>
      <c r="H63" s="2">
        <f t="shared" si="35"/>
        <v>33914.793051784131</v>
      </c>
      <c r="I63" s="2">
        <f t="shared" si="35"/>
        <v>31062.747371660167</v>
      </c>
      <c r="J63" s="2">
        <f t="shared" si="35"/>
        <v>42738.852414313675</v>
      </c>
      <c r="K63" s="2">
        <f t="shared" si="35"/>
        <v>42170.388115821406</v>
      </c>
      <c r="L63" s="2">
        <f t="shared" si="35"/>
        <v>39226.759104004974</v>
      </c>
      <c r="M63" s="2">
        <f t="shared" si="35"/>
        <v>38587.296521107171</v>
      </c>
      <c r="N63" s="2">
        <f t="shared" si="35"/>
        <v>37911.320661954815</v>
      </c>
      <c r="O63" s="2">
        <f t="shared" si="35"/>
        <v>44768.11371835327</v>
      </c>
      <c r="P63" s="2">
        <f t="shared" si="35"/>
        <v>44018.10556293797</v>
      </c>
    </row>
    <row r="64" spans="3:16" x14ac:dyDescent="0.25">
      <c r="C64" s="10"/>
      <c r="D64" s="10"/>
      <c r="F64" s="2"/>
      <c r="G64" s="2"/>
      <c r="H64" s="2"/>
      <c r="I64" s="2"/>
      <c r="J64" s="2"/>
      <c r="K64" s="2"/>
      <c r="L64" s="2"/>
      <c r="M64" s="2"/>
      <c r="N64" s="2"/>
      <c r="O64" s="2"/>
      <c r="P64" s="2"/>
    </row>
    <row r="65" spans="2:16" x14ac:dyDescent="0.25">
      <c r="C65" t="s">
        <v>97</v>
      </c>
      <c r="F65" s="2">
        <f>Mortgage!D15</f>
        <v>21025.534360123027</v>
      </c>
      <c r="G65" s="2">
        <f>Mortgage!D29</f>
        <v>20722.043729579193</v>
      </c>
      <c r="H65" s="2">
        <f>Mortgage!D43</f>
        <v>20402.103409131967</v>
      </c>
      <c r="I65" s="2">
        <f>Mortgage!D57</f>
        <v>20064.821798610938</v>
      </c>
      <c r="J65" s="2">
        <f>Mortgage!D71</f>
        <v>19709.258971654188</v>
      </c>
      <c r="K65" s="2">
        <f>Mortgage!D85</f>
        <v>19334.424056349522</v>
      </c>
      <c r="L65" s="2">
        <f>Mortgage!D99</f>
        <v>18939.272473902038</v>
      </c>
      <c r="M65" s="2">
        <f>Mortgage!D113</f>
        <v>18522.703027633052</v>
      </c>
      <c r="N65" s="2">
        <f>Mortgage!D127</f>
        <v>18083.554834197905</v>
      </c>
      <c r="O65" s="2">
        <f>Mortgage!D141</f>
        <v>17620.604088470805</v>
      </c>
      <c r="P65" s="2">
        <f>Mortgage!D155</f>
        <v>17132.560653081091</v>
      </c>
    </row>
    <row r="66" spans="2:16" x14ac:dyDescent="0.25">
      <c r="C66" t="s">
        <v>98</v>
      </c>
      <c r="F66" s="2">
        <f t="shared" ref="F66:P66" si="36">+F15*F100</f>
        <v>12675.608459564835</v>
      </c>
      <c r="G66" s="2">
        <f t="shared" si="36"/>
        <v>11553.273597032407</v>
      </c>
      <c r="H66" s="2">
        <f t="shared" si="36"/>
        <v>10361.966030868043</v>
      </c>
      <c r="I66" s="2">
        <f t="shared" si="36"/>
        <v>9260.5748704127091</v>
      </c>
      <c r="J66" s="2">
        <f t="shared" si="36"/>
        <v>7320.4738192989989</v>
      </c>
      <c r="K66" s="2">
        <f t="shared" si="36"/>
        <v>5190.2247918480016</v>
      </c>
      <c r="L66" s="2">
        <f t="shared" si="36"/>
        <v>3090.3957319281171</v>
      </c>
      <c r="M66" s="2">
        <f t="shared" si="36"/>
        <v>863.50309617470407</v>
      </c>
      <c r="N66" s="2">
        <f t="shared" si="36"/>
        <v>0</v>
      </c>
      <c r="O66" s="2">
        <f t="shared" si="36"/>
        <v>0</v>
      </c>
      <c r="P66" s="2">
        <f t="shared" si="36"/>
        <v>0</v>
      </c>
    </row>
    <row r="67" spans="2:16" x14ac:dyDescent="0.25">
      <c r="F67" s="2"/>
      <c r="G67" s="2"/>
      <c r="H67" s="2"/>
      <c r="I67" s="2"/>
      <c r="J67" s="2"/>
      <c r="K67" s="2"/>
      <c r="L67" s="2"/>
      <c r="M67" s="2"/>
      <c r="N67" s="2"/>
      <c r="O67" s="2"/>
      <c r="P67" s="2"/>
    </row>
    <row r="68" spans="2:16" x14ac:dyDescent="0.25">
      <c r="C68" s="10" t="s">
        <v>22</v>
      </c>
      <c r="D68" s="10"/>
      <c r="F68" s="7">
        <f>F63-F65-F66</f>
        <v>1142.9834218505785</v>
      </c>
      <c r="G68" s="7">
        <f t="shared" ref="G68:P68" si="37">G63-G65-G66</f>
        <v>2119.7356308207454</v>
      </c>
      <c r="H68" s="7">
        <f t="shared" si="37"/>
        <v>3150.7236117841203</v>
      </c>
      <c r="I68" s="7">
        <f t="shared" si="37"/>
        <v>1737.3507026365205</v>
      </c>
      <c r="J68" s="7">
        <f t="shared" si="37"/>
        <v>15709.119623360488</v>
      </c>
      <c r="K68" s="7">
        <f t="shared" si="37"/>
        <v>17645.739267623881</v>
      </c>
      <c r="L68" s="7">
        <f t="shared" si="37"/>
        <v>17197.090898174818</v>
      </c>
      <c r="M68" s="7">
        <f t="shared" si="37"/>
        <v>19201.090397299417</v>
      </c>
      <c r="N68" s="7">
        <f t="shared" si="37"/>
        <v>19827.76582775691</v>
      </c>
      <c r="O68" s="7">
        <f t="shared" si="37"/>
        <v>27147.509629882465</v>
      </c>
      <c r="P68" s="7">
        <f t="shared" si="37"/>
        <v>26885.544909856879</v>
      </c>
    </row>
    <row r="69" spans="2:16" x14ac:dyDescent="0.25">
      <c r="C69" t="s">
        <v>28</v>
      </c>
      <c r="F69" s="2">
        <f t="shared" ref="F69:P69" si="38">+F68*F32</f>
        <v>251.45635280712727</v>
      </c>
      <c r="G69" s="2">
        <f t="shared" si="38"/>
        <v>466.34183878056399</v>
      </c>
      <c r="H69" s="2">
        <f t="shared" si="38"/>
        <v>693.15919459250642</v>
      </c>
      <c r="I69" s="2">
        <f t="shared" si="38"/>
        <v>382.2171545800345</v>
      </c>
      <c r="J69" s="2">
        <f t="shared" si="38"/>
        <v>3456.0063171393072</v>
      </c>
      <c r="K69" s="2">
        <f t="shared" si="38"/>
        <v>3882.0626388772539</v>
      </c>
      <c r="L69" s="2">
        <f t="shared" si="38"/>
        <v>3783.3599975984598</v>
      </c>
      <c r="M69" s="2">
        <f t="shared" si="38"/>
        <v>4224.2398874058717</v>
      </c>
      <c r="N69" s="2">
        <f t="shared" si="38"/>
        <v>4362.1084821065206</v>
      </c>
      <c r="O69" s="2">
        <f t="shared" si="38"/>
        <v>5972.4521185741423</v>
      </c>
      <c r="P69" s="2">
        <f t="shared" si="38"/>
        <v>5914.819880168513</v>
      </c>
    </row>
    <row r="70" spans="2:16" x14ac:dyDescent="0.25">
      <c r="F70" s="2"/>
      <c r="G70" s="2"/>
      <c r="H70" s="2"/>
      <c r="I70" s="2"/>
      <c r="J70" s="2"/>
      <c r="K70" s="2"/>
      <c r="L70" s="2"/>
      <c r="M70" s="2"/>
      <c r="N70" s="2"/>
      <c r="O70" s="2"/>
      <c r="P70" s="2"/>
    </row>
    <row r="71" spans="2:16" ht="15.75" thickBot="1" x14ac:dyDescent="0.3">
      <c r="C71" s="10" t="s">
        <v>29</v>
      </c>
      <c r="D71" s="10"/>
      <c r="F71" s="8">
        <f>F68-F69</f>
        <v>891.52706904345121</v>
      </c>
      <c r="G71" s="8">
        <f t="shared" ref="G71:P71" si="39">G68-G69</f>
        <v>1653.3937920401813</v>
      </c>
      <c r="H71" s="8">
        <f t="shared" si="39"/>
        <v>2457.5644171916138</v>
      </c>
      <c r="I71" s="8">
        <f t="shared" si="39"/>
        <v>1355.133548056486</v>
      </c>
      <c r="J71" s="8">
        <f t="shared" si="39"/>
        <v>12253.113306221181</v>
      </c>
      <c r="K71" s="8">
        <f t="shared" si="39"/>
        <v>13763.676628746627</v>
      </c>
      <c r="L71" s="8">
        <f t="shared" si="39"/>
        <v>13413.730900576358</v>
      </c>
      <c r="M71" s="8">
        <f t="shared" si="39"/>
        <v>14976.850509893546</v>
      </c>
      <c r="N71" s="8">
        <f t="shared" si="39"/>
        <v>15465.65734565039</v>
      </c>
      <c r="O71" s="8">
        <f t="shared" si="39"/>
        <v>21175.057511308321</v>
      </c>
      <c r="P71" s="8">
        <f t="shared" si="39"/>
        <v>20970.725029688365</v>
      </c>
    </row>
    <row r="72" spans="2:16" ht="15.75" thickTop="1" x14ac:dyDescent="0.25"/>
    <row r="73" spans="2:16" x14ac:dyDescent="0.25">
      <c r="B73" s="11" t="s">
        <v>43</v>
      </c>
    </row>
    <row r="74" spans="2:16" x14ac:dyDescent="0.25">
      <c r="C74" s="11" t="s">
        <v>48</v>
      </c>
      <c r="D74" s="11"/>
    </row>
    <row r="75" spans="2:16" x14ac:dyDescent="0.25">
      <c r="C75" t="s">
        <v>49</v>
      </c>
    </row>
    <row r="76" spans="2:16" x14ac:dyDescent="0.25">
      <c r="C76" t="s">
        <v>44</v>
      </c>
      <c r="F76" s="6">
        <f t="shared" ref="F76:P76" si="40">+F38*F53</f>
        <v>8187.0805380000002</v>
      </c>
      <c r="G76" s="6">
        <f t="shared" si="40"/>
        <v>8195.2259913604103</v>
      </c>
      <c r="H76" s="6">
        <f t="shared" si="40"/>
        <v>8202.4431171178167</v>
      </c>
      <c r="I76" s="6">
        <f t="shared" si="40"/>
        <v>8208.7134758617958</v>
      </c>
      <c r="J76" s="6">
        <f t="shared" si="40"/>
        <v>8838.4015239138444</v>
      </c>
      <c r="K76" s="6">
        <f t="shared" si="40"/>
        <v>8842.9341308879666</v>
      </c>
      <c r="L76" s="6">
        <f t="shared" si="40"/>
        <v>8846.3879891807028</v>
      </c>
      <c r="M76" s="6">
        <f t="shared" si="40"/>
        <v>8848.7420703114476</v>
      </c>
      <c r="N76" s="6">
        <f t="shared" si="40"/>
        <v>8849.9750329077706</v>
      </c>
      <c r="O76" s="6">
        <f t="shared" si="40"/>
        <v>9474.7447842310248</v>
      </c>
      <c r="P76" s="6">
        <f t="shared" si="40"/>
        <v>9473.4926213278195</v>
      </c>
    </row>
    <row r="77" spans="2:16" x14ac:dyDescent="0.25">
      <c r="C77" t="s">
        <v>45</v>
      </c>
      <c r="F77" s="17">
        <v>0</v>
      </c>
      <c r="G77" s="17">
        <v>0</v>
      </c>
      <c r="H77" s="17">
        <v>0</v>
      </c>
      <c r="I77" s="17">
        <v>0</v>
      </c>
      <c r="J77" s="17">
        <v>0</v>
      </c>
      <c r="K77" s="17">
        <v>0</v>
      </c>
      <c r="L77" s="17">
        <v>0</v>
      </c>
      <c r="M77" s="17">
        <v>0</v>
      </c>
      <c r="N77" s="17">
        <v>16890.264516452677</v>
      </c>
      <c r="O77" s="17">
        <v>49058.69383150246</v>
      </c>
      <c r="P77" s="17">
        <v>81733.945481896808</v>
      </c>
    </row>
    <row r="78" spans="2:16" x14ac:dyDescent="0.25">
      <c r="C78" t="s">
        <v>57</v>
      </c>
      <c r="F78" s="17">
        <f t="shared" ref="F78:P78" si="41">+F35*F52/365</f>
        <v>1122.8252580821918</v>
      </c>
      <c r="G78" s="17">
        <f t="shared" si="41"/>
        <v>1111.4858458008198</v>
      </c>
      <c r="H78" s="17">
        <f t="shared" si="41"/>
        <v>1100.1486901736516</v>
      </c>
      <c r="I78" s="17">
        <f t="shared" si="41"/>
        <v>1088.8137908627505</v>
      </c>
      <c r="J78" s="17">
        <f t="shared" si="41"/>
        <v>1144.8237192508632</v>
      </c>
      <c r="K78" s="17">
        <f t="shared" si="41"/>
        <v>1132.785182328116</v>
      </c>
      <c r="L78" s="17">
        <f t="shared" si="41"/>
        <v>1120.7490416645164</v>
      </c>
      <c r="M78" s="17">
        <f t="shared" si="41"/>
        <v>1108.7152969011972</v>
      </c>
      <c r="N78" s="17">
        <f t="shared" si="41"/>
        <v>1096.6839476793405</v>
      </c>
      <c r="O78" s="17">
        <f t="shared" si="41"/>
        <v>1148.4582285601853</v>
      </c>
      <c r="P78" s="17">
        <f t="shared" si="41"/>
        <v>1135.7242246852709</v>
      </c>
    </row>
    <row r="79" spans="2:16" x14ac:dyDescent="0.25">
      <c r="C79" t="s">
        <v>46</v>
      </c>
      <c r="F79" s="24">
        <f t="shared" ref="F79:P79" si="42">+F50*F36/365</f>
        <v>2133.1318191780824</v>
      </c>
      <c r="G79" s="24">
        <f t="shared" si="42"/>
        <v>2132.9185059961646</v>
      </c>
      <c r="H79" s="24">
        <f t="shared" si="42"/>
        <v>2132.4876133686907</v>
      </c>
      <c r="I79" s="24">
        <f t="shared" si="42"/>
        <v>2131.834811038068</v>
      </c>
      <c r="J79" s="24">
        <f t="shared" si="42"/>
        <v>2290.2086212727681</v>
      </c>
      <c r="K79" s="24">
        <f t="shared" si="42"/>
        <v>2289.0158042825215</v>
      </c>
      <c r="L79" s="24">
        <f t="shared" si="42"/>
        <v>2287.5701100903434</v>
      </c>
      <c r="M79" s="24">
        <f t="shared" si="42"/>
        <v>2285.8666004338934</v>
      </c>
      <c r="N79" s="24">
        <f t="shared" si="42"/>
        <v>2283.9002635733054</v>
      </c>
      <c r="O79" s="24">
        <f t="shared" si="42"/>
        <v>2440.3249082811067</v>
      </c>
      <c r="P79" s="24">
        <f t="shared" si="42"/>
        <v>2437.6432325577211</v>
      </c>
    </row>
    <row r="80" spans="2:16" x14ac:dyDescent="0.25">
      <c r="C80" s="10" t="s">
        <v>47</v>
      </c>
      <c r="D80" s="10"/>
      <c r="F80" s="17">
        <f>SUM(F76:F79)</f>
        <v>11443.037615260275</v>
      </c>
      <c r="G80" s="17">
        <f t="shared" ref="G80:P80" si="43">SUM(G76:G79)</f>
        <v>11439.630343157394</v>
      </c>
      <c r="H80" s="17">
        <f t="shared" si="43"/>
        <v>11435.079420660159</v>
      </c>
      <c r="I80" s="17">
        <f t="shared" si="43"/>
        <v>11429.362077762615</v>
      </c>
      <c r="J80" s="17">
        <f t="shared" si="43"/>
        <v>12273.433864437475</v>
      </c>
      <c r="K80" s="17">
        <f t="shared" si="43"/>
        <v>12264.735117498603</v>
      </c>
      <c r="L80" s="17">
        <f t="shared" si="43"/>
        <v>12254.707140935563</v>
      </c>
      <c r="M80" s="17">
        <f t="shared" si="43"/>
        <v>12243.323967646538</v>
      </c>
      <c r="N80" s="17">
        <f t="shared" si="43"/>
        <v>29120.823760613093</v>
      </c>
      <c r="O80" s="17">
        <f t="shared" si="43"/>
        <v>62122.221752574776</v>
      </c>
      <c r="P80" s="17">
        <f t="shared" si="43"/>
        <v>94780.805560467619</v>
      </c>
    </row>
    <row r="82" spans="3:23" ht="15.75" x14ac:dyDescent="0.25">
      <c r="C82" t="s">
        <v>50</v>
      </c>
      <c r="S82" s="31" t="s">
        <v>139</v>
      </c>
      <c r="T82" s="32"/>
      <c r="U82" s="32"/>
      <c r="V82" s="32"/>
      <c r="W82" s="32"/>
    </row>
    <row r="83" spans="3:23" ht="15.75" x14ac:dyDescent="0.25">
      <c r="C83" t="s">
        <v>51</v>
      </c>
      <c r="F83" s="17">
        <f t="shared" ref="F83:P83" si="44">+(F13*F12)+(F11*F10)</f>
        <v>304199.96999999997</v>
      </c>
      <c r="G83" s="17">
        <f t="shared" si="44"/>
        <v>310199.96999999997</v>
      </c>
      <c r="H83" s="17">
        <f t="shared" si="44"/>
        <v>316319.96999999997</v>
      </c>
      <c r="I83" s="17">
        <f t="shared" si="44"/>
        <v>322562.37</v>
      </c>
      <c r="J83" s="17">
        <f t="shared" si="44"/>
        <v>328929.61799999996</v>
      </c>
      <c r="K83" s="17">
        <f t="shared" si="44"/>
        <v>335424.21096</v>
      </c>
      <c r="L83" s="17">
        <f t="shared" si="44"/>
        <v>342048.6957792</v>
      </c>
      <c r="M83" s="17">
        <f t="shared" si="44"/>
        <v>348805.67029478401</v>
      </c>
      <c r="N83" s="17">
        <f t="shared" si="44"/>
        <v>355697.78430067969</v>
      </c>
      <c r="O83" s="17">
        <f t="shared" si="44"/>
        <v>362727.74058669328</v>
      </c>
      <c r="P83" s="17">
        <f t="shared" si="44"/>
        <v>369898.2959984272</v>
      </c>
      <c r="S83" s="32" t="s">
        <v>140</v>
      </c>
      <c r="T83" s="37">
        <f>F63/(F65+F66)</f>
        <v>1.0339152718934759</v>
      </c>
      <c r="U83" s="32" t="s">
        <v>141</v>
      </c>
      <c r="V83" s="32"/>
      <c r="W83" s="32"/>
    </row>
    <row r="84" spans="3:23" ht="15.75" x14ac:dyDescent="0.25">
      <c r="C84" t="s">
        <v>52</v>
      </c>
      <c r="F84" s="17">
        <f t="shared" ref="F84:P84" si="45">+F8</f>
        <v>255000</v>
      </c>
      <c r="G84" s="17">
        <f t="shared" si="45"/>
        <v>258824.99999999997</v>
      </c>
      <c r="H84" s="17">
        <f t="shared" si="45"/>
        <v>262707.37499999994</v>
      </c>
      <c r="I84" s="17">
        <f t="shared" si="45"/>
        <v>266647.98562499991</v>
      </c>
      <c r="J84" s="17">
        <f t="shared" si="45"/>
        <v>270647.7054093749</v>
      </c>
      <c r="K84" s="17">
        <f t="shared" si="45"/>
        <v>274707.4209905155</v>
      </c>
      <c r="L84" s="17">
        <f t="shared" si="45"/>
        <v>278828.03230537323</v>
      </c>
      <c r="M84" s="17">
        <f t="shared" si="45"/>
        <v>283010.45278995379</v>
      </c>
      <c r="N84" s="17">
        <f t="shared" si="45"/>
        <v>287255.60958180309</v>
      </c>
      <c r="O84" s="17">
        <f t="shared" si="45"/>
        <v>291564.44372553012</v>
      </c>
      <c r="P84" s="17">
        <f t="shared" si="45"/>
        <v>295937.91038141306</v>
      </c>
      <c r="S84" s="32" t="s">
        <v>142</v>
      </c>
      <c r="T84" s="38" t="s">
        <v>143</v>
      </c>
      <c r="U84" s="32"/>
      <c r="V84" s="32"/>
      <c r="W84" s="32"/>
    </row>
    <row r="85" spans="3:23" ht="15.75" x14ac:dyDescent="0.25">
      <c r="C85" s="21" t="s">
        <v>137</v>
      </c>
      <c r="F85" s="17">
        <f>F58</f>
        <v>20279.998</v>
      </c>
      <c r="G85" s="17">
        <f>G58+F85</f>
        <v>40959.995999999999</v>
      </c>
      <c r="H85" s="17">
        <f t="shared" ref="H85:P85" si="46">H58+G85</f>
        <v>62047.993999999999</v>
      </c>
      <c r="I85" s="17">
        <f t="shared" si="46"/>
        <v>83552.152000000002</v>
      </c>
      <c r="J85" s="17">
        <f t="shared" si="46"/>
        <v>105480.7932</v>
      </c>
      <c r="K85" s="17">
        <f t="shared" si="46"/>
        <v>127842.40726400001</v>
      </c>
      <c r="L85" s="17">
        <f t="shared" si="46"/>
        <v>150645.65364928002</v>
      </c>
      <c r="M85" s="17">
        <f t="shared" si="46"/>
        <v>173899.36500226561</v>
      </c>
      <c r="N85" s="17">
        <f t="shared" si="46"/>
        <v>197612.55062231093</v>
      </c>
      <c r="O85" s="17">
        <f t="shared" si="46"/>
        <v>221794.39999475714</v>
      </c>
      <c r="P85" s="17">
        <f t="shared" si="46"/>
        <v>246454.2863946523</v>
      </c>
      <c r="S85" s="32" t="s">
        <v>144</v>
      </c>
      <c r="T85" s="39">
        <v>3.5000000000000003E-2</v>
      </c>
      <c r="U85" s="32"/>
      <c r="V85" s="32"/>
      <c r="W85" s="32"/>
    </row>
    <row r="86" spans="3:23" ht="15.75" x14ac:dyDescent="0.25">
      <c r="C86" s="21" t="s">
        <v>136</v>
      </c>
      <c r="D86" s="21"/>
      <c r="F86" s="17">
        <f>F59</f>
        <v>6538.4615384615381</v>
      </c>
      <c r="G86" s="17">
        <f>G59+F86</f>
        <v>13175</v>
      </c>
      <c r="H86" s="17">
        <f t="shared" ref="H86:P86" si="47">H59+G86</f>
        <v>19911.086538461539</v>
      </c>
      <c r="I86" s="17">
        <f t="shared" si="47"/>
        <v>26748.214375</v>
      </c>
      <c r="J86" s="17">
        <f t="shared" si="47"/>
        <v>33687.899129086538</v>
      </c>
      <c r="K86" s="17">
        <f t="shared" si="47"/>
        <v>40731.679154484373</v>
      </c>
      <c r="L86" s="17">
        <f t="shared" si="47"/>
        <v>47881.115880263176</v>
      </c>
      <c r="M86" s="17">
        <f t="shared" si="47"/>
        <v>55137.794156928656</v>
      </c>
      <c r="N86" s="17">
        <f t="shared" si="47"/>
        <v>62503.322607744121</v>
      </c>
      <c r="O86" s="17">
        <f t="shared" si="47"/>
        <v>69979.33398532182</v>
      </c>
      <c r="P86" s="17">
        <f t="shared" si="47"/>
        <v>77567.485533563187</v>
      </c>
      <c r="S86" s="32" t="s">
        <v>145</v>
      </c>
      <c r="T86" s="39">
        <v>1.7899999999999999E-2</v>
      </c>
      <c r="U86" s="32" t="s">
        <v>165</v>
      </c>
      <c r="V86" s="32"/>
      <c r="W86" s="32"/>
    </row>
    <row r="87" spans="3:23" ht="15.75" x14ac:dyDescent="0.25">
      <c r="C87" t="s">
        <v>53</v>
      </c>
      <c r="F87" s="24">
        <f t="shared" ref="F87:P87" si="48">+F25</f>
        <v>76500</v>
      </c>
      <c r="G87" s="24">
        <f t="shared" si="48"/>
        <v>76500</v>
      </c>
      <c r="H87" s="24">
        <f t="shared" si="48"/>
        <v>76500</v>
      </c>
      <c r="I87" s="24">
        <f t="shared" si="48"/>
        <v>76500</v>
      </c>
      <c r="J87" s="24">
        <f t="shared" si="48"/>
        <v>76500</v>
      </c>
      <c r="K87" s="24">
        <f t="shared" si="48"/>
        <v>76500</v>
      </c>
      <c r="L87" s="24">
        <f t="shared" si="48"/>
        <v>76500</v>
      </c>
      <c r="M87" s="24">
        <f t="shared" si="48"/>
        <v>76500</v>
      </c>
      <c r="N87" s="24">
        <f t="shared" si="48"/>
        <v>76500</v>
      </c>
      <c r="O87" s="24">
        <f t="shared" si="48"/>
        <v>76500</v>
      </c>
      <c r="P87" s="24">
        <f t="shared" si="48"/>
        <v>76500</v>
      </c>
      <c r="S87" s="32" t="s">
        <v>146</v>
      </c>
      <c r="T87" s="39">
        <f>+T85+T86</f>
        <v>5.2900000000000003E-2</v>
      </c>
      <c r="U87" s="32" t="s">
        <v>147</v>
      </c>
      <c r="V87" s="32"/>
      <c r="W87" s="32"/>
    </row>
    <row r="88" spans="3:23" ht="15.75" x14ac:dyDescent="0.25">
      <c r="C88" s="10" t="s">
        <v>58</v>
      </c>
      <c r="D88" s="10"/>
      <c r="F88" s="17">
        <f>+F83+F84+F87-F86-F85</f>
        <v>608881.51046153845</v>
      </c>
      <c r="G88" s="17">
        <f>+G83+G84+G87-G86-G85</f>
        <v>591389.97399999993</v>
      </c>
      <c r="H88" s="17">
        <f t="shared" ref="H88:P88" si="49">+H83+H84+H87-H86-H85</f>
        <v>573568.26446153852</v>
      </c>
      <c r="I88" s="17">
        <f t="shared" si="49"/>
        <v>555409.98924999987</v>
      </c>
      <c r="J88" s="17">
        <f t="shared" si="49"/>
        <v>536908.63108028832</v>
      </c>
      <c r="K88" s="17">
        <f t="shared" si="49"/>
        <v>518057.5455320311</v>
      </c>
      <c r="L88" s="17">
        <f t="shared" si="49"/>
        <v>498849.95855503011</v>
      </c>
      <c r="M88" s="17">
        <f t="shared" si="49"/>
        <v>479278.96392554353</v>
      </c>
      <c r="N88" s="17">
        <f t="shared" si="49"/>
        <v>459337.52065242769</v>
      </c>
      <c r="O88" s="17">
        <f t="shared" si="49"/>
        <v>439018.45033214451</v>
      </c>
      <c r="P88" s="17">
        <f t="shared" si="49"/>
        <v>418314.43445162475</v>
      </c>
      <c r="S88" s="32" t="s">
        <v>148</v>
      </c>
      <c r="T88" s="61">
        <f>T87+3%</f>
        <v>8.2900000000000001E-2</v>
      </c>
      <c r="U88" s="32" t="s">
        <v>149</v>
      </c>
      <c r="V88" s="32"/>
      <c r="W88" s="32"/>
    </row>
    <row r="89" spans="3:23" ht="15.75" x14ac:dyDescent="0.25">
      <c r="S89" s="32"/>
      <c r="T89" s="32"/>
      <c r="U89" s="32"/>
      <c r="V89" s="32"/>
      <c r="W89" s="32"/>
    </row>
    <row r="90" spans="3:23" ht="16.5" thickBot="1" x14ac:dyDescent="0.3">
      <c r="C90" s="11" t="s">
        <v>54</v>
      </c>
      <c r="D90" s="11"/>
      <c r="F90" s="8">
        <f t="shared" ref="F90:P90" si="50">+F80+F88</f>
        <v>620324.54807679867</v>
      </c>
      <c r="G90" s="8">
        <f t="shared" si="50"/>
        <v>602829.60434315738</v>
      </c>
      <c r="H90" s="8">
        <f t="shared" si="50"/>
        <v>585003.34388219868</v>
      </c>
      <c r="I90" s="8">
        <f t="shared" si="50"/>
        <v>566839.35132776247</v>
      </c>
      <c r="J90" s="8">
        <f t="shared" si="50"/>
        <v>549182.06494472583</v>
      </c>
      <c r="K90" s="8">
        <f t="shared" si="50"/>
        <v>530322.28064952965</v>
      </c>
      <c r="L90" s="8">
        <f t="shared" si="50"/>
        <v>511104.6656959657</v>
      </c>
      <c r="M90" s="8">
        <f t="shared" si="50"/>
        <v>491522.28789319005</v>
      </c>
      <c r="N90" s="8">
        <f t="shared" si="50"/>
        <v>488458.34441304079</v>
      </c>
      <c r="O90" s="8">
        <f t="shared" si="50"/>
        <v>501140.67208471929</v>
      </c>
      <c r="P90" s="8">
        <f t="shared" si="50"/>
        <v>513095.2400120924</v>
      </c>
      <c r="S90" s="31" t="s">
        <v>150</v>
      </c>
      <c r="T90" s="32"/>
      <c r="U90" s="32"/>
      <c r="V90" s="32"/>
      <c r="W90" s="32"/>
    </row>
    <row r="91" spans="3:23" ht="16.5" thickTop="1" x14ac:dyDescent="0.25">
      <c r="S91" s="32" t="s">
        <v>27</v>
      </c>
      <c r="T91" s="39">
        <f>AVERAGE(F32:P32)</f>
        <v>0.22000000000000003</v>
      </c>
      <c r="U91" s="32" t="s">
        <v>151</v>
      </c>
      <c r="V91" s="32"/>
      <c r="W91" s="32"/>
    </row>
    <row r="92" spans="3:23" ht="15.75" x14ac:dyDescent="0.25">
      <c r="C92" s="11" t="s">
        <v>55</v>
      </c>
      <c r="D92" s="11"/>
      <c r="S92" s="32" t="s">
        <v>152</v>
      </c>
      <c r="T92" s="32">
        <v>0.69</v>
      </c>
      <c r="U92" s="32" t="s">
        <v>153</v>
      </c>
      <c r="V92" s="32"/>
      <c r="W92" s="32"/>
    </row>
    <row r="93" spans="3:23" ht="15.75" x14ac:dyDescent="0.25">
      <c r="C93" t="s">
        <v>83</v>
      </c>
      <c r="S93" s="32" t="s">
        <v>154</v>
      </c>
      <c r="T93" s="37">
        <f>T92*(1+(1-T91)*((T99+T100)/T105))</f>
        <v>2.8292127175520254</v>
      </c>
      <c r="U93" s="32" t="s">
        <v>155</v>
      </c>
      <c r="V93" s="32"/>
      <c r="W93" s="32"/>
    </row>
    <row r="94" spans="3:23" ht="15.75" x14ac:dyDescent="0.25">
      <c r="C94" s="21" t="s">
        <v>77</v>
      </c>
      <c r="D94" s="21"/>
      <c r="F94" s="17">
        <f t="shared" ref="F94:P94" si="51">+F52*F37/365</f>
        <v>1052.6486794520547</v>
      </c>
      <c r="G94" s="17">
        <f t="shared" si="51"/>
        <v>1042.0179804382685</v>
      </c>
      <c r="H94" s="17">
        <f t="shared" si="51"/>
        <v>1031.3893970377983</v>
      </c>
      <c r="I94" s="17">
        <f t="shared" si="51"/>
        <v>1020.7629289338286</v>
      </c>
      <c r="J94" s="17">
        <f t="shared" si="51"/>
        <v>1073.2722367976844</v>
      </c>
      <c r="K94" s="17">
        <f t="shared" si="51"/>
        <v>1061.9861084326087</v>
      </c>
      <c r="L94" s="17">
        <f t="shared" si="51"/>
        <v>1050.7022265604842</v>
      </c>
      <c r="M94" s="17">
        <f t="shared" si="51"/>
        <v>1039.4205908448723</v>
      </c>
      <c r="N94" s="17">
        <f t="shared" si="51"/>
        <v>1028.1412009493818</v>
      </c>
      <c r="O94" s="17">
        <f t="shared" si="51"/>
        <v>1076.6795892751738</v>
      </c>
      <c r="P94" s="17">
        <f t="shared" si="51"/>
        <v>1064.7414606424416</v>
      </c>
      <c r="S94" s="32" t="s">
        <v>156</v>
      </c>
      <c r="T94" s="39">
        <v>0.10059999999999999</v>
      </c>
      <c r="U94" s="32" t="s">
        <v>167</v>
      </c>
      <c r="V94" s="32"/>
      <c r="W94" s="32"/>
    </row>
    <row r="95" spans="3:23" ht="15.75" x14ac:dyDescent="0.25">
      <c r="C95" s="21" t="s">
        <v>71</v>
      </c>
      <c r="D95" s="21"/>
      <c r="F95" s="24">
        <f>Mortgage!E15</f>
        <v>5599.2887020304552</v>
      </c>
      <c r="G95" s="24">
        <f>Mortgage!E29</f>
        <v>5902.779332574295</v>
      </c>
      <c r="H95" s="24">
        <f>Mortgage!E43</f>
        <v>6222.7196530215188</v>
      </c>
      <c r="I95" s="24">
        <f>Mortgage!E57</f>
        <v>6560.0012635425464</v>
      </c>
      <c r="J95" s="24">
        <f>Mortgage!E71</f>
        <v>6915.5640904992952</v>
      </c>
      <c r="K95" s="24">
        <f>Mortgage!E85</f>
        <v>7290.3990058039626</v>
      </c>
      <c r="L95" s="24">
        <f>Mortgage!E99</f>
        <v>7685.5505882514426</v>
      </c>
      <c r="M95" s="24">
        <f>Mortgage!E113</f>
        <v>8102.1200345204325</v>
      </c>
      <c r="N95" s="24">
        <f>Mortgage!E127</f>
        <v>8541.2682279555811</v>
      </c>
      <c r="O95" s="24">
        <f>Mortgage!E141</f>
        <v>9004.2189736826767</v>
      </c>
      <c r="P95" s="24">
        <f>Mortgage!E155</f>
        <v>9492.2624090723948</v>
      </c>
      <c r="S95" s="32" t="s">
        <v>145</v>
      </c>
      <c r="T95" s="39">
        <v>1.7899999999999999E-2</v>
      </c>
      <c r="U95" s="32"/>
      <c r="V95" s="32"/>
      <c r="W95" s="32"/>
    </row>
    <row r="96" spans="3:23" ht="15.75" x14ac:dyDescent="0.25">
      <c r="C96" s="10" t="s">
        <v>85</v>
      </c>
      <c r="D96" s="10"/>
      <c r="F96" s="17">
        <f>SUM(F93:F95)</f>
        <v>6651.9373814825103</v>
      </c>
      <c r="G96" s="17">
        <f t="shared" ref="G96:P96" si="52">SUM(G93:G95)</f>
        <v>6944.7973130125638</v>
      </c>
      <c r="H96" s="17">
        <f t="shared" si="52"/>
        <v>7254.1090500593173</v>
      </c>
      <c r="I96" s="17">
        <f t="shared" si="52"/>
        <v>7580.7641924763748</v>
      </c>
      <c r="J96" s="17">
        <f t="shared" si="52"/>
        <v>7988.83632729698</v>
      </c>
      <c r="K96" s="17">
        <f t="shared" si="52"/>
        <v>8352.3851142365711</v>
      </c>
      <c r="L96" s="17">
        <f t="shared" si="52"/>
        <v>8736.2528148119272</v>
      </c>
      <c r="M96" s="17">
        <f t="shared" si="52"/>
        <v>9141.5406253653055</v>
      </c>
      <c r="N96" s="17">
        <f t="shared" si="52"/>
        <v>9569.4094289049626</v>
      </c>
      <c r="O96" s="17">
        <f t="shared" si="52"/>
        <v>10080.898562957851</v>
      </c>
      <c r="P96" s="17">
        <f t="shared" si="52"/>
        <v>10557.003869714836</v>
      </c>
      <c r="S96" s="32" t="s">
        <v>157</v>
      </c>
      <c r="T96" s="40">
        <f>T95+T93*(T94-T95)</f>
        <v>0.25187589174155245</v>
      </c>
      <c r="U96" s="32"/>
      <c r="V96" s="32"/>
      <c r="W96" s="32"/>
    </row>
    <row r="97" spans="3:23" ht="15.75" x14ac:dyDescent="0.25">
      <c r="C97" s="21"/>
      <c r="D97" s="21"/>
      <c r="S97" s="32"/>
      <c r="T97" s="32"/>
      <c r="U97" s="32"/>
      <c r="V97" s="32"/>
      <c r="W97" s="32"/>
    </row>
    <row r="98" spans="3:23" ht="15.75" x14ac:dyDescent="0.25">
      <c r="C98" s="21" t="s">
        <v>84</v>
      </c>
      <c r="D98" s="21"/>
      <c r="S98" s="32" t="s">
        <v>158</v>
      </c>
      <c r="T98" s="32" t="s">
        <v>159</v>
      </c>
      <c r="U98" s="32" t="s">
        <v>160</v>
      </c>
      <c r="V98" s="32" t="s">
        <v>161</v>
      </c>
      <c r="W98" s="32" t="s">
        <v>162</v>
      </c>
    </row>
    <row r="99" spans="3:23" ht="15.75" x14ac:dyDescent="0.25">
      <c r="C99" s="21" t="s">
        <v>82</v>
      </c>
      <c r="D99" s="21"/>
      <c r="F99" s="17">
        <f>Mortgage!B14</f>
        <v>394878.68966288515</v>
      </c>
      <c r="G99" s="17">
        <f>+F99-G95</f>
        <v>388975.91033031087</v>
      </c>
      <c r="H99" s="17">
        <f t="shared" ref="H99:O99" si="53">+G99-H95</f>
        <v>382753.19067728933</v>
      </c>
      <c r="I99" s="17">
        <f t="shared" si="53"/>
        <v>376193.18941374676</v>
      </c>
      <c r="J99" s="17">
        <f t="shared" si="53"/>
        <v>369277.62532324746</v>
      </c>
      <c r="K99" s="17">
        <f>+J99-K95</f>
        <v>361987.22631744348</v>
      </c>
      <c r="L99" s="17">
        <f t="shared" si="53"/>
        <v>354301.67572919204</v>
      </c>
      <c r="M99" s="17">
        <f t="shared" si="53"/>
        <v>346199.55569467158</v>
      </c>
      <c r="N99" s="17">
        <f t="shared" si="53"/>
        <v>337658.28746671602</v>
      </c>
      <c r="O99" s="17">
        <f t="shared" si="53"/>
        <v>328654.06849303335</v>
      </c>
      <c r="P99" s="17">
        <f>+O99-P95</f>
        <v>319161.80608396098</v>
      </c>
      <c r="S99" s="41">
        <f>AVERAGE(F99:P99)</f>
        <v>360003.74774477241</v>
      </c>
      <c r="T99" s="40">
        <f>S99/S108</f>
        <v>0.67497276425615171</v>
      </c>
      <c r="U99" s="42">
        <f>T87</f>
        <v>5.2900000000000003E-2</v>
      </c>
      <c r="V99" s="40">
        <f>U99*(1-$T$91)</f>
        <v>4.1262E-2</v>
      </c>
      <c r="W99" s="40">
        <f>T99*V99</f>
        <v>2.7850726198737331E-2</v>
      </c>
    </row>
    <row r="100" spans="3:23" ht="15.75" x14ac:dyDescent="0.25">
      <c r="C100" s="21" t="s">
        <v>72</v>
      </c>
      <c r="D100" s="21"/>
      <c r="F100" s="24">
        <v>152902.39396338764</v>
      </c>
      <c r="G100" s="24">
        <v>139363.97583875037</v>
      </c>
      <c r="H100" s="24">
        <v>124993.55887657469</v>
      </c>
      <c r="I100" s="24">
        <v>111707.77889520758</v>
      </c>
      <c r="J100" s="24">
        <v>88304.871161628456</v>
      </c>
      <c r="K100" s="24">
        <v>62608.260456550081</v>
      </c>
      <c r="L100" s="24">
        <v>37278.597490085849</v>
      </c>
      <c r="M100" s="24">
        <v>10416.201401383643</v>
      </c>
      <c r="N100" s="24">
        <v>0</v>
      </c>
      <c r="O100" s="24">
        <v>0</v>
      </c>
      <c r="P100" s="24">
        <v>0</v>
      </c>
      <c r="S100" s="41">
        <f>AVERAGE(F100:P100)</f>
        <v>66143.239825778932</v>
      </c>
      <c r="T100" s="40">
        <f>S100/S108</f>
        <v>0.12401227959914168</v>
      </c>
      <c r="U100" s="42">
        <f>T88</f>
        <v>8.2900000000000001E-2</v>
      </c>
      <c r="V100" s="40">
        <f>U100*(1-$T$91)</f>
        <v>6.4661999999999997E-2</v>
      </c>
      <c r="W100" s="40">
        <f>T100*V100</f>
        <v>8.0188820234396996E-3</v>
      </c>
    </row>
    <row r="101" spans="3:23" ht="15.75" x14ac:dyDescent="0.25">
      <c r="C101" s="21" t="s">
        <v>86</v>
      </c>
      <c r="D101" s="21"/>
      <c r="F101" s="17">
        <f>SUM(F99:F100)</f>
        <v>547781.08362627286</v>
      </c>
      <c r="G101" s="17">
        <f t="shared" ref="G101:P101" si="54">SUM(G99:G100)</f>
        <v>528339.8861690613</v>
      </c>
      <c r="H101" s="17">
        <f t="shared" si="54"/>
        <v>507746.74955386401</v>
      </c>
      <c r="I101" s="17">
        <f t="shared" si="54"/>
        <v>487900.96830895433</v>
      </c>
      <c r="J101" s="17">
        <f t="shared" si="54"/>
        <v>457582.49648487591</v>
      </c>
      <c r="K101" s="17">
        <f t="shared" si="54"/>
        <v>424595.48677399359</v>
      </c>
      <c r="L101" s="17">
        <f t="shared" si="54"/>
        <v>391580.27321927791</v>
      </c>
      <c r="M101" s="17">
        <f t="shared" si="54"/>
        <v>356615.7570960552</v>
      </c>
      <c r="N101" s="17">
        <f t="shared" si="54"/>
        <v>337658.28746671602</v>
      </c>
      <c r="O101" s="17">
        <f t="shared" si="54"/>
        <v>328654.06849303335</v>
      </c>
      <c r="P101" s="17">
        <f t="shared" si="54"/>
        <v>319161.80608396098</v>
      </c>
      <c r="S101" s="32"/>
      <c r="T101" s="40"/>
      <c r="U101" s="32"/>
      <c r="V101" s="40"/>
      <c r="W101" s="40"/>
    </row>
    <row r="102" spans="3:23" ht="15.75" x14ac:dyDescent="0.25">
      <c r="C102" s="21"/>
      <c r="D102" s="21"/>
      <c r="S102" s="32"/>
      <c r="T102" s="40"/>
      <c r="U102" s="32"/>
      <c r="V102" s="40"/>
      <c r="W102" s="40"/>
    </row>
    <row r="103" spans="3:23" ht="15.75" x14ac:dyDescent="0.25">
      <c r="C103" s="21" t="s">
        <v>73</v>
      </c>
      <c r="D103" s="21"/>
      <c r="F103" s="17">
        <f>+F96+F101</f>
        <v>554433.02100775542</v>
      </c>
      <c r="G103" s="17">
        <f>+G96+G101</f>
        <v>535284.68348207383</v>
      </c>
      <c r="H103" s="17">
        <f t="shared" ref="H103:P103" si="55">+H96+H101</f>
        <v>515000.85860392335</v>
      </c>
      <c r="I103" s="17">
        <f t="shared" si="55"/>
        <v>495481.73250143073</v>
      </c>
      <c r="J103" s="17">
        <f t="shared" si="55"/>
        <v>465571.33281217288</v>
      </c>
      <c r="K103" s="17">
        <f t="shared" si="55"/>
        <v>432947.87188823015</v>
      </c>
      <c r="L103" s="17">
        <f t="shared" si="55"/>
        <v>400316.52603408985</v>
      </c>
      <c r="M103" s="17">
        <f t="shared" si="55"/>
        <v>365757.29772142053</v>
      </c>
      <c r="N103" s="17">
        <f t="shared" si="55"/>
        <v>347227.69689562096</v>
      </c>
      <c r="O103" s="17">
        <f t="shared" si="55"/>
        <v>338734.96705599118</v>
      </c>
      <c r="P103" s="17">
        <f t="shared" si="55"/>
        <v>329718.80995367584</v>
      </c>
      <c r="S103" s="32"/>
      <c r="T103" s="40"/>
      <c r="U103" s="32"/>
      <c r="V103" s="40"/>
      <c r="W103" s="40"/>
    </row>
    <row r="104" spans="3:23" x14ac:dyDescent="0.25">
      <c r="C104" s="21"/>
      <c r="D104" s="21"/>
    </row>
    <row r="105" spans="3:23" ht="15.75" x14ac:dyDescent="0.25">
      <c r="C105" s="21" t="s">
        <v>74</v>
      </c>
      <c r="D105" s="21"/>
      <c r="F105" s="17">
        <f>+F41</f>
        <v>65000</v>
      </c>
      <c r="G105" s="17">
        <f t="shared" ref="G105:P105" si="56">+G41</f>
        <v>65000</v>
      </c>
      <c r="H105" s="17">
        <f t="shared" si="56"/>
        <v>65000</v>
      </c>
      <c r="I105" s="17">
        <f t="shared" si="56"/>
        <v>65000</v>
      </c>
      <c r="J105" s="17">
        <f t="shared" si="56"/>
        <v>65000</v>
      </c>
      <c r="K105" s="17">
        <f t="shared" si="56"/>
        <v>65000</v>
      </c>
      <c r="L105" s="17">
        <f t="shared" si="56"/>
        <v>65000</v>
      </c>
      <c r="M105" s="17">
        <f t="shared" si="56"/>
        <v>65000</v>
      </c>
      <c r="N105" s="17">
        <f t="shared" si="56"/>
        <v>65000</v>
      </c>
      <c r="O105" s="17">
        <f t="shared" si="56"/>
        <v>65000</v>
      </c>
      <c r="P105" s="17">
        <f t="shared" si="56"/>
        <v>65000</v>
      </c>
      <c r="S105" s="41">
        <f>AVERAGE(F105:P105)</f>
        <v>65000</v>
      </c>
      <c r="T105" s="40">
        <f>SUM(S105:S106)/S108</f>
        <v>0.20101495614470655</v>
      </c>
      <c r="U105" s="39">
        <f>T96</f>
        <v>0.25187589174155245</v>
      </c>
      <c r="V105" s="40">
        <f>U105</f>
        <v>0.25187589174155245</v>
      </c>
      <c r="W105" s="40">
        <f>T105*V105</f>
        <v>5.0630821332337018E-2</v>
      </c>
    </row>
    <row r="106" spans="3:23" ht="15.75" x14ac:dyDescent="0.25">
      <c r="C106" s="21" t="s">
        <v>75</v>
      </c>
      <c r="D106" s="21"/>
      <c r="F106" s="26">
        <f>+F71</f>
        <v>891.52706904345121</v>
      </c>
      <c r="G106" s="24">
        <f t="shared" ref="G106:P106" si="57">+F106+G71</f>
        <v>2544.9208610836326</v>
      </c>
      <c r="H106" s="24">
        <f t="shared" si="57"/>
        <v>5002.4852782752459</v>
      </c>
      <c r="I106" s="24">
        <f t="shared" si="57"/>
        <v>6357.6188263317317</v>
      </c>
      <c r="J106" s="24">
        <f t="shared" si="57"/>
        <v>18610.732132552912</v>
      </c>
      <c r="K106" s="24">
        <f t="shared" si="57"/>
        <v>32374.408761299539</v>
      </c>
      <c r="L106" s="24">
        <f t="shared" si="57"/>
        <v>45788.139661875895</v>
      </c>
      <c r="M106" s="24">
        <f t="shared" si="57"/>
        <v>60764.990171769445</v>
      </c>
      <c r="N106" s="24">
        <f t="shared" si="57"/>
        <v>76230.647517419828</v>
      </c>
      <c r="O106" s="24">
        <f t="shared" si="57"/>
        <v>97405.705028728145</v>
      </c>
      <c r="P106" s="24">
        <f t="shared" si="57"/>
        <v>118376.4300584165</v>
      </c>
      <c r="S106" s="41">
        <f>AVERAGE(F106:P106)</f>
        <v>42213.418669708757</v>
      </c>
      <c r="T106" s="40"/>
      <c r="U106" s="32"/>
      <c r="V106" s="32"/>
      <c r="W106" s="40"/>
    </row>
    <row r="107" spans="3:23" ht="15.75" x14ac:dyDescent="0.25">
      <c r="C107" s="21" t="s">
        <v>95</v>
      </c>
      <c r="D107" s="21"/>
      <c r="F107" s="17">
        <f t="shared" ref="F107:P107" si="58">SUM(F105:F106)</f>
        <v>65891.527069043455</v>
      </c>
      <c r="G107" s="17">
        <f t="shared" si="58"/>
        <v>67544.920861083636</v>
      </c>
      <c r="H107" s="17">
        <f t="shared" si="58"/>
        <v>70002.485278275242</v>
      </c>
      <c r="I107" s="17">
        <f t="shared" si="58"/>
        <v>71357.618826331731</v>
      </c>
      <c r="J107" s="17">
        <f t="shared" si="58"/>
        <v>83610.732132552919</v>
      </c>
      <c r="K107" s="17">
        <f t="shared" si="58"/>
        <v>97374.408761299535</v>
      </c>
      <c r="L107" s="17">
        <f t="shared" si="58"/>
        <v>110788.1396618759</v>
      </c>
      <c r="M107" s="17">
        <f t="shared" si="58"/>
        <v>125764.99017176944</v>
      </c>
      <c r="N107" s="17">
        <f t="shared" si="58"/>
        <v>141230.64751741983</v>
      </c>
      <c r="O107" s="17">
        <f t="shared" si="58"/>
        <v>162405.70502872815</v>
      </c>
      <c r="P107" s="17">
        <f t="shared" si="58"/>
        <v>183376.4300584165</v>
      </c>
      <c r="S107" s="32"/>
      <c r="T107" s="40"/>
      <c r="U107" s="32"/>
      <c r="V107" s="32"/>
      <c r="W107" s="40"/>
    </row>
    <row r="108" spans="3:23" ht="15.75" x14ac:dyDescent="0.25">
      <c r="C108" s="21"/>
      <c r="D108" s="21"/>
      <c r="S108" s="41">
        <f>SUM(S99:S106)</f>
        <v>533360.40624026011</v>
      </c>
      <c r="T108" s="40">
        <f>SUM(T99:T106)</f>
        <v>1</v>
      </c>
      <c r="U108" s="32"/>
      <c r="V108" s="32"/>
      <c r="W108" s="43">
        <f>SUM(W99:W105)</f>
        <v>8.6500429554514049E-2</v>
      </c>
    </row>
    <row r="109" spans="3:23" ht="15.75" thickBot="1" x14ac:dyDescent="0.3">
      <c r="C109" s="21" t="s">
        <v>76</v>
      </c>
      <c r="D109" s="21"/>
      <c r="F109" s="27">
        <f t="shared" ref="F109:P109" si="59">+F107+F103</f>
        <v>620324.54807679891</v>
      </c>
      <c r="G109" s="27">
        <f t="shared" si="59"/>
        <v>602829.60434315749</v>
      </c>
      <c r="H109" s="27">
        <f t="shared" si="59"/>
        <v>585003.34388219856</v>
      </c>
      <c r="I109" s="27">
        <f t="shared" si="59"/>
        <v>566839.35132776247</v>
      </c>
      <c r="J109" s="27">
        <f t="shared" si="59"/>
        <v>549182.06494472583</v>
      </c>
      <c r="K109" s="27">
        <f t="shared" si="59"/>
        <v>530322.28064952965</v>
      </c>
      <c r="L109" s="27">
        <f t="shared" si="59"/>
        <v>511104.66569596576</v>
      </c>
      <c r="M109" s="27">
        <f t="shared" si="59"/>
        <v>491522.28789318999</v>
      </c>
      <c r="N109" s="27">
        <f t="shared" si="59"/>
        <v>488458.34441304079</v>
      </c>
      <c r="O109" s="27">
        <f t="shared" si="59"/>
        <v>501140.67208471929</v>
      </c>
      <c r="P109" s="27">
        <f t="shared" si="59"/>
        <v>513095.24001209234</v>
      </c>
    </row>
    <row r="110" spans="3:23" ht="15.75" thickTop="1" x14ac:dyDescent="0.25"/>
    <row r="111" spans="3:23" x14ac:dyDescent="0.25">
      <c r="C111" s="21" t="s">
        <v>96</v>
      </c>
      <c r="D111" s="21"/>
      <c r="F111" s="33">
        <f>+F90-F109</f>
        <v>0</v>
      </c>
      <c r="G111" s="33">
        <f>+G90-G109</f>
        <v>0</v>
      </c>
      <c r="H111" s="17">
        <f t="shared" ref="H111:P111" si="60">+H90-H109</f>
        <v>0</v>
      </c>
      <c r="I111" s="17">
        <f t="shared" si="60"/>
        <v>0</v>
      </c>
      <c r="J111" s="17">
        <f t="shared" si="60"/>
        <v>0</v>
      </c>
      <c r="K111" s="17">
        <f t="shared" si="60"/>
        <v>0</v>
      </c>
      <c r="L111" s="17">
        <f t="shared" si="60"/>
        <v>0</v>
      </c>
      <c r="M111" s="17">
        <f t="shared" si="60"/>
        <v>0</v>
      </c>
      <c r="N111" s="17">
        <f t="shared" si="60"/>
        <v>0</v>
      </c>
      <c r="O111" s="17">
        <f t="shared" si="60"/>
        <v>0</v>
      </c>
      <c r="P111" s="17">
        <f t="shared" si="60"/>
        <v>0</v>
      </c>
    </row>
    <row r="113" spans="1:17" ht="15.75" x14ac:dyDescent="0.25">
      <c r="A113" s="31" t="s">
        <v>112</v>
      </c>
      <c r="B113" s="32"/>
      <c r="C113" s="32"/>
      <c r="D113" s="32"/>
      <c r="E113">
        <v>0</v>
      </c>
      <c r="F113">
        <v>1</v>
      </c>
      <c r="G113">
        <v>2</v>
      </c>
      <c r="H113">
        <v>3</v>
      </c>
      <c r="I113">
        <v>4</v>
      </c>
      <c r="J113">
        <v>5</v>
      </c>
      <c r="K113">
        <v>6</v>
      </c>
      <c r="L113">
        <v>7</v>
      </c>
      <c r="M113">
        <v>8</v>
      </c>
      <c r="N113">
        <v>9</v>
      </c>
      <c r="O113">
        <v>10</v>
      </c>
      <c r="P113">
        <v>11</v>
      </c>
    </row>
    <row r="114" spans="1:17" ht="15.75" x14ac:dyDescent="0.25">
      <c r="A114" s="32"/>
      <c r="B114" s="32"/>
      <c r="C114" s="32"/>
      <c r="D114" s="32"/>
      <c r="F114" s="17"/>
      <c r="G114" s="17"/>
      <c r="H114" s="17"/>
      <c r="I114" s="17"/>
      <c r="J114" s="17"/>
      <c r="K114" s="17"/>
      <c r="L114" s="17"/>
      <c r="M114" s="17"/>
      <c r="N114" s="17"/>
      <c r="O114" s="17"/>
      <c r="P114" s="17"/>
      <c r="Q114" s="17"/>
    </row>
    <row r="115" spans="1:17" ht="15.75" x14ac:dyDescent="0.25">
      <c r="A115" s="31" t="s">
        <v>113</v>
      </c>
      <c r="B115" s="32"/>
      <c r="C115" s="32"/>
      <c r="D115" s="32"/>
    </row>
    <row r="116" spans="1:17" ht="15.75" x14ac:dyDescent="0.25">
      <c r="A116" s="32"/>
      <c r="B116" s="32" t="s">
        <v>114</v>
      </c>
      <c r="C116" s="32"/>
      <c r="D116" s="32"/>
      <c r="F116" s="17">
        <f>F50-F52-F55-F56-F57-F60</f>
        <v>61662.585779999994</v>
      </c>
      <c r="G116" s="17">
        <f t="shared" ref="G116:P116" si="61">G50-G52-G55-G56-G57-G60</f>
        <v>61711.589418970812</v>
      </c>
      <c r="H116" s="17">
        <f t="shared" si="61"/>
        <v>61738.87759024564</v>
      </c>
      <c r="I116" s="17">
        <f t="shared" si="61"/>
        <v>59404.033208198613</v>
      </c>
      <c r="J116" s="17">
        <f t="shared" si="61"/>
        <v>71607.178368400215</v>
      </c>
      <c r="K116" s="17">
        <f t="shared" si="61"/>
        <v>71575.782205219235</v>
      </c>
      <c r="L116" s="17">
        <f t="shared" si="61"/>
        <v>69179.442215063755</v>
      </c>
      <c r="M116" s="17">
        <f t="shared" si="61"/>
        <v>69097.686150758222</v>
      </c>
      <c r="N116" s="17">
        <f t="shared" si="61"/>
        <v>68990.034732815591</v>
      </c>
      <c r="O116" s="17">
        <f t="shared" si="61"/>
        <v>76425.974468377201</v>
      </c>
      <c r="P116" s="17">
        <f t="shared" si="61"/>
        <v>76266.143511074464</v>
      </c>
    </row>
    <row r="117" spans="1:17" ht="15.75" x14ac:dyDescent="0.25">
      <c r="A117" s="32"/>
      <c r="B117" s="32" t="s">
        <v>115</v>
      </c>
      <c r="C117" s="32"/>
      <c r="D117" s="32"/>
      <c r="F117" s="17">
        <f>F58+F59</f>
        <v>26818.459538461539</v>
      </c>
      <c r="G117" s="17">
        <f t="shared" ref="G117:P117" si="62">G58+G59</f>
        <v>27316.536461538461</v>
      </c>
      <c r="H117" s="17">
        <f t="shared" si="62"/>
        <v>27824.084538461539</v>
      </c>
      <c r="I117" s="17">
        <f t="shared" si="62"/>
        <v>28341.28583653846</v>
      </c>
      <c r="J117" s="17">
        <f t="shared" si="62"/>
        <v>28868.325954086533</v>
      </c>
      <c r="K117" s="17">
        <f t="shared" si="62"/>
        <v>29405.394089397836</v>
      </c>
      <c r="L117" s="17">
        <f t="shared" si="62"/>
        <v>29952.683111058799</v>
      </c>
      <c r="M117" s="17">
        <f t="shared" si="62"/>
        <v>30510.389629651079</v>
      </c>
      <c r="N117" s="17">
        <f t="shared" si="62"/>
        <v>31078.714070860777</v>
      </c>
      <c r="O117" s="17">
        <f t="shared" si="62"/>
        <v>31657.860750023916</v>
      </c>
      <c r="P117" s="17">
        <f t="shared" si="62"/>
        <v>32248.037948136505</v>
      </c>
    </row>
    <row r="118" spans="1:17" ht="15.75" x14ac:dyDescent="0.25">
      <c r="A118" s="32"/>
      <c r="B118" s="32" t="s">
        <v>116</v>
      </c>
      <c r="C118" s="32"/>
      <c r="D118" s="32"/>
      <c r="F118" s="17">
        <f>F116-F117</f>
        <v>34844.126241538455</v>
      </c>
      <c r="G118" s="17">
        <f t="shared" ref="G118:P118" si="63">G116-G117</f>
        <v>34395.052957432352</v>
      </c>
      <c r="H118" s="17">
        <f t="shared" si="63"/>
        <v>33914.793051784101</v>
      </c>
      <c r="I118" s="17">
        <f t="shared" si="63"/>
        <v>31062.747371660153</v>
      </c>
      <c r="J118" s="17">
        <f t="shared" si="63"/>
        <v>42738.852414313682</v>
      </c>
      <c r="K118" s="17">
        <f t="shared" si="63"/>
        <v>42170.388115821399</v>
      </c>
      <c r="L118" s="17">
        <f t="shared" si="63"/>
        <v>39226.759104004959</v>
      </c>
      <c r="M118" s="17">
        <f t="shared" si="63"/>
        <v>38587.296521107142</v>
      </c>
      <c r="N118" s="17">
        <f t="shared" si="63"/>
        <v>37911.320661954815</v>
      </c>
      <c r="O118" s="17">
        <f t="shared" si="63"/>
        <v>44768.113718353285</v>
      </c>
      <c r="P118" s="17">
        <f t="shared" si="63"/>
        <v>44018.105562937955</v>
      </c>
    </row>
    <row r="119" spans="1:17" ht="15.75" x14ac:dyDescent="0.25">
      <c r="A119" s="32"/>
      <c r="B119" s="32" t="s">
        <v>117</v>
      </c>
      <c r="C119" s="32"/>
      <c r="D119" s="32"/>
      <c r="F119" s="33">
        <f>F118*F32</f>
        <v>7665.7077731384607</v>
      </c>
      <c r="G119" s="33">
        <f t="shared" ref="G119:P119" si="64">G118*G32</f>
        <v>7566.9116506351174</v>
      </c>
      <c r="H119" s="33">
        <f t="shared" si="64"/>
        <v>7461.2544713925026</v>
      </c>
      <c r="I119" s="33">
        <f t="shared" si="64"/>
        <v>6833.8044217652332</v>
      </c>
      <c r="J119" s="33">
        <f t="shared" si="64"/>
        <v>9402.54753114901</v>
      </c>
      <c r="K119" s="33">
        <f t="shared" si="64"/>
        <v>9277.4853854807079</v>
      </c>
      <c r="L119" s="33">
        <f t="shared" si="64"/>
        <v>8629.8870028810907</v>
      </c>
      <c r="M119" s="33">
        <f t="shared" si="64"/>
        <v>8489.2052346435721</v>
      </c>
      <c r="N119" s="33">
        <f t="shared" si="64"/>
        <v>8340.4905456300585</v>
      </c>
      <c r="O119" s="33">
        <f t="shared" si="64"/>
        <v>9848.9850180377234</v>
      </c>
      <c r="P119" s="33">
        <f t="shared" si="64"/>
        <v>9683.9832238463496</v>
      </c>
    </row>
    <row r="120" spans="1:17" ht="16.5" thickBot="1" x14ac:dyDescent="0.3">
      <c r="A120" s="32"/>
      <c r="B120" s="32" t="s">
        <v>118</v>
      </c>
      <c r="C120" s="32"/>
      <c r="D120" s="32"/>
      <c r="E120" s="35"/>
      <c r="F120" s="36">
        <f>F116-F119</f>
        <v>53996.878006861531</v>
      </c>
      <c r="G120" s="36">
        <f t="shared" ref="G120:P120" si="65">G116-G119</f>
        <v>54144.677768335692</v>
      </c>
      <c r="H120" s="36">
        <f t="shared" si="65"/>
        <v>54277.623118853138</v>
      </c>
      <c r="I120" s="36">
        <f t="shared" si="65"/>
        <v>52570.228786433378</v>
      </c>
      <c r="J120" s="36">
        <f t="shared" si="65"/>
        <v>62204.630837251207</v>
      </c>
      <c r="K120" s="36">
        <f t="shared" si="65"/>
        <v>62298.296819738527</v>
      </c>
      <c r="L120" s="36">
        <f t="shared" si="65"/>
        <v>60549.555212182662</v>
      </c>
      <c r="M120" s="36">
        <f t="shared" si="65"/>
        <v>60608.480916114648</v>
      </c>
      <c r="N120" s="36">
        <f t="shared" si="65"/>
        <v>60649.544187185529</v>
      </c>
      <c r="O120" s="36">
        <f t="shared" si="65"/>
        <v>66576.989450339475</v>
      </c>
      <c r="P120" s="36">
        <f t="shared" si="65"/>
        <v>66582.160287228122</v>
      </c>
    </row>
    <row r="121" spans="1:17" ht="16.5" thickTop="1" x14ac:dyDescent="0.25">
      <c r="A121" s="32"/>
      <c r="B121" s="32"/>
      <c r="C121" s="32"/>
      <c r="D121" s="32"/>
    </row>
    <row r="122" spans="1:17" ht="15.75" x14ac:dyDescent="0.25">
      <c r="A122" s="31" t="s">
        <v>119</v>
      </c>
      <c r="B122" s="32"/>
      <c r="C122" s="32"/>
      <c r="D122" s="32"/>
    </row>
    <row r="123" spans="1:17" ht="15.75" x14ac:dyDescent="0.25">
      <c r="A123" s="32" t="s">
        <v>120</v>
      </c>
      <c r="B123" s="32"/>
      <c r="C123" s="32"/>
      <c r="D123" s="32"/>
    </row>
    <row r="124" spans="1:17" ht="15.75" x14ac:dyDescent="0.25">
      <c r="A124" s="32"/>
      <c r="B124" s="32" t="s">
        <v>121</v>
      </c>
      <c r="C124" s="32"/>
      <c r="D124" s="32"/>
      <c r="E124" s="6">
        <f t="shared" ref="E124:P124" si="66">E76-F76</f>
        <v>-8187.0805380000002</v>
      </c>
      <c r="F124" s="6">
        <f t="shared" si="66"/>
        <v>-8.1454533604101016</v>
      </c>
      <c r="G124" s="6">
        <f t="shared" si="66"/>
        <v>-7.2171257574063929</v>
      </c>
      <c r="H124" s="6">
        <f t="shared" si="66"/>
        <v>-6.270358743979159</v>
      </c>
      <c r="I124" s="6">
        <f t="shared" si="66"/>
        <v>-629.68804805204854</v>
      </c>
      <c r="J124" s="6">
        <f t="shared" si="66"/>
        <v>-4.5326069741222454</v>
      </c>
      <c r="K124" s="6">
        <f t="shared" si="66"/>
        <v>-3.4538582927361858</v>
      </c>
      <c r="L124" s="6">
        <f t="shared" si="66"/>
        <v>-2.3540811307448166</v>
      </c>
      <c r="M124" s="6">
        <f t="shared" si="66"/>
        <v>-1.2329625963229773</v>
      </c>
      <c r="N124" s="6">
        <f t="shared" si="66"/>
        <v>-624.76975132325424</v>
      </c>
      <c r="O124" s="6">
        <f t="shared" si="66"/>
        <v>1.252162903205317</v>
      </c>
      <c r="P124" s="6">
        <f t="shared" si="66"/>
        <v>9473.4926213278195</v>
      </c>
    </row>
    <row r="125" spans="1:17" ht="15.75" x14ac:dyDescent="0.25">
      <c r="A125" s="32"/>
      <c r="B125" s="32" t="s">
        <v>45</v>
      </c>
      <c r="C125" s="32"/>
      <c r="D125" s="32"/>
      <c r="E125" s="17">
        <f t="shared" ref="E125:P125" si="67">E77-F77</f>
        <v>0</v>
      </c>
      <c r="F125" s="17">
        <f t="shared" si="67"/>
        <v>0</v>
      </c>
      <c r="G125" s="17">
        <f t="shared" si="67"/>
        <v>0</v>
      </c>
      <c r="H125" s="17">
        <f t="shared" si="67"/>
        <v>0</v>
      </c>
      <c r="I125" s="17">
        <f t="shared" si="67"/>
        <v>0</v>
      </c>
      <c r="J125" s="17">
        <f t="shared" si="67"/>
        <v>0</v>
      </c>
      <c r="K125" s="17">
        <f t="shared" si="67"/>
        <v>0</v>
      </c>
      <c r="L125" s="17">
        <f t="shared" si="67"/>
        <v>0</v>
      </c>
      <c r="M125" s="17">
        <f t="shared" si="67"/>
        <v>-16890.264516452677</v>
      </c>
      <c r="N125" s="17">
        <f t="shared" si="67"/>
        <v>-32168.429315049783</v>
      </c>
      <c r="O125" s="17">
        <f t="shared" si="67"/>
        <v>-32675.251650394348</v>
      </c>
      <c r="P125" s="17">
        <f t="shared" si="67"/>
        <v>81733.945481896808</v>
      </c>
    </row>
    <row r="126" spans="1:17" ht="15.75" x14ac:dyDescent="0.25">
      <c r="A126" s="32"/>
      <c r="B126" s="32" t="s">
        <v>122</v>
      </c>
      <c r="C126" s="32"/>
      <c r="D126" s="32"/>
      <c r="E126" s="17">
        <f t="shared" ref="E126:P126" si="68">E79-F79</f>
        <v>-2133.1318191780824</v>
      </c>
      <c r="F126" s="17">
        <f t="shared" si="68"/>
        <v>0.21331318191778337</v>
      </c>
      <c r="G126" s="17">
        <f t="shared" si="68"/>
        <v>0.43089262747389512</v>
      </c>
      <c r="H126" s="17">
        <f t="shared" si="68"/>
        <v>0.65280233062276238</v>
      </c>
      <c r="I126" s="17">
        <f t="shared" si="68"/>
        <v>-158.37381023470016</v>
      </c>
      <c r="J126" s="17">
        <f t="shared" si="68"/>
        <v>1.1928169902466834</v>
      </c>
      <c r="K126" s="17">
        <f t="shared" si="68"/>
        <v>1.4456941921780526</v>
      </c>
      <c r="L126" s="17">
        <f t="shared" si="68"/>
        <v>1.7035096564500236</v>
      </c>
      <c r="M126" s="17">
        <f t="shared" si="68"/>
        <v>1.9663368605879441</v>
      </c>
      <c r="N126" s="17">
        <f t="shared" si="68"/>
        <v>-156.42464470780124</v>
      </c>
      <c r="O126" s="17">
        <f t="shared" si="68"/>
        <v>2.6816757233855242</v>
      </c>
      <c r="P126" s="17">
        <f t="shared" si="68"/>
        <v>2437.6432325577211</v>
      </c>
    </row>
    <row r="127" spans="1:17" ht="15.75" x14ac:dyDescent="0.25">
      <c r="A127" s="32"/>
      <c r="B127" s="32" t="s">
        <v>123</v>
      </c>
      <c r="C127" s="32"/>
      <c r="D127" s="32"/>
      <c r="E127" s="17">
        <f t="shared" ref="E127:P127" si="69">E78-F78</f>
        <v>-1122.8252580821918</v>
      </c>
      <c r="F127" s="17">
        <f t="shared" si="69"/>
        <v>11.339412281372006</v>
      </c>
      <c r="G127" s="17">
        <f t="shared" si="69"/>
        <v>11.337155627168158</v>
      </c>
      <c r="H127" s="17">
        <f t="shared" si="69"/>
        <v>11.334899310901164</v>
      </c>
      <c r="I127" s="17">
        <f t="shared" si="69"/>
        <v>-56.009928388112712</v>
      </c>
      <c r="J127" s="17">
        <f t="shared" si="69"/>
        <v>12.038536922747198</v>
      </c>
      <c r="K127" s="17">
        <f t="shared" si="69"/>
        <v>12.036140663599554</v>
      </c>
      <c r="L127" s="17">
        <f t="shared" si="69"/>
        <v>12.033744763319191</v>
      </c>
      <c r="M127" s="17">
        <f t="shared" si="69"/>
        <v>12.031349221856772</v>
      </c>
      <c r="N127" s="17">
        <f t="shared" si="69"/>
        <v>-51.774280880844799</v>
      </c>
      <c r="O127" s="17">
        <f t="shared" si="69"/>
        <v>12.734003874914379</v>
      </c>
      <c r="P127" s="17">
        <f t="shared" si="69"/>
        <v>1135.7242246852709</v>
      </c>
    </row>
    <row r="128" spans="1:17" ht="15.75" x14ac:dyDescent="0.25">
      <c r="A128" s="32"/>
      <c r="B128" s="32" t="s">
        <v>124</v>
      </c>
      <c r="C128" s="32"/>
      <c r="D128" s="32"/>
      <c r="E128" s="17">
        <f>F94-E94</f>
        <v>1052.6486794520547</v>
      </c>
      <c r="F128" s="17">
        <f t="shared" ref="F128:P128" si="70">G94-F94</f>
        <v>-10.63069901378617</v>
      </c>
      <c r="G128" s="17">
        <f t="shared" si="70"/>
        <v>-10.628583400470234</v>
      </c>
      <c r="H128" s="17">
        <f t="shared" si="70"/>
        <v>-10.626468103969728</v>
      </c>
      <c r="I128" s="17">
        <f t="shared" si="70"/>
        <v>52.509307863855838</v>
      </c>
      <c r="J128" s="17">
        <f t="shared" si="70"/>
        <v>-11.286128365075683</v>
      </c>
      <c r="K128" s="17">
        <f t="shared" si="70"/>
        <v>-11.283881872124539</v>
      </c>
      <c r="L128" s="17">
        <f t="shared" si="70"/>
        <v>-11.281635715611856</v>
      </c>
      <c r="M128" s="17">
        <f t="shared" si="70"/>
        <v>-11.279389895490567</v>
      </c>
      <c r="N128" s="17">
        <f t="shared" si="70"/>
        <v>48.538388325792084</v>
      </c>
      <c r="O128" s="17">
        <f t="shared" si="70"/>
        <v>-11.938128632732287</v>
      </c>
      <c r="P128" s="17">
        <f t="shared" si="70"/>
        <v>-1064.7414606424416</v>
      </c>
    </row>
    <row r="129" spans="1:19" ht="15.75" x14ac:dyDescent="0.25">
      <c r="A129" s="32"/>
      <c r="B129" s="32" t="s">
        <v>168</v>
      </c>
      <c r="C129" s="32"/>
      <c r="D129" s="32"/>
      <c r="E129" s="17">
        <f>+F119-E119</f>
        <v>7665.7077731384607</v>
      </c>
      <c r="F129" s="17">
        <f t="shared" ref="F129:P129" si="71">+G119-F119</f>
        <v>-98.796122503343213</v>
      </c>
      <c r="G129" s="17">
        <f t="shared" si="71"/>
        <v>-105.6571792426148</v>
      </c>
      <c r="H129" s="17">
        <f t="shared" si="71"/>
        <v>-627.45004962726944</v>
      </c>
      <c r="I129" s="17">
        <f t="shared" si="71"/>
        <v>2568.7431093837768</v>
      </c>
      <c r="J129" s="17">
        <f t="shared" si="71"/>
        <v>-125.06214566830204</v>
      </c>
      <c r="K129" s="17">
        <f t="shared" si="71"/>
        <v>-647.59838259961725</v>
      </c>
      <c r="L129" s="17">
        <f t="shared" si="71"/>
        <v>-140.68176823751855</v>
      </c>
      <c r="M129" s="17">
        <f t="shared" si="71"/>
        <v>-148.71468901351363</v>
      </c>
      <c r="N129" s="17">
        <f t="shared" si="71"/>
        <v>1508.4944724076649</v>
      </c>
      <c r="O129" s="17">
        <f t="shared" si="71"/>
        <v>-165.00179419137385</v>
      </c>
      <c r="P129" s="17">
        <f t="shared" si="71"/>
        <v>-9683.9832238463496</v>
      </c>
    </row>
    <row r="130" spans="1:19" ht="15.75" x14ac:dyDescent="0.25">
      <c r="A130" s="32"/>
      <c r="B130" s="32"/>
      <c r="C130" s="32"/>
      <c r="D130" s="32"/>
      <c r="E130" s="17"/>
    </row>
    <row r="131" spans="1:19" ht="15.75" x14ac:dyDescent="0.25">
      <c r="A131" s="32" t="s">
        <v>125</v>
      </c>
      <c r="B131" s="32"/>
      <c r="C131" s="32"/>
      <c r="D131" s="32"/>
      <c r="S131" t="s">
        <v>138</v>
      </c>
    </row>
    <row r="132" spans="1:19" ht="15.75" x14ac:dyDescent="0.25">
      <c r="A132" s="32"/>
      <c r="B132" s="32" t="s">
        <v>53</v>
      </c>
      <c r="C132" s="32"/>
      <c r="D132" s="32"/>
      <c r="E132" s="17">
        <f t="shared" ref="E132:P132" si="72">E87-F87</f>
        <v>-76500</v>
      </c>
      <c r="F132" s="17">
        <f t="shared" si="72"/>
        <v>0</v>
      </c>
      <c r="G132" s="17">
        <f t="shared" si="72"/>
        <v>0</v>
      </c>
      <c r="H132" s="17">
        <f t="shared" si="72"/>
        <v>0</v>
      </c>
      <c r="I132" s="17">
        <f t="shared" si="72"/>
        <v>0</v>
      </c>
      <c r="J132" s="17">
        <f t="shared" si="72"/>
        <v>0</v>
      </c>
      <c r="K132" s="17">
        <f t="shared" si="72"/>
        <v>0</v>
      </c>
      <c r="L132" s="17">
        <f t="shared" si="72"/>
        <v>0</v>
      </c>
      <c r="M132" s="17">
        <f t="shared" si="72"/>
        <v>0</v>
      </c>
      <c r="N132" s="17">
        <f t="shared" si="72"/>
        <v>0</v>
      </c>
      <c r="O132" s="17">
        <f t="shared" si="72"/>
        <v>0</v>
      </c>
      <c r="P132" s="17">
        <f t="shared" si="72"/>
        <v>76500</v>
      </c>
      <c r="Q132" s="32" t="s">
        <v>134</v>
      </c>
      <c r="R132" s="34">
        <f>P87</f>
        <v>76500</v>
      </c>
      <c r="S132" s="1">
        <v>0.25</v>
      </c>
    </row>
    <row r="133" spans="1:19" ht="15.75" x14ac:dyDescent="0.25">
      <c r="A133" s="32"/>
      <c r="B133" s="32" t="s">
        <v>126</v>
      </c>
      <c r="C133" s="32"/>
      <c r="D133" s="32"/>
      <c r="P133" s="17">
        <f>P132*S132</f>
        <v>19125</v>
      </c>
      <c r="Q133" s="32" t="s">
        <v>135</v>
      </c>
      <c r="R133" s="34">
        <f>P132+P133-R132</f>
        <v>19125</v>
      </c>
      <c r="S133" s="1"/>
    </row>
    <row r="134" spans="1:19" ht="15.75" x14ac:dyDescent="0.25">
      <c r="A134" s="32"/>
      <c r="B134" s="32" t="s">
        <v>127</v>
      </c>
      <c r="C134" s="32"/>
      <c r="D134" s="32"/>
      <c r="P134" s="33">
        <f>-R133*$P$32</f>
        <v>-4207.5</v>
      </c>
      <c r="Q134" s="32"/>
      <c r="R134" s="21"/>
      <c r="S134" s="1"/>
    </row>
    <row r="135" spans="1:19" ht="15.75" x14ac:dyDescent="0.25">
      <c r="A135" s="32"/>
      <c r="B135" s="32"/>
      <c r="C135" s="32"/>
      <c r="D135" s="32"/>
      <c r="Q135" s="32"/>
      <c r="R135" s="21"/>
      <c r="S135" s="1"/>
    </row>
    <row r="136" spans="1:19" ht="15.75" x14ac:dyDescent="0.25">
      <c r="A136" s="32"/>
      <c r="B136" s="32" t="s">
        <v>128</v>
      </c>
      <c r="C136" s="32"/>
      <c r="D136" s="32"/>
      <c r="E136" s="17">
        <f t="shared" ref="E136:P136" si="73">E84-F84</f>
        <v>-255000</v>
      </c>
      <c r="F136" s="17">
        <f t="shared" si="73"/>
        <v>-3824.9999999999709</v>
      </c>
      <c r="G136" s="17">
        <f t="shared" si="73"/>
        <v>-3882.3749999999709</v>
      </c>
      <c r="H136" s="17">
        <f t="shared" si="73"/>
        <v>-3940.6106249999721</v>
      </c>
      <c r="I136" s="17">
        <f t="shared" si="73"/>
        <v>-3999.7197843749891</v>
      </c>
      <c r="J136" s="17">
        <f t="shared" si="73"/>
        <v>-4059.7155811405974</v>
      </c>
      <c r="K136" s="17">
        <f t="shared" si="73"/>
        <v>-4120.6113148577278</v>
      </c>
      <c r="L136" s="17">
        <f t="shared" si="73"/>
        <v>-4182.4204845805652</v>
      </c>
      <c r="M136" s="17">
        <f t="shared" si="73"/>
        <v>-4245.1567918492947</v>
      </c>
      <c r="N136" s="17">
        <f t="shared" si="73"/>
        <v>-4308.8341437270283</v>
      </c>
      <c r="O136" s="17">
        <f t="shared" si="73"/>
        <v>-4373.4666558829485</v>
      </c>
      <c r="P136" s="17">
        <f t="shared" si="73"/>
        <v>295937.91038141306</v>
      </c>
      <c r="Q136" s="32" t="s">
        <v>134</v>
      </c>
      <c r="R136" s="34">
        <f>P84-P86</f>
        <v>218370.42484784988</v>
      </c>
      <c r="S136" s="1">
        <v>0.15</v>
      </c>
    </row>
    <row r="137" spans="1:19" ht="15.75" x14ac:dyDescent="0.25">
      <c r="A137" s="32"/>
      <c r="B137" s="32" t="s">
        <v>126</v>
      </c>
      <c r="C137" s="32"/>
      <c r="D137" s="32"/>
      <c r="P137" s="33">
        <f>P136*S136</f>
        <v>44390.686557211957</v>
      </c>
      <c r="Q137" s="32" t="s">
        <v>135</v>
      </c>
      <c r="R137" s="34">
        <f>P136+P137-R136</f>
        <v>121958.17209077516</v>
      </c>
    </row>
    <row r="138" spans="1:19" ht="15.75" x14ac:dyDescent="0.25">
      <c r="A138" s="32"/>
      <c r="B138" s="32" t="s">
        <v>127</v>
      </c>
      <c r="C138" s="32"/>
      <c r="D138" s="32"/>
      <c r="P138" s="33">
        <f>-R137*$P$32</f>
        <v>-26830.797859970535</v>
      </c>
      <c r="Q138" s="32"/>
      <c r="R138" s="21"/>
      <c r="S138" s="1"/>
    </row>
    <row r="139" spans="1:19" ht="15.75" x14ac:dyDescent="0.25">
      <c r="A139" s="32"/>
      <c r="B139" s="32"/>
      <c r="C139" s="32"/>
      <c r="D139" s="32"/>
      <c r="Q139" s="32"/>
      <c r="R139" s="21"/>
      <c r="S139" s="1"/>
    </row>
    <row r="140" spans="1:19" ht="15.75" x14ac:dyDescent="0.25">
      <c r="A140" s="32"/>
      <c r="B140" s="32" t="s">
        <v>51</v>
      </c>
      <c r="C140" s="32"/>
      <c r="D140" s="32"/>
      <c r="E140" s="17">
        <f t="shared" ref="E140:P140" si="74">E83-F83</f>
        <v>-304199.96999999997</v>
      </c>
      <c r="F140" s="17">
        <f t="shared" si="74"/>
        <v>-6000</v>
      </c>
      <c r="G140" s="17">
        <f t="shared" si="74"/>
        <v>-6120</v>
      </c>
      <c r="H140" s="17">
        <f t="shared" si="74"/>
        <v>-6242.4000000000233</v>
      </c>
      <c r="I140" s="17">
        <f t="shared" si="74"/>
        <v>-6367.2479999999632</v>
      </c>
      <c r="J140" s="17">
        <f t="shared" si="74"/>
        <v>-6494.5929600000381</v>
      </c>
      <c r="K140" s="17">
        <f t="shared" si="74"/>
        <v>-6624.4848192000063</v>
      </c>
      <c r="L140" s="17">
        <f t="shared" si="74"/>
        <v>-6756.9745155840064</v>
      </c>
      <c r="M140" s="17">
        <f t="shared" si="74"/>
        <v>-6892.1140058956807</v>
      </c>
      <c r="N140" s="17">
        <f t="shared" si="74"/>
        <v>-7029.956286013592</v>
      </c>
      <c r="O140" s="17">
        <f t="shared" si="74"/>
        <v>-7170.5554117339198</v>
      </c>
      <c r="P140" s="17">
        <f t="shared" si="74"/>
        <v>369898.2959984272</v>
      </c>
      <c r="Q140" s="32" t="s">
        <v>134</v>
      </c>
      <c r="R140" s="34">
        <f>P84-P85</f>
        <v>49483.623986760766</v>
      </c>
      <c r="S140" s="1">
        <v>-0.1</v>
      </c>
    </row>
    <row r="141" spans="1:19" ht="15.75" x14ac:dyDescent="0.25">
      <c r="A141" s="32"/>
      <c r="B141" s="32" t="s">
        <v>126</v>
      </c>
      <c r="C141" s="32"/>
      <c r="D141" s="32"/>
      <c r="P141" s="17">
        <f>P140*S140</f>
        <v>-36989.82959984272</v>
      </c>
      <c r="Q141" s="32" t="s">
        <v>170</v>
      </c>
      <c r="R141" s="34">
        <f>P140+P141-R140</f>
        <v>283424.84241182369</v>
      </c>
    </row>
    <row r="142" spans="1:19" ht="15.75" x14ac:dyDescent="0.25">
      <c r="A142" s="32"/>
      <c r="B142" s="32" t="s">
        <v>127</v>
      </c>
      <c r="C142" s="32"/>
      <c r="D142" s="32"/>
      <c r="P142" s="33">
        <f>-R141*$P$32</f>
        <v>-62353.465330601211</v>
      </c>
      <c r="R142" s="17"/>
    </row>
    <row r="143" spans="1:19" ht="15.75" x14ac:dyDescent="0.25">
      <c r="A143" s="32"/>
      <c r="B143" s="32"/>
      <c r="C143" s="32"/>
      <c r="D143" s="32"/>
    </row>
    <row r="144" spans="1:19" ht="15.75" x14ac:dyDescent="0.25">
      <c r="A144" s="32" t="s">
        <v>129</v>
      </c>
      <c r="B144" s="32"/>
      <c r="C144" s="32"/>
      <c r="D144" s="32"/>
      <c r="E144" s="6">
        <v>35957.275647629001</v>
      </c>
    </row>
    <row r="145" spans="1:16" ht="15.75" x14ac:dyDescent="0.25">
      <c r="A145" s="32"/>
      <c r="B145" s="32"/>
      <c r="C145" s="32"/>
      <c r="D145" s="32"/>
    </row>
    <row r="146" spans="1:16" ht="15.75" x14ac:dyDescent="0.25">
      <c r="A146" s="31" t="s">
        <v>130</v>
      </c>
      <c r="B146" s="32"/>
      <c r="C146" s="32"/>
      <c r="D146" s="32"/>
      <c r="E146" s="6">
        <f>SUM(E120:E144)</f>
        <v>-602467.37551504071</v>
      </c>
      <c r="F146" s="6">
        <f t="shared" ref="F146:P146" si="75">SUM(F120:F144)</f>
        <v>44065.858457447306</v>
      </c>
      <c r="G146" s="6">
        <f t="shared" si="75"/>
        <v>44030.567928189877</v>
      </c>
      <c r="H146" s="6">
        <f t="shared" si="75"/>
        <v>43462.253319019459</v>
      </c>
      <c r="I146" s="6">
        <f t="shared" si="75"/>
        <v>43980.441632631191</v>
      </c>
      <c r="J146" s="6">
        <f t="shared" si="75"/>
        <v>51522.672769016062</v>
      </c>
      <c r="K146" s="6">
        <f t="shared" si="75"/>
        <v>50904.346397772097</v>
      </c>
      <c r="L146" s="6">
        <f t="shared" si="75"/>
        <v>49469.579981353985</v>
      </c>
      <c r="M146" s="6">
        <f t="shared" si="75"/>
        <v>32433.716246494114</v>
      </c>
      <c r="N146" s="6">
        <f>SUM(N120:N144)</f>
        <v>17866.388626216685</v>
      </c>
      <c r="O146" s="6">
        <f t="shared" si="75"/>
        <v>22197.443652005662</v>
      </c>
      <c r="P146" s="6">
        <f t="shared" si="75"/>
        <v>826084.5413098447</v>
      </c>
    </row>
    <row r="147" spans="1:16" ht="15.75" x14ac:dyDescent="0.25">
      <c r="D147" s="32"/>
    </row>
    <row r="148" spans="1:16" ht="15.75" x14ac:dyDescent="0.25">
      <c r="A148" s="31" t="s">
        <v>131</v>
      </c>
      <c r="B148" s="32"/>
      <c r="C148" s="32"/>
      <c r="D148" s="32"/>
      <c r="E148" s="28">
        <f>+W108</f>
        <v>8.6500429554514049E-2</v>
      </c>
    </row>
    <row r="149" spans="1:16" ht="15.75" x14ac:dyDescent="0.25">
      <c r="A149" s="31" t="s">
        <v>132</v>
      </c>
      <c r="B149" s="32"/>
      <c r="C149" s="32"/>
      <c r="D149" s="32"/>
      <c r="E149" s="28">
        <f>IRR(E146:P146)</f>
        <v>8.650042955451398E-2</v>
      </c>
    </row>
    <row r="150" spans="1:16" ht="15.75" x14ac:dyDescent="0.25">
      <c r="A150" s="31" t="s">
        <v>133</v>
      </c>
      <c r="B150" s="32"/>
      <c r="C150" s="32"/>
      <c r="D150" s="32"/>
      <c r="E150" s="13">
        <f>NPV(E148,F146:P146)+E146</f>
        <v>0</v>
      </c>
    </row>
    <row r="152" spans="1:16" ht="15.75" x14ac:dyDescent="0.25">
      <c r="A152" s="31" t="s">
        <v>169</v>
      </c>
      <c r="E152" s="13">
        <f>-E146+E150</f>
        <v>602467.37551504071</v>
      </c>
      <c r="F152" s="15">
        <f>-E144/E152</f>
        <v>-5.9683357321862689E-2</v>
      </c>
      <c r="J152" s="13"/>
    </row>
    <row r="153" spans="1:16" ht="15.75" x14ac:dyDescent="0.25">
      <c r="A153" s="31"/>
      <c r="E153" s="13"/>
      <c r="F153" s="15"/>
      <c r="J153" s="13"/>
    </row>
    <row r="155" spans="1:16" ht="18.75" x14ac:dyDescent="0.3">
      <c r="C155" s="66" t="s">
        <v>191</v>
      </c>
      <c r="D155" s="66"/>
      <c r="E155" s="66"/>
      <c r="F155" s="66"/>
      <c r="G155" s="66"/>
      <c r="H155" s="66"/>
      <c r="I155" s="66"/>
      <c r="J155" s="66"/>
      <c r="K155" s="66"/>
      <c r="L155" s="66"/>
      <c r="M155" s="66"/>
      <c r="N155" s="66"/>
      <c r="O155" s="66"/>
      <c r="P155" s="66"/>
    </row>
    <row r="156" spans="1:16" x14ac:dyDescent="0.25">
      <c r="C156" t="s">
        <v>172</v>
      </c>
    </row>
    <row r="157" spans="1:16" x14ac:dyDescent="0.25">
      <c r="C157" t="s">
        <v>171</v>
      </c>
    </row>
    <row r="158" spans="1:16" x14ac:dyDescent="0.25">
      <c r="C158" t="s">
        <v>173</v>
      </c>
      <c r="E158" s="6">
        <f>E146</f>
        <v>-602467.37551504071</v>
      </c>
      <c r="F158" s="6">
        <f t="shared" ref="F158:P158" si="76">F146</f>
        <v>44065.858457447306</v>
      </c>
      <c r="G158" s="6">
        <f t="shared" si="76"/>
        <v>44030.567928189877</v>
      </c>
      <c r="H158" s="6">
        <f t="shared" si="76"/>
        <v>43462.253319019459</v>
      </c>
      <c r="I158" s="6">
        <f t="shared" si="76"/>
        <v>43980.441632631191</v>
      </c>
      <c r="J158" s="6">
        <f t="shared" si="76"/>
        <v>51522.672769016062</v>
      </c>
      <c r="K158" s="6">
        <f t="shared" si="76"/>
        <v>50904.346397772097</v>
      </c>
      <c r="L158" s="6">
        <f t="shared" si="76"/>
        <v>49469.579981353985</v>
      </c>
      <c r="M158" s="6">
        <f t="shared" si="76"/>
        <v>32433.716246494114</v>
      </c>
      <c r="N158" s="6">
        <f t="shared" si="76"/>
        <v>17866.388626216685</v>
      </c>
      <c r="O158" s="6">
        <f t="shared" si="76"/>
        <v>22197.443652005662</v>
      </c>
      <c r="P158" s="6">
        <f t="shared" si="76"/>
        <v>826084.5413098447</v>
      </c>
    </row>
    <row r="159" spans="1:16" x14ac:dyDescent="0.25">
      <c r="C159" t="s">
        <v>174</v>
      </c>
      <c r="E159" s="17"/>
      <c r="I159" s="17">
        <v>-90000</v>
      </c>
      <c r="J159" s="17">
        <f>J158/12*2.5</f>
        <v>10733.890160211678</v>
      </c>
      <c r="K159" s="17">
        <f t="shared" ref="K159:O159" si="77">K158/12*2.5</f>
        <v>10605.072166202519</v>
      </c>
      <c r="L159" s="17">
        <f t="shared" si="77"/>
        <v>10306.162496115414</v>
      </c>
      <c r="M159" s="17">
        <f t="shared" si="77"/>
        <v>6757.0242180196065</v>
      </c>
      <c r="N159" s="17">
        <f t="shared" si="77"/>
        <v>3722.1642971284764</v>
      </c>
      <c r="O159" s="17">
        <f t="shared" si="77"/>
        <v>4624.4674275011794</v>
      </c>
      <c r="P159" s="17">
        <f>I159/-0.75991729695691</f>
        <v>118433.94058854185</v>
      </c>
    </row>
    <row r="160" spans="1:16" x14ac:dyDescent="0.25">
      <c r="C160" t="s">
        <v>175</v>
      </c>
      <c r="E160" s="6">
        <f>SUM(E158:E159)</f>
        <v>-602467.37551504071</v>
      </c>
      <c r="F160" s="6">
        <f t="shared" ref="F160:P160" si="78">SUM(F158:F159)</f>
        <v>44065.858457447306</v>
      </c>
      <c r="G160" s="6">
        <f t="shared" si="78"/>
        <v>44030.567928189877</v>
      </c>
      <c r="H160" s="6">
        <f t="shared" si="78"/>
        <v>43462.253319019459</v>
      </c>
      <c r="I160" s="6">
        <f t="shared" si="78"/>
        <v>-46019.558367368809</v>
      </c>
      <c r="J160" s="6">
        <f t="shared" si="78"/>
        <v>62256.562929227744</v>
      </c>
      <c r="K160" s="6">
        <f t="shared" si="78"/>
        <v>61509.418563974614</v>
      </c>
      <c r="L160" s="6">
        <f t="shared" si="78"/>
        <v>59775.742477469401</v>
      </c>
      <c r="M160" s="6">
        <f t="shared" si="78"/>
        <v>39190.740464513721</v>
      </c>
      <c r="N160" s="6">
        <f t="shared" si="78"/>
        <v>21588.55292334516</v>
      </c>
      <c r="O160" s="6">
        <f t="shared" si="78"/>
        <v>26821.911079506841</v>
      </c>
      <c r="P160" s="6">
        <f t="shared" si="78"/>
        <v>944518.4818983865</v>
      </c>
    </row>
    <row r="162" spans="3:16" x14ac:dyDescent="0.25">
      <c r="C162" t="s">
        <v>133</v>
      </c>
      <c r="E162" s="3">
        <f>NPV($E$148,F160:P160)+E160</f>
        <v>9529.0124307019869</v>
      </c>
    </row>
    <row r="163" spans="3:16" x14ac:dyDescent="0.25">
      <c r="C163" t="s">
        <v>179</v>
      </c>
      <c r="E163" s="14">
        <f>F183*E185</f>
        <v>0.8075</v>
      </c>
    </row>
    <row r="165" spans="3:16" x14ac:dyDescent="0.25">
      <c r="C165" t="s">
        <v>176</v>
      </c>
    </row>
    <row r="166" spans="3:16" x14ac:dyDescent="0.25">
      <c r="C166" t="s">
        <v>173</v>
      </c>
      <c r="E166" s="6">
        <f>E158</f>
        <v>-602467.37551504071</v>
      </c>
      <c r="F166" s="6">
        <f t="shared" ref="F166:P166" si="79">F158</f>
        <v>44065.858457447306</v>
      </c>
      <c r="G166" s="6">
        <f t="shared" si="79"/>
        <v>44030.567928189877</v>
      </c>
      <c r="H166" s="6">
        <f t="shared" si="79"/>
        <v>43462.253319019459</v>
      </c>
      <c r="I166" s="6">
        <f t="shared" si="79"/>
        <v>43980.441632631191</v>
      </c>
      <c r="J166" s="6">
        <f t="shared" si="79"/>
        <v>51522.672769016062</v>
      </c>
      <c r="K166" s="6">
        <f t="shared" si="79"/>
        <v>50904.346397772097</v>
      </c>
      <c r="L166" s="6">
        <f t="shared" si="79"/>
        <v>49469.579981353985</v>
      </c>
      <c r="M166" s="6">
        <f t="shared" si="79"/>
        <v>32433.716246494114</v>
      </c>
      <c r="N166" s="6">
        <f t="shared" si="79"/>
        <v>17866.388626216685</v>
      </c>
      <c r="O166" s="6">
        <f t="shared" si="79"/>
        <v>22197.443652005662</v>
      </c>
      <c r="P166" s="6">
        <f t="shared" si="79"/>
        <v>826084.5413098447</v>
      </c>
    </row>
    <row r="167" spans="3:16" x14ac:dyDescent="0.25">
      <c r="C167" t="s">
        <v>174</v>
      </c>
      <c r="I167" s="17">
        <v>-90000</v>
      </c>
      <c r="J167" s="17">
        <f>J166/12*2*0.8</f>
        <v>6869.6897025354747</v>
      </c>
      <c r="K167" s="17">
        <f t="shared" ref="K167:O167" si="80">K166/12*2*0.8</f>
        <v>6787.2461863696126</v>
      </c>
      <c r="L167" s="17">
        <f t="shared" si="80"/>
        <v>6595.9439975138657</v>
      </c>
      <c r="M167" s="17">
        <f t="shared" si="80"/>
        <v>4324.4954995325488</v>
      </c>
      <c r="N167" s="17">
        <f t="shared" si="80"/>
        <v>2382.185150162225</v>
      </c>
      <c r="O167" s="17">
        <f t="shared" si="80"/>
        <v>2959.659153600755</v>
      </c>
      <c r="P167" s="17">
        <f>I167*-0.722991729695691</f>
        <v>65069.255672612191</v>
      </c>
    </row>
    <row r="168" spans="3:16" x14ac:dyDescent="0.25">
      <c r="C168" t="s">
        <v>175</v>
      </c>
      <c r="E168" s="6">
        <f>SUM(E166:E167)</f>
        <v>-602467.37551504071</v>
      </c>
      <c r="F168" s="6">
        <f t="shared" ref="F168:P168" si="81">SUM(F166:F167)</f>
        <v>44065.858457447306</v>
      </c>
      <c r="G168" s="6">
        <f t="shared" si="81"/>
        <v>44030.567928189877</v>
      </c>
      <c r="H168" s="6">
        <f t="shared" si="81"/>
        <v>43462.253319019459</v>
      </c>
      <c r="I168" s="6">
        <f t="shared" si="81"/>
        <v>-46019.558367368809</v>
      </c>
      <c r="J168" s="6">
        <f t="shared" si="81"/>
        <v>58392.36247155154</v>
      </c>
      <c r="K168" s="6">
        <f t="shared" si="81"/>
        <v>57691.592584141712</v>
      </c>
      <c r="L168" s="6">
        <f t="shared" si="81"/>
        <v>56065.523978867852</v>
      </c>
      <c r="M168" s="6">
        <f t="shared" si="81"/>
        <v>36758.21174602666</v>
      </c>
      <c r="N168" s="6">
        <f t="shared" si="81"/>
        <v>20248.573776378911</v>
      </c>
      <c r="O168" s="6">
        <f t="shared" si="81"/>
        <v>25157.102805606417</v>
      </c>
      <c r="P168" s="6">
        <f t="shared" si="81"/>
        <v>891153.79698245693</v>
      </c>
    </row>
    <row r="170" spans="3:16" x14ac:dyDescent="0.25">
      <c r="C170" t="s">
        <v>133</v>
      </c>
      <c r="E170" s="4">
        <f>NPV($E$148,F168:P168)+E168</f>
        <v>-21458.898510555155</v>
      </c>
    </row>
    <row r="171" spans="3:16" x14ac:dyDescent="0.25">
      <c r="C171" t="s">
        <v>179</v>
      </c>
      <c r="E171" s="14">
        <f>F187*E185</f>
        <v>0.19</v>
      </c>
    </row>
    <row r="173" spans="3:16" x14ac:dyDescent="0.25">
      <c r="C173" t="s">
        <v>177</v>
      </c>
    </row>
    <row r="174" spans="3:16" x14ac:dyDescent="0.25">
      <c r="C174" t="s">
        <v>173</v>
      </c>
      <c r="E174" s="6">
        <f>E166</f>
        <v>-602467.37551504071</v>
      </c>
      <c r="F174" s="17">
        <f>F166*0.8</f>
        <v>35252.686765957849</v>
      </c>
      <c r="G174" s="17">
        <f t="shared" ref="G174:K174" si="82">G166*0.8</f>
        <v>35224.4543425519</v>
      </c>
      <c r="H174" s="17">
        <f t="shared" si="82"/>
        <v>34769.802655215572</v>
      </c>
      <c r="I174" s="17">
        <f t="shared" si="82"/>
        <v>35184.353306104953</v>
      </c>
      <c r="J174" s="17">
        <f t="shared" si="82"/>
        <v>41218.13821521285</v>
      </c>
      <c r="K174" s="17">
        <f t="shared" si="82"/>
        <v>40723.477118217677</v>
      </c>
      <c r="L174" s="17">
        <f>P166*0.75</f>
        <v>619563.40598238353</v>
      </c>
    </row>
    <row r="175" spans="3:16" x14ac:dyDescent="0.25">
      <c r="C175" t="s">
        <v>178</v>
      </c>
    </row>
    <row r="176" spans="3:16" x14ac:dyDescent="0.25">
      <c r="C176" t="s">
        <v>175</v>
      </c>
      <c r="E176" s="6">
        <f>SUM(E174:E175)</f>
        <v>-602467.37551504071</v>
      </c>
      <c r="F176" s="6">
        <f>SUM(F174:F175)</f>
        <v>35252.686765957849</v>
      </c>
      <c r="G176" s="6">
        <f t="shared" ref="G176:J176" si="83">SUM(G174:G175)</f>
        <v>35224.4543425519</v>
      </c>
      <c r="H176" s="6">
        <f t="shared" si="83"/>
        <v>34769.802655215572</v>
      </c>
      <c r="I176" s="6">
        <f t="shared" si="83"/>
        <v>35184.353306104953</v>
      </c>
      <c r="J176" s="6">
        <f t="shared" si="83"/>
        <v>41218.13821521285</v>
      </c>
      <c r="K176" s="6">
        <f t="shared" ref="K176" si="84">SUM(K174:K175)</f>
        <v>40723.477118217677</v>
      </c>
      <c r="L176" s="6">
        <f t="shared" ref="L176" si="85">SUM(L174:L175)</f>
        <v>619563.40598238353</v>
      </c>
    </row>
    <row r="178" spans="3:6" x14ac:dyDescent="0.25">
      <c r="C178" t="s">
        <v>133</v>
      </c>
      <c r="E178" s="3">
        <f>NPV($E$148,F176:L176)+E176</f>
        <v>-89208.622624012758</v>
      </c>
    </row>
    <row r="179" spans="3:6" x14ac:dyDescent="0.25">
      <c r="C179" t="s">
        <v>179</v>
      </c>
      <c r="E179" s="14">
        <f>E189</f>
        <v>0.1</v>
      </c>
    </row>
    <row r="182" spans="3:6" x14ac:dyDescent="0.25">
      <c r="F182" s="11" t="s">
        <v>181</v>
      </c>
    </row>
    <row r="183" spans="3:6" x14ac:dyDescent="0.25">
      <c r="F183" s="47">
        <v>0.85</v>
      </c>
    </row>
    <row r="184" spans="3:6" x14ac:dyDescent="0.25">
      <c r="F184" s="48"/>
    </row>
    <row r="185" spans="3:6" x14ac:dyDescent="0.25">
      <c r="E185" s="47">
        <v>0.95</v>
      </c>
      <c r="F185" s="48"/>
    </row>
    <row r="186" spans="3:6" x14ac:dyDescent="0.25">
      <c r="E186" s="51"/>
      <c r="F186" s="49"/>
    </row>
    <row r="187" spans="3:6" x14ac:dyDescent="0.25">
      <c r="C187" s="46" t="s">
        <v>180</v>
      </c>
      <c r="D187" s="45"/>
      <c r="E187" s="52"/>
      <c r="F187" s="50">
        <v>0.2</v>
      </c>
    </row>
    <row r="188" spans="3:6" x14ac:dyDescent="0.25">
      <c r="E188" s="53"/>
    </row>
    <row r="189" spans="3:6" x14ac:dyDescent="0.25">
      <c r="E189" s="50">
        <v>0.1</v>
      </c>
    </row>
    <row r="193" spans="3:17" x14ac:dyDescent="0.25">
      <c r="C193" s="11" t="s">
        <v>182</v>
      </c>
      <c r="E193" s="54">
        <f>E179*E178+E171*E170+E163*E162</f>
        <v>-5303.3754416149022</v>
      </c>
    </row>
    <row r="196" spans="3:17" ht="21" x14ac:dyDescent="0.35">
      <c r="C196" s="65" t="s">
        <v>190</v>
      </c>
      <c r="D196" s="65"/>
      <c r="E196" s="65"/>
      <c r="F196" s="65"/>
      <c r="G196" s="65"/>
      <c r="H196" s="65"/>
      <c r="I196" s="65"/>
      <c r="J196" s="65"/>
      <c r="K196" s="65"/>
      <c r="L196" s="65"/>
      <c r="M196" s="65"/>
      <c r="N196" s="65"/>
      <c r="O196" s="65"/>
      <c r="P196" s="65"/>
    </row>
    <row r="197" spans="3:17" ht="21" x14ac:dyDescent="0.35">
      <c r="C197" s="60"/>
      <c r="D197" s="60"/>
      <c r="E197" s="60"/>
      <c r="F197" s="60"/>
      <c r="G197" s="60"/>
      <c r="H197" s="60"/>
      <c r="I197" s="60"/>
      <c r="J197" s="60"/>
      <c r="K197" s="60"/>
      <c r="L197" s="60"/>
      <c r="M197" s="60"/>
      <c r="N197" s="60"/>
      <c r="O197" s="60"/>
      <c r="P197" s="60"/>
    </row>
    <row r="198" spans="3:17" x14ac:dyDescent="0.25">
      <c r="E198">
        <v>0</v>
      </c>
      <c r="F198">
        <v>1</v>
      </c>
      <c r="G198">
        <v>2</v>
      </c>
      <c r="H198">
        <v>3</v>
      </c>
      <c r="I198">
        <v>4</v>
      </c>
      <c r="J198">
        <v>5</v>
      </c>
      <c r="K198">
        <v>6</v>
      </c>
      <c r="L198">
        <v>7</v>
      </c>
      <c r="M198">
        <v>8</v>
      </c>
      <c r="N198">
        <v>9</v>
      </c>
      <c r="O198">
        <v>10</v>
      </c>
      <c r="P198">
        <v>11</v>
      </c>
      <c r="Q198">
        <v>12</v>
      </c>
    </row>
    <row r="199" spans="3:17" x14ac:dyDescent="0.25">
      <c r="C199" s="11" t="s">
        <v>189</v>
      </c>
      <c r="E199" s="6">
        <v>0</v>
      </c>
      <c r="F199" s="6">
        <v>0</v>
      </c>
      <c r="G199" s="6">
        <v>0</v>
      </c>
      <c r="H199" s="6">
        <f t="shared" ref="H199:O199" si="86">H146</f>
        <v>43462.253319019459</v>
      </c>
      <c r="I199" s="6">
        <f t="shared" si="86"/>
        <v>43980.441632631191</v>
      </c>
      <c r="J199" s="6">
        <f t="shared" si="86"/>
        <v>51522.672769016062</v>
      </c>
      <c r="K199" s="6">
        <f t="shared" si="86"/>
        <v>50904.346397772097</v>
      </c>
      <c r="L199" s="6">
        <f t="shared" si="86"/>
        <v>49469.579981353985</v>
      </c>
      <c r="M199" s="6">
        <f t="shared" si="86"/>
        <v>32433.716246494114</v>
      </c>
      <c r="N199" s="6">
        <f t="shared" si="86"/>
        <v>17866.388626216685</v>
      </c>
      <c r="O199" s="6">
        <f t="shared" si="86"/>
        <v>22197.443652005662</v>
      </c>
      <c r="P199" s="6">
        <f>O199</f>
        <v>22197.443652005662</v>
      </c>
      <c r="Q199" s="6">
        <f>P146</f>
        <v>826084.5413098447</v>
      </c>
    </row>
    <row r="200" spans="3:17" x14ac:dyDescent="0.25">
      <c r="C200" s="11" t="s">
        <v>192</v>
      </c>
      <c r="E200" s="59">
        <f>NPV(E148,F199:Q199)+E199</f>
        <v>507118.11276781658</v>
      </c>
    </row>
    <row r="204" spans="3:17" ht="15.75" x14ac:dyDescent="0.25">
      <c r="E204" s="55" t="s">
        <v>183</v>
      </c>
      <c r="F204" s="55" t="s">
        <v>184</v>
      </c>
      <c r="G204" s="55" t="s">
        <v>185</v>
      </c>
      <c r="H204" s="55" t="s">
        <v>186</v>
      </c>
      <c r="I204" s="55" t="s">
        <v>187</v>
      </c>
      <c r="J204" s="55" t="s">
        <v>188</v>
      </c>
    </row>
    <row r="205" spans="3:17" ht="15.75" x14ac:dyDescent="0.25">
      <c r="E205" s="56">
        <f>E200</f>
        <v>507118.11276781658</v>
      </c>
      <c r="F205" s="56">
        <f>-E146</f>
        <v>602467.37551504071</v>
      </c>
      <c r="G205" s="55">
        <v>2</v>
      </c>
      <c r="H205" s="57">
        <v>0.35</v>
      </c>
      <c r="I205" s="57">
        <f>T95</f>
        <v>1.7899999999999999E-2</v>
      </c>
      <c r="J205" s="58">
        <f>(E205*(NORMSDIST((LN(E205/PV(I205,G205,,-F205))+(I205+((H205^2)/2)*G205))/(H205*SQRT(G205)))))-((NORMSDIST(((LN(E205/PV(I205,G205,,-F205))+(I205+((H205^2)/2)*G205))/(H205*SQRT(G205)))-(H205*SQRT(G205))))*PV(I205,G205,,-F205))</f>
        <v>73101.516972058947</v>
      </c>
    </row>
  </sheetData>
  <mergeCells count="5">
    <mergeCell ref="F3:P3"/>
    <mergeCell ref="C2:R2"/>
    <mergeCell ref="C43:P43"/>
    <mergeCell ref="C196:P196"/>
    <mergeCell ref="C155:P1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10" sqref="K10"/>
    </sheetView>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12"/>
  <sheetViews>
    <sheetView workbookViewId="0">
      <selection activeCell="L2" sqref="L2"/>
    </sheetView>
  </sheetViews>
  <sheetFormatPr defaultRowHeight="15" x14ac:dyDescent="0.25"/>
  <cols>
    <col min="1" max="1" width="8.85546875"/>
    <col min="11" max="11" width="16.5703125" bestFit="1" customWidth="1"/>
    <col min="13" max="13" width="10.42578125" bestFit="1" customWidth="1"/>
  </cols>
  <sheetData>
    <row r="1" spans="1:13" x14ac:dyDescent="0.25">
      <c r="K1" t="s">
        <v>164</v>
      </c>
      <c r="L1" s="28">
        <f>+Forecast!T87</f>
        <v>5.2900000000000003E-2</v>
      </c>
    </row>
    <row r="2" spans="1:13" x14ac:dyDescent="0.25">
      <c r="A2" t="s">
        <v>93</v>
      </c>
      <c r="B2" t="s">
        <v>90</v>
      </c>
      <c r="C2" t="s">
        <v>87</v>
      </c>
      <c r="D2" t="s">
        <v>88</v>
      </c>
      <c r="E2" t="s">
        <v>92</v>
      </c>
    </row>
    <row r="3" spans="1:13" x14ac:dyDescent="0.25">
      <c r="A3" s="25">
        <v>40179</v>
      </c>
      <c r="B3" s="17">
        <f>+L3</f>
        <v>400000</v>
      </c>
      <c r="C3" s="17">
        <f>-L5</f>
        <v>2218.735255179457</v>
      </c>
      <c r="D3" s="17">
        <f t="shared" ref="D3:D14" si="0">+B3*$L$4</f>
        <v>1763.3333333333335</v>
      </c>
      <c r="E3" s="17">
        <f>+C3-D3</f>
        <v>455.40192184612351</v>
      </c>
      <c r="K3" t="s">
        <v>90</v>
      </c>
      <c r="L3" s="17">
        <v>400000</v>
      </c>
    </row>
    <row r="4" spans="1:13" x14ac:dyDescent="0.25">
      <c r="A4" s="25">
        <v>40210</v>
      </c>
      <c r="B4" s="17">
        <f>+B3-E3</f>
        <v>399544.59807815385</v>
      </c>
      <c r="C4" s="17">
        <f>+C3</f>
        <v>2218.735255179457</v>
      </c>
      <c r="D4" s="17">
        <f t="shared" si="0"/>
        <v>1761.3257698611949</v>
      </c>
      <c r="E4" s="17">
        <f>+C4-D4</f>
        <v>457.40948531826211</v>
      </c>
      <c r="K4" t="s">
        <v>88</v>
      </c>
      <c r="L4" s="16">
        <f>+L1/12</f>
        <v>4.4083333333333335E-3</v>
      </c>
    </row>
    <row r="5" spans="1:13" x14ac:dyDescent="0.25">
      <c r="A5" s="25">
        <v>40238</v>
      </c>
      <c r="B5" s="17">
        <f t="shared" ref="B5:B78" si="1">+B4-E4</f>
        <v>399087.18859283556</v>
      </c>
      <c r="C5" s="17">
        <f t="shared" ref="C5:C78" si="2">+C4</f>
        <v>2218.735255179457</v>
      </c>
      <c r="D5" s="17">
        <f t="shared" si="0"/>
        <v>1759.3093563800835</v>
      </c>
      <c r="E5" s="17">
        <f t="shared" ref="E5:E78" si="3">+C5-D5</f>
        <v>459.4258987993735</v>
      </c>
      <c r="K5" t="s">
        <v>87</v>
      </c>
      <c r="L5" s="17">
        <f>PMT(L4,L7,L3,L6)</f>
        <v>-2218.735255179457</v>
      </c>
    </row>
    <row r="6" spans="1:13" x14ac:dyDescent="0.25">
      <c r="A6" s="25">
        <v>40269</v>
      </c>
      <c r="B6" s="17">
        <f t="shared" si="1"/>
        <v>398627.76269403618</v>
      </c>
      <c r="C6" s="17">
        <f t="shared" si="2"/>
        <v>2218.735255179457</v>
      </c>
      <c r="D6" s="17">
        <f t="shared" si="0"/>
        <v>1757.2840538762096</v>
      </c>
      <c r="E6" s="17">
        <f t="shared" si="3"/>
        <v>461.45120130324744</v>
      </c>
      <c r="K6" t="s">
        <v>89</v>
      </c>
      <c r="L6">
        <v>0</v>
      </c>
    </row>
    <row r="7" spans="1:13" x14ac:dyDescent="0.25">
      <c r="A7" s="25">
        <v>40299</v>
      </c>
      <c r="B7" s="17">
        <f t="shared" si="1"/>
        <v>398166.31149273296</v>
      </c>
      <c r="C7" s="17">
        <f t="shared" si="2"/>
        <v>2218.735255179457</v>
      </c>
      <c r="D7" s="17">
        <f t="shared" si="0"/>
        <v>1755.2498231637978</v>
      </c>
      <c r="E7" s="17">
        <f t="shared" si="3"/>
        <v>463.48543201565917</v>
      </c>
      <c r="K7" t="s">
        <v>91</v>
      </c>
      <c r="L7">
        <f>30*12</f>
        <v>360</v>
      </c>
    </row>
    <row r="8" spans="1:13" x14ac:dyDescent="0.25">
      <c r="A8" s="25">
        <v>40330</v>
      </c>
      <c r="B8" s="17">
        <f t="shared" si="1"/>
        <v>397702.82606071729</v>
      </c>
      <c r="C8" s="17">
        <f t="shared" si="2"/>
        <v>2218.735255179457</v>
      </c>
      <c r="D8" s="17">
        <f t="shared" si="0"/>
        <v>1753.2066248843287</v>
      </c>
      <c r="E8" s="17">
        <f t="shared" si="3"/>
        <v>465.52863029512832</v>
      </c>
    </row>
    <row r="9" spans="1:13" x14ac:dyDescent="0.25">
      <c r="A9" s="25">
        <v>40360</v>
      </c>
      <c r="B9" s="17">
        <f t="shared" si="1"/>
        <v>397237.29743042216</v>
      </c>
      <c r="C9" s="17">
        <f t="shared" si="2"/>
        <v>2218.735255179457</v>
      </c>
      <c r="D9" s="17">
        <f t="shared" si="0"/>
        <v>1751.1544195057777</v>
      </c>
      <c r="E9" s="17">
        <f t="shared" si="3"/>
        <v>467.5808356736793</v>
      </c>
      <c r="M9" s="17"/>
    </row>
    <row r="10" spans="1:13" x14ac:dyDescent="0.25">
      <c r="A10" s="25">
        <v>40391</v>
      </c>
      <c r="B10" s="17">
        <f t="shared" si="1"/>
        <v>396769.71659474849</v>
      </c>
      <c r="C10" s="17">
        <f t="shared" si="2"/>
        <v>2218.735255179457</v>
      </c>
      <c r="D10" s="17">
        <f t="shared" si="0"/>
        <v>1749.0931673218497</v>
      </c>
      <c r="E10" s="17">
        <f t="shared" si="3"/>
        <v>469.64208785760729</v>
      </c>
    </row>
    <row r="11" spans="1:13" x14ac:dyDescent="0.25">
      <c r="A11" s="25">
        <v>40422</v>
      </c>
      <c r="B11" s="17">
        <f t="shared" si="1"/>
        <v>396300.0745068909</v>
      </c>
      <c r="C11" s="17">
        <f t="shared" si="2"/>
        <v>2218.735255179457</v>
      </c>
      <c r="D11" s="17">
        <f t="shared" si="0"/>
        <v>1747.0228284512109</v>
      </c>
      <c r="E11" s="17">
        <f t="shared" si="3"/>
        <v>471.7124267282461</v>
      </c>
    </row>
    <row r="12" spans="1:13" x14ac:dyDescent="0.25">
      <c r="A12" s="25">
        <v>40452</v>
      </c>
      <c r="B12" s="17">
        <f t="shared" si="1"/>
        <v>395828.36208016268</v>
      </c>
      <c r="C12" s="17">
        <f t="shared" si="2"/>
        <v>2218.735255179457</v>
      </c>
      <c r="D12" s="17">
        <f t="shared" si="0"/>
        <v>1744.9433628367171</v>
      </c>
      <c r="E12" s="17">
        <f t="shared" si="3"/>
        <v>473.79189234273986</v>
      </c>
    </row>
    <row r="13" spans="1:13" x14ac:dyDescent="0.25">
      <c r="A13" s="25">
        <v>40483</v>
      </c>
      <c r="B13" s="17">
        <f t="shared" si="1"/>
        <v>395354.57018781995</v>
      </c>
      <c r="C13" s="17">
        <f t="shared" si="2"/>
        <v>2218.735255179457</v>
      </c>
      <c r="D13" s="17">
        <f t="shared" si="0"/>
        <v>1742.8547302446398</v>
      </c>
      <c r="E13" s="17">
        <f t="shared" si="3"/>
        <v>475.88052493481723</v>
      </c>
    </row>
    <row r="14" spans="1:13" x14ac:dyDescent="0.25">
      <c r="A14" s="25">
        <v>40513</v>
      </c>
      <c r="B14" s="17">
        <f t="shared" si="1"/>
        <v>394878.68966288515</v>
      </c>
      <c r="C14" s="17">
        <f t="shared" si="2"/>
        <v>2218.735255179457</v>
      </c>
      <c r="D14" s="17">
        <f t="shared" si="0"/>
        <v>1740.7568902638855</v>
      </c>
      <c r="E14" s="17">
        <f t="shared" si="3"/>
        <v>477.97836491557155</v>
      </c>
    </row>
    <row r="15" spans="1:13" x14ac:dyDescent="0.25">
      <c r="A15" s="25" t="s">
        <v>94</v>
      </c>
      <c r="B15" s="17"/>
      <c r="C15" s="17">
        <f>SUM(C3:C14)</f>
        <v>26624.823062153486</v>
      </c>
      <c r="D15" s="17">
        <f t="shared" ref="D15:E15" si="4">SUM(D3:D14)</f>
        <v>21025.534360123027</v>
      </c>
      <c r="E15" s="17">
        <f t="shared" si="4"/>
        <v>5599.2887020304552</v>
      </c>
    </row>
    <row r="16" spans="1:13" x14ac:dyDescent="0.25">
      <c r="A16" s="25"/>
      <c r="B16" s="17"/>
      <c r="C16" s="17"/>
      <c r="D16" s="17"/>
      <c r="E16" s="17"/>
    </row>
    <row r="17" spans="1:5" x14ac:dyDescent="0.25">
      <c r="A17" s="25">
        <v>40544</v>
      </c>
      <c r="B17" s="17">
        <f>+B14-E14</f>
        <v>394400.71129796957</v>
      </c>
      <c r="C17" s="17">
        <f>+C14</f>
        <v>2218.735255179457</v>
      </c>
      <c r="D17" s="17">
        <f t="shared" ref="D17:D28" si="5">+B17*$L$4</f>
        <v>1738.6498023052159</v>
      </c>
      <c r="E17" s="17">
        <f t="shared" si="3"/>
        <v>480.08545287424113</v>
      </c>
    </row>
    <row r="18" spans="1:5" x14ac:dyDescent="0.25">
      <c r="A18" s="25">
        <v>40575</v>
      </c>
      <c r="B18" s="17">
        <f t="shared" si="1"/>
        <v>393920.62584509532</v>
      </c>
      <c r="C18" s="17">
        <f t="shared" si="2"/>
        <v>2218.735255179457</v>
      </c>
      <c r="D18" s="17">
        <f t="shared" si="5"/>
        <v>1736.5334256004619</v>
      </c>
      <c r="E18" s="17">
        <f t="shared" si="3"/>
        <v>482.2018295789951</v>
      </c>
    </row>
    <row r="19" spans="1:5" x14ac:dyDescent="0.25">
      <c r="A19" s="25">
        <v>40603</v>
      </c>
      <c r="B19" s="17">
        <f t="shared" si="1"/>
        <v>393438.4240155163</v>
      </c>
      <c r="C19" s="17">
        <f t="shared" si="2"/>
        <v>2218.735255179457</v>
      </c>
      <c r="D19" s="17">
        <f t="shared" si="5"/>
        <v>1734.4077192017344</v>
      </c>
      <c r="E19" s="17">
        <f t="shared" si="3"/>
        <v>484.32753597772262</v>
      </c>
    </row>
    <row r="20" spans="1:5" x14ac:dyDescent="0.25">
      <c r="A20" s="25">
        <v>40634</v>
      </c>
      <c r="B20" s="17">
        <f t="shared" si="1"/>
        <v>392954.0964795386</v>
      </c>
      <c r="C20" s="17">
        <f t="shared" si="2"/>
        <v>2218.735255179457</v>
      </c>
      <c r="D20" s="17">
        <f t="shared" si="5"/>
        <v>1732.2726419806327</v>
      </c>
      <c r="E20" s="17">
        <f t="shared" si="3"/>
        <v>486.46261319882433</v>
      </c>
    </row>
    <row r="21" spans="1:5" x14ac:dyDescent="0.25">
      <c r="A21" s="25">
        <v>40664</v>
      </c>
      <c r="B21" s="17">
        <f t="shared" si="1"/>
        <v>392467.63386633975</v>
      </c>
      <c r="C21" s="17">
        <f t="shared" si="2"/>
        <v>2218.735255179457</v>
      </c>
      <c r="D21" s="17">
        <f t="shared" si="5"/>
        <v>1730.1281526274479</v>
      </c>
      <c r="E21" s="17">
        <f t="shared" si="3"/>
        <v>488.60710255200911</v>
      </c>
    </row>
    <row r="22" spans="1:5" x14ac:dyDescent="0.25">
      <c r="A22" s="25">
        <v>40695</v>
      </c>
      <c r="B22" s="17">
        <f t="shared" si="1"/>
        <v>391979.02676378773</v>
      </c>
      <c r="C22" s="17">
        <f t="shared" si="2"/>
        <v>2218.735255179457</v>
      </c>
      <c r="D22" s="17">
        <f t="shared" si="5"/>
        <v>1727.9742096503644</v>
      </c>
      <c r="E22" s="17">
        <f t="shared" si="3"/>
        <v>490.7610455290926</v>
      </c>
    </row>
    <row r="23" spans="1:5" x14ac:dyDescent="0.25">
      <c r="A23" s="25">
        <v>40725</v>
      </c>
      <c r="B23" s="17">
        <f t="shared" si="1"/>
        <v>391488.26571825863</v>
      </c>
      <c r="C23" s="17">
        <f t="shared" si="2"/>
        <v>2218.735255179457</v>
      </c>
      <c r="D23" s="17">
        <f t="shared" si="5"/>
        <v>1725.810771374657</v>
      </c>
      <c r="E23" s="17">
        <f t="shared" si="3"/>
        <v>492.92448380480005</v>
      </c>
    </row>
    <row r="24" spans="1:5" x14ac:dyDescent="0.25">
      <c r="A24" s="25">
        <v>40756</v>
      </c>
      <c r="B24" s="17">
        <f t="shared" si="1"/>
        <v>390995.34123445384</v>
      </c>
      <c r="C24" s="17">
        <f t="shared" si="2"/>
        <v>2218.735255179457</v>
      </c>
      <c r="D24" s="17">
        <f t="shared" si="5"/>
        <v>1723.6377959418842</v>
      </c>
      <c r="E24" s="17">
        <f t="shared" si="3"/>
        <v>495.09745923757282</v>
      </c>
    </row>
    <row r="25" spans="1:5" x14ac:dyDescent="0.25">
      <c r="A25" s="25">
        <v>40787</v>
      </c>
      <c r="B25" s="17">
        <f t="shared" si="1"/>
        <v>390500.24377521628</v>
      </c>
      <c r="C25" s="17">
        <f t="shared" si="2"/>
        <v>2218.735255179457</v>
      </c>
      <c r="D25" s="17">
        <f t="shared" si="5"/>
        <v>1721.4552413090785</v>
      </c>
      <c r="E25" s="17">
        <f t="shared" si="3"/>
        <v>497.28001387037853</v>
      </c>
    </row>
    <row r="26" spans="1:5" x14ac:dyDescent="0.25">
      <c r="A26" s="25">
        <v>40817</v>
      </c>
      <c r="B26" s="17">
        <f t="shared" si="1"/>
        <v>390002.96376134589</v>
      </c>
      <c r="C26" s="17">
        <f t="shared" si="2"/>
        <v>2218.735255179457</v>
      </c>
      <c r="D26" s="17">
        <f t="shared" si="5"/>
        <v>1719.2630652479331</v>
      </c>
      <c r="E26" s="17">
        <f t="shared" si="3"/>
        <v>499.47218993152387</v>
      </c>
    </row>
    <row r="27" spans="1:5" x14ac:dyDescent="0.25">
      <c r="A27" s="25">
        <v>40848</v>
      </c>
      <c r="B27" s="17">
        <f t="shared" si="1"/>
        <v>389503.49157141434</v>
      </c>
      <c r="C27" s="17">
        <f t="shared" si="2"/>
        <v>2218.735255179457</v>
      </c>
      <c r="D27" s="17">
        <f t="shared" si="5"/>
        <v>1717.0612253439849</v>
      </c>
      <c r="E27" s="17">
        <f t="shared" si="3"/>
        <v>501.67402983547208</v>
      </c>
    </row>
    <row r="28" spans="1:5" x14ac:dyDescent="0.25">
      <c r="A28" s="25">
        <v>40878</v>
      </c>
      <c r="B28" s="17">
        <f t="shared" si="1"/>
        <v>389001.81754157884</v>
      </c>
      <c r="C28" s="17">
        <f t="shared" si="2"/>
        <v>2218.735255179457</v>
      </c>
      <c r="D28" s="17">
        <f t="shared" si="5"/>
        <v>1714.8496789957935</v>
      </c>
      <c r="E28" s="17">
        <f t="shared" si="3"/>
        <v>503.88557618366349</v>
      </c>
    </row>
    <row r="29" spans="1:5" x14ac:dyDescent="0.25">
      <c r="A29" s="25" t="s">
        <v>94</v>
      </c>
      <c r="B29" s="17"/>
      <c r="C29" s="17">
        <f>SUM(C17:C28)</f>
        <v>26624.823062153486</v>
      </c>
      <c r="D29" s="17">
        <f t="shared" ref="D29" si="6">SUM(D17:D28)</f>
        <v>20722.043729579193</v>
      </c>
      <c r="E29" s="17">
        <f t="shared" ref="E29" si="7">SUM(E17:E28)</f>
        <v>5902.779332574295</v>
      </c>
    </row>
    <row r="30" spans="1:5" x14ac:dyDescent="0.25">
      <c r="A30" s="25"/>
      <c r="B30" s="17"/>
      <c r="C30" s="17"/>
      <c r="D30" s="17"/>
      <c r="E30" s="17"/>
    </row>
    <row r="31" spans="1:5" x14ac:dyDescent="0.25">
      <c r="A31" s="25">
        <v>40909</v>
      </c>
      <c r="B31" s="17">
        <f>+B28-E28</f>
        <v>388497.93196539517</v>
      </c>
      <c r="C31" s="17">
        <f>+C28</f>
        <v>2218.735255179457</v>
      </c>
      <c r="D31" s="17">
        <f t="shared" ref="D31:D42" si="8">+B31*$L$4</f>
        <v>1712.628383414117</v>
      </c>
      <c r="E31" s="17">
        <f t="shared" si="3"/>
        <v>506.10687176533997</v>
      </c>
    </row>
    <row r="32" spans="1:5" x14ac:dyDescent="0.25">
      <c r="A32" s="25">
        <v>40940</v>
      </c>
      <c r="B32" s="17">
        <f t="shared" si="1"/>
        <v>387991.82509362983</v>
      </c>
      <c r="C32" s="17">
        <f t="shared" si="2"/>
        <v>2218.735255179457</v>
      </c>
      <c r="D32" s="17">
        <f t="shared" si="8"/>
        <v>1710.3972956210848</v>
      </c>
      <c r="E32" s="17">
        <f t="shared" si="3"/>
        <v>508.33795955837218</v>
      </c>
    </row>
    <row r="33" spans="1:5" x14ac:dyDescent="0.25">
      <c r="A33" s="25">
        <v>40969</v>
      </c>
      <c r="B33" s="17">
        <f t="shared" si="1"/>
        <v>387483.48713407147</v>
      </c>
      <c r="C33" s="17">
        <f t="shared" si="2"/>
        <v>2218.735255179457</v>
      </c>
      <c r="D33" s="17">
        <f t="shared" si="8"/>
        <v>1708.1563724493651</v>
      </c>
      <c r="E33" s="17">
        <f t="shared" si="3"/>
        <v>510.57888273009189</v>
      </c>
    </row>
    <row r="34" spans="1:5" x14ac:dyDescent="0.25">
      <c r="A34" s="25">
        <v>41000</v>
      </c>
      <c r="B34" s="17">
        <f t="shared" si="1"/>
        <v>386972.90825134137</v>
      </c>
      <c r="C34" s="17">
        <f t="shared" si="2"/>
        <v>2218.735255179457</v>
      </c>
      <c r="D34" s="17">
        <f t="shared" si="8"/>
        <v>1705.90557054133</v>
      </c>
      <c r="E34" s="17">
        <f t="shared" si="3"/>
        <v>512.82968463812699</v>
      </c>
    </row>
    <row r="35" spans="1:5" x14ac:dyDescent="0.25">
      <c r="A35" s="25">
        <v>41030</v>
      </c>
      <c r="B35" s="17">
        <f t="shared" si="1"/>
        <v>386460.07856670325</v>
      </c>
      <c r="C35" s="17">
        <f t="shared" si="2"/>
        <v>2218.735255179457</v>
      </c>
      <c r="D35" s="17">
        <f t="shared" si="8"/>
        <v>1703.6448463482168</v>
      </c>
      <c r="E35" s="17">
        <f t="shared" si="3"/>
        <v>515.09040883124021</v>
      </c>
    </row>
    <row r="36" spans="1:5" x14ac:dyDescent="0.25">
      <c r="A36" s="25">
        <v>41061</v>
      </c>
      <c r="B36" s="17">
        <f t="shared" si="1"/>
        <v>385944.98815787199</v>
      </c>
      <c r="C36" s="17">
        <f t="shared" si="2"/>
        <v>2218.735255179457</v>
      </c>
      <c r="D36" s="17">
        <f t="shared" si="8"/>
        <v>1701.3741561292859</v>
      </c>
      <c r="E36" s="17">
        <f t="shared" si="3"/>
        <v>517.36109905017111</v>
      </c>
    </row>
    <row r="37" spans="1:5" x14ac:dyDescent="0.25">
      <c r="A37" s="25">
        <v>41091</v>
      </c>
      <c r="B37" s="17">
        <f t="shared" si="1"/>
        <v>385427.62705882185</v>
      </c>
      <c r="C37" s="17">
        <f t="shared" si="2"/>
        <v>2218.735255179457</v>
      </c>
      <c r="D37" s="17">
        <f t="shared" si="8"/>
        <v>1699.0934559509731</v>
      </c>
      <c r="E37" s="17">
        <f t="shared" si="3"/>
        <v>519.64179922848393</v>
      </c>
    </row>
    <row r="38" spans="1:5" x14ac:dyDescent="0.25">
      <c r="A38" s="25">
        <v>41122</v>
      </c>
      <c r="B38" s="17">
        <f t="shared" si="1"/>
        <v>384907.98525959335</v>
      </c>
      <c r="C38" s="17">
        <f t="shared" si="2"/>
        <v>2218.735255179457</v>
      </c>
      <c r="D38" s="17">
        <f t="shared" si="8"/>
        <v>1696.8027016860408</v>
      </c>
      <c r="E38" s="17">
        <f t="shared" si="3"/>
        <v>521.93255349341621</v>
      </c>
    </row>
    <row r="39" spans="1:5" x14ac:dyDescent="0.25">
      <c r="A39" s="25">
        <v>41153</v>
      </c>
      <c r="B39" s="17">
        <f t="shared" si="1"/>
        <v>384386.05270609993</v>
      </c>
      <c r="C39" s="17">
        <f t="shared" si="2"/>
        <v>2218.735255179457</v>
      </c>
      <c r="D39" s="17">
        <f t="shared" si="8"/>
        <v>1694.5018490127241</v>
      </c>
      <c r="E39" s="17">
        <f t="shared" si="3"/>
        <v>524.23340616673295</v>
      </c>
    </row>
    <row r="40" spans="1:5" x14ac:dyDescent="0.25">
      <c r="A40" s="25">
        <v>41183</v>
      </c>
      <c r="B40" s="17">
        <f t="shared" si="1"/>
        <v>383861.81929993321</v>
      </c>
      <c r="C40" s="17">
        <f t="shared" si="2"/>
        <v>2218.735255179457</v>
      </c>
      <c r="D40" s="17">
        <f t="shared" si="8"/>
        <v>1692.1908534138722</v>
      </c>
      <c r="E40" s="17">
        <f t="shared" si="3"/>
        <v>526.54440176558478</v>
      </c>
    </row>
    <row r="41" spans="1:5" x14ac:dyDescent="0.25">
      <c r="A41" s="25">
        <v>41214</v>
      </c>
      <c r="B41" s="17">
        <f t="shared" si="1"/>
        <v>383335.27489816764</v>
      </c>
      <c r="C41" s="17">
        <f t="shared" si="2"/>
        <v>2218.735255179457</v>
      </c>
      <c r="D41" s="17">
        <f t="shared" si="8"/>
        <v>1689.8696701760891</v>
      </c>
      <c r="E41" s="17">
        <f t="shared" si="3"/>
        <v>528.86558500336787</v>
      </c>
    </row>
    <row r="42" spans="1:5" x14ac:dyDescent="0.25">
      <c r="A42" s="25">
        <v>41244</v>
      </c>
      <c r="B42" s="17">
        <f t="shared" si="1"/>
        <v>382806.4093131643</v>
      </c>
      <c r="C42" s="17">
        <f t="shared" si="2"/>
        <v>2218.735255179457</v>
      </c>
      <c r="D42" s="17">
        <f t="shared" si="8"/>
        <v>1687.5382543888661</v>
      </c>
      <c r="E42" s="17">
        <f t="shared" si="3"/>
        <v>531.19700079059089</v>
      </c>
    </row>
    <row r="43" spans="1:5" x14ac:dyDescent="0.25">
      <c r="A43" s="25" t="s">
        <v>94</v>
      </c>
      <c r="B43" s="17"/>
      <c r="C43" s="17">
        <f>SUM(C31:C42)</f>
        <v>26624.823062153486</v>
      </c>
      <c r="D43" s="17">
        <f t="shared" ref="D43" si="9">SUM(D31:D42)</f>
        <v>20402.103409131967</v>
      </c>
      <c r="E43" s="17">
        <f t="shared" ref="E43" si="10">SUM(E31:E42)</f>
        <v>6222.7196530215188</v>
      </c>
    </row>
    <row r="44" spans="1:5" x14ac:dyDescent="0.25">
      <c r="A44" s="25"/>
      <c r="B44" s="17"/>
      <c r="C44" s="17"/>
      <c r="D44" s="17"/>
      <c r="E44" s="17"/>
    </row>
    <row r="45" spans="1:5" x14ac:dyDescent="0.25">
      <c r="A45" s="25">
        <v>41275</v>
      </c>
      <c r="B45" s="17">
        <f>+B42-E42</f>
        <v>382275.21231237374</v>
      </c>
      <c r="C45" s="17">
        <f>+C42</f>
        <v>2218.735255179457</v>
      </c>
      <c r="D45" s="17">
        <f t="shared" ref="D45:D56" si="11">+B45*$L$4</f>
        <v>1685.1965609437143</v>
      </c>
      <c r="E45" s="17">
        <f t="shared" si="3"/>
        <v>533.5386942357427</v>
      </c>
    </row>
    <row r="46" spans="1:5" x14ac:dyDescent="0.25">
      <c r="A46" s="25">
        <v>41306</v>
      </c>
      <c r="B46" s="17">
        <f t="shared" si="1"/>
        <v>381741.67361813801</v>
      </c>
      <c r="C46" s="17">
        <f t="shared" si="2"/>
        <v>2218.735255179457</v>
      </c>
      <c r="D46" s="17">
        <f t="shared" si="11"/>
        <v>1682.8445445332918</v>
      </c>
      <c r="E46" s="17">
        <f t="shared" si="3"/>
        <v>535.89071064616519</v>
      </c>
    </row>
    <row r="47" spans="1:5" x14ac:dyDescent="0.25">
      <c r="A47" s="25">
        <v>41334</v>
      </c>
      <c r="B47" s="17">
        <f t="shared" si="1"/>
        <v>381205.78290749184</v>
      </c>
      <c r="C47" s="17">
        <f t="shared" si="2"/>
        <v>2218.735255179457</v>
      </c>
      <c r="D47" s="17">
        <f t="shared" si="11"/>
        <v>1680.4821596505267</v>
      </c>
      <c r="E47" s="17">
        <f t="shared" si="3"/>
        <v>538.25309552893032</v>
      </c>
    </row>
    <row r="48" spans="1:5" x14ac:dyDescent="0.25">
      <c r="A48" s="25">
        <v>41365</v>
      </c>
      <c r="B48" s="17">
        <f t="shared" si="1"/>
        <v>380667.52981196292</v>
      </c>
      <c r="C48" s="17">
        <f t="shared" si="2"/>
        <v>2218.735255179457</v>
      </c>
      <c r="D48" s="17">
        <f t="shared" si="11"/>
        <v>1678.1093605877365</v>
      </c>
      <c r="E48" s="17">
        <f t="shared" si="3"/>
        <v>540.62589459172045</v>
      </c>
    </row>
    <row r="49" spans="1:5" x14ac:dyDescent="0.25">
      <c r="A49" s="25">
        <v>41395</v>
      </c>
      <c r="B49" s="17">
        <f t="shared" si="1"/>
        <v>380126.90391737118</v>
      </c>
      <c r="C49" s="17">
        <f t="shared" si="2"/>
        <v>2218.735255179457</v>
      </c>
      <c r="D49" s="17">
        <f t="shared" si="11"/>
        <v>1675.7261014357448</v>
      </c>
      <c r="E49" s="17">
        <f t="shared" si="3"/>
        <v>543.0091537437122</v>
      </c>
    </row>
    <row r="50" spans="1:5" x14ac:dyDescent="0.25">
      <c r="A50" s="25">
        <v>41426</v>
      </c>
      <c r="B50" s="17">
        <f t="shared" si="1"/>
        <v>379583.89476362744</v>
      </c>
      <c r="C50" s="17">
        <f t="shared" si="2"/>
        <v>2218.735255179457</v>
      </c>
      <c r="D50" s="17">
        <f t="shared" si="11"/>
        <v>1673.3323360829911</v>
      </c>
      <c r="E50" s="17">
        <f t="shared" si="3"/>
        <v>545.40291909646589</v>
      </c>
    </row>
    <row r="51" spans="1:5" x14ac:dyDescent="0.25">
      <c r="A51" s="25">
        <v>41456</v>
      </c>
      <c r="B51" s="17">
        <f t="shared" si="1"/>
        <v>379038.49184453097</v>
      </c>
      <c r="C51" s="17">
        <f t="shared" si="2"/>
        <v>2218.735255179457</v>
      </c>
      <c r="D51" s="17">
        <f t="shared" si="11"/>
        <v>1670.9280182146408</v>
      </c>
      <c r="E51" s="17">
        <f t="shared" si="3"/>
        <v>547.80723696481618</v>
      </c>
    </row>
    <row r="52" spans="1:5" x14ac:dyDescent="0.25">
      <c r="A52" s="25">
        <v>41487</v>
      </c>
      <c r="B52" s="17">
        <f t="shared" si="1"/>
        <v>378490.68460756616</v>
      </c>
      <c r="C52" s="17">
        <f t="shared" si="2"/>
        <v>2218.735255179457</v>
      </c>
      <c r="D52" s="17">
        <f t="shared" si="11"/>
        <v>1668.5131013116875</v>
      </c>
      <c r="E52" s="17">
        <f t="shared" si="3"/>
        <v>550.22215386776952</v>
      </c>
    </row>
    <row r="53" spans="1:5" x14ac:dyDescent="0.25">
      <c r="A53" s="25">
        <v>41518</v>
      </c>
      <c r="B53" s="17">
        <f t="shared" si="1"/>
        <v>377940.46245369839</v>
      </c>
      <c r="C53" s="17">
        <f t="shared" si="2"/>
        <v>2218.735255179457</v>
      </c>
      <c r="D53" s="17">
        <f t="shared" si="11"/>
        <v>1666.0875386500538</v>
      </c>
      <c r="E53" s="17">
        <f t="shared" si="3"/>
        <v>552.64771652940317</v>
      </c>
    </row>
    <row r="54" spans="1:5" x14ac:dyDescent="0.25">
      <c r="A54" s="25">
        <v>41548</v>
      </c>
      <c r="B54" s="17">
        <f t="shared" si="1"/>
        <v>377387.81473716901</v>
      </c>
      <c r="C54" s="17">
        <f t="shared" si="2"/>
        <v>2218.735255179457</v>
      </c>
      <c r="D54" s="17">
        <f t="shared" si="11"/>
        <v>1663.6512832996868</v>
      </c>
      <c r="E54" s="17">
        <f t="shared" si="3"/>
        <v>555.08397187977016</v>
      </c>
    </row>
    <row r="55" spans="1:5" x14ac:dyDescent="0.25">
      <c r="A55" s="25">
        <v>41579</v>
      </c>
      <c r="B55" s="17">
        <f t="shared" si="1"/>
        <v>376832.73076528922</v>
      </c>
      <c r="C55" s="17">
        <f t="shared" si="2"/>
        <v>2218.735255179457</v>
      </c>
      <c r="D55" s="17">
        <f t="shared" si="11"/>
        <v>1661.20428812365</v>
      </c>
      <c r="E55" s="17">
        <f t="shared" si="3"/>
        <v>557.53096705580697</v>
      </c>
    </row>
    <row r="56" spans="1:5" x14ac:dyDescent="0.25">
      <c r="A56" s="25">
        <v>41609</v>
      </c>
      <c r="B56" s="17">
        <f t="shared" si="1"/>
        <v>376275.1997982334</v>
      </c>
      <c r="C56" s="17">
        <f t="shared" si="2"/>
        <v>2218.735255179457</v>
      </c>
      <c r="D56" s="17">
        <f t="shared" si="11"/>
        <v>1658.7465057772124</v>
      </c>
      <c r="E56" s="17">
        <f t="shared" si="3"/>
        <v>559.98874940224459</v>
      </c>
    </row>
    <row r="57" spans="1:5" x14ac:dyDescent="0.25">
      <c r="A57" s="25" t="s">
        <v>94</v>
      </c>
      <c r="B57" s="17"/>
      <c r="C57" s="17">
        <f>SUM(C45:C56)</f>
        <v>26624.823062153486</v>
      </c>
      <c r="D57" s="17">
        <f t="shared" ref="D57" si="12">SUM(D45:D56)</f>
        <v>20064.821798610938</v>
      </c>
      <c r="E57" s="17">
        <f t="shared" ref="E57" si="13">SUM(E45:E56)</f>
        <v>6560.0012635425464</v>
      </c>
    </row>
    <row r="58" spans="1:5" x14ac:dyDescent="0.25">
      <c r="A58" s="25"/>
      <c r="B58" s="17"/>
      <c r="C58" s="17"/>
      <c r="D58" s="17"/>
      <c r="E58" s="17"/>
    </row>
    <row r="59" spans="1:5" x14ac:dyDescent="0.25">
      <c r="A59" s="25">
        <v>41640</v>
      </c>
      <c r="B59" s="17">
        <f>+B56-E56</f>
        <v>375715.21104883117</v>
      </c>
      <c r="C59" s="17">
        <f>+C56</f>
        <v>2218.735255179457</v>
      </c>
      <c r="D59" s="17">
        <f t="shared" ref="D59:D70" si="14">+B59*$L$4</f>
        <v>1656.2778887069308</v>
      </c>
      <c r="E59" s="17">
        <f t="shared" si="3"/>
        <v>562.45736647252625</v>
      </c>
    </row>
    <row r="60" spans="1:5" x14ac:dyDescent="0.25">
      <c r="A60" s="25">
        <v>41671</v>
      </c>
      <c r="B60" s="17">
        <f t="shared" si="1"/>
        <v>375152.75368235866</v>
      </c>
      <c r="C60" s="17">
        <f t="shared" si="2"/>
        <v>2218.735255179457</v>
      </c>
      <c r="D60" s="17">
        <f t="shared" si="14"/>
        <v>1653.7983891497311</v>
      </c>
      <c r="E60" s="17">
        <f t="shared" si="3"/>
        <v>564.93686602972593</v>
      </c>
    </row>
    <row r="61" spans="1:5" x14ac:dyDescent="0.25">
      <c r="A61" s="25">
        <v>41699</v>
      </c>
      <c r="B61" s="17">
        <f t="shared" si="1"/>
        <v>374587.81681632891</v>
      </c>
      <c r="C61" s="17">
        <f t="shared" si="2"/>
        <v>2218.735255179457</v>
      </c>
      <c r="D61" s="17">
        <f t="shared" si="14"/>
        <v>1651.3079591319834</v>
      </c>
      <c r="E61" s="17">
        <f t="shared" si="3"/>
        <v>567.42729604747365</v>
      </c>
    </row>
    <row r="62" spans="1:5" x14ac:dyDescent="0.25">
      <c r="A62" s="25">
        <v>41730</v>
      </c>
      <c r="B62" s="17">
        <f t="shared" si="1"/>
        <v>374020.38952028146</v>
      </c>
      <c r="C62" s="17">
        <f t="shared" si="2"/>
        <v>2218.735255179457</v>
      </c>
      <c r="D62" s="17">
        <f t="shared" si="14"/>
        <v>1648.8065504685742</v>
      </c>
      <c r="E62" s="17">
        <f t="shared" si="3"/>
        <v>569.92870471088281</v>
      </c>
    </row>
    <row r="63" spans="1:5" x14ac:dyDescent="0.25">
      <c r="A63" s="25">
        <v>41760</v>
      </c>
      <c r="B63" s="17">
        <f t="shared" si="1"/>
        <v>373450.46081557055</v>
      </c>
      <c r="C63" s="17">
        <f t="shared" si="2"/>
        <v>2218.735255179457</v>
      </c>
      <c r="D63" s="17">
        <f t="shared" si="14"/>
        <v>1646.2941147619736</v>
      </c>
      <c r="E63" s="17">
        <f t="shared" si="3"/>
        <v>572.44114041748344</v>
      </c>
    </row>
    <row r="64" spans="1:5" x14ac:dyDescent="0.25">
      <c r="A64" s="25">
        <v>41791</v>
      </c>
      <c r="B64" s="17">
        <f t="shared" si="1"/>
        <v>372878.01967515307</v>
      </c>
      <c r="C64" s="17">
        <f t="shared" si="2"/>
        <v>2218.735255179457</v>
      </c>
      <c r="D64" s="17">
        <f t="shared" si="14"/>
        <v>1643.7706034012999</v>
      </c>
      <c r="E64" s="17">
        <f t="shared" si="3"/>
        <v>574.96465177815708</v>
      </c>
    </row>
    <row r="65" spans="1:5" x14ac:dyDescent="0.25">
      <c r="A65" s="25">
        <v>41821</v>
      </c>
      <c r="B65" s="17">
        <f t="shared" si="1"/>
        <v>372303.05502337491</v>
      </c>
      <c r="C65" s="17">
        <f t="shared" si="2"/>
        <v>2218.735255179457</v>
      </c>
      <c r="D65" s="17">
        <f t="shared" si="14"/>
        <v>1641.2359675613777</v>
      </c>
      <c r="E65" s="17">
        <f t="shared" si="3"/>
        <v>577.49928761807928</v>
      </c>
    </row>
    <row r="66" spans="1:5" x14ac:dyDescent="0.25">
      <c r="A66" s="25">
        <v>41852</v>
      </c>
      <c r="B66" s="17">
        <f t="shared" si="1"/>
        <v>371725.55573575682</v>
      </c>
      <c r="C66" s="17">
        <f t="shared" si="2"/>
        <v>2218.735255179457</v>
      </c>
      <c r="D66" s="17">
        <f t="shared" si="14"/>
        <v>1638.6901582017947</v>
      </c>
      <c r="E66" s="17">
        <f t="shared" si="3"/>
        <v>580.0450969776623</v>
      </c>
    </row>
    <row r="67" spans="1:5" x14ac:dyDescent="0.25">
      <c r="A67" s="25">
        <v>41883</v>
      </c>
      <c r="B67" s="17">
        <f t="shared" si="1"/>
        <v>371145.51063877915</v>
      </c>
      <c r="C67" s="17">
        <f t="shared" si="2"/>
        <v>2218.735255179457</v>
      </c>
      <c r="D67" s="17">
        <f t="shared" si="14"/>
        <v>1636.1331260659515</v>
      </c>
      <c r="E67" s="17">
        <f t="shared" si="3"/>
        <v>582.6021291135055</v>
      </c>
    </row>
    <row r="68" spans="1:5" x14ac:dyDescent="0.25">
      <c r="A68" s="25">
        <v>41913</v>
      </c>
      <c r="B68" s="17">
        <f t="shared" si="1"/>
        <v>370562.90850966563</v>
      </c>
      <c r="C68" s="17">
        <f t="shared" si="2"/>
        <v>2218.735255179457</v>
      </c>
      <c r="D68" s="17">
        <f t="shared" si="14"/>
        <v>1633.5648216801094</v>
      </c>
      <c r="E68" s="17">
        <f t="shared" si="3"/>
        <v>585.17043349934761</v>
      </c>
    </row>
    <row r="69" spans="1:5" x14ac:dyDescent="0.25">
      <c r="A69" s="25">
        <v>41944</v>
      </c>
      <c r="B69" s="17">
        <f t="shared" si="1"/>
        <v>369977.73807616631</v>
      </c>
      <c r="C69" s="17">
        <f t="shared" si="2"/>
        <v>2218.735255179457</v>
      </c>
      <c r="D69" s="17">
        <f t="shared" si="14"/>
        <v>1630.9851953524333</v>
      </c>
      <c r="E69" s="17">
        <f t="shared" si="3"/>
        <v>587.75005982702373</v>
      </c>
    </row>
    <row r="70" spans="1:5" x14ac:dyDescent="0.25">
      <c r="A70" s="25">
        <v>41974</v>
      </c>
      <c r="B70" s="17">
        <f t="shared" si="1"/>
        <v>369389.98801633931</v>
      </c>
      <c r="C70" s="17">
        <f t="shared" si="2"/>
        <v>2218.735255179457</v>
      </c>
      <c r="D70" s="17">
        <f t="shared" si="14"/>
        <v>1628.3941971720292</v>
      </c>
      <c r="E70" s="17">
        <f t="shared" si="3"/>
        <v>590.34105800742782</v>
      </c>
    </row>
    <row r="71" spans="1:5" x14ac:dyDescent="0.25">
      <c r="A71" s="25" t="s">
        <v>94</v>
      </c>
      <c r="B71" s="17"/>
      <c r="C71" s="17">
        <f>SUM(C59:C70)</f>
        <v>26624.823062153486</v>
      </c>
      <c r="D71" s="17">
        <f t="shared" ref="D71" si="15">SUM(D59:D70)</f>
        <v>19709.258971654188</v>
      </c>
      <c r="E71" s="17">
        <f t="shared" ref="E71" si="16">SUM(E59:E70)</f>
        <v>6915.5640904992952</v>
      </c>
    </row>
    <row r="72" spans="1:5" x14ac:dyDescent="0.25">
      <c r="A72" s="25"/>
      <c r="B72" s="17"/>
      <c r="C72" s="17"/>
      <c r="D72" s="17"/>
      <c r="E72" s="17"/>
    </row>
    <row r="73" spans="1:5" x14ac:dyDescent="0.25">
      <c r="A73" s="25">
        <v>42005</v>
      </c>
      <c r="B73" s="17">
        <f>+B70-E70</f>
        <v>368799.64695833187</v>
      </c>
      <c r="C73" s="17">
        <f>+C70</f>
        <v>2218.735255179457</v>
      </c>
      <c r="D73" s="17">
        <f t="shared" ref="D73:D84" si="17">+B73*$L$4</f>
        <v>1625.7917770079798</v>
      </c>
      <c r="E73" s="17">
        <f t="shared" si="3"/>
        <v>592.94347817147718</v>
      </c>
    </row>
    <row r="74" spans="1:5" x14ac:dyDescent="0.25">
      <c r="A74" s="25">
        <v>42036</v>
      </c>
      <c r="B74" s="17">
        <f t="shared" si="1"/>
        <v>368206.70348016039</v>
      </c>
      <c r="C74" s="17">
        <f t="shared" si="2"/>
        <v>2218.735255179457</v>
      </c>
      <c r="D74" s="17">
        <f t="shared" si="17"/>
        <v>1623.1778845083738</v>
      </c>
      <c r="E74" s="17">
        <f t="shared" si="3"/>
        <v>595.55737067108316</v>
      </c>
    </row>
    <row r="75" spans="1:5" x14ac:dyDescent="0.25">
      <c r="A75" s="25">
        <v>42064</v>
      </c>
      <c r="B75" s="17">
        <f t="shared" si="1"/>
        <v>367611.14610948932</v>
      </c>
      <c r="C75" s="17">
        <f t="shared" si="2"/>
        <v>2218.735255179457</v>
      </c>
      <c r="D75" s="17">
        <f t="shared" si="17"/>
        <v>1620.5524690993323</v>
      </c>
      <c r="E75" s="17">
        <f t="shared" si="3"/>
        <v>598.18278608012474</v>
      </c>
    </row>
    <row r="76" spans="1:5" x14ac:dyDescent="0.25">
      <c r="A76" s="25">
        <v>42095</v>
      </c>
      <c r="B76" s="17">
        <f t="shared" si="1"/>
        <v>367012.9633234092</v>
      </c>
      <c r="C76" s="17">
        <f t="shared" si="2"/>
        <v>2218.735255179457</v>
      </c>
      <c r="D76" s="17">
        <f t="shared" si="17"/>
        <v>1617.9154799840289</v>
      </c>
      <c r="E76" s="17">
        <f t="shared" si="3"/>
        <v>600.81977519542806</v>
      </c>
    </row>
    <row r="77" spans="1:5" x14ac:dyDescent="0.25">
      <c r="A77" s="25">
        <v>42125</v>
      </c>
      <c r="B77" s="17">
        <f t="shared" si="1"/>
        <v>366412.14354821376</v>
      </c>
      <c r="C77" s="17">
        <f t="shared" si="2"/>
        <v>2218.735255179457</v>
      </c>
      <c r="D77" s="17">
        <f t="shared" si="17"/>
        <v>1615.266866141709</v>
      </c>
      <c r="E77" s="17">
        <f t="shared" si="3"/>
        <v>603.46838903774801</v>
      </c>
    </row>
    <row r="78" spans="1:5" x14ac:dyDescent="0.25">
      <c r="A78" s="25">
        <v>42156</v>
      </c>
      <c r="B78" s="17">
        <f t="shared" si="1"/>
        <v>365808.675159176</v>
      </c>
      <c r="C78" s="17">
        <f t="shared" si="2"/>
        <v>2218.735255179457</v>
      </c>
      <c r="D78" s="17">
        <f t="shared" si="17"/>
        <v>1612.6065763267009</v>
      </c>
      <c r="E78" s="17">
        <f t="shared" si="3"/>
        <v>606.12867885275614</v>
      </c>
    </row>
    <row r="79" spans="1:5" x14ac:dyDescent="0.25">
      <c r="A79" s="25">
        <v>42186</v>
      </c>
      <c r="B79" s="17">
        <f t="shared" ref="B79:B112" si="18">+B78-E78</f>
        <v>365202.54648032325</v>
      </c>
      <c r="C79" s="17">
        <f t="shared" ref="C79:C112" si="19">+C78</f>
        <v>2218.735255179457</v>
      </c>
      <c r="D79" s="17">
        <f t="shared" si="17"/>
        <v>1609.934559067425</v>
      </c>
      <c r="E79" s="17">
        <f t="shared" ref="E79:E115" si="20">+C79-D79</f>
        <v>608.80069611203203</v>
      </c>
    </row>
    <row r="80" spans="1:5" x14ac:dyDescent="0.25">
      <c r="A80" s="25">
        <v>42217</v>
      </c>
      <c r="B80" s="17">
        <f t="shared" si="18"/>
        <v>364593.74578421121</v>
      </c>
      <c r="C80" s="17">
        <f t="shared" si="19"/>
        <v>2218.735255179457</v>
      </c>
      <c r="D80" s="17">
        <f t="shared" si="17"/>
        <v>1607.2507626653978</v>
      </c>
      <c r="E80" s="17">
        <f t="shared" si="20"/>
        <v>611.48449251405918</v>
      </c>
    </row>
    <row r="81" spans="1:5" x14ac:dyDescent="0.25">
      <c r="A81" s="25">
        <v>42248</v>
      </c>
      <c r="B81" s="17">
        <f t="shared" si="18"/>
        <v>363982.26129169716</v>
      </c>
      <c r="C81" s="17">
        <f t="shared" si="19"/>
        <v>2218.735255179457</v>
      </c>
      <c r="D81" s="17">
        <f t="shared" si="17"/>
        <v>1604.5551351942318</v>
      </c>
      <c r="E81" s="17">
        <f t="shared" si="20"/>
        <v>614.18011998522525</v>
      </c>
    </row>
    <row r="82" spans="1:5" x14ac:dyDescent="0.25">
      <c r="A82" s="25">
        <v>42278</v>
      </c>
      <c r="B82" s="17">
        <f t="shared" si="18"/>
        <v>363368.08117171191</v>
      </c>
      <c r="C82" s="17">
        <f t="shared" si="19"/>
        <v>2218.735255179457</v>
      </c>
      <c r="D82" s="17">
        <f t="shared" si="17"/>
        <v>1601.84762449863</v>
      </c>
      <c r="E82" s="17">
        <f t="shared" si="20"/>
        <v>616.88763068082699</v>
      </c>
    </row>
    <row r="83" spans="1:5" x14ac:dyDescent="0.25">
      <c r="A83" s="25">
        <v>42309</v>
      </c>
      <c r="B83" s="17">
        <f t="shared" si="18"/>
        <v>362751.1935410311</v>
      </c>
      <c r="C83" s="17">
        <f t="shared" si="19"/>
        <v>2218.735255179457</v>
      </c>
      <c r="D83" s="17">
        <f t="shared" si="17"/>
        <v>1599.1281781933787</v>
      </c>
      <c r="E83" s="17">
        <f t="shared" si="20"/>
        <v>619.60707698607825</v>
      </c>
    </row>
    <row r="84" spans="1:5" x14ac:dyDescent="0.25">
      <c r="A84" s="25">
        <v>42339</v>
      </c>
      <c r="B84" s="17">
        <f t="shared" si="18"/>
        <v>362131.58646404505</v>
      </c>
      <c r="C84" s="17">
        <f t="shared" si="19"/>
        <v>2218.735255179457</v>
      </c>
      <c r="D84" s="17">
        <f t="shared" si="17"/>
        <v>1596.396743662332</v>
      </c>
      <c r="E84" s="17">
        <f t="shared" si="20"/>
        <v>622.33851151712497</v>
      </c>
    </row>
    <row r="85" spans="1:5" x14ac:dyDescent="0.25">
      <c r="A85" s="25" t="s">
        <v>94</v>
      </c>
      <c r="B85" s="17"/>
      <c r="C85" s="17">
        <f>SUM(C73:C84)</f>
        <v>26624.823062153486</v>
      </c>
      <c r="D85" s="17">
        <f t="shared" ref="D85" si="21">SUM(D73:D84)</f>
        <v>19334.424056349522</v>
      </c>
      <c r="E85" s="17">
        <f t="shared" ref="E85" si="22">SUM(E73:E84)</f>
        <v>7290.3990058039626</v>
      </c>
    </row>
    <row r="86" spans="1:5" x14ac:dyDescent="0.25">
      <c r="A86" s="25"/>
      <c r="B86" s="17"/>
      <c r="C86" s="17"/>
      <c r="D86" s="17"/>
      <c r="E86" s="17"/>
    </row>
    <row r="87" spans="1:5" x14ac:dyDescent="0.25">
      <c r="A87" s="25">
        <v>42370</v>
      </c>
      <c r="B87" s="17">
        <f>+B84-E84</f>
        <v>361509.24795252795</v>
      </c>
      <c r="C87" s="17">
        <f>+C84</f>
        <v>2218.735255179457</v>
      </c>
      <c r="D87" s="17">
        <f t="shared" ref="D87:D98" si="23">+B87*$L$4</f>
        <v>1593.6532680573941</v>
      </c>
      <c r="E87" s="17">
        <f t="shared" si="20"/>
        <v>625.08198712206286</v>
      </c>
    </row>
    <row r="88" spans="1:5" x14ac:dyDescent="0.25">
      <c r="A88" s="25">
        <v>42401</v>
      </c>
      <c r="B88" s="17">
        <f t="shared" si="18"/>
        <v>360884.16596540587</v>
      </c>
      <c r="C88" s="17">
        <f t="shared" si="19"/>
        <v>2218.735255179457</v>
      </c>
      <c r="D88" s="17">
        <f t="shared" si="23"/>
        <v>1590.8976982974978</v>
      </c>
      <c r="E88" s="17">
        <f t="shared" si="20"/>
        <v>627.83755688195924</v>
      </c>
    </row>
    <row r="89" spans="1:5" x14ac:dyDescent="0.25">
      <c r="A89" s="25">
        <v>42430</v>
      </c>
      <c r="B89" s="17">
        <f t="shared" si="18"/>
        <v>360256.32840852393</v>
      </c>
      <c r="C89" s="17">
        <f t="shared" si="19"/>
        <v>2218.735255179457</v>
      </c>
      <c r="D89" s="17">
        <f t="shared" si="23"/>
        <v>1588.1299810675764</v>
      </c>
      <c r="E89" s="17">
        <f t="shared" si="20"/>
        <v>630.60527411188059</v>
      </c>
    </row>
    <row r="90" spans="1:5" x14ac:dyDescent="0.25">
      <c r="A90" s="25">
        <v>42461</v>
      </c>
      <c r="B90" s="17">
        <f t="shared" si="18"/>
        <v>359625.72313441202</v>
      </c>
      <c r="C90" s="17">
        <f t="shared" si="19"/>
        <v>2218.735255179457</v>
      </c>
      <c r="D90" s="17">
        <f t="shared" si="23"/>
        <v>1585.3500628175332</v>
      </c>
      <c r="E90" s="17">
        <f t="shared" si="20"/>
        <v>633.38519236192383</v>
      </c>
    </row>
    <row r="91" spans="1:5" x14ac:dyDescent="0.25">
      <c r="A91" s="25">
        <v>42491</v>
      </c>
      <c r="B91" s="17">
        <f t="shared" si="18"/>
        <v>358992.33794205007</v>
      </c>
      <c r="C91" s="17">
        <f t="shared" si="19"/>
        <v>2218.735255179457</v>
      </c>
      <c r="D91" s="17">
        <f t="shared" si="23"/>
        <v>1582.5578897612043</v>
      </c>
      <c r="E91" s="17">
        <f t="shared" si="20"/>
        <v>636.17736541825275</v>
      </c>
    </row>
    <row r="92" spans="1:5" x14ac:dyDescent="0.25">
      <c r="A92" s="25">
        <v>42522</v>
      </c>
      <c r="B92" s="17">
        <f t="shared" si="18"/>
        <v>358356.16057663184</v>
      </c>
      <c r="C92" s="17">
        <f t="shared" si="19"/>
        <v>2218.735255179457</v>
      </c>
      <c r="D92" s="17">
        <f t="shared" si="23"/>
        <v>1579.7534078753188</v>
      </c>
      <c r="E92" s="17">
        <f t="shared" si="20"/>
        <v>638.98184730413823</v>
      </c>
    </row>
    <row r="93" spans="1:5" x14ac:dyDescent="0.25">
      <c r="A93" s="25">
        <v>42552</v>
      </c>
      <c r="B93" s="17">
        <f t="shared" si="18"/>
        <v>357717.17872932769</v>
      </c>
      <c r="C93" s="17">
        <f t="shared" si="19"/>
        <v>2218.735255179457</v>
      </c>
      <c r="D93" s="17">
        <f t="shared" si="23"/>
        <v>1576.9365628984528</v>
      </c>
      <c r="E93" s="17">
        <f t="shared" si="20"/>
        <v>641.79869228100415</v>
      </c>
    </row>
    <row r="94" spans="1:5" x14ac:dyDescent="0.25">
      <c r="A94" s="25">
        <v>42583</v>
      </c>
      <c r="B94" s="17">
        <f t="shared" si="18"/>
        <v>357075.38003704668</v>
      </c>
      <c r="C94" s="17">
        <f t="shared" si="19"/>
        <v>2218.735255179457</v>
      </c>
      <c r="D94" s="17">
        <f t="shared" si="23"/>
        <v>1574.1073003299809</v>
      </c>
      <c r="E94" s="17">
        <f t="shared" si="20"/>
        <v>644.62795484947605</v>
      </c>
    </row>
    <row r="95" spans="1:5" x14ac:dyDescent="0.25">
      <c r="A95" s="25">
        <v>42614</v>
      </c>
      <c r="B95" s="17">
        <f t="shared" si="18"/>
        <v>356430.75208219723</v>
      </c>
      <c r="C95" s="17">
        <f t="shared" si="19"/>
        <v>2218.735255179457</v>
      </c>
      <c r="D95" s="17">
        <f t="shared" si="23"/>
        <v>1571.2655654290195</v>
      </c>
      <c r="E95" s="17">
        <f t="shared" si="20"/>
        <v>647.46968975043751</v>
      </c>
    </row>
    <row r="96" spans="1:5" x14ac:dyDescent="0.25">
      <c r="A96" s="25">
        <v>42644</v>
      </c>
      <c r="B96" s="17">
        <f t="shared" si="18"/>
        <v>355783.28239244677</v>
      </c>
      <c r="C96" s="17">
        <f t="shared" si="19"/>
        <v>2218.735255179457</v>
      </c>
      <c r="D96" s="17">
        <f t="shared" si="23"/>
        <v>1568.4113032133696</v>
      </c>
      <c r="E96" s="17">
        <f t="shared" si="20"/>
        <v>650.32395196608741</v>
      </c>
    </row>
    <row r="97" spans="1:5" x14ac:dyDescent="0.25">
      <c r="A97" s="25">
        <v>42675</v>
      </c>
      <c r="B97" s="17">
        <f t="shared" si="18"/>
        <v>355132.9584404807</v>
      </c>
      <c r="C97" s="17">
        <f t="shared" si="19"/>
        <v>2218.735255179457</v>
      </c>
      <c r="D97" s="17">
        <f t="shared" si="23"/>
        <v>1565.5444584584525</v>
      </c>
      <c r="E97" s="17">
        <f t="shared" si="20"/>
        <v>653.19079672100452</v>
      </c>
    </row>
    <row r="98" spans="1:5" x14ac:dyDescent="0.25">
      <c r="A98" s="25">
        <v>42705</v>
      </c>
      <c r="B98" s="17">
        <f t="shared" si="18"/>
        <v>354479.76764375967</v>
      </c>
      <c r="C98" s="17">
        <f t="shared" si="19"/>
        <v>2218.735255179457</v>
      </c>
      <c r="D98" s="17">
        <f t="shared" si="23"/>
        <v>1562.6649756962406</v>
      </c>
      <c r="E98" s="17">
        <f t="shared" si="20"/>
        <v>656.07027948321638</v>
      </c>
    </row>
    <row r="99" spans="1:5" x14ac:dyDescent="0.25">
      <c r="A99" s="25" t="s">
        <v>94</v>
      </c>
      <c r="B99" s="17"/>
      <c r="C99" s="17">
        <f>SUM(C87:C98)</f>
        <v>26624.823062153486</v>
      </c>
      <c r="D99" s="17">
        <f t="shared" ref="D99" si="24">SUM(D87:D98)</f>
        <v>18939.272473902038</v>
      </c>
      <c r="E99" s="17">
        <f t="shared" ref="E99" si="25">SUM(E87:E98)</f>
        <v>7685.5505882514426</v>
      </c>
    </row>
    <row r="100" spans="1:5" x14ac:dyDescent="0.25">
      <c r="A100" s="25"/>
      <c r="B100" s="17"/>
      <c r="C100" s="17"/>
      <c r="D100" s="17"/>
      <c r="E100" s="17"/>
    </row>
    <row r="101" spans="1:5" x14ac:dyDescent="0.25">
      <c r="A101" s="25">
        <v>42736</v>
      </c>
      <c r="B101" s="17">
        <f>+B98-E98</f>
        <v>353823.69736427645</v>
      </c>
      <c r="C101" s="17">
        <f>+C98</f>
        <v>2218.735255179457</v>
      </c>
      <c r="D101" s="17">
        <f t="shared" ref="D101:D112" si="26">+B101*$L$4</f>
        <v>1559.7727992141854</v>
      </c>
      <c r="E101" s="17">
        <f t="shared" si="20"/>
        <v>658.9624559652716</v>
      </c>
    </row>
    <row r="102" spans="1:5" x14ac:dyDescent="0.25">
      <c r="A102" s="25">
        <v>42767</v>
      </c>
      <c r="B102" s="17">
        <f t="shared" si="18"/>
        <v>353164.73490831116</v>
      </c>
      <c r="C102" s="17">
        <f t="shared" si="19"/>
        <v>2218.735255179457</v>
      </c>
      <c r="D102" s="17">
        <f t="shared" si="26"/>
        <v>1556.8678730541385</v>
      </c>
      <c r="E102" s="17">
        <f t="shared" si="20"/>
        <v>661.8673821253185</v>
      </c>
    </row>
    <row r="103" spans="1:5" x14ac:dyDescent="0.25">
      <c r="A103" s="25">
        <v>42795</v>
      </c>
      <c r="B103" s="17">
        <f t="shared" si="18"/>
        <v>352502.86752618582</v>
      </c>
      <c r="C103" s="17">
        <f t="shared" si="19"/>
        <v>2218.735255179457</v>
      </c>
      <c r="D103" s="17">
        <f t="shared" si="26"/>
        <v>1553.9501410112691</v>
      </c>
      <c r="E103" s="17">
        <f t="shared" si="20"/>
        <v>664.78511416818787</v>
      </c>
    </row>
    <row r="104" spans="1:5" x14ac:dyDescent="0.25">
      <c r="A104" s="25">
        <v>42826</v>
      </c>
      <c r="B104" s="17">
        <f t="shared" si="18"/>
        <v>351838.08241201763</v>
      </c>
      <c r="C104" s="17">
        <f t="shared" si="19"/>
        <v>2218.735255179457</v>
      </c>
      <c r="D104" s="17">
        <f t="shared" si="26"/>
        <v>1551.0195466329778</v>
      </c>
      <c r="E104" s="17">
        <f t="shared" si="20"/>
        <v>667.71570854647916</v>
      </c>
    </row>
    <row r="105" spans="1:5" x14ac:dyDescent="0.25">
      <c r="A105" s="25">
        <v>42856</v>
      </c>
      <c r="B105" s="17">
        <f t="shared" si="18"/>
        <v>351170.36670347117</v>
      </c>
      <c r="C105" s="17">
        <f t="shared" si="19"/>
        <v>2218.735255179457</v>
      </c>
      <c r="D105" s="17">
        <f t="shared" si="26"/>
        <v>1548.0760332178022</v>
      </c>
      <c r="E105" s="17">
        <f t="shared" si="20"/>
        <v>670.65922196165479</v>
      </c>
    </row>
    <row r="106" spans="1:5" x14ac:dyDescent="0.25">
      <c r="A106" s="25">
        <v>42887</v>
      </c>
      <c r="B106" s="17">
        <f t="shared" si="18"/>
        <v>350499.70748150954</v>
      </c>
      <c r="C106" s="17">
        <f t="shared" si="19"/>
        <v>2218.735255179457</v>
      </c>
      <c r="D106" s="17">
        <f t="shared" si="26"/>
        <v>1545.1195438143213</v>
      </c>
      <c r="E106" s="17">
        <f t="shared" si="20"/>
        <v>673.61571136513567</v>
      </c>
    </row>
    <row r="107" spans="1:5" x14ac:dyDescent="0.25">
      <c r="A107" s="25">
        <v>42917</v>
      </c>
      <c r="B107" s="17">
        <f t="shared" si="18"/>
        <v>349826.09177014441</v>
      </c>
      <c r="C107" s="17">
        <f t="shared" si="19"/>
        <v>2218.735255179457</v>
      </c>
      <c r="D107" s="17">
        <f t="shared" si="26"/>
        <v>1542.1500212200533</v>
      </c>
      <c r="E107" s="17">
        <f t="shared" si="20"/>
        <v>676.58523395940369</v>
      </c>
    </row>
    <row r="108" spans="1:5" x14ac:dyDescent="0.25">
      <c r="A108" s="25">
        <v>42948</v>
      </c>
      <c r="B108" s="17">
        <f t="shared" si="18"/>
        <v>349149.50653618498</v>
      </c>
      <c r="C108" s="17">
        <f t="shared" si="19"/>
        <v>2218.735255179457</v>
      </c>
      <c r="D108" s="17">
        <f t="shared" si="26"/>
        <v>1539.1674079803488</v>
      </c>
      <c r="E108" s="17">
        <f t="shared" si="20"/>
        <v>679.5678471991082</v>
      </c>
    </row>
    <row r="109" spans="1:5" x14ac:dyDescent="0.25">
      <c r="A109" s="25">
        <v>42979</v>
      </c>
      <c r="B109" s="17">
        <f t="shared" si="18"/>
        <v>348469.93868898589</v>
      </c>
      <c r="C109" s="17">
        <f t="shared" si="19"/>
        <v>2218.735255179457</v>
      </c>
      <c r="D109" s="17">
        <f t="shared" si="26"/>
        <v>1536.1716463872795</v>
      </c>
      <c r="E109" s="17">
        <f t="shared" si="20"/>
        <v>682.56360879217755</v>
      </c>
    </row>
    <row r="110" spans="1:5" x14ac:dyDescent="0.25">
      <c r="A110" s="25">
        <v>43009</v>
      </c>
      <c r="B110" s="17">
        <f t="shared" si="18"/>
        <v>347787.37508019368</v>
      </c>
      <c r="C110" s="17">
        <f t="shared" si="19"/>
        <v>2218.735255179457</v>
      </c>
      <c r="D110" s="17">
        <f t="shared" si="26"/>
        <v>1533.1626784785205</v>
      </c>
      <c r="E110" s="17">
        <f t="shared" si="20"/>
        <v>685.57257670093645</v>
      </c>
    </row>
    <row r="111" spans="1:5" x14ac:dyDescent="0.25">
      <c r="A111" s="25">
        <v>43040</v>
      </c>
      <c r="B111" s="17">
        <f t="shared" si="18"/>
        <v>347101.80250349274</v>
      </c>
      <c r="C111" s="17">
        <f t="shared" si="19"/>
        <v>2218.735255179457</v>
      </c>
      <c r="D111" s="17">
        <f t="shared" si="26"/>
        <v>1530.1404460362305</v>
      </c>
      <c r="E111" s="17">
        <f t="shared" si="20"/>
        <v>688.59480914322648</v>
      </c>
    </row>
    <row r="112" spans="1:5" x14ac:dyDescent="0.25">
      <c r="A112" s="25">
        <v>43070</v>
      </c>
      <c r="B112" s="17">
        <f t="shared" si="18"/>
        <v>346413.20769434952</v>
      </c>
      <c r="C112" s="17">
        <f t="shared" si="19"/>
        <v>2218.735255179457</v>
      </c>
      <c r="D112" s="17">
        <f t="shared" si="26"/>
        <v>1527.1048905859243</v>
      </c>
      <c r="E112" s="17">
        <f t="shared" si="20"/>
        <v>691.6303645935327</v>
      </c>
    </row>
    <row r="113" spans="1:5" x14ac:dyDescent="0.25">
      <c r="A113" s="25" t="s">
        <v>94</v>
      </c>
      <c r="B113" s="17"/>
      <c r="C113" s="17">
        <f>SUM(C101:C112)</f>
        <v>26624.823062153486</v>
      </c>
      <c r="D113" s="17">
        <f t="shared" ref="D113" si="27">SUM(D101:D112)</f>
        <v>18522.703027633052</v>
      </c>
      <c r="E113" s="17">
        <f t="shared" ref="E113" si="28">SUM(E101:E112)</f>
        <v>8102.1200345204325</v>
      </c>
    </row>
    <row r="114" spans="1:5" x14ac:dyDescent="0.25">
      <c r="A114" s="25"/>
      <c r="B114" s="17"/>
      <c r="C114" s="17"/>
      <c r="D114" s="17"/>
      <c r="E114" s="17"/>
    </row>
    <row r="115" spans="1:5" x14ac:dyDescent="0.25">
      <c r="A115" s="25">
        <v>43101</v>
      </c>
      <c r="B115" s="17">
        <f>+B112-E112</f>
        <v>345721.57732975599</v>
      </c>
      <c r="C115" s="17">
        <f>+C112</f>
        <v>2218.735255179457</v>
      </c>
      <c r="D115" s="17">
        <f t="shared" ref="D115:D126" si="29">+B115*$L$4</f>
        <v>1524.055953395341</v>
      </c>
      <c r="E115" s="17">
        <f t="shared" si="20"/>
        <v>694.67930178411598</v>
      </c>
    </row>
    <row r="116" spans="1:5" x14ac:dyDescent="0.25">
      <c r="A116" s="25">
        <v>43132</v>
      </c>
      <c r="B116" s="17">
        <f t="shared" ref="B116:B177" si="30">+B115-E115</f>
        <v>345026.89802797185</v>
      </c>
      <c r="C116" s="17">
        <f>+C115</f>
        <v>2218.735255179457</v>
      </c>
      <c r="D116" s="17">
        <f t="shared" si="29"/>
        <v>1520.9935754733094</v>
      </c>
      <c r="E116" s="17">
        <f t="shared" ref="E116:E177" si="31">+C116-D116</f>
        <v>697.74167970614758</v>
      </c>
    </row>
    <row r="117" spans="1:5" x14ac:dyDescent="0.25">
      <c r="A117" s="25">
        <v>43160</v>
      </c>
      <c r="B117" s="17">
        <f t="shared" si="30"/>
        <v>344329.15634826571</v>
      </c>
      <c r="C117" s="17">
        <f t="shared" ref="C117:C177" si="32">+C116</f>
        <v>2218.735255179457</v>
      </c>
      <c r="D117" s="17">
        <f t="shared" si="29"/>
        <v>1517.9176975686048</v>
      </c>
      <c r="E117" s="17">
        <f t="shared" si="31"/>
        <v>700.81755761085219</v>
      </c>
    </row>
    <row r="118" spans="1:5" x14ac:dyDescent="0.25">
      <c r="A118" s="25">
        <v>43191</v>
      </c>
      <c r="B118" s="17">
        <f t="shared" si="30"/>
        <v>343628.33879065485</v>
      </c>
      <c r="C118" s="17">
        <f t="shared" si="32"/>
        <v>2218.735255179457</v>
      </c>
      <c r="D118" s="17">
        <f t="shared" si="29"/>
        <v>1514.8282601688036</v>
      </c>
      <c r="E118" s="17">
        <f t="shared" si="31"/>
        <v>703.90699501065342</v>
      </c>
    </row>
    <row r="119" spans="1:5" x14ac:dyDescent="0.25">
      <c r="A119" s="25">
        <v>43221</v>
      </c>
      <c r="B119" s="17">
        <f t="shared" si="30"/>
        <v>342924.43179564417</v>
      </c>
      <c r="C119" s="17">
        <f t="shared" si="32"/>
        <v>2218.735255179457</v>
      </c>
      <c r="D119" s="17">
        <f t="shared" si="29"/>
        <v>1511.7252034991313</v>
      </c>
      <c r="E119" s="17">
        <f t="shared" si="31"/>
        <v>707.01005168032566</v>
      </c>
    </row>
    <row r="120" spans="1:5" x14ac:dyDescent="0.25">
      <c r="A120" s="25">
        <v>43252</v>
      </c>
      <c r="B120" s="17">
        <f t="shared" si="30"/>
        <v>342217.42174396385</v>
      </c>
      <c r="C120" s="17">
        <f>+C119</f>
        <v>2218.735255179457</v>
      </c>
      <c r="D120" s="17">
        <f t="shared" si="29"/>
        <v>1508.6084675213074</v>
      </c>
      <c r="E120" s="17">
        <f t="shared" si="31"/>
        <v>710.12678765814962</v>
      </c>
    </row>
    <row r="121" spans="1:5" x14ac:dyDescent="0.25">
      <c r="A121" s="25">
        <v>43282</v>
      </c>
      <c r="B121" s="17">
        <f t="shared" si="30"/>
        <v>341507.2949563057</v>
      </c>
      <c r="C121" s="17">
        <f t="shared" si="32"/>
        <v>2218.735255179457</v>
      </c>
      <c r="D121" s="17">
        <f t="shared" si="29"/>
        <v>1505.477991932381</v>
      </c>
      <c r="E121" s="17">
        <f t="shared" si="31"/>
        <v>713.25726324707603</v>
      </c>
    </row>
    <row r="122" spans="1:5" x14ac:dyDescent="0.25">
      <c r="A122" s="25">
        <v>43313</v>
      </c>
      <c r="B122" s="17">
        <f t="shared" si="30"/>
        <v>340794.03769305861</v>
      </c>
      <c r="C122" s="17">
        <f t="shared" si="32"/>
        <v>2218.735255179457</v>
      </c>
      <c r="D122" s="17">
        <f t="shared" si="29"/>
        <v>1502.3337161635668</v>
      </c>
      <c r="E122" s="17">
        <f t="shared" si="31"/>
        <v>716.40153901589019</v>
      </c>
    </row>
    <row r="123" spans="1:5" x14ac:dyDescent="0.25">
      <c r="A123" s="25">
        <v>43344</v>
      </c>
      <c r="B123" s="17">
        <f t="shared" si="30"/>
        <v>340077.63615404273</v>
      </c>
      <c r="C123" s="17">
        <f t="shared" si="32"/>
        <v>2218.735255179457</v>
      </c>
      <c r="D123" s="17">
        <f t="shared" si="29"/>
        <v>1499.1755793790717</v>
      </c>
      <c r="E123" s="17">
        <f t="shared" si="31"/>
        <v>719.55967580038532</v>
      </c>
    </row>
    <row r="124" spans="1:5" x14ac:dyDescent="0.25">
      <c r="A124" s="25">
        <v>43374</v>
      </c>
      <c r="B124" s="17">
        <f t="shared" si="30"/>
        <v>339358.07647824235</v>
      </c>
      <c r="C124" s="17">
        <f t="shared" si="32"/>
        <v>2218.735255179457</v>
      </c>
      <c r="D124" s="17">
        <f t="shared" si="29"/>
        <v>1496.0035204749183</v>
      </c>
      <c r="E124" s="17">
        <f t="shared" si="31"/>
        <v>722.73173470453867</v>
      </c>
    </row>
    <row r="125" spans="1:5" x14ac:dyDescent="0.25">
      <c r="A125" s="25">
        <v>43405</v>
      </c>
      <c r="B125" s="17">
        <f t="shared" si="30"/>
        <v>338635.34474353783</v>
      </c>
      <c r="C125" s="17">
        <f t="shared" si="32"/>
        <v>2218.735255179457</v>
      </c>
      <c r="D125" s="17">
        <f t="shared" si="29"/>
        <v>1492.8174780777626</v>
      </c>
      <c r="E125" s="17">
        <f t="shared" si="31"/>
        <v>725.91777710169436</v>
      </c>
    </row>
    <row r="126" spans="1:5" x14ac:dyDescent="0.25">
      <c r="A126" s="25">
        <v>43435</v>
      </c>
      <c r="B126" s="17">
        <f>+B125-E125</f>
        <v>337909.42696643615</v>
      </c>
      <c r="C126" s="17">
        <f>+C125</f>
        <v>2218.735255179457</v>
      </c>
      <c r="D126" s="17">
        <f t="shared" si="29"/>
        <v>1489.6173905437061</v>
      </c>
      <c r="E126" s="17">
        <f t="shared" si="31"/>
        <v>729.11786463575095</v>
      </c>
    </row>
    <row r="127" spans="1:5" x14ac:dyDescent="0.25">
      <c r="A127" s="25" t="s">
        <v>94</v>
      </c>
      <c r="B127" s="17"/>
      <c r="C127" s="17">
        <f>SUM(C115:C126)</f>
        <v>26624.823062153486</v>
      </c>
      <c r="D127" s="17">
        <f t="shared" ref="D127" si="33">SUM(D115:D126)</f>
        <v>18083.554834197905</v>
      </c>
      <c r="E127" s="17">
        <f t="shared" ref="E127" si="34">SUM(E115:E126)</f>
        <v>8541.2682279555811</v>
      </c>
    </row>
    <row r="128" spans="1:5" x14ac:dyDescent="0.25">
      <c r="A128" s="25"/>
      <c r="B128" s="17"/>
      <c r="C128" s="17"/>
      <c r="D128" s="17"/>
      <c r="E128" s="17"/>
    </row>
    <row r="129" spans="1:5" x14ac:dyDescent="0.25">
      <c r="A129" s="25">
        <v>43466</v>
      </c>
      <c r="B129" s="17">
        <f>+B126-E126</f>
        <v>337180.30910180038</v>
      </c>
      <c r="C129" s="17">
        <f>+C126</f>
        <v>2218.735255179457</v>
      </c>
      <c r="D129" s="17">
        <f t="shared" ref="D129:D140" si="35">+B129*$L$4</f>
        <v>1486.4031959571034</v>
      </c>
      <c r="E129" s="17">
        <f t="shared" si="31"/>
        <v>732.33205922235356</v>
      </c>
    </row>
    <row r="130" spans="1:5" x14ac:dyDescent="0.25">
      <c r="A130" s="25">
        <v>43497</v>
      </c>
      <c r="B130" s="17">
        <f t="shared" si="30"/>
        <v>336447.97704257804</v>
      </c>
      <c r="C130" s="17">
        <f t="shared" si="32"/>
        <v>2218.735255179457</v>
      </c>
      <c r="D130" s="17">
        <f t="shared" si="35"/>
        <v>1483.1748321293649</v>
      </c>
      <c r="E130" s="17">
        <f t="shared" si="31"/>
        <v>735.56042305009214</v>
      </c>
    </row>
    <row r="131" spans="1:5" x14ac:dyDescent="0.25">
      <c r="A131" s="25">
        <v>43525</v>
      </c>
      <c r="B131" s="17">
        <f t="shared" si="30"/>
        <v>335712.41661952797</v>
      </c>
      <c r="C131" s="17">
        <f t="shared" si="32"/>
        <v>2218.735255179457</v>
      </c>
      <c r="D131" s="17">
        <f t="shared" si="35"/>
        <v>1479.9322365977525</v>
      </c>
      <c r="E131" s="17">
        <f t="shared" si="31"/>
        <v>738.80301858170446</v>
      </c>
    </row>
    <row r="132" spans="1:5" x14ac:dyDescent="0.25">
      <c r="A132" s="25">
        <v>43556</v>
      </c>
      <c r="B132" s="17">
        <f t="shared" si="30"/>
        <v>334973.61360094626</v>
      </c>
      <c r="C132" s="17">
        <f t="shared" si="32"/>
        <v>2218.735255179457</v>
      </c>
      <c r="D132" s="17">
        <f t="shared" si="35"/>
        <v>1476.6753466241714</v>
      </c>
      <c r="E132" s="17">
        <f t="shared" si="31"/>
        <v>742.05990855528557</v>
      </c>
    </row>
    <row r="133" spans="1:5" x14ac:dyDescent="0.25">
      <c r="A133" s="25">
        <v>43586</v>
      </c>
      <c r="B133" s="17">
        <f t="shared" si="30"/>
        <v>334231.55369239097</v>
      </c>
      <c r="C133" s="17">
        <f t="shared" si="32"/>
        <v>2218.735255179457</v>
      </c>
      <c r="D133" s="17">
        <f t="shared" si="35"/>
        <v>1473.4040991939569</v>
      </c>
      <c r="E133" s="17">
        <f t="shared" si="31"/>
        <v>745.33115598550012</v>
      </c>
    </row>
    <row r="134" spans="1:5" x14ac:dyDescent="0.25">
      <c r="A134" s="25">
        <v>43617</v>
      </c>
      <c r="B134" s="17">
        <f t="shared" si="30"/>
        <v>333486.22253640549</v>
      </c>
      <c r="C134" s="17">
        <f t="shared" si="32"/>
        <v>2218.735255179457</v>
      </c>
      <c r="D134" s="17">
        <f t="shared" si="35"/>
        <v>1470.1184310146543</v>
      </c>
      <c r="E134" s="17">
        <f t="shared" si="31"/>
        <v>748.61682416480267</v>
      </c>
    </row>
    <row r="135" spans="1:5" x14ac:dyDescent="0.25">
      <c r="A135" s="25">
        <v>43647</v>
      </c>
      <c r="B135" s="17">
        <f t="shared" si="30"/>
        <v>332737.60571224068</v>
      </c>
      <c r="C135" s="17">
        <f t="shared" si="32"/>
        <v>2218.735255179457</v>
      </c>
      <c r="D135" s="17">
        <f t="shared" si="35"/>
        <v>1466.8182785147944</v>
      </c>
      <c r="E135" s="17">
        <f t="shared" si="31"/>
        <v>751.91697666466257</v>
      </c>
    </row>
    <row r="136" spans="1:5" x14ac:dyDescent="0.25">
      <c r="A136" s="25">
        <v>43678</v>
      </c>
      <c r="B136" s="17">
        <f t="shared" si="30"/>
        <v>331985.688735576</v>
      </c>
      <c r="C136" s="17">
        <f t="shared" si="32"/>
        <v>2218.735255179457</v>
      </c>
      <c r="D136" s="17">
        <f t="shared" si="35"/>
        <v>1463.5035778426643</v>
      </c>
      <c r="E136" s="17">
        <f t="shared" si="31"/>
        <v>755.2316773367927</v>
      </c>
    </row>
    <row r="137" spans="1:5" x14ac:dyDescent="0.25">
      <c r="A137" s="25">
        <v>43709</v>
      </c>
      <c r="B137" s="17">
        <f>+B136-E136</f>
        <v>331230.4570582392</v>
      </c>
      <c r="C137" s="17">
        <f t="shared" si="32"/>
        <v>2218.735255179457</v>
      </c>
      <c r="D137" s="17">
        <f t="shared" si="35"/>
        <v>1460.1742648650713</v>
      </c>
      <c r="E137" s="17">
        <f t="shared" si="31"/>
        <v>758.56099031438566</v>
      </c>
    </row>
    <row r="138" spans="1:5" x14ac:dyDescent="0.25">
      <c r="A138" s="25">
        <v>43739</v>
      </c>
      <c r="B138" s="17">
        <f t="shared" si="30"/>
        <v>330471.8960679248</v>
      </c>
      <c r="C138" s="17">
        <f t="shared" si="32"/>
        <v>2218.735255179457</v>
      </c>
      <c r="D138" s="17">
        <f t="shared" si="35"/>
        <v>1456.830275166102</v>
      </c>
      <c r="E138" s="17">
        <f t="shared" si="31"/>
        <v>761.90498001335504</v>
      </c>
    </row>
    <row r="139" spans="1:5" x14ac:dyDescent="0.25">
      <c r="A139" s="25">
        <v>43770</v>
      </c>
      <c r="B139" s="17">
        <f t="shared" si="30"/>
        <v>329709.99108791142</v>
      </c>
      <c r="C139" s="17">
        <f t="shared" si="32"/>
        <v>2218.735255179457</v>
      </c>
      <c r="D139" s="17">
        <f t="shared" si="35"/>
        <v>1453.4715440458763</v>
      </c>
      <c r="E139" s="17">
        <f t="shared" si="31"/>
        <v>765.26371113358073</v>
      </c>
    </row>
    <row r="140" spans="1:5" x14ac:dyDescent="0.25">
      <c r="A140" s="25">
        <v>43800</v>
      </c>
      <c r="B140" s="17">
        <f t="shared" si="30"/>
        <v>328944.72737677785</v>
      </c>
      <c r="C140" s="17">
        <f t="shared" si="32"/>
        <v>2218.735255179457</v>
      </c>
      <c r="D140" s="17">
        <f t="shared" si="35"/>
        <v>1450.0980065192957</v>
      </c>
      <c r="E140" s="17">
        <f t="shared" si="31"/>
        <v>768.63724866016128</v>
      </c>
    </row>
    <row r="141" spans="1:5" x14ac:dyDescent="0.25">
      <c r="A141" s="25" t="s">
        <v>94</v>
      </c>
      <c r="B141" s="17"/>
      <c r="C141" s="17">
        <f>SUM(C129:C140)</f>
        <v>26624.823062153486</v>
      </c>
      <c r="D141" s="17">
        <f t="shared" ref="D141" si="36">SUM(D129:D140)</f>
        <v>17620.604088470805</v>
      </c>
      <c r="E141" s="17">
        <f t="shared" ref="E141" si="37">SUM(E129:E140)</f>
        <v>9004.2189736826767</v>
      </c>
    </row>
    <row r="142" spans="1:5" x14ac:dyDescent="0.25">
      <c r="A142" s="25"/>
      <c r="B142" s="17"/>
      <c r="C142" s="17"/>
      <c r="D142" s="17"/>
      <c r="E142" s="17"/>
    </row>
    <row r="143" spans="1:5" x14ac:dyDescent="0.25">
      <c r="A143" s="25">
        <v>43831</v>
      </c>
      <c r="B143" s="17">
        <f>+B140-E140</f>
        <v>328176.09012811771</v>
      </c>
      <c r="C143" s="17">
        <f>+C140</f>
        <v>2218.735255179457</v>
      </c>
      <c r="D143" s="17">
        <f t="shared" ref="D143:D154" si="38">+B143*$L$4</f>
        <v>1446.7095973147857</v>
      </c>
      <c r="E143" s="17">
        <f t="shared" si="31"/>
        <v>772.0256578646713</v>
      </c>
    </row>
    <row r="144" spans="1:5" x14ac:dyDescent="0.25">
      <c r="A144" s="25">
        <v>43862</v>
      </c>
      <c r="B144" s="17">
        <f t="shared" si="30"/>
        <v>327404.06447025301</v>
      </c>
      <c r="C144" s="17">
        <f t="shared" si="32"/>
        <v>2218.735255179457</v>
      </c>
      <c r="D144" s="17">
        <f t="shared" si="38"/>
        <v>1443.306250873032</v>
      </c>
      <c r="E144" s="17">
        <f t="shared" si="31"/>
        <v>775.42900430642499</v>
      </c>
    </row>
    <row r="145" spans="1:5" x14ac:dyDescent="0.25">
      <c r="A145" s="25">
        <v>43891</v>
      </c>
      <c r="B145" s="17">
        <f t="shared" si="30"/>
        <v>326628.63546594657</v>
      </c>
      <c r="C145" s="17">
        <f t="shared" si="32"/>
        <v>2218.735255179457</v>
      </c>
      <c r="D145" s="17">
        <f t="shared" si="38"/>
        <v>1439.8879013457145</v>
      </c>
      <c r="E145" s="17">
        <f t="shared" si="31"/>
        <v>778.84735383374255</v>
      </c>
    </row>
    <row r="146" spans="1:5" x14ac:dyDescent="0.25">
      <c r="A146" s="25">
        <v>43922</v>
      </c>
      <c r="B146" s="17">
        <f t="shared" si="30"/>
        <v>325849.78811211284</v>
      </c>
      <c r="C146" s="17">
        <f t="shared" si="32"/>
        <v>2218.735255179457</v>
      </c>
      <c r="D146" s="17">
        <f t="shared" si="38"/>
        <v>1436.454482594231</v>
      </c>
      <c r="E146" s="17">
        <f t="shared" si="31"/>
        <v>782.28077258522603</v>
      </c>
    </row>
    <row r="147" spans="1:5" x14ac:dyDescent="0.25">
      <c r="A147" s="25">
        <v>43952</v>
      </c>
      <c r="B147" s="17">
        <f t="shared" si="30"/>
        <v>325067.5073395276</v>
      </c>
      <c r="C147" s="17">
        <f t="shared" si="32"/>
        <v>2218.735255179457</v>
      </c>
      <c r="D147" s="17">
        <f t="shared" si="38"/>
        <v>1433.0059281884176</v>
      </c>
      <c r="E147" s="17">
        <f t="shared" si="31"/>
        <v>785.72932699103944</v>
      </c>
    </row>
    <row r="148" spans="1:5" x14ac:dyDescent="0.25">
      <c r="A148" s="25">
        <v>43983</v>
      </c>
      <c r="B148" s="17">
        <f t="shared" si="30"/>
        <v>324281.77801253658</v>
      </c>
      <c r="C148" s="17">
        <f t="shared" si="32"/>
        <v>2218.735255179457</v>
      </c>
      <c r="D148" s="17">
        <f t="shared" si="38"/>
        <v>1429.5421714052654</v>
      </c>
      <c r="E148" s="17">
        <f t="shared" si="31"/>
        <v>789.19308377419156</v>
      </c>
    </row>
    <row r="149" spans="1:5" x14ac:dyDescent="0.25">
      <c r="A149" s="25">
        <v>44013</v>
      </c>
      <c r="B149" s="17">
        <f t="shared" si="30"/>
        <v>323492.5849287624</v>
      </c>
      <c r="C149" s="17">
        <f t="shared" si="32"/>
        <v>2218.735255179457</v>
      </c>
      <c r="D149" s="17">
        <f t="shared" si="38"/>
        <v>1426.0631452276277</v>
      </c>
      <c r="E149" s="17">
        <f t="shared" si="31"/>
        <v>792.67210995182927</v>
      </c>
    </row>
    <row r="150" spans="1:5" x14ac:dyDescent="0.25">
      <c r="A150" s="25">
        <v>44044</v>
      </c>
      <c r="B150" s="17">
        <f t="shared" si="30"/>
        <v>322699.91281881055</v>
      </c>
      <c r="C150" s="17">
        <f t="shared" si="32"/>
        <v>2218.735255179457</v>
      </c>
      <c r="D150" s="17">
        <f t="shared" si="38"/>
        <v>1422.5687823429232</v>
      </c>
      <c r="E150" s="17">
        <f t="shared" si="31"/>
        <v>796.16647283653379</v>
      </c>
    </row>
    <row r="151" spans="1:5" x14ac:dyDescent="0.25">
      <c r="A151" s="25">
        <v>44075</v>
      </c>
      <c r="B151" s="17">
        <f t="shared" si="30"/>
        <v>321903.74634597404</v>
      </c>
      <c r="C151" s="17">
        <f t="shared" si="32"/>
        <v>2218.735255179457</v>
      </c>
      <c r="D151" s="17">
        <f t="shared" si="38"/>
        <v>1419.0590151418355</v>
      </c>
      <c r="E151" s="17">
        <f t="shared" si="31"/>
        <v>799.67624003762148</v>
      </c>
    </row>
    <row r="152" spans="1:5" x14ac:dyDescent="0.25">
      <c r="A152" s="25">
        <v>44105</v>
      </c>
      <c r="B152" s="17">
        <f t="shared" si="30"/>
        <v>321104.07010593644</v>
      </c>
      <c r="C152" s="17">
        <f t="shared" si="32"/>
        <v>2218.735255179457</v>
      </c>
      <c r="D152" s="17">
        <f t="shared" si="38"/>
        <v>1415.5337757170032</v>
      </c>
      <c r="E152" s="17">
        <f t="shared" si="31"/>
        <v>803.20147946245379</v>
      </c>
    </row>
    <row r="153" spans="1:5" x14ac:dyDescent="0.25">
      <c r="A153" s="25">
        <v>44136</v>
      </c>
      <c r="B153" s="17">
        <f t="shared" si="30"/>
        <v>320300.868626474</v>
      </c>
      <c r="C153" s="17">
        <f t="shared" si="32"/>
        <v>2218.735255179457</v>
      </c>
      <c r="D153" s="17">
        <f t="shared" si="38"/>
        <v>1411.9929958617063</v>
      </c>
      <c r="E153" s="17">
        <f t="shared" si="31"/>
        <v>806.74225931775072</v>
      </c>
    </row>
    <row r="154" spans="1:5" x14ac:dyDescent="0.25">
      <c r="A154" s="25">
        <v>44166</v>
      </c>
      <c r="B154" s="17">
        <f t="shared" si="30"/>
        <v>319494.12636715622</v>
      </c>
      <c r="C154" s="17">
        <f t="shared" si="32"/>
        <v>2218.735255179457</v>
      </c>
      <c r="D154" s="17">
        <f t="shared" si="38"/>
        <v>1408.4366070685471</v>
      </c>
      <c r="E154" s="17">
        <f t="shared" si="31"/>
        <v>810.29864811090988</v>
      </c>
    </row>
    <row r="155" spans="1:5" x14ac:dyDescent="0.25">
      <c r="A155" s="25" t="s">
        <v>94</v>
      </c>
      <c r="B155" s="17"/>
      <c r="C155" s="17">
        <f>SUM(C143:C154)</f>
        <v>26624.823062153486</v>
      </c>
      <c r="D155" s="17">
        <f t="shared" ref="D155" si="39">SUM(D143:D154)</f>
        <v>17132.560653081091</v>
      </c>
      <c r="E155" s="17">
        <f t="shared" ref="E155" si="40">SUM(E143:E154)</f>
        <v>9492.2624090723948</v>
      </c>
    </row>
    <row r="156" spans="1:5" x14ac:dyDescent="0.25">
      <c r="A156" s="25"/>
      <c r="B156" s="17"/>
      <c r="C156" s="17"/>
      <c r="D156" s="17"/>
      <c r="E156" s="17"/>
    </row>
    <row r="157" spans="1:5" x14ac:dyDescent="0.25">
      <c r="A157" s="25">
        <v>44197</v>
      </c>
      <c r="B157" s="17">
        <f>+B154-E154</f>
        <v>318683.82771904534</v>
      </c>
      <c r="C157" s="17">
        <f>+C154</f>
        <v>2218.735255179457</v>
      </c>
      <c r="D157" s="17">
        <f t="shared" ref="D157:D168" si="41">+B157*$L$4</f>
        <v>1404.864540528125</v>
      </c>
      <c r="E157" s="17">
        <f t="shared" si="31"/>
        <v>813.87071465133204</v>
      </c>
    </row>
    <row r="158" spans="1:5" x14ac:dyDescent="0.25">
      <c r="A158" s="25">
        <v>44228</v>
      </c>
      <c r="B158" s="17">
        <f t="shared" si="30"/>
        <v>317869.95700439403</v>
      </c>
      <c r="C158" s="17">
        <f t="shared" si="32"/>
        <v>2218.735255179457</v>
      </c>
      <c r="D158" s="17">
        <f t="shared" si="41"/>
        <v>1401.2767271277037</v>
      </c>
      <c r="E158" s="17">
        <f t="shared" si="31"/>
        <v>817.45852805175332</v>
      </c>
    </row>
    <row r="159" spans="1:5" x14ac:dyDescent="0.25">
      <c r="A159" s="25">
        <v>44256</v>
      </c>
      <c r="B159" s="17">
        <f t="shared" si="30"/>
        <v>317052.4984763423</v>
      </c>
      <c r="C159" s="17">
        <f t="shared" si="32"/>
        <v>2218.735255179457</v>
      </c>
      <c r="D159" s="17">
        <f t="shared" si="41"/>
        <v>1397.6730974498757</v>
      </c>
      <c r="E159" s="17">
        <f t="shared" si="31"/>
        <v>821.06215772958126</v>
      </c>
    </row>
    <row r="160" spans="1:5" x14ac:dyDescent="0.25">
      <c r="A160" s="25">
        <v>44287</v>
      </c>
      <c r="B160" s="17">
        <f t="shared" si="30"/>
        <v>316231.43631861272</v>
      </c>
      <c r="C160" s="17">
        <f t="shared" si="32"/>
        <v>2218.735255179457</v>
      </c>
      <c r="D160" s="17">
        <f t="shared" si="41"/>
        <v>1394.0535817712178</v>
      </c>
      <c r="E160" s="17">
        <f t="shared" si="31"/>
        <v>824.68167340823925</v>
      </c>
    </row>
    <row r="161" spans="1:5" x14ac:dyDescent="0.25">
      <c r="A161" s="25">
        <v>44317</v>
      </c>
      <c r="B161" s="17">
        <f t="shared" si="30"/>
        <v>315406.75464520446</v>
      </c>
      <c r="C161" s="17">
        <f t="shared" si="32"/>
        <v>2218.735255179457</v>
      </c>
      <c r="D161" s="17">
        <f t="shared" si="41"/>
        <v>1390.418110060943</v>
      </c>
      <c r="E161" s="17">
        <f t="shared" si="31"/>
        <v>828.31714511851396</v>
      </c>
    </row>
    <row r="162" spans="1:5" x14ac:dyDescent="0.25">
      <c r="A162" s="25">
        <v>44348</v>
      </c>
      <c r="B162" s="17">
        <f t="shared" si="30"/>
        <v>314578.43750008597</v>
      </c>
      <c r="C162" s="17">
        <f t="shared" si="32"/>
        <v>2218.735255179457</v>
      </c>
      <c r="D162" s="17">
        <f t="shared" si="41"/>
        <v>1386.7666119795458</v>
      </c>
      <c r="E162" s="17">
        <f t="shared" si="31"/>
        <v>831.96864319991118</v>
      </c>
    </row>
    <row r="163" spans="1:5" x14ac:dyDescent="0.25">
      <c r="A163" s="25">
        <v>44378</v>
      </c>
      <c r="B163" s="17">
        <f t="shared" si="30"/>
        <v>313746.46885688609</v>
      </c>
      <c r="C163" s="17">
        <f t="shared" si="32"/>
        <v>2218.735255179457</v>
      </c>
      <c r="D163" s="17">
        <f t="shared" si="41"/>
        <v>1383.0990168774397</v>
      </c>
      <c r="E163" s="17">
        <f t="shared" si="31"/>
        <v>835.63623830201732</v>
      </c>
    </row>
    <row r="164" spans="1:5" x14ac:dyDescent="0.25">
      <c r="A164" s="25">
        <v>44409</v>
      </c>
      <c r="B164" s="17">
        <f t="shared" si="30"/>
        <v>312910.83261858404</v>
      </c>
      <c r="C164" s="17">
        <f t="shared" si="32"/>
        <v>2218.735255179457</v>
      </c>
      <c r="D164" s="17">
        <f t="shared" si="41"/>
        <v>1379.4152537935913</v>
      </c>
      <c r="E164" s="17">
        <f t="shared" si="31"/>
        <v>839.32000138586568</v>
      </c>
    </row>
    <row r="165" spans="1:5" x14ac:dyDescent="0.25">
      <c r="A165" s="25">
        <v>44440</v>
      </c>
      <c r="B165" s="17">
        <f t="shared" si="30"/>
        <v>312071.51261719817</v>
      </c>
      <c r="C165" s="17">
        <f t="shared" si="32"/>
        <v>2218.735255179457</v>
      </c>
      <c r="D165" s="17">
        <f t="shared" si="41"/>
        <v>1375.7152514541488</v>
      </c>
      <c r="E165" s="17">
        <f t="shared" si="31"/>
        <v>843.02000372530824</v>
      </c>
    </row>
    <row r="166" spans="1:5" x14ac:dyDescent="0.25">
      <c r="A166" s="25">
        <v>44470</v>
      </c>
      <c r="B166" s="17">
        <f t="shared" si="30"/>
        <v>311228.49261347286</v>
      </c>
      <c r="C166" s="17">
        <f t="shared" si="32"/>
        <v>2218.735255179457</v>
      </c>
      <c r="D166" s="17">
        <f t="shared" si="41"/>
        <v>1371.9989382710596</v>
      </c>
      <c r="E166" s="17">
        <f t="shared" si="31"/>
        <v>846.73631690839738</v>
      </c>
    </row>
    <row r="167" spans="1:5" x14ac:dyDescent="0.25">
      <c r="A167" s="25">
        <v>44501</v>
      </c>
      <c r="B167" s="17">
        <f t="shared" si="30"/>
        <v>310381.75629656448</v>
      </c>
      <c r="C167" s="17">
        <f t="shared" si="32"/>
        <v>2218.735255179457</v>
      </c>
      <c r="D167" s="17">
        <f t="shared" si="41"/>
        <v>1368.2662423406884</v>
      </c>
      <c r="E167" s="17">
        <f t="shared" si="31"/>
        <v>850.46901283876855</v>
      </c>
    </row>
    <row r="168" spans="1:5" x14ac:dyDescent="0.25">
      <c r="A168" s="25">
        <v>44531</v>
      </c>
      <c r="B168" s="17">
        <f t="shared" si="30"/>
        <v>309531.28728372569</v>
      </c>
      <c r="C168" s="17">
        <f t="shared" si="32"/>
        <v>2218.735255179457</v>
      </c>
      <c r="D168" s="17">
        <f t="shared" si="41"/>
        <v>1364.5170914424241</v>
      </c>
      <c r="E168" s="17">
        <f t="shared" si="31"/>
        <v>854.21816373703291</v>
      </c>
    </row>
    <row r="169" spans="1:5" x14ac:dyDescent="0.25">
      <c r="A169" s="25" t="s">
        <v>94</v>
      </c>
      <c r="B169" s="17"/>
      <c r="C169" s="17">
        <f>SUM(C157:C168)</f>
        <v>26624.823062153486</v>
      </c>
      <c r="D169" s="17">
        <f t="shared" ref="D169" si="42">SUM(D157:D168)</f>
        <v>16618.064463096765</v>
      </c>
      <c r="E169" s="17">
        <f t="shared" ref="E169" si="43">SUM(E157:E168)</f>
        <v>10006.758599056719</v>
      </c>
    </row>
    <row r="170" spans="1:5" x14ac:dyDescent="0.25">
      <c r="A170" s="25"/>
      <c r="B170" s="17"/>
      <c r="C170" s="17"/>
      <c r="D170" s="17"/>
      <c r="E170" s="17"/>
    </row>
    <row r="171" spans="1:5" x14ac:dyDescent="0.25">
      <c r="A171" s="25">
        <v>44562</v>
      </c>
      <c r="B171" s="17">
        <f>+B168-E168</f>
        <v>308677.06911998865</v>
      </c>
      <c r="C171" s="17">
        <f>+C168</f>
        <v>2218.735255179457</v>
      </c>
      <c r="D171" s="17">
        <f t="shared" ref="D171:D182" si="44">+B171*$L$4</f>
        <v>1360.7514130372833</v>
      </c>
      <c r="E171" s="17">
        <f t="shared" si="31"/>
        <v>857.98384214217367</v>
      </c>
    </row>
    <row r="172" spans="1:5" x14ac:dyDescent="0.25">
      <c r="A172" s="25">
        <v>44593</v>
      </c>
      <c r="B172" s="17">
        <f t="shared" si="30"/>
        <v>307819.08527784649</v>
      </c>
      <c r="C172" s="17">
        <f t="shared" si="32"/>
        <v>2218.735255179457</v>
      </c>
      <c r="D172" s="17">
        <f t="shared" si="44"/>
        <v>1356.9691342665067</v>
      </c>
      <c r="E172" s="17">
        <f t="shared" si="31"/>
        <v>861.76612091295033</v>
      </c>
    </row>
    <row r="173" spans="1:5" x14ac:dyDescent="0.25">
      <c r="A173" s="25">
        <v>44621</v>
      </c>
      <c r="B173" s="17">
        <f t="shared" si="30"/>
        <v>306957.31915693352</v>
      </c>
      <c r="C173" s="17">
        <f t="shared" si="32"/>
        <v>2218.735255179457</v>
      </c>
      <c r="D173" s="17">
        <f t="shared" si="44"/>
        <v>1353.1701819501486</v>
      </c>
      <c r="E173" s="17">
        <f t="shared" si="31"/>
        <v>865.56507322930838</v>
      </c>
    </row>
    <row r="174" spans="1:5" x14ac:dyDescent="0.25">
      <c r="A174" s="25">
        <v>44652</v>
      </c>
      <c r="B174" s="17">
        <f t="shared" si="30"/>
        <v>306091.7540837042</v>
      </c>
      <c r="C174" s="17">
        <f t="shared" si="32"/>
        <v>2218.735255179457</v>
      </c>
      <c r="D174" s="17">
        <f t="shared" si="44"/>
        <v>1349.3544825856627</v>
      </c>
      <c r="E174" s="17">
        <f t="shared" si="31"/>
        <v>869.38077259379429</v>
      </c>
    </row>
    <row r="175" spans="1:5" x14ac:dyDescent="0.25">
      <c r="A175" s="25">
        <v>44682</v>
      </c>
      <c r="B175" s="17">
        <f t="shared" si="30"/>
        <v>305222.37331111042</v>
      </c>
      <c r="C175" s="17">
        <f t="shared" si="32"/>
        <v>2218.735255179457</v>
      </c>
      <c r="D175" s="17">
        <f t="shared" si="44"/>
        <v>1345.5219623464784</v>
      </c>
      <c r="E175" s="17">
        <f t="shared" si="31"/>
        <v>873.2132928329786</v>
      </c>
    </row>
    <row r="176" spans="1:5" x14ac:dyDescent="0.25">
      <c r="A176" s="25">
        <v>44713</v>
      </c>
      <c r="B176" s="17">
        <f t="shared" si="30"/>
        <v>304349.16001827747</v>
      </c>
      <c r="C176" s="17">
        <f t="shared" si="32"/>
        <v>2218.735255179457</v>
      </c>
      <c r="D176" s="17">
        <f t="shared" si="44"/>
        <v>1341.6725470805732</v>
      </c>
      <c r="E176" s="17">
        <f t="shared" si="31"/>
        <v>877.06270809888383</v>
      </c>
    </row>
    <row r="177" spans="1:5" x14ac:dyDescent="0.25">
      <c r="A177" s="25">
        <v>44743</v>
      </c>
      <c r="B177" s="17">
        <f t="shared" si="30"/>
        <v>303472.09731017856</v>
      </c>
      <c r="C177" s="17">
        <f t="shared" si="32"/>
        <v>2218.735255179457</v>
      </c>
      <c r="D177" s="17">
        <f t="shared" si="44"/>
        <v>1337.8061623090373</v>
      </c>
      <c r="E177" s="17">
        <f t="shared" si="31"/>
        <v>880.92909287041971</v>
      </c>
    </row>
    <row r="178" spans="1:5" x14ac:dyDescent="0.25">
      <c r="A178" s="25">
        <v>44774</v>
      </c>
      <c r="B178" s="17">
        <f t="shared" ref="B178:B251" si="45">+B177-E177</f>
        <v>302591.16821730812</v>
      </c>
      <c r="C178" s="17">
        <f t="shared" ref="C178:C251" si="46">+C177</f>
        <v>2218.735255179457</v>
      </c>
      <c r="D178" s="17">
        <f t="shared" si="44"/>
        <v>1333.9227332246335</v>
      </c>
      <c r="E178" s="17">
        <f t="shared" ref="E178:E251" si="47">+C178-D178</f>
        <v>884.81252195482352</v>
      </c>
    </row>
    <row r="179" spans="1:5" x14ac:dyDescent="0.25">
      <c r="A179" s="25">
        <v>44805</v>
      </c>
      <c r="B179" s="17">
        <f t="shared" si="45"/>
        <v>301706.3556953533</v>
      </c>
      <c r="C179" s="17">
        <f t="shared" si="46"/>
        <v>2218.735255179457</v>
      </c>
      <c r="D179" s="17">
        <f t="shared" si="44"/>
        <v>1330.0221846903491</v>
      </c>
      <c r="E179" s="17">
        <f t="shared" si="47"/>
        <v>888.71307048910785</v>
      </c>
    </row>
    <row r="180" spans="1:5" x14ac:dyDescent="0.25">
      <c r="A180" s="25">
        <v>44835</v>
      </c>
      <c r="B180" s="17">
        <f t="shared" si="45"/>
        <v>300817.64262486418</v>
      </c>
      <c r="C180" s="17">
        <f t="shared" si="46"/>
        <v>2218.735255179457</v>
      </c>
      <c r="D180" s="17">
        <f t="shared" si="44"/>
        <v>1326.1044412379431</v>
      </c>
      <c r="E180" s="17">
        <f t="shared" si="47"/>
        <v>892.63081394151391</v>
      </c>
    </row>
    <row r="181" spans="1:5" x14ac:dyDescent="0.25">
      <c r="A181" s="25">
        <v>44866</v>
      </c>
      <c r="B181" s="17">
        <f t="shared" si="45"/>
        <v>299925.01181092265</v>
      </c>
      <c r="C181" s="17">
        <f t="shared" si="46"/>
        <v>2218.735255179457</v>
      </c>
      <c r="D181" s="17">
        <f t="shared" si="44"/>
        <v>1322.1694270664841</v>
      </c>
      <c r="E181" s="17">
        <f t="shared" si="47"/>
        <v>896.56582811297289</v>
      </c>
    </row>
    <row r="182" spans="1:5" x14ac:dyDescent="0.25">
      <c r="A182" s="25">
        <v>44896</v>
      </c>
      <c r="B182" s="17">
        <f t="shared" si="45"/>
        <v>299028.44598280964</v>
      </c>
      <c r="C182" s="17">
        <f t="shared" si="46"/>
        <v>2218.735255179457</v>
      </c>
      <c r="D182" s="17">
        <f t="shared" si="44"/>
        <v>1318.2170660408858</v>
      </c>
      <c r="E182" s="17">
        <f t="shared" si="47"/>
        <v>900.51818913857119</v>
      </c>
    </row>
    <row r="183" spans="1:5" x14ac:dyDescent="0.25">
      <c r="A183" s="25" t="s">
        <v>94</v>
      </c>
      <c r="B183" s="17"/>
      <c r="C183" s="17">
        <f>SUM(C171:C182)</f>
        <v>26624.823062153486</v>
      </c>
      <c r="D183" s="17">
        <f t="shared" ref="D183" si="48">SUM(D171:D182)</f>
        <v>16075.681735835988</v>
      </c>
      <c r="E183" s="17">
        <f t="shared" ref="E183" si="49">SUM(E171:E182)</f>
        <v>10549.141326317498</v>
      </c>
    </row>
    <row r="184" spans="1:5" x14ac:dyDescent="0.25">
      <c r="A184" s="25"/>
      <c r="B184" s="17"/>
      <c r="C184" s="17"/>
      <c r="D184" s="17"/>
      <c r="E184" s="17"/>
    </row>
    <row r="185" spans="1:5" x14ac:dyDescent="0.25">
      <c r="A185" s="25">
        <v>44927</v>
      </c>
      <c r="B185" s="17">
        <f>+B182-E182</f>
        <v>298127.92779367109</v>
      </c>
      <c r="C185" s="17">
        <f>+C182</f>
        <v>2218.735255179457</v>
      </c>
      <c r="D185" s="17">
        <f t="shared" ref="D185:D196" si="50">+B185*$L$4</f>
        <v>1314.2472816904335</v>
      </c>
      <c r="E185" s="17">
        <f t="shared" si="47"/>
        <v>904.48797348902349</v>
      </c>
    </row>
    <row r="186" spans="1:5" x14ac:dyDescent="0.25">
      <c r="A186" s="25">
        <v>44958</v>
      </c>
      <c r="B186" s="17">
        <f t="shared" si="45"/>
        <v>297223.43982018204</v>
      </c>
      <c r="C186" s="17">
        <f t="shared" si="46"/>
        <v>2218.735255179457</v>
      </c>
      <c r="D186" s="17">
        <f t="shared" si="50"/>
        <v>1310.2599972073026</v>
      </c>
      <c r="E186" s="17">
        <f t="shared" si="47"/>
        <v>908.4752579721544</v>
      </c>
    </row>
    <row r="187" spans="1:5" x14ac:dyDescent="0.25">
      <c r="A187" s="25">
        <v>44986</v>
      </c>
      <c r="B187" s="17">
        <f t="shared" si="45"/>
        <v>296314.96456220991</v>
      </c>
      <c r="C187" s="17">
        <f t="shared" si="46"/>
        <v>2218.735255179457</v>
      </c>
      <c r="D187" s="17">
        <f t="shared" si="50"/>
        <v>1306.2551354450754</v>
      </c>
      <c r="E187" s="17">
        <f t="shared" si="47"/>
        <v>912.48011973438156</v>
      </c>
    </row>
    <row r="188" spans="1:5" x14ac:dyDescent="0.25">
      <c r="A188" s="25">
        <v>45017</v>
      </c>
      <c r="B188" s="17">
        <f t="shared" si="45"/>
        <v>295402.48444247554</v>
      </c>
      <c r="C188" s="17">
        <f t="shared" si="46"/>
        <v>2218.735255179457</v>
      </c>
      <c r="D188" s="17">
        <f t="shared" si="50"/>
        <v>1302.2326189172463</v>
      </c>
      <c r="E188" s="17">
        <f t="shared" si="47"/>
        <v>916.50263626221067</v>
      </c>
    </row>
    <row r="189" spans="1:5" x14ac:dyDescent="0.25">
      <c r="A189" s="25">
        <v>45047</v>
      </c>
      <c r="B189" s="17">
        <f t="shared" si="45"/>
        <v>294485.98180621333</v>
      </c>
      <c r="C189" s="17">
        <f t="shared" si="46"/>
        <v>2218.735255179457</v>
      </c>
      <c r="D189" s="17">
        <f t="shared" si="50"/>
        <v>1298.1923697957238</v>
      </c>
      <c r="E189" s="17">
        <f t="shared" si="47"/>
        <v>920.54288538373316</v>
      </c>
    </row>
    <row r="190" spans="1:5" x14ac:dyDescent="0.25">
      <c r="A190" s="25">
        <v>45078</v>
      </c>
      <c r="B190" s="17">
        <f t="shared" si="45"/>
        <v>293565.43892082962</v>
      </c>
      <c r="C190" s="17">
        <f t="shared" si="46"/>
        <v>2218.735255179457</v>
      </c>
      <c r="D190" s="17">
        <f t="shared" si="50"/>
        <v>1294.134309909324</v>
      </c>
      <c r="E190" s="17">
        <f t="shared" si="47"/>
        <v>924.60094527013302</v>
      </c>
    </row>
    <row r="191" spans="1:5" x14ac:dyDescent="0.25">
      <c r="A191" s="25">
        <v>45108</v>
      </c>
      <c r="B191" s="17">
        <f t="shared" si="45"/>
        <v>292640.83797555947</v>
      </c>
      <c r="C191" s="17">
        <f t="shared" si="46"/>
        <v>2218.735255179457</v>
      </c>
      <c r="D191" s="17">
        <f t="shared" si="50"/>
        <v>1290.0583607422579</v>
      </c>
      <c r="E191" s="17">
        <f t="shared" si="47"/>
        <v>928.67689443719905</v>
      </c>
    </row>
    <row r="192" spans="1:5" x14ac:dyDescent="0.25">
      <c r="A192" s="25">
        <v>45139</v>
      </c>
      <c r="B192" s="17">
        <f t="shared" si="45"/>
        <v>291712.16108112229</v>
      </c>
      <c r="C192" s="17">
        <f t="shared" si="46"/>
        <v>2218.735255179457</v>
      </c>
      <c r="D192" s="17">
        <f t="shared" si="50"/>
        <v>1285.9644434326142</v>
      </c>
      <c r="E192" s="17">
        <f t="shared" si="47"/>
        <v>932.77081174684281</v>
      </c>
    </row>
    <row r="193" spans="1:5" x14ac:dyDescent="0.25">
      <c r="A193" s="25">
        <v>45170</v>
      </c>
      <c r="B193" s="17">
        <f t="shared" si="45"/>
        <v>290779.39026937546</v>
      </c>
      <c r="C193" s="17">
        <f t="shared" si="46"/>
        <v>2218.735255179457</v>
      </c>
      <c r="D193" s="17">
        <f t="shared" si="50"/>
        <v>1281.8524787708302</v>
      </c>
      <c r="E193" s="17">
        <f t="shared" si="47"/>
        <v>936.8827764086268</v>
      </c>
    </row>
    <row r="194" spans="1:5" x14ac:dyDescent="0.25">
      <c r="A194" s="25">
        <v>45200</v>
      </c>
      <c r="B194" s="17">
        <f t="shared" si="45"/>
        <v>289842.50749296683</v>
      </c>
      <c r="C194" s="17">
        <f t="shared" si="46"/>
        <v>2218.735255179457</v>
      </c>
      <c r="D194" s="17">
        <f t="shared" si="50"/>
        <v>1277.7223871981621</v>
      </c>
      <c r="E194" s="17">
        <f t="shared" si="47"/>
        <v>941.0128679812949</v>
      </c>
    </row>
    <row r="195" spans="1:5" x14ac:dyDescent="0.25">
      <c r="A195" s="25">
        <v>45231</v>
      </c>
      <c r="B195" s="17">
        <f t="shared" si="45"/>
        <v>288901.49462498556</v>
      </c>
      <c r="C195" s="17">
        <f t="shared" si="46"/>
        <v>2218.735255179457</v>
      </c>
      <c r="D195" s="17">
        <f t="shared" si="50"/>
        <v>1273.5740888051448</v>
      </c>
      <c r="E195" s="17">
        <f t="shared" si="47"/>
        <v>945.16116637431219</v>
      </c>
    </row>
    <row r="196" spans="1:5" x14ac:dyDescent="0.25">
      <c r="A196" s="25">
        <v>45261</v>
      </c>
      <c r="B196" s="17">
        <f t="shared" si="45"/>
        <v>287956.33345861122</v>
      </c>
      <c r="C196" s="17">
        <f t="shared" si="46"/>
        <v>2218.735255179457</v>
      </c>
      <c r="D196" s="17">
        <f t="shared" si="50"/>
        <v>1269.4075033300446</v>
      </c>
      <c r="E196" s="17">
        <f t="shared" si="47"/>
        <v>949.32775184941238</v>
      </c>
    </row>
    <row r="197" spans="1:5" x14ac:dyDescent="0.25">
      <c r="A197" s="25" t="s">
        <v>94</v>
      </c>
      <c r="B197" s="17"/>
      <c r="C197" s="17">
        <f>SUM(C185:C196)</f>
        <v>26624.823062153486</v>
      </c>
      <c r="D197" s="17">
        <f t="shared" ref="D197" si="51">SUM(D185:D196)</f>
        <v>15503.90097524416</v>
      </c>
      <c r="E197" s="17">
        <f t="shared" ref="E197" si="52">SUM(E185:E196)</f>
        <v>11120.922086909324</v>
      </c>
    </row>
    <row r="198" spans="1:5" x14ac:dyDescent="0.25">
      <c r="A198" s="25"/>
      <c r="B198" s="17"/>
      <c r="C198" s="17"/>
      <c r="D198" s="17"/>
      <c r="E198" s="17"/>
    </row>
    <row r="199" spans="1:5" x14ac:dyDescent="0.25">
      <c r="A199" s="25">
        <v>45292</v>
      </c>
      <c r="B199" s="17">
        <f>+B196-E196</f>
        <v>287007.00570676179</v>
      </c>
      <c r="C199" s="17">
        <f>+C196</f>
        <v>2218.735255179457</v>
      </c>
      <c r="D199" s="17">
        <f t="shared" ref="D199:D210" si="53">+B199*$L$4</f>
        <v>1265.2225501573082</v>
      </c>
      <c r="E199" s="17">
        <f t="shared" si="47"/>
        <v>953.51270502214879</v>
      </c>
    </row>
    <row r="200" spans="1:5" x14ac:dyDescent="0.25">
      <c r="A200" s="25">
        <v>45323</v>
      </c>
      <c r="B200" s="17">
        <f t="shared" si="45"/>
        <v>286053.49300173967</v>
      </c>
      <c r="C200" s="17">
        <f t="shared" si="46"/>
        <v>2218.735255179457</v>
      </c>
      <c r="D200" s="17">
        <f t="shared" si="53"/>
        <v>1261.0191483160024</v>
      </c>
      <c r="E200" s="17">
        <f t="shared" si="47"/>
        <v>957.71610686345457</v>
      </c>
    </row>
    <row r="201" spans="1:5" x14ac:dyDescent="0.25">
      <c r="A201" s="25">
        <v>45352</v>
      </c>
      <c r="B201" s="17">
        <f t="shared" si="45"/>
        <v>285095.77689487621</v>
      </c>
      <c r="C201" s="17">
        <f t="shared" si="46"/>
        <v>2218.735255179457</v>
      </c>
      <c r="D201" s="17">
        <f t="shared" si="53"/>
        <v>1256.7972164782461</v>
      </c>
      <c r="E201" s="17">
        <f t="shared" si="47"/>
        <v>961.93803870121087</v>
      </c>
    </row>
    <row r="202" spans="1:5" x14ac:dyDescent="0.25">
      <c r="A202" s="25">
        <v>45383</v>
      </c>
      <c r="B202" s="17">
        <f t="shared" si="45"/>
        <v>284133.83885617502</v>
      </c>
      <c r="C202" s="17">
        <f t="shared" si="46"/>
        <v>2218.735255179457</v>
      </c>
      <c r="D202" s="17">
        <f t="shared" si="53"/>
        <v>1252.5566729576383</v>
      </c>
      <c r="E202" s="17">
        <f t="shared" si="47"/>
        <v>966.17858222181871</v>
      </c>
    </row>
    <row r="203" spans="1:5" x14ac:dyDescent="0.25">
      <c r="A203" s="25">
        <v>45413</v>
      </c>
      <c r="B203" s="17">
        <f t="shared" si="45"/>
        <v>283167.66027395322</v>
      </c>
      <c r="C203" s="17">
        <f t="shared" si="46"/>
        <v>2218.735255179457</v>
      </c>
      <c r="D203" s="17">
        <f t="shared" si="53"/>
        <v>1248.2974357076771</v>
      </c>
      <c r="E203" s="17">
        <f t="shared" si="47"/>
        <v>970.4378194717799</v>
      </c>
    </row>
    <row r="204" spans="1:5" x14ac:dyDescent="0.25">
      <c r="A204" s="25">
        <v>45444</v>
      </c>
      <c r="B204" s="17">
        <f t="shared" si="45"/>
        <v>282197.22245448147</v>
      </c>
      <c r="C204" s="17">
        <f t="shared" si="46"/>
        <v>2218.735255179457</v>
      </c>
      <c r="D204" s="17">
        <f t="shared" si="53"/>
        <v>1244.0194223201725</v>
      </c>
      <c r="E204" s="17">
        <f t="shared" si="47"/>
        <v>974.71583285928455</v>
      </c>
    </row>
    <row r="205" spans="1:5" x14ac:dyDescent="0.25">
      <c r="A205" s="25">
        <v>45474</v>
      </c>
      <c r="B205" s="17">
        <f t="shared" si="45"/>
        <v>281222.50662162219</v>
      </c>
      <c r="C205" s="17">
        <f t="shared" si="46"/>
        <v>2218.735255179457</v>
      </c>
      <c r="D205" s="17">
        <f t="shared" si="53"/>
        <v>1239.7225500236511</v>
      </c>
      <c r="E205" s="17">
        <f t="shared" si="47"/>
        <v>979.01270515580586</v>
      </c>
    </row>
    <row r="206" spans="1:5" x14ac:dyDescent="0.25">
      <c r="A206" s="25">
        <v>45505</v>
      </c>
      <c r="B206" s="17">
        <f t="shared" si="45"/>
        <v>280243.49391646637</v>
      </c>
      <c r="C206" s="17">
        <f t="shared" si="46"/>
        <v>2218.735255179457</v>
      </c>
      <c r="D206" s="17">
        <f t="shared" si="53"/>
        <v>1235.4067356817559</v>
      </c>
      <c r="E206" s="17">
        <f t="shared" si="47"/>
        <v>983.32851949770111</v>
      </c>
    </row>
    <row r="207" spans="1:5" x14ac:dyDescent="0.25">
      <c r="A207" s="25">
        <v>45536</v>
      </c>
      <c r="B207" s="17">
        <f t="shared" si="45"/>
        <v>279260.16539696866</v>
      </c>
      <c r="C207" s="17">
        <f t="shared" si="46"/>
        <v>2218.735255179457</v>
      </c>
      <c r="D207" s="17">
        <f t="shared" si="53"/>
        <v>1231.071895791637</v>
      </c>
      <c r="E207" s="17">
        <f t="shared" si="47"/>
        <v>987.66335938782004</v>
      </c>
    </row>
    <row r="208" spans="1:5" x14ac:dyDescent="0.25">
      <c r="A208" s="25">
        <v>45566</v>
      </c>
      <c r="B208" s="17">
        <f t="shared" si="45"/>
        <v>278272.50203758082</v>
      </c>
      <c r="C208" s="17">
        <f t="shared" si="46"/>
        <v>2218.735255179457</v>
      </c>
      <c r="D208" s="17">
        <f t="shared" si="53"/>
        <v>1226.7179464823355</v>
      </c>
      <c r="E208" s="17">
        <f t="shared" si="47"/>
        <v>992.01730869712151</v>
      </c>
    </row>
    <row r="209" spans="1:5" x14ac:dyDescent="0.25">
      <c r="A209" s="25">
        <v>45597</v>
      </c>
      <c r="B209" s="17">
        <f t="shared" si="45"/>
        <v>277280.48472888372</v>
      </c>
      <c r="C209" s="17">
        <f t="shared" si="46"/>
        <v>2218.735255179457</v>
      </c>
      <c r="D209" s="17">
        <f t="shared" si="53"/>
        <v>1222.3448035131626</v>
      </c>
      <c r="E209" s="17">
        <f t="shared" si="47"/>
        <v>996.39045166629444</v>
      </c>
    </row>
    <row r="210" spans="1:5" x14ac:dyDescent="0.25">
      <c r="A210" s="25">
        <v>45627</v>
      </c>
      <c r="B210" s="17">
        <f t="shared" si="45"/>
        <v>276284.0942772174</v>
      </c>
      <c r="C210" s="17">
        <f t="shared" si="46"/>
        <v>2218.735255179457</v>
      </c>
      <c r="D210" s="17">
        <f t="shared" si="53"/>
        <v>1217.9523822720669</v>
      </c>
      <c r="E210" s="17">
        <f t="shared" si="47"/>
        <v>1000.7828729073901</v>
      </c>
    </row>
    <row r="211" spans="1:5" x14ac:dyDescent="0.25">
      <c r="A211" s="25" t="s">
        <v>94</v>
      </c>
      <c r="B211" s="17"/>
      <c r="C211" s="17">
        <f>SUM(C199:C210)</f>
        <v>26624.823062153486</v>
      </c>
      <c r="D211" s="17">
        <f t="shared" ref="D211" si="54">SUM(D199:D210)</f>
        <v>14901.128759701654</v>
      </c>
      <c r="E211" s="17">
        <f t="shared" ref="E211" si="55">SUM(E199:E210)</f>
        <v>11723.69430245183</v>
      </c>
    </row>
    <row r="212" spans="1:5" x14ac:dyDescent="0.25">
      <c r="A212" s="25"/>
      <c r="B212" s="17"/>
      <c r="C212" s="17"/>
      <c r="D212" s="17"/>
      <c r="E212" s="17"/>
    </row>
    <row r="213" spans="1:5" x14ac:dyDescent="0.25">
      <c r="A213" s="25">
        <v>45658</v>
      </c>
      <c r="B213" s="17">
        <f>+B210-E210</f>
        <v>275283.31140430999</v>
      </c>
      <c r="C213" s="17">
        <f>+C210</f>
        <v>2218.735255179457</v>
      </c>
      <c r="D213" s="17">
        <f t="shared" ref="D213:D224" si="56">+B213*$L$4</f>
        <v>1213.5405977739999</v>
      </c>
      <c r="E213" s="17">
        <f t="shared" si="47"/>
        <v>1005.1946574054571</v>
      </c>
    </row>
    <row r="214" spans="1:5" x14ac:dyDescent="0.25">
      <c r="A214" s="25">
        <v>45689</v>
      </c>
      <c r="B214" s="17">
        <f t="shared" si="45"/>
        <v>274278.11674690456</v>
      </c>
      <c r="C214" s="17">
        <f t="shared" si="46"/>
        <v>2218.735255179457</v>
      </c>
      <c r="D214" s="17">
        <f t="shared" si="56"/>
        <v>1209.109364659271</v>
      </c>
      <c r="E214" s="17">
        <f t="shared" si="47"/>
        <v>1009.625890520186</v>
      </c>
    </row>
    <row r="215" spans="1:5" x14ac:dyDescent="0.25">
      <c r="A215" s="25">
        <v>45717</v>
      </c>
      <c r="B215" s="17">
        <f t="shared" si="45"/>
        <v>273268.49085638439</v>
      </c>
      <c r="C215" s="17">
        <f t="shared" si="46"/>
        <v>2218.735255179457</v>
      </c>
      <c r="D215" s="17">
        <f t="shared" si="56"/>
        <v>1204.6585971918946</v>
      </c>
      <c r="E215" s="17">
        <f t="shared" si="47"/>
        <v>1014.0766579875624</v>
      </c>
    </row>
    <row r="216" spans="1:5" x14ac:dyDescent="0.25">
      <c r="A216" s="25">
        <v>45748</v>
      </c>
      <c r="B216" s="17">
        <f t="shared" si="45"/>
        <v>272254.41419839684</v>
      </c>
      <c r="C216" s="17">
        <f t="shared" si="46"/>
        <v>2218.735255179457</v>
      </c>
      <c r="D216" s="17">
        <f t="shared" si="56"/>
        <v>1200.1882092579328</v>
      </c>
      <c r="E216" s="17">
        <f t="shared" si="47"/>
        <v>1018.5470459215242</v>
      </c>
    </row>
    <row r="217" spans="1:5" x14ac:dyDescent="0.25">
      <c r="A217" s="25">
        <v>45778</v>
      </c>
      <c r="B217" s="17">
        <f t="shared" si="45"/>
        <v>271235.86715247534</v>
      </c>
      <c r="C217" s="17">
        <f t="shared" si="46"/>
        <v>2218.735255179457</v>
      </c>
      <c r="D217" s="17">
        <f t="shared" si="56"/>
        <v>1195.6981143638288</v>
      </c>
      <c r="E217" s="17">
        <f t="shared" si="47"/>
        <v>1023.0371408156282</v>
      </c>
    </row>
    <row r="218" spans="1:5" x14ac:dyDescent="0.25">
      <c r="A218" s="25">
        <v>45809</v>
      </c>
      <c r="B218" s="17">
        <f t="shared" si="45"/>
        <v>270212.83001165971</v>
      </c>
      <c r="C218" s="17">
        <f t="shared" si="46"/>
        <v>2218.735255179457</v>
      </c>
      <c r="D218" s="17">
        <f t="shared" si="56"/>
        <v>1191.1882256347333</v>
      </c>
      <c r="E218" s="17">
        <f t="shared" si="47"/>
        <v>1027.5470295447237</v>
      </c>
    </row>
    <row r="219" spans="1:5" x14ac:dyDescent="0.25">
      <c r="A219" s="25">
        <v>45839</v>
      </c>
      <c r="B219" s="17">
        <f t="shared" si="45"/>
        <v>269185.28298211499</v>
      </c>
      <c r="C219" s="17">
        <f t="shared" si="46"/>
        <v>2218.735255179457</v>
      </c>
      <c r="D219" s="17">
        <f t="shared" si="56"/>
        <v>1186.6584558128236</v>
      </c>
      <c r="E219" s="17">
        <f t="shared" si="47"/>
        <v>1032.0767993666334</v>
      </c>
    </row>
    <row r="220" spans="1:5" x14ac:dyDescent="0.25">
      <c r="A220" s="25">
        <v>45870</v>
      </c>
      <c r="B220" s="17">
        <f t="shared" si="45"/>
        <v>268153.20618274837</v>
      </c>
      <c r="C220" s="17">
        <f t="shared" si="46"/>
        <v>2218.735255179457</v>
      </c>
      <c r="D220" s="17">
        <f t="shared" si="56"/>
        <v>1182.1087172556158</v>
      </c>
      <c r="E220" s="17">
        <f t="shared" si="47"/>
        <v>1036.6265379238412</v>
      </c>
    </row>
    <row r="221" spans="1:5" x14ac:dyDescent="0.25">
      <c r="A221" s="25">
        <v>45901</v>
      </c>
      <c r="B221" s="17">
        <f t="shared" si="45"/>
        <v>267116.57964482455</v>
      </c>
      <c r="C221" s="17">
        <f t="shared" si="46"/>
        <v>2218.735255179457</v>
      </c>
      <c r="D221" s="17">
        <f t="shared" si="56"/>
        <v>1177.5389219342683</v>
      </c>
      <c r="E221" s="17">
        <f t="shared" si="47"/>
        <v>1041.1963332451887</v>
      </c>
    </row>
    <row r="222" spans="1:5" x14ac:dyDescent="0.25">
      <c r="A222" s="25">
        <v>45931</v>
      </c>
      <c r="B222" s="17">
        <f t="shared" si="45"/>
        <v>266075.38331157935</v>
      </c>
      <c r="C222" s="17">
        <f t="shared" si="46"/>
        <v>2218.735255179457</v>
      </c>
      <c r="D222" s="17">
        <f t="shared" si="56"/>
        <v>1172.948981431879</v>
      </c>
      <c r="E222" s="17">
        <f t="shared" si="47"/>
        <v>1045.786273747578</v>
      </c>
    </row>
    <row r="223" spans="1:5" x14ac:dyDescent="0.25">
      <c r="A223" s="25">
        <v>45962</v>
      </c>
      <c r="B223" s="17">
        <f t="shared" si="45"/>
        <v>265029.59703783179</v>
      </c>
      <c r="C223" s="17">
        <f t="shared" si="46"/>
        <v>2218.735255179457</v>
      </c>
      <c r="D223" s="17">
        <f t="shared" si="56"/>
        <v>1168.3388069417751</v>
      </c>
      <c r="E223" s="17">
        <f t="shared" si="47"/>
        <v>1050.3964482376819</v>
      </c>
    </row>
    <row r="224" spans="1:5" x14ac:dyDescent="0.25">
      <c r="A224" s="25">
        <v>45992</v>
      </c>
      <c r="B224" s="17">
        <f t="shared" si="45"/>
        <v>263979.20058959408</v>
      </c>
      <c r="C224" s="17">
        <f t="shared" si="46"/>
        <v>2218.735255179457</v>
      </c>
      <c r="D224" s="17">
        <f t="shared" si="56"/>
        <v>1163.708309265794</v>
      </c>
      <c r="E224" s="17">
        <f t="shared" si="47"/>
        <v>1055.026945913663</v>
      </c>
    </row>
    <row r="225" spans="1:5" x14ac:dyDescent="0.25">
      <c r="A225" s="25" t="s">
        <v>94</v>
      </c>
      <c r="B225" s="17"/>
      <c r="C225" s="17">
        <f>SUM(C213:C224)</f>
        <v>26624.823062153486</v>
      </c>
      <c r="D225" s="17">
        <f t="shared" ref="D225" si="57">SUM(D213:D224)</f>
        <v>14265.685301523818</v>
      </c>
      <c r="E225" s="17">
        <f t="shared" ref="E225" si="58">SUM(E213:E224)</f>
        <v>12359.137760629666</v>
      </c>
    </row>
    <row r="226" spans="1:5" x14ac:dyDescent="0.25">
      <c r="A226" s="25"/>
      <c r="B226" s="17"/>
      <c r="C226" s="17"/>
      <c r="D226" s="17"/>
      <c r="E226" s="17"/>
    </row>
    <row r="227" spans="1:5" x14ac:dyDescent="0.25">
      <c r="A227" s="25">
        <v>46023</v>
      </c>
      <c r="B227" s="17">
        <f>+B224-E224</f>
        <v>262924.17364368041</v>
      </c>
      <c r="C227" s="17">
        <f>+C224</f>
        <v>2218.735255179457</v>
      </c>
      <c r="D227" s="17">
        <f t="shared" ref="D227:D238" si="59">+B227*$L$4</f>
        <v>1159.0573988125579</v>
      </c>
      <c r="E227" s="17">
        <f t="shared" si="47"/>
        <v>1059.6778563668991</v>
      </c>
    </row>
    <row r="228" spans="1:5" x14ac:dyDescent="0.25">
      <c r="A228" s="25">
        <v>46054</v>
      </c>
      <c r="B228" s="17">
        <f t="shared" si="45"/>
        <v>261864.4957873135</v>
      </c>
      <c r="C228" s="17">
        <f t="shared" si="46"/>
        <v>2218.735255179457</v>
      </c>
      <c r="D228" s="17">
        <f t="shared" si="59"/>
        <v>1154.3859855957403</v>
      </c>
      <c r="E228" s="17">
        <f t="shared" si="47"/>
        <v>1064.3492695837167</v>
      </c>
    </row>
    <row r="229" spans="1:5" x14ac:dyDescent="0.25">
      <c r="A229" s="25">
        <v>46082</v>
      </c>
      <c r="B229" s="17">
        <f t="shared" si="45"/>
        <v>260800.14651772979</v>
      </c>
      <c r="C229" s="17">
        <f t="shared" si="46"/>
        <v>2218.735255179457</v>
      </c>
      <c r="D229" s="17">
        <f t="shared" si="59"/>
        <v>1149.6939792323255</v>
      </c>
      <c r="E229" s="17">
        <f t="shared" si="47"/>
        <v>1069.0412759471315</v>
      </c>
    </row>
    <row r="230" spans="1:5" x14ac:dyDescent="0.25">
      <c r="A230" s="25">
        <v>46113</v>
      </c>
      <c r="B230" s="17">
        <f t="shared" si="45"/>
        <v>259731.10524178267</v>
      </c>
      <c r="C230" s="17">
        <f t="shared" si="46"/>
        <v>2218.735255179457</v>
      </c>
      <c r="D230" s="17">
        <f t="shared" si="59"/>
        <v>1144.9812889408586</v>
      </c>
      <c r="E230" s="17">
        <f t="shared" si="47"/>
        <v>1073.7539662385984</v>
      </c>
    </row>
    <row r="231" spans="1:5" x14ac:dyDescent="0.25">
      <c r="A231" s="25">
        <v>46143</v>
      </c>
      <c r="B231" s="17">
        <f t="shared" si="45"/>
        <v>258657.35127554406</v>
      </c>
      <c r="C231" s="17">
        <f t="shared" si="46"/>
        <v>2218.735255179457</v>
      </c>
      <c r="D231" s="17">
        <f t="shared" si="59"/>
        <v>1140.2478235396902</v>
      </c>
      <c r="E231" s="17">
        <f t="shared" si="47"/>
        <v>1078.4874316397668</v>
      </c>
    </row>
    <row r="232" spans="1:5" x14ac:dyDescent="0.25">
      <c r="A232" s="25">
        <v>46174</v>
      </c>
      <c r="B232" s="17">
        <f t="shared" si="45"/>
        <v>257578.86384390428</v>
      </c>
      <c r="C232" s="17">
        <f t="shared" si="46"/>
        <v>2218.735255179457</v>
      </c>
      <c r="D232" s="17">
        <f t="shared" si="59"/>
        <v>1135.4934914452115</v>
      </c>
      <c r="E232" s="17">
        <f t="shared" si="47"/>
        <v>1083.2417637342455</v>
      </c>
    </row>
    <row r="233" spans="1:5" x14ac:dyDescent="0.25">
      <c r="A233" s="25">
        <v>46204</v>
      </c>
      <c r="B233" s="17">
        <f t="shared" si="45"/>
        <v>256495.62208017003</v>
      </c>
      <c r="C233" s="17">
        <f t="shared" si="46"/>
        <v>2218.735255179457</v>
      </c>
      <c r="D233" s="17">
        <f t="shared" si="59"/>
        <v>1130.718200670083</v>
      </c>
      <c r="E233" s="17">
        <f t="shared" si="47"/>
        <v>1088.017054509374</v>
      </c>
    </row>
    <row r="234" spans="1:5" x14ac:dyDescent="0.25">
      <c r="A234" s="25">
        <v>46235</v>
      </c>
      <c r="B234" s="17">
        <f t="shared" si="45"/>
        <v>255407.60502566065</v>
      </c>
      <c r="C234" s="17">
        <f t="shared" si="46"/>
        <v>2218.735255179457</v>
      </c>
      <c r="D234" s="17">
        <f t="shared" si="59"/>
        <v>1125.9218588214542</v>
      </c>
      <c r="E234" s="17">
        <f t="shared" si="47"/>
        <v>1092.8133963580028</v>
      </c>
    </row>
    <row r="235" spans="1:5" x14ac:dyDescent="0.25">
      <c r="A235" s="25">
        <v>46266</v>
      </c>
      <c r="B235" s="17">
        <f t="shared" si="45"/>
        <v>254314.79162930266</v>
      </c>
      <c r="C235" s="17">
        <f t="shared" si="46"/>
        <v>2218.735255179457</v>
      </c>
      <c r="D235" s="17">
        <f t="shared" si="59"/>
        <v>1121.104373099176</v>
      </c>
      <c r="E235" s="17">
        <f t="shared" si="47"/>
        <v>1097.630882080281</v>
      </c>
    </row>
    <row r="236" spans="1:5" x14ac:dyDescent="0.25">
      <c r="A236" s="25">
        <v>46296</v>
      </c>
      <c r="B236" s="17">
        <f t="shared" si="45"/>
        <v>253217.16074722237</v>
      </c>
      <c r="C236" s="17">
        <f t="shared" si="46"/>
        <v>2218.735255179457</v>
      </c>
      <c r="D236" s="17">
        <f t="shared" si="59"/>
        <v>1116.2656502940054</v>
      </c>
      <c r="E236" s="17">
        <f t="shared" si="47"/>
        <v>1102.4696048854516</v>
      </c>
    </row>
    <row r="237" spans="1:5" x14ac:dyDescent="0.25">
      <c r="A237" s="25">
        <v>46327</v>
      </c>
      <c r="B237" s="17">
        <f t="shared" si="45"/>
        <v>252114.69114233693</v>
      </c>
      <c r="C237" s="17">
        <f t="shared" si="46"/>
        <v>2218.735255179457</v>
      </c>
      <c r="D237" s="17">
        <f t="shared" si="59"/>
        <v>1111.4055967858021</v>
      </c>
      <c r="E237" s="17">
        <f t="shared" si="47"/>
        <v>1107.3296583936549</v>
      </c>
    </row>
    <row r="238" spans="1:5" x14ac:dyDescent="0.25">
      <c r="A238" s="25">
        <v>46357</v>
      </c>
      <c r="B238" s="17">
        <f t="shared" si="45"/>
        <v>251007.36148394327</v>
      </c>
      <c r="C238" s="17">
        <f t="shared" si="46"/>
        <v>2218.735255179457</v>
      </c>
      <c r="D238" s="17">
        <f t="shared" si="59"/>
        <v>1106.5241185417167</v>
      </c>
      <c r="E238" s="17">
        <f t="shared" si="47"/>
        <v>1112.2111366377403</v>
      </c>
    </row>
    <row r="239" spans="1:5" x14ac:dyDescent="0.25">
      <c r="A239" s="25" t="s">
        <v>94</v>
      </c>
      <c r="B239" s="17"/>
      <c r="C239" s="17">
        <f>SUM(C227:C238)</f>
        <v>26624.823062153486</v>
      </c>
      <c r="D239" s="17">
        <f t="shared" ref="D239" si="60">SUM(D227:D238)</f>
        <v>13595.799765778622</v>
      </c>
      <c r="E239" s="17">
        <f t="shared" ref="E239" si="61">SUM(E227:E238)</f>
        <v>13029.023296374864</v>
      </c>
    </row>
    <row r="240" spans="1:5" x14ac:dyDescent="0.25">
      <c r="A240" s="25"/>
      <c r="B240" s="17"/>
      <c r="C240" s="17"/>
      <c r="D240" s="17"/>
      <c r="E240" s="17"/>
    </row>
    <row r="241" spans="1:5" x14ac:dyDescent="0.25">
      <c r="A241" s="25">
        <v>46388</v>
      </c>
      <c r="B241" s="17">
        <f>+B238-E238</f>
        <v>249895.15034730552</v>
      </c>
      <c r="C241" s="17">
        <f>+C238</f>
        <v>2218.735255179457</v>
      </c>
      <c r="D241" s="17">
        <f t="shared" ref="D241:D252" si="62">+B241*$L$4</f>
        <v>1101.6211211143718</v>
      </c>
      <c r="E241" s="17">
        <f t="shared" si="47"/>
        <v>1117.1141340650852</v>
      </c>
    </row>
    <row r="242" spans="1:5" x14ac:dyDescent="0.25">
      <c r="A242" s="25">
        <v>46419</v>
      </c>
      <c r="B242" s="17">
        <f t="shared" si="45"/>
        <v>248778.03621324044</v>
      </c>
      <c r="C242" s="17">
        <f t="shared" si="46"/>
        <v>2218.735255179457</v>
      </c>
      <c r="D242" s="17">
        <f t="shared" si="62"/>
        <v>1096.6965096400349</v>
      </c>
      <c r="E242" s="17">
        <f t="shared" si="47"/>
        <v>1122.0387455394221</v>
      </c>
    </row>
    <row r="243" spans="1:5" x14ac:dyDescent="0.25">
      <c r="A243" s="25">
        <v>46447</v>
      </c>
      <c r="B243" s="17">
        <f t="shared" si="45"/>
        <v>247655.99746770103</v>
      </c>
      <c r="C243" s="17">
        <f t="shared" si="46"/>
        <v>2218.735255179457</v>
      </c>
      <c r="D243" s="17">
        <f t="shared" si="62"/>
        <v>1091.7501888367822</v>
      </c>
      <c r="E243" s="17">
        <f t="shared" si="47"/>
        <v>1126.9850663426748</v>
      </c>
    </row>
    <row r="244" spans="1:5" x14ac:dyDescent="0.25">
      <c r="A244" s="25">
        <v>46478</v>
      </c>
      <c r="B244" s="17">
        <f t="shared" si="45"/>
        <v>246529.01240135837</v>
      </c>
      <c r="C244" s="17">
        <f t="shared" si="46"/>
        <v>2218.735255179457</v>
      </c>
      <c r="D244" s="17">
        <f t="shared" si="62"/>
        <v>1086.7820630026549</v>
      </c>
      <c r="E244" s="17">
        <f t="shared" si="47"/>
        <v>1131.9531921768021</v>
      </c>
    </row>
    <row r="245" spans="1:5" x14ac:dyDescent="0.25">
      <c r="A245" s="25">
        <v>46508</v>
      </c>
      <c r="B245" s="17">
        <f t="shared" si="45"/>
        <v>245397.05920918158</v>
      </c>
      <c r="C245" s="17">
        <f t="shared" si="46"/>
        <v>2218.735255179457</v>
      </c>
      <c r="D245" s="17">
        <f t="shared" si="62"/>
        <v>1081.7920360138089</v>
      </c>
      <c r="E245" s="17">
        <f t="shared" si="47"/>
        <v>1136.9432191656481</v>
      </c>
    </row>
    <row r="246" spans="1:5" x14ac:dyDescent="0.25">
      <c r="A246" s="25">
        <v>46539</v>
      </c>
      <c r="B246" s="17">
        <f t="shared" si="45"/>
        <v>244260.11599001594</v>
      </c>
      <c r="C246" s="17">
        <f t="shared" si="46"/>
        <v>2218.735255179457</v>
      </c>
      <c r="D246" s="17">
        <f t="shared" si="62"/>
        <v>1076.7800113226538</v>
      </c>
      <c r="E246" s="17">
        <f t="shared" si="47"/>
        <v>1141.9552438568032</v>
      </c>
    </row>
    <row r="247" spans="1:5" x14ac:dyDescent="0.25">
      <c r="A247" s="25">
        <v>46569</v>
      </c>
      <c r="B247" s="17">
        <f t="shared" si="45"/>
        <v>243118.16074615915</v>
      </c>
      <c r="C247" s="17">
        <f t="shared" si="46"/>
        <v>2218.735255179457</v>
      </c>
      <c r="D247" s="17">
        <f t="shared" si="62"/>
        <v>1071.7458919559849</v>
      </c>
      <c r="E247" s="17">
        <f t="shared" si="47"/>
        <v>1146.9893632234721</v>
      </c>
    </row>
    <row r="248" spans="1:5" x14ac:dyDescent="0.25">
      <c r="A248" s="25">
        <v>46600</v>
      </c>
      <c r="B248" s="17">
        <f t="shared" si="45"/>
        <v>241971.17138293569</v>
      </c>
      <c r="C248" s="17">
        <f t="shared" si="46"/>
        <v>2218.735255179457</v>
      </c>
      <c r="D248" s="17">
        <f t="shared" si="62"/>
        <v>1066.6895805131082</v>
      </c>
      <c r="E248" s="17">
        <f t="shared" si="47"/>
        <v>1152.0456746663488</v>
      </c>
    </row>
    <row r="249" spans="1:5" x14ac:dyDescent="0.25">
      <c r="A249" s="25">
        <v>46631</v>
      </c>
      <c r="B249" s="17">
        <f t="shared" si="45"/>
        <v>240819.12570826933</v>
      </c>
      <c r="C249" s="17">
        <f t="shared" si="46"/>
        <v>2218.735255179457</v>
      </c>
      <c r="D249" s="17">
        <f t="shared" si="62"/>
        <v>1061.610979163954</v>
      </c>
      <c r="E249" s="17">
        <f t="shared" si="47"/>
        <v>1157.124276015503</v>
      </c>
    </row>
    <row r="250" spans="1:5" x14ac:dyDescent="0.25">
      <c r="A250" s="25">
        <v>46661</v>
      </c>
      <c r="B250" s="17">
        <f t="shared" si="45"/>
        <v>239662.00143225383</v>
      </c>
      <c r="C250" s="17">
        <f t="shared" si="46"/>
        <v>2218.735255179457</v>
      </c>
      <c r="D250" s="17">
        <f t="shared" si="62"/>
        <v>1056.5099896471856</v>
      </c>
      <c r="E250" s="17">
        <f t="shared" si="47"/>
        <v>1162.2252655322714</v>
      </c>
    </row>
    <row r="251" spans="1:5" x14ac:dyDescent="0.25">
      <c r="A251" s="25">
        <v>46692</v>
      </c>
      <c r="B251" s="17">
        <f t="shared" si="45"/>
        <v>238499.77616672157</v>
      </c>
      <c r="C251" s="17">
        <f t="shared" si="46"/>
        <v>2218.735255179457</v>
      </c>
      <c r="D251" s="17">
        <f t="shared" si="62"/>
        <v>1051.3865132682977</v>
      </c>
      <c r="E251" s="17">
        <f t="shared" si="47"/>
        <v>1167.3487419111593</v>
      </c>
    </row>
    <row r="252" spans="1:5" x14ac:dyDescent="0.25">
      <c r="A252" s="25">
        <v>46722</v>
      </c>
      <c r="B252" s="17">
        <f t="shared" ref="B252:B266" si="63">+B251-E251</f>
        <v>237332.42742481042</v>
      </c>
      <c r="C252" s="17">
        <f t="shared" ref="C252:C266" si="64">+C251</f>
        <v>2218.735255179457</v>
      </c>
      <c r="D252" s="17">
        <f t="shared" si="62"/>
        <v>1046.2404508977061</v>
      </c>
      <c r="E252" s="17">
        <f t="shared" ref="E252:E266" si="65">+C252-D252</f>
        <v>1172.4948042817509</v>
      </c>
    </row>
    <row r="253" spans="1:5" x14ac:dyDescent="0.25">
      <c r="A253" s="25" t="s">
        <v>94</v>
      </c>
      <c r="B253" s="17"/>
      <c r="C253" s="17">
        <f>SUM(C241:C252)</f>
        <v>26624.823062153486</v>
      </c>
      <c r="D253" s="17">
        <f t="shared" ref="D253" si="66">SUM(D241:D252)</f>
        <v>12889.605335376542</v>
      </c>
      <c r="E253" s="17">
        <f t="shared" ref="E253" si="67">SUM(E241:E252)</f>
        <v>13735.217726776942</v>
      </c>
    </row>
    <row r="254" spans="1:5" x14ac:dyDescent="0.25">
      <c r="A254" s="25"/>
      <c r="B254" s="17"/>
      <c r="C254" s="17"/>
      <c r="D254" s="17"/>
      <c r="E254" s="17"/>
    </row>
    <row r="255" spans="1:5" x14ac:dyDescent="0.25">
      <c r="A255" s="25">
        <v>46753</v>
      </c>
      <c r="B255" s="17">
        <f>+B252-E252</f>
        <v>236159.93262052868</v>
      </c>
      <c r="C255" s="17">
        <f>+C252</f>
        <v>2218.735255179457</v>
      </c>
      <c r="D255" s="17">
        <f t="shared" ref="D255:D266" si="68">+B255*$L$4</f>
        <v>1041.0717029688306</v>
      </c>
      <c r="E255" s="17">
        <f t="shared" si="65"/>
        <v>1177.6635522106264</v>
      </c>
    </row>
    <row r="256" spans="1:5" x14ac:dyDescent="0.25">
      <c r="A256" s="25">
        <v>46784</v>
      </c>
      <c r="B256" s="17">
        <f t="shared" si="63"/>
        <v>234982.26906831804</v>
      </c>
      <c r="C256" s="17">
        <f t="shared" si="64"/>
        <v>2218.735255179457</v>
      </c>
      <c r="D256" s="17">
        <f t="shared" si="68"/>
        <v>1035.8801694761687</v>
      </c>
      <c r="E256" s="17">
        <f t="shared" si="65"/>
        <v>1182.8550857032883</v>
      </c>
    </row>
    <row r="257" spans="1:5" x14ac:dyDescent="0.25">
      <c r="A257" s="25">
        <v>46813</v>
      </c>
      <c r="B257" s="17">
        <f t="shared" si="63"/>
        <v>233799.41398261476</v>
      </c>
      <c r="C257" s="17">
        <f t="shared" si="64"/>
        <v>2218.735255179457</v>
      </c>
      <c r="D257" s="17">
        <f t="shared" si="68"/>
        <v>1030.6657499733601</v>
      </c>
      <c r="E257" s="17">
        <f t="shared" si="65"/>
        <v>1188.0695052060969</v>
      </c>
    </row>
    <row r="258" spans="1:5" x14ac:dyDescent="0.25">
      <c r="A258" s="25">
        <v>46844</v>
      </c>
      <c r="B258" s="17">
        <f t="shared" si="63"/>
        <v>232611.34447740865</v>
      </c>
      <c r="C258" s="17">
        <f t="shared" si="64"/>
        <v>2218.735255179457</v>
      </c>
      <c r="D258" s="17">
        <f t="shared" si="68"/>
        <v>1025.4283435712432</v>
      </c>
      <c r="E258" s="17">
        <f t="shared" si="65"/>
        <v>1193.3069116082138</v>
      </c>
    </row>
    <row r="259" spans="1:5" x14ac:dyDescent="0.25">
      <c r="A259" s="25">
        <v>46874</v>
      </c>
      <c r="B259" s="17">
        <f t="shared" si="63"/>
        <v>231418.03756580045</v>
      </c>
      <c r="C259" s="17">
        <f t="shared" si="64"/>
        <v>2218.735255179457</v>
      </c>
      <c r="D259" s="17">
        <f t="shared" si="68"/>
        <v>1020.1678489359037</v>
      </c>
      <c r="E259" s="17">
        <f t="shared" si="65"/>
        <v>1198.5674062435533</v>
      </c>
    </row>
    <row r="260" spans="1:5" x14ac:dyDescent="0.25">
      <c r="A260" s="25">
        <v>46905</v>
      </c>
      <c r="B260" s="17">
        <f t="shared" si="63"/>
        <v>230219.47015955689</v>
      </c>
      <c r="C260" s="17">
        <f t="shared" si="64"/>
        <v>2218.735255179457</v>
      </c>
      <c r="D260" s="17">
        <f t="shared" si="68"/>
        <v>1014.8841642867134</v>
      </c>
      <c r="E260" s="17">
        <f t="shared" si="65"/>
        <v>1203.8510908927437</v>
      </c>
    </row>
    <row r="261" spans="1:5" x14ac:dyDescent="0.25">
      <c r="A261" s="25">
        <v>46935</v>
      </c>
      <c r="B261" s="17">
        <f t="shared" si="63"/>
        <v>229015.61906866415</v>
      </c>
      <c r="C261" s="17">
        <f t="shared" si="64"/>
        <v>2218.735255179457</v>
      </c>
      <c r="D261" s="17">
        <f t="shared" si="68"/>
        <v>1009.5771873943612</v>
      </c>
      <c r="E261" s="17">
        <f t="shared" si="65"/>
        <v>1209.1580677850957</v>
      </c>
    </row>
    <row r="262" spans="1:5" x14ac:dyDescent="0.25">
      <c r="A262" s="25">
        <v>46966</v>
      </c>
      <c r="B262" s="17">
        <f t="shared" si="63"/>
        <v>227806.46100087906</v>
      </c>
      <c r="C262" s="17">
        <f t="shared" si="64"/>
        <v>2218.735255179457</v>
      </c>
      <c r="D262" s="17">
        <f t="shared" si="68"/>
        <v>1004.2468155788753</v>
      </c>
      <c r="E262" s="17">
        <f t="shared" si="65"/>
        <v>1214.4884396005818</v>
      </c>
    </row>
    <row r="263" spans="1:5" x14ac:dyDescent="0.25">
      <c r="A263" s="25">
        <v>46997</v>
      </c>
      <c r="B263" s="17">
        <f t="shared" si="63"/>
        <v>226591.97256127847</v>
      </c>
      <c r="C263" s="17">
        <f t="shared" si="64"/>
        <v>2218.735255179457</v>
      </c>
      <c r="D263" s="17">
        <f t="shared" si="68"/>
        <v>998.89294570763593</v>
      </c>
      <c r="E263" s="17">
        <f t="shared" si="65"/>
        <v>1219.842309471821</v>
      </c>
    </row>
    <row r="264" spans="1:5" x14ac:dyDescent="0.25">
      <c r="A264" s="25">
        <v>47027</v>
      </c>
      <c r="B264" s="17">
        <f t="shared" si="63"/>
        <v>225372.13025180664</v>
      </c>
      <c r="C264" s="17">
        <f t="shared" si="64"/>
        <v>2218.735255179457</v>
      </c>
      <c r="D264" s="17">
        <f t="shared" si="68"/>
        <v>993.51547419338101</v>
      </c>
      <c r="E264" s="17">
        <f t="shared" si="65"/>
        <v>1225.2197809860759</v>
      </c>
    </row>
    <row r="265" spans="1:5" x14ac:dyDescent="0.25">
      <c r="A265" s="25">
        <v>47058</v>
      </c>
      <c r="B265" s="17">
        <f t="shared" si="63"/>
        <v>224146.91047082056</v>
      </c>
      <c r="C265" s="17">
        <f t="shared" si="64"/>
        <v>2218.735255179457</v>
      </c>
      <c r="D265" s="17">
        <f t="shared" si="68"/>
        <v>988.11429699220071</v>
      </c>
      <c r="E265" s="17">
        <f t="shared" si="65"/>
        <v>1230.6209581872563</v>
      </c>
    </row>
    <row r="266" spans="1:5" x14ac:dyDescent="0.25">
      <c r="A266" s="25">
        <v>47088</v>
      </c>
      <c r="B266" s="17">
        <f t="shared" si="63"/>
        <v>222916.28951263329</v>
      </c>
      <c r="C266" s="17">
        <f t="shared" si="64"/>
        <v>2218.735255179457</v>
      </c>
      <c r="D266" s="17">
        <f t="shared" si="68"/>
        <v>982.68930960152511</v>
      </c>
      <c r="E266" s="17">
        <f t="shared" si="65"/>
        <v>1236.0459455779319</v>
      </c>
    </row>
    <row r="267" spans="1:5" x14ac:dyDescent="0.25">
      <c r="A267" s="25" t="s">
        <v>94</v>
      </c>
      <c r="B267" s="17"/>
      <c r="C267" s="17">
        <f>SUM(C255:C266)</f>
        <v>26624.823062153486</v>
      </c>
      <c r="D267" s="17">
        <f t="shared" ref="D267" si="69">SUM(D255:D266)</f>
        <v>12145.134008680197</v>
      </c>
      <c r="E267" s="17">
        <f t="shared" ref="E267" si="70">SUM(E255:E266)</f>
        <v>14479.689053473285</v>
      </c>
    </row>
    <row r="269" spans="1:5" x14ac:dyDescent="0.25">
      <c r="A269" s="25"/>
      <c r="B269" s="17"/>
      <c r="C269" s="17"/>
      <c r="D269" s="17"/>
      <c r="E269" s="17"/>
    </row>
    <row r="270" spans="1:5" x14ac:dyDescent="0.25">
      <c r="A270" s="25"/>
      <c r="B270" s="17"/>
      <c r="C270" s="17"/>
      <c r="D270" s="17"/>
      <c r="E270" s="17"/>
    </row>
    <row r="271" spans="1:5" x14ac:dyDescent="0.25">
      <c r="A271" s="25"/>
      <c r="B271" s="17"/>
      <c r="C271" s="17"/>
      <c r="D271" s="17"/>
      <c r="E271" s="17"/>
    </row>
    <row r="272" spans="1:5" x14ac:dyDescent="0.25">
      <c r="A272" s="25"/>
      <c r="B272" s="17"/>
      <c r="C272" s="17"/>
      <c r="D272" s="17"/>
      <c r="E272" s="17"/>
    </row>
    <row r="273" spans="1:5" x14ac:dyDescent="0.25">
      <c r="A273" s="25"/>
      <c r="B273" s="17"/>
      <c r="C273" s="17"/>
      <c r="D273" s="17"/>
      <c r="E273" s="17"/>
    </row>
    <row r="274" spans="1:5" x14ac:dyDescent="0.25">
      <c r="A274" s="25"/>
      <c r="B274" s="17"/>
      <c r="C274" s="17"/>
      <c r="D274" s="17"/>
      <c r="E274" s="17"/>
    </row>
    <row r="275" spans="1:5" x14ac:dyDescent="0.25">
      <c r="A275" s="25"/>
      <c r="B275" s="17"/>
      <c r="C275" s="17"/>
      <c r="D275" s="17"/>
      <c r="E275" s="17"/>
    </row>
    <row r="276" spans="1:5" x14ac:dyDescent="0.25">
      <c r="A276" s="25"/>
      <c r="B276" s="17"/>
      <c r="C276" s="17"/>
      <c r="D276" s="17"/>
      <c r="E276" s="17"/>
    </row>
    <row r="277" spans="1:5" x14ac:dyDescent="0.25">
      <c r="A277" s="25"/>
      <c r="B277" s="17"/>
      <c r="C277" s="17"/>
      <c r="D277" s="17"/>
      <c r="E277" s="17"/>
    </row>
    <row r="278" spans="1:5" x14ac:dyDescent="0.25">
      <c r="A278" s="25"/>
      <c r="B278" s="17"/>
      <c r="C278" s="17"/>
      <c r="D278" s="17"/>
      <c r="E278" s="17"/>
    </row>
    <row r="279" spans="1:5" x14ac:dyDescent="0.25">
      <c r="A279" s="25"/>
      <c r="B279" s="17"/>
      <c r="C279" s="17"/>
      <c r="D279" s="17"/>
      <c r="E279" s="17"/>
    </row>
    <row r="280" spans="1:5" x14ac:dyDescent="0.25">
      <c r="A280" s="25"/>
      <c r="B280" s="17"/>
      <c r="C280" s="17"/>
      <c r="D280" s="17"/>
      <c r="E280" s="17"/>
    </row>
    <row r="281" spans="1:5" x14ac:dyDescent="0.25">
      <c r="A281" s="25"/>
      <c r="B281" s="17"/>
      <c r="C281" s="17"/>
      <c r="D281" s="17"/>
      <c r="E281" s="17"/>
    </row>
    <row r="282" spans="1:5" x14ac:dyDescent="0.25">
      <c r="A282" s="25"/>
      <c r="B282" s="17"/>
      <c r="C282" s="17"/>
      <c r="D282" s="17"/>
      <c r="E282" s="17"/>
    </row>
    <row r="283" spans="1:5" x14ac:dyDescent="0.25">
      <c r="A283" s="25"/>
      <c r="B283" s="17"/>
      <c r="C283" s="17"/>
      <c r="D283" s="17"/>
      <c r="E283" s="17"/>
    </row>
    <row r="284" spans="1:5" x14ac:dyDescent="0.25">
      <c r="A284" s="25"/>
      <c r="B284" s="17"/>
      <c r="C284" s="17"/>
      <c r="D284" s="17"/>
      <c r="E284" s="17"/>
    </row>
    <row r="285" spans="1:5" x14ac:dyDescent="0.25">
      <c r="A285" s="25"/>
      <c r="B285" s="17"/>
      <c r="C285" s="17"/>
      <c r="D285" s="17"/>
      <c r="E285" s="17"/>
    </row>
    <row r="286" spans="1:5" x14ac:dyDescent="0.25">
      <c r="A286" s="25"/>
      <c r="B286" s="17"/>
      <c r="C286" s="17"/>
      <c r="D286" s="17"/>
      <c r="E286" s="17"/>
    </row>
    <row r="287" spans="1:5" x14ac:dyDescent="0.25">
      <c r="A287" s="25"/>
      <c r="B287" s="17"/>
      <c r="C287" s="17"/>
      <c r="D287" s="17"/>
      <c r="E287" s="17"/>
    </row>
    <row r="288" spans="1:5" x14ac:dyDescent="0.25">
      <c r="A288" s="25"/>
      <c r="B288" s="17"/>
      <c r="C288" s="17"/>
      <c r="D288" s="17"/>
      <c r="E288" s="17"/>
    </row>
    <row r="289" spans="1:5" x14ac:dyDescent="0.25">
      <c r="A289" s="25"/>
      <c r="B289" s="17"/>
      <c r="C289" s="17"/>
      <c r="D289" s="17"/>
      <c r="E289" s="17"/>
    </row>
    <row r="290" spans="1:5" x14ac:dyDescent="0.25">
      <c r="A290" s="25"/>
      <c r="B290" s="17"/>
      <c r="C290" s="17"/>
      <c r="D290" s="17"/>
      <c r="E290" s="17"/>
    </row>
    <row r="291" spans="1:5" x14ac:dyDescent="0.25">
      <c r="A291" s="25"/>
      <c r="B291" s="17"/>
      <c r="C291" s="17"/>
      <c r="D291" s="17"/>
      <c r="E291" s="17"/>
    </row>
    <row r="292" spans="1:5" x14ac:dyDescent="0.25">
      <c r="A292" s="25"/>
      <c r="B292" s="17"/>
      <c r="C292" s="17"/>
      <c r="D292" s="17"/>
      <c r="E292" s="17"/>
    </row>
    <row r="293" spans="1:5" x14ac:dyDescent="0.25">
      <c r="A293" s="25"/>
      <c r="B293" s="17"/>
      <c r="C293" s="17"/>
      <c r="D293" s="17"/>
      <c r="E293" s="17"/>
    </row>
    <row r="294" spans="1:5" x14ac:dyDescent="0.25">
      <c r="A294" s="25"/>
      <c r="B294" s="17"/>
      <c r="C294" s="17"/>
      <c r="D294" s="17"/>
      <c r="E294" s="17"/>
    </row>
    <row r="295" spans="1:5" x14ac:dyDescent="0.25">
      <c r="A295" s="25"/>
      <c r="B295" s="17"/>
      <c r="C295" s="17"/>
      <c r="D295" s="17"/>
      <c r="E295" s="17"/>
    </row>
    <row r="296" spans="1:5" x14ac:dyDescent="0.25">
      <c r="A296" s="25"/>
      <c r="B296" s="17"/>
      <c r="C296" s="17"/>
      <c r="D296" s="17"/>
      <c r="E296" s="17"/>
    </row>
    <row r="297" spans="1:5" x14ac:dyDescent="0.25">
      <c r="A297" s="25"/>
      <c r="B297" s="17"/>
      <c r="C297" s="17"/>
      <c r="D297" s="17"/>
      <c r="E297" s="17"/>
    </row>
    <row r="298" spans="1:5" x14ac:dyDescent="0.25">
      <c r="A298" s="25"/>
      <c r="B298" s="17"/>
      <c r="C298" s="17"/>
      <c r="D298" s="17"/>
      <c r="E298" s="17"/>
    </row>
    <row r="299" spans="1:5" x14ac:dyDescent="0.25">
      <c r="A299" s="25"/>
      <c r="B299" s="17"/>
      <c r="C299" s="17"/>
      <c r="D299" s="17"/>
      <c r="E299" s="17"/>
    </row>
    <row r="300" spans="1:5" x14ac:dyDescent="0.25">
      <c r="A300" s="25"/>
      <c r="B300" s="17"/>
      <c r="C300" s="17"/>
      <c r="D300" s="17"/>
      <c r="E300" s="17"/>
    </row>
    <row r="301" spans="1:5" x14ac:dyDescent="0.25">
      <c r="A301" s="25"/>
      <c r="B301" s="17"/>
      <c r="C301" s="17"/>
      <c r="D301" s="17"/>
      <c r="E301" s="17"/>
    </row>
    <row r="302" spans="1:5" x14ac:dyDescent="0.25">
      <c r="A302" s="25"/>
      <c r="B302" s="17"/>
      <c r="C302" s="17"/>
      <c r="D302" s="17"/>
      <c r="E302" s="17"/>
    </row>
    <row r="303" spans="1:5" x14ac:dyDescent="0.25">
      <c r="A303" s="25"/>
      <c r="B303" s="17"/>
      <c r="C303" s="17"/>
      <c r="D303" s="17"/>
      <c r="E303" s="17"/>
    </row>
    <row r="304" spans="1:5" x14ac:dyDescent="0.25">
      <c r="A304" s="25"/>
      <c r="B304" s="17"/>
      <c r="C304" s="17"/>
      <c r="D304" s="17"/>
      <c r="E304" s="17"/>
    </row>
    <row r="305" spans="1:5" x14ac:dyDescent="0.25">
      <c r="A305" s="25"/>
      <c r="B305" s="17"/>
      <c r="C305" s="17"/>
      <c r="D305" s="17"/>
      <c r="E305" s="17"/>
    </row>
    <row r="306" spans="1:5" x14ac:dyDescent="0.25">
      <c r="A306" s="25"/>
      <c r="B306" s="17"/>
      <c r="C306" s="17"/>
      <c r="D306" s="17"/>
      <c r="E306" s="17"/>
    </row>
    <row r="307" spans="1:5" x14ac:dyDescent="0.25">
      <c r="A307" s="25"/>
      <c r="B307" s="17"/>
      <c r="C307" s="17"/>
      <c r="D307" s="17"/>
      <c r="E307" s="17"/>
    </row>
    <row r="308" spans="1:5" x14ac:dyDescent="0.25">
      <c r="A308" s="25"/>
      <c r="B308" s="17"/>
      <c r="C308" s="17"/>
      <c r="D308" s="17"/>
      <c r="E308" s="17"/>
    </row>
    <row r="309" spans="1:5" x14ac:dyDescent="0.25">
      <c r="A309" s="25"/>
      <c r="B309" s="17"/>
      <c r="C309" s="17"/>
      <c r="D309" s="17"/>
      <c r="E309" s="17"/>
    </row>
    <row r="310" spans="1:5" x14ac:dyDescent="0.25">
      <c r="A310" s="25"/>
      <c r="B310" s="17"/>
      <c r="C310" s="17"/>
      <c r="D310" s="17"/>
      <c r="E310" s="17"/>
    </row>
    <row r="311" spans="1:5" x14ac:dyDescent="0.25">
      <c r="A311" s="25"/>
      <c r="B311" s="17"/>
      <c r="C311" s="17"/>
      <c r="D311" s="17"/>
      <c r="E311" s="17"/>
    </row>
    <row r="312" spans="1:5" x14ac:dyDescent="0.25">
      <c r="A312" s="25"/>
      <c r="B312" s="17"/>
      <c r="C312" s="17"/>
      <c r="D312" s="17"/>
      <c r="E312" s="17"/>
    </row>
    <row r="313" spans="1:5" x14ac:dyDescent="0.25">
      <c r="A313" s="25"/>
      <c r="B313" s="17"/>
      <c r="C313" s="17"/>
      <c r="D313" s="17"/>
      <c r="E313" s="17"/>
    </row>
    <row r="314" spans="1:5" x14ac:dyDescent="0.25">
      <c r="A314" s="25"/>
      <c r="B314" s="17"/>
      <c r="C314" s="17"/>
      <c r="D314" s="17"/>
      <c r="E314" s="17"/>
    </row>
    <row r="315" spans="1:5" x14ac:dyDescent="0.25">
      <c r="A315" s="25"/>
      <c r="B315" s="17"/>
      <c r="C315" s="17"/>
      <c r="D315" s="17"/>
      <c r="E315" s="17"/>
    </row>
    <row r="316" spans="1:5" x14ac:dyDescent="0.25">
      <c r="A316" s="25"/>
      <c r="B316" s="17"/>
      <c r="C316" s="17"/>
      <c r="D316" s="17"/>
      <c r="E316" s="17"/>
    </row>
    <row r="317" spans="1:5" x14ac:dyDescent="0.25">
      <c r="A317" s="25"/>
      <c r="B317" s="17"/>
      <c r="C317" s="17"/>
      <c r="D317" s="17"/>
      <c r="E317" s="17"/>
    </row>
    <row r="318" spans="1:5" x14ac:dyDescent="0.25">
      <c r="A318" s="25"/>
      <c r="B318" s="17"/>
      <c r="C318" s="17"/>
      <c r="D318" s="17"/>
      <c r="E318" s="17"/>
    </row>
    <row r="319" spans="1:5" x14ac:dyDescent="0.25">
      <c r="A319" s="25"/>
      <c r="B319" s="17"/>
      <c r="C319" s="17"/>
      <c r="D319" s="17"/>
      <c r="E319" s="17"/>
    </row>
    <row r="320" spans="1:5" x14ac:dyDescent="0.25">
      <c r="A320" s="25"/>
      <c r="B320" s="17"/>
      <c r="C320" s="17"/>
      <c r="D320" s="17"/>
      <c r="E320" s="17"/>
    </row>
    <row r="321" spans="1:5" x14ac:dyDescent="0.25">
      <c r="A321" s="25"/>
      <c r="B321" s="17"/>
      <c r="C321" s="17"/>
      <c r="D321" s="17"/>
      <c r="E321" s="17"/>
    </row>
    <row r="322" spans="1:5" x14ac:dyDescent="0.25">
      <c r="A322" s="25"/>
      <c r="B322" s="17"/>
      <c r="C322" s="17"/>
      <c r="D322" s="17"/>
      <c r="E322" s="17"/>
    </row>
    <row r="323" spans="1:5" x14ac:dyDescent="0.25">
      <c r="A323" s="25"/>
      <c r="B323" s="17"/>
      <c r="C323" s="17"/>
      <c r="D323" s="17"/>
      <c r="E323" s="17"/>
    </row>
    <row r="324" spans="1:5" x14ac:dyDescent="0.25">
      <c r="A324" s="25"/>
      <c r="B324" s="17"/>
      <c r="C324" s="17"/>
      <c r="D324" s="17"/>
      <c r="E324" s="17"/>
    </row>
    <row r="325" spans="1:5" x14ac:dyDescent="0.25">
      <c r="A325" s="25"/>
      <c r="B325" s="17"/>
      <c r="C325" s="17"/>
      <c r="D325" s="17"/>
      <c r="E325" s="17"/>
    </row>
    <row r="326" spans="1:5" x14ac:dyDescent="0.25">
      <c r="A326" s="25"/>
      <c r="B326" s="17"/>
      <c r="C326" s="17"/>
      <c r="D326" s="17"/>
      <c r="E326" s="17"/>
    </row>
    <row r="327" spans="1:5" x14ac:dyDescent="0.25">
      <c r="A327" s="25"/>
      <c r="B327" s="17"/>
      <c r="C327" s="17"/>
      <c r="D327" s="17"/>
      <c r="E327" s="17"/>
    </row>
    <row r="328" spans="1:5" x14ac:dyDescent="0.25">
      <c r="A328" s="25"/>
      <c r="B328" s="17"/>
      <c r="C328" s="17"/>
      <c r="D328" s="17"/>
      <c r="E328" s="17"/>
    </row>
    <row r="329" spans="1:5" x14ac:dyDescent="0.25">
      <c r="A329" s="25"/>
      <c r="B329" s="17"/>
      <c r="C329" s="17"/>
      <c r="D329" s="17"/>
      <c r="E329" s="17"/>
    </row>
    <row r="330" spans="1:5" x14ac:dyDescent="0.25">
      <c r="A330" s="25"/>
      <c r="B330" s="17"/>
      <c r="C330" s="17"/>
      <c r="D330" s="17"/>
      <c r="E330" s="17"/>
    </row>
    <row r="331" spans="1:5" x14ac:dyDescent="0.25">
      <c r="A331" s="25"/>
      <c r="B331" s="17"/>
      <c r="C331" s="17"/>
      <c r="D331" s="17"/>
      <c r="E331" s="17"/>
    </row>
    <row r="332" spans="1:5" x14ac:dyDescent="0.25">
      <c r="A332" s="25"/>
      <c r="B332" s="17"/>
      <c r="C332" s="17"/>
      <c r="D332" s="17"/>
      <c r="E332" s="17"/>
    </row>
    <row r="333" spans="1:5" x14ac:dyDescent="0.25">
      <c r="A333" s="25"/>
      <c r="B333" s="17"/>
      <c r="C333" s="17"/>
      <c r="D333" s="17"/>
      <c r="E333" s="17"/>
    </row>
    <row r="334" spans="1:5" x14ac:dyDescent="0.25">
      <c r="A334" s="25"/>
      <c r="B334" s="17"/>
      <c r="C334" s="17"/>
      <c r="D334" s="17"/>
      <c r="E334" s="17"/>
    </row>
    <row r="335" spans="1:5" x14ac:dyDescent="0.25">
      <c r="A335" s="25"/>
      <c r="B335" s="17"/>
      <c r="C335" s="17"/>
      <c r="D335" s="17"/>
      <c r="E335" s="17"/>
    </row>
    <row r="336" spans="1:5" x14ac:dyDescent="0.25">
      <c r="A336" s="25"/>
      <c r="B336" s="17"/>
      <c r="C336" s="17"/>
      <c r="D336" s="17"/>
      <c r="E336" s="17"/>
    </row>
    <row r="337" spans="1:5" x14ac:dyDescent="0.25">
      <c r="A337" s="25"/>
      <c r="B337" s="17"/>
      <c r="C337" s="17"/>
      <c r="D337" s="17"/>
      <c r="E337" s="17"/>
    </row>
    <row r="338" spans="1:5" x14ac:dyDescent="0.25">
      <c r="A338" s="25"/>
      <c r="B338" s="17"/>
      <c r="C338" s="17"/>
      <c r="D338" s="17"/>
      <c r="E338" s="17"/>
    </row>
    <row r="339" spans="1:5" x14ac:dyDescent="0.25">
      <c r="A339" s="25"/>
      <c r="B339" s="17"/>
      <c r="C339" s="17"/>
      <c r="D339" s="17"/>
      <c r="E339" s="17"/>
    </row>
    <row r="340" spans="1:5" x14ac:dyDescent="0.25">
      <c r="A340" s="25"/>
      <c r="B340" s="17"/>
      <c r="C340" s="17"/>
      <c r="D340" s="17"/>
      <c r="E340" s="17"/>
    </row>
    <row r="341" spans="1:5" x14ac:dyDescent="0.25">
      <c r="A341" s="25"/>
      <c r="B341" s="17"/>
      <c r="C341" s="17"/>
      <c r="D341" s="17"/>
      <c r="E341" s="17"/>
    </row>
    <row r="342" spans="1:5" x14ac:dyDescent="0.25">
      <c r="A342" s="25"/>
      <c r="B342" s="17"/>
      <c r="C342" s="17"/>
      <c r="D342" s="17"/>
      <c r="E342" s="17"/>
    </row>
    <row r="343" spans="1:5" x14ac:dyDescent="0.25">
      <c r="A343" s="25"/>
      <c r="B343" s="17"/>
      <c r="C343" s="17"/>
      <c r="D343" s="17"/>
      <c r="E343" s="17"/>
    </row>
    <row r="344" spans="1:5" x14ac:dyDescent="0.25">
      <c r="A344" s="25"/>
      <c r="B344" s="17"/>
      <c r="C344" s="17"/>
      <c r="D344" s="17"/>
      <c r="E344" s="17"/>
    </row>
    <row r="345" spans="1:5" x14ac:dyDescent="0.25">
      <c r="A345" s="25"/>
      <c r="B345" s="17"/>
      <c r="C345" s="17"/>
      <c r="D345" s="17"/>
      <c r="E345" s="17"/>
    </row>
    <row r="346" spans="1:5" x14ac:dyDescent="0.25">
      <c r="A346" s="25"/>
      <c r="B346" s="17"/>
      <c r="C346" s="17"/>
      <c r="D346" s="17"/>
      <c r="E346" s="17"/>
    </row>
    <row r="347" spans="1:5" x14ac:dyDescent="0.25">
      <c r="A347" s="25"/>
      <c r="B347" s="17"/>
      <c r="C347" s="17"/>
      <c r="D347" s="17"/>
      <c r="E347" s="17"/>
    </row>
    <row r="348" spans="1:5" x14ac:dyDescent="0.25">
      <c r="A348" s="25"/>
      <c r="B348" s="17"/>
      <c r="C348" s="17"/>
      <c r="D348" s="17"/>
      <c r="E348" s="17"/>
    </row>
    <row r="349" spans="1:5" x14ac:dyDescent="0.25">
      <c r="A349" s="25"/>
      <c r="B349" s="17"/>
      <c r="C349" s="17"/>
      <c r="D349" s="17"/>
      <c r="E349" s="17"/>
    </row>
    <row r="350" spans="1:5" x14ac:dyDescent="0.25">
      <c r="A350" s="25"/>
      <c r="B350" s="17"/>
      <c r="C350" s="17"/>
      <c r="D350" s="17"/>
      <c r="E350" s="17"/>
    </row>
    <row r="351" spans="1:5" x14ac:dyDescent="0.25">
      <c r="A351" s="25"/>
      <c r="B351" s="17"/>
      <c r="C351" s="17"/>
      <c r="D351" s="17"/>
      <c r="E351" s="17"/>
    </row>
    <row r="352" spans="1:5" x14ac:dyDescent="0.25">
      <c r="A352" s="25"/>
      <c r="B352" s="17"/>
      <c r="C352" s="17"/>
      <c r="D352" s="17"/>
      <c r="E352" s="17"/>
    </row>
    <row r="353" spans="1:5" x14ac:dyDescent="0.25">
      <c r="A353" s="25"/>
      <c r="B353" s="17"/>
      <c r="C353" s="17"/>
      <c r="D353" s="17"/>
      <c r="E353" s="17"/>
    </row>
    <row r="354" spans="1:5" x14ac:dyDescent="0.25">
      <c r="A354" s="25"/>
      <c r="B354" s="17"/>
      <c r="C354" s="17"/>
      <c r="D354" s="17"/>
      <c r="E354" s="17"/>
    </row>
    <row r="355" spans="1:5" x14ac:dyDescent="0.25">
      <c r="A355" s="25"/>
      <c r="B355" s="17"/>
      <c r="C355" s="17"/>
      <c r="D355" s="17"/>
      <c r="E355" s="17"/>
    </row>
    <row r="356" spans="1:5" x14ac:dyDescent="0.25">
      <c r="A356" s="25"/>
      <c r="B356" s="17"/>
      <c r="C356" s="17"/>
      <c r="D356" s="17"/>
      <c r="E356" s="17"/>
    </row>
    <row r="357" spans="1:5" x14ac:dyDescent="0.25">
      <c r="A357" s="25"/>
      <c r="B357" s="17"/>
      <c r="C357" s="17"/>
      <c r="D357" s="17"/>
      <c r="E357" s="17"/>
    </row>
    <row r="358" spans="1:5" x14ac:dyDescent="0.25">
      <c r="A358" s="25"/>
      <c r="B358" s="17"/>
      <c r="C358" s="17"/>
      <c r="D358" s="17"/>
      <c r="E358" s="17"/>
    </row>
    <row r="359" spans="1:5" x14ac:dyDescent="0.25">
      <c r="A359" s="25"/>
      <c r="B359" s="17"/>
      <c r="C359" s="17"/>
      <c r="D359" s="17"/>
      <c r="E359" s="17"/>
    </row>
    <row r="360" spans="1:5" x14ac:dyDescent="0.25">
      <c r="A360" s="25"/>
      <c r="B360" s="17"/>
      <c r="C360" s="17"/>
      <c r="D360" s="17"/>
      <c r="E360" s="17"/>
    </row>
    <row r="361" spans="1:5" x14ac:dyDescent="0.25">
      <c r="A361" s="25"/>
      <c r="B361" s="17"/>
      <c r="C361" s="17"/>
      <c r="D361" s="17"/>
      <c r="E361" s="17"/>
    </row>
    <row r="362" spans="1:5" x14ac:dyDescent="0.25">
      <c r="A362" s="25"/>
      <c r="B362" s="17"/>
      <c r="C362" s="17"/>
      <c r="D362" s="17"/>
      <c r="E362" s="17"/>
    </row>
    <row r="363" spans="1:5" x14ac:dyDescent="0.25">
      <c r="A363" s="25"/>
      <c r="B363" s="17"/>
      <c r="C363" s="17"/>
      <c r="D363" s="17"/>
      <c r="E363" s="17"/>
    </row>
    <row r="364" spans="1:5" x14ac:dyDescent="0.25">
      <c r="A364" s="25"/>
      <c r="B364" s="17"/>
      <c r="C364" s="17"/>
      <c r="D364" s="17"/>
      <c r="E364" s="17"/>
    </row>
    <row r="365" spans="1:5" x14ac:dyDescent="0.25">
      <c r="A365" s="25"/>
      <c r="B365" s="17"/>
      <c r="C365" s="17"/>
      <c r="D365" s="17"/>
      <c r="E365" s="17"/>
    </row>
    <row r="366" spans="1:5" x14ac:dyDescent="0.25">
      <c r="A366" s="25"/>
      <c r="B366" s="17"/>
      <c r="C366" s="17"/>
      <c r="D366" s="17"/>
      <c r="E366" s="17"/>
    </row>
    <row r="367" spans="1:5" x14ac:dyDescent="0.25">
      <c r="A367" s="25"/>
      <c r="B367" s="17"/>
      <c r="C367" s="17"/>
      <c r="D367" s="17"/>
      <c r="E367" s="17"/>
    </row>
    <row r="368" spans="1:5" x14ac:dyDescent="0.25">
      <c r="A368" s="25"/>
      <c r="B368" s="17"/>
      <c r="C368" s="17"/>
      <c r="D368" s="17"/>
      <c r="E368" s="17"/>
    </row>
    <row r="369" spans="1:5" x14ac:dyDescent="0.25">
      <c r="A369" s="25"/>
      <c r="B369" s="17"/>
      <c r="C369" s="17"/>
      <c r="D369" s="17"/>
      <c r="E369" s="17"/>
    </row>
    <row r="370" spans="1:5" x14ac:dyDescent="0.25">
      <c r="A370" s="25"/>
      <c r="B370" s="17"/>
      <c r="C370" s="17"/>
      <c r="D370" s="17"/>
      <c r="E370" s="17"/>
    </row>
    <row r="371" spans="1:5" x14ac:dyDescent="0.25">
      <c r="A371" s="25"/>
      <c r="B371" s="17"/>
      <c r="C371" s="17"/>
      <c r="D371" s="17"/>
      <c r="E371" s="17"/>
    </row>
    <row r="372" spans="1:5" x14ac:dyDescent="0.25">
      <c r="A372" s="25"/>
      <c r="B372" s="17"/>
      <c r="C372" s="17"/>
      <c r="D372" s="17"/>
      <c r="E372" s="17"/>
    </row>
    <row r="373" spans="1:5" x14ac:dyDescent="0.25">
      <c r="A373" s="25"/>
      <c r="B373" s="17"/>
      <c r="C373" s="17"/>
      <c r="D373" s="17"/>
      <c r="E373" s="17"/>
    </row>
    <row r="374" spans="1:5" x14ac:dyDescent="0.25">
      <c r="A374" s="25"/>
      <c r="B374" s="17"/>
      <c r="C374" s="17"/>
      <c r="D374" s="17"/>
      <c r="E374" s="17"/>
    </row>
    <row r="375" spans="1:5" x14ac:dyDescent="0.25">
      <c r="A375" s="25"/>
      <c r="B375" s="17"/>
      <c r="C375" s="17"/>
      <c r="D375" s="17"/>
      <c r="E375" s="17"/>
    </row>
    <row r="376" spans="1:5" x14ac:dyDescent="0.25">
      <c r="A376" s="25"/>
      <c r="B376" s="17"/>
      <c r="C376" s="17"/>
      <c r="D376" s="17"/>
      <c r="E376" s="17"/>
    </row>
    <row r="377" spans="1:5" x14ac:dyDescent="0.25">
      <c r="A377" s="25"/>
      <c r="B377" s="17"/>
      <c r="C377" s="17"/>
      <c r="D377" s="17"/>
      <c r="E377" s="17"/>
    </row>
    <row r="378" spans="1:5" x14ac:dyDescent="0.25">
      <c r="A378" s="25"/>
      <c r="B378" s="17"/>
      <c r="C378" s="17"/>
      <c r="D378" s="17"/>
      <c r="E378" s="17"/>
    </row>
    <row r="379" spans="1:5" x14ac:dyDescent="0.25">
      <c r="A379" s="25"/>
      <c r="B379" s="17"/>
      <c r="C379" s="17"/>
      <c r="D379" s="17"/>
      <c r="E379" s="17"/>
    </row>
    <row r="380" spans="1:5" x14ac:dyDescent="0.25">
      <c r="A380" s="25"/>
      <c r="B380" s="17"/>
      <c r="C380" s="17"/>
      <c r="D380" s="17"/>
      <c r="E380" s="17"/>
    </row>
    <row r="381" spans="1:5" x14ac:dyDescent="0.25">
      <c r="A381" s="25"/>
      <c r="B381" s="17"/>
      <c r="C381" s="17"/>
      <c r="D381" s="17"/>
      <c r="E381" s="17"/>
    </row>
    <row r="382" spans="1:5" x14ac:dyDescent="0.25">
      <c r="A382" s="25"/>
      <c r="B382" s="17"/>
      <c r="C382" s="17"/>
      <c r="D382" s="17"/>
      <c r="E382" s="17"/>
    </row>
    <row r="383" spans="1:5" x14ac:dyDescent="0.25">
      <c r="A383" s="25"/>
      <c r="B383" s="17"/>
      <c r="C383" s="17"/>
      <c r="D383" s="17"/>
      <c r="E383" s="17"/>
    </row>
    <row r="384" spans="1:5" x14ac:dyDescent="0.25">
      <c r="A384" s="25"/>
      <c r="B384" s="17"/>
      <c r="C384" s="17"/>
      <c r="D384" s="17"/>
      <c r="E384" s="17"/>
    </row>
    <row r="385" spans="1:5" x14ac:dyDescent="0.25">
      <c r="A385" s="25"/>
      <c r="B385" s="17"/>
      <c r="C385" s="17"/>
      <c r="D385" s="17"/>
      <c r="E385" s="17"/>
    </row>
    <row r="386" spans="1:5" x14ac:dyDescent="0.25">
      <c r="A386" s="25"/>
      <c r="B386" s="17"/>
      <c r="C386" s="17"/>
      <c r="D386" s="17"/>
      <c r="E386" s="17"/>
    </row>
    <row r="387" spans="1:5" x14ac:dyDescent="0.25">
      <c r="A387" s="25"/>
      <c r="B387" s="17"/>
      <c r="C387" s="17"/>
      <c r="D387" s="17"/>
      <c r="E387" s="17"/>
    </row>
    <row r="388" spans="1:5" x14ac:dyDescent="0.25">
      <c r="A388" s="25"/>
      <c r="B388" s="17"/>
      <c r="C388" s="17"/>
      <c r="D388" s="17"/>
      <c r="E388" s="17"/>
    </row>
    <row r="389" spans="1:5" x14ac:dyDescent="0.25">
      <c r="A389" s="25"/>
      <c r="B389" s="17"/>
      <c r="C389" s="17"/>
      <c r="D389" s="17"/>
      <c r="E389" s="17"/>
    </row>
    <row r="390" spans="1:5" x14ac:dyDescent="0.25">
      <c r="A390" s="25"/>
      <c r="B390" s="17"/>
      <c r="C390" s="17"/>
      <c r="D390" s="17"/>
      <c r="E390" s="17"/>
    </row>
    <row r="391" spans="1:5" x14ac:dyDescent="0.25">
      <c r="A391" s="25"/>
      <c r="B391" s="17"/>
      <c r="C391" s="17"/>
      <c r="D391" s="17"/>
      <c r="E391" s="17"/>
    </row>
    <row r="392" spans="1:5" x14ac:dyDescent="0.25">
      <c r="A392" s="25"/>
      <c r="B392" s="17"/>
      <c r="C392" s="17"/>
      <c r="D392" s="17"/>
      <c r="E392" s="17"/>
    </row>
    <row r="393" spans="1:5" x14ac:dyDescent="0.25">
      <c r="A393" s="25"/>
      <c r="B393" s="17"/>
      <c r="C393" s="17"/>
      <c r="D393" s="17"/>
      <c r="E393" s="17"/>
    </row>
    <row r="394" spans="1:5" x14ac:dyDescent="0.25">
      <c r="A394" s="25"/>
      <c r="B394" s="17"/>
      <c r="C394" s="17"/>
      <c r="D394" s="17"/>
      <c r="E394" s="17"/>
    </row>
    <row r="395" spans="1:5" x14ac:dyDescent="0.25">
      <c r="A395" s="25"/>
      <c r="B395" s="17"/>
      <c r="C395" s="17"/>
      <c r="D395" s="17"/>
      <c r="E395" s="17"/>
    </row>
    <row r="396" spans="1:5" x14ac:dyDescent="0.25">
      <c r="A396" s="25"/>
      <c r="B396" s="17"/>
      <c r="C396" s="17"/>
      <c r="D396" s="17"/>
      <c r="E396" s="17"/>
    </row>
    <row r="397" spans="1:5" x14ac:dyDescent="0.25">
      <c r="A397" s="25"/>
      <c r="B397" s="17"/>
      <c r="C397" s="17"/>
      <c r="D397" s="17"/>
      <c r="E397" s="17"/>
    </row>
    <row r="398" spans="1:5" x14ac:dyDescent="0.25">
      <c r="A398" s="25"/>
      <c r="B398" s="17"/>
      <c r="C398" s="17"/>
      <c r="D398" s="17"/>
      <c r="E398" s="17"/>
    </row>
    <row r="399" spans="1:5" x14ac:dyDescent="0.25">
      <c r="A399" s="25"/>
      <c r="B399" s="17"/>
      <c r="C399" s="17"/>
      <c r="D399" s="17"/>
      <c r="E399" s="17"/>
    </row>
    <row r="400" spans="1:5" x14ac:dyDescent="0.25">
      <c r="A400" s="25"/>
      <c r="B400" s="17"/>
      <c r="C400" s="17"/>
      <c r="D400" s="17"/>
      <c r="E400" s="17"/>
    </row>
    <row r="401" spans="1:5" x14ac:dyDescent="0.25">
      <c r="A401" s="25"/>
      <c r="B401" s="17"/>
      <c r="C401" s="17"/>
      <c r="D401" s="17"/>
      <c r="E401" s="17"/>
    </row>
    <row r="402" spans="1:5" x14ac:dyDescent="0.25">
      <c r="A402" s="25"/>
      <c r="B402" s="17"/>
      <c r="C402" s="17"/>
      <c r="D402" s="17"/>
      <c r="E402" s="17"/>
    </row>
    <row r="403" spans="1:5" x14ac:dyDescent="0.25">
      <c r="A403" s="25"/>
      <c r="B403" s="17"/>
      <c r="C403" s="17"/>
      <c r="D403" s="17"/>
      <c r="E403" s="17"/>
    </row>
    <row r="404" spans="1:5" x14ac:dyDescent="0.25">
      <c r="A404" s="25"/>
      <c r="B404" s="17"/>
      <c r="C404" s="17"/>
      <c r="D404" s="17"/>
      <c r="E404" s="17"/>
    </row>
    <row r="405" spans="1:5" x14ac:dyDescent="0.25">
      <c r="A405" s="25"/>
      <c r="B405" s="17"/>
      <c r="C405" s="17"/>
      <c r="D405" s="17"/>
      <c r="E405" s="17"/>
    </row>
    <row r="406" spans="1:5" x14ac:dyDescent="0.25">
      <c r="A406" s="25"/>
      <c r="B406" s="17"/>
      <c r="C406" s="17"/>
      <c r="D406" s="17"/>
      <c r="E406" s="17"/>
    </row>
    <row r="407" spans="1:5" x14ac:dyDescent="0.25">
      <c r="A407" s="25"/>
      <c r="B407" s="17"/>
      <c r="C407" s="17"/>
      <c r="D407" s="17"/>
      <c r="E407" s="17"/>
    </row>
    <row r="408" spans="1:5" x14ac:dyDescent="0.25">
      <c r="A408" s="25"/>
      <c r="B408" s="17"/>
      <c r="C408" s="17"/>
      <c r="D408" s="17"/>
      <c r="E408" s="17"/>
    </row>
    <row r="409" spans="1:5" x14ac:dyDescent="0.25">
      <c r="A409" s="25"/>
      <c r="B409" s="17"/>
      <c r="C409" s="17"/>
      <c r="D409" s="17"/>
      <c r="E409" s="17"/>
    </row>
    <row r="410" spans="1:5" x14ac:dyDescent="0.25">
      <c r="A410" s="25"/>
      <c r="B410" s="17"/>
      <c r="C410" s="17"/>
      <c r="D410" s="17"/>
      <c r="E410" s="17"/>
    </row>
    <row r="411" spans="1:5" x14ac:dyDescent="0.25">
      <c r="A411" s="25"/>
      <c r="B411" s="17"/>
      <c r="C411" s="17"/>
      <c r="D411" s="17"/>
      <c r="E411" s="17"/>
    </row>
    <row r="412" spans="1:5" x14ac:dyDescent="0.25">
      <c r="A412" s="25"/>
      <c r="B412" s="17"/>
      <c r="C412" s="17"/>
      <c r="D412" s="17"/>
      <c r="E412" s="1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Forecast</vt:lpstr>
      <vt:lpstr>Sheet1</vt:lpstr>
      <vt:lpstr>Sheet2</vt:lpstr>
      <vt:lpstr>Sheet3</vt:lpstr>
      <vt:lpstr>Mortgage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2018-06-15T18:16:51Z</dcterms:created>
  <dcterms:modified xsi:type="dcterms:W3CDTF">2023-09-15T17:15:35Z</dcterms:modified>
</cp:coreProperties>
</file>