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autoCompressPictures="0"/>
  <xr:revisionPtr revIDLastSave="1" documentId="11_692F7B30038170A9F64F23335CCCF546BF60CA93" xr6:coauthVersionLast="47" xr6:coauthVersionMax="47" xr10:uidLastSave="{9815348F-145A-42D5-9071-094988B09C60}"/>
  <bookViews>
    <workbookView xWindow="-120" yWindow="-120" windowWidth="23280" windowHeight="15000" tabRatio="500" xr2:uid="{00000000-000D-0000-FFFF-FFFF00000000}"/>
  </bookViews>
  <sheets>
    <sheet name="Forecasts" sheetId="1" r:id="rId1"/>
    <sheet name="Amortization Table" sheetId="3" r:id="rId2"/>
    <sheet name="Sources" sheetId="2"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04" i="1" l="1"/>
  <c r="D185" i="1"/>
  <c r="D97" i="1"/>
  <c r="D98" i="1"/>
  <c r="D99" i="1"/>
  <c r="D100" i="1"/>
  <c r="D101" i="1"/>
  <c r="E41" i="1"/>
  <c r="E65" i="1"/>
  <c r="D105" i="1"/>
  <c r="D106" i="1"/>
  <c r="E67" i="1"/>
  <c r="D107" i="1"/>
  <c r="E42" i="1"/>
  <c r="E68" i="1"/>
  <c r="D108" i="1"/>
  <c r="E79" i="1"/>
  <c r="D109" i="1"/>
  <c r="E43" i="1"/>
  <c r="E11" i="1"/>
  <c r="E46" i="1"/>
  <c r="E47" i="1"/>
  <c r="E72" i="1"/>
  <c r="E48" i="1"/>
  <c r="E49" i="1"/>
  <c r="E97" i="1"/>
  <c r="E50" i="1"/>
  <c r="E98" i="1"/>
  <c r="E99" i="1"/>
  <c r="E100" i="1"/>
  <c r="D110" i="1"/>
  <c r="E71" i="1"/>
  <c r="D113" i="1"/>
  <c r="D117" i="1"/>
  <c r="D126" i="1"/>
  <c r="E101" i="1"/>
  <c r="F38" i="1"/>
  <c r="F4" i="1"/>
  <c r="F5" i="1"/>
  <c r="F6" i="1"/>
  <c r="F41" i="1"/>
  <c r="F65" i="1"/>
  <c r="E105" i="1"/>
  <c r="E106" i="1"/>
  <c r="F33" i="1"/>
  <c r="F67" i="1"/>
  <c r="E107" i="1"/>
  <c r="F8" i="1"/>
  <c r="F42" i="1"/>
  <c r="F31" i="1"/>
  <c r="F68" i="1"/>
  <c r="E108" i="1"/>
  <c r="F32" i="1"/>
  <c r="F79" i="1"/>
  <c r="E109" i="1"/>
  <c r="F43" i="1"/>
  <c r="F11" i="1"/>
  <c r="F12" i="1"/>
  <c r="F46" i="1"/>
  <c r="F9" i="1"/>
  <c r="F47" i="1"/>
  <c r="F72" i="1"/>
  <c r="F20" i="1"/>
  <c r="F48" i="1"/>
  <c r="F21" i="1"/>
  <c r="F49" i="1"/>
  <c r="F97" i="1"/>
  <c r="F36" i="1"/>
  <c r="F50" i="1"/>
  <c r="F98" i="1"/>
  <c r="F99" i="1"/>
  <c r="F35" i="1"/>
  <c r="F100" i="1"/>
  <c r="E110" i="1"/>
  <c r="F71" i="1"/>
  <c r="E113" i="1"/>
  <c r="E117" i="1"/>
  <c r="E126" i="1"/>
  <c r="F101" i="1"/>
  <c r="G38" i="1"/>
  <c r="G4" i="1"/>
  <c r="G5" i="1"/>
  <c r="G6" i="1"/>
  <c r="G41" i="1"/>
  <c r="G65" i="1"/>
  <c r="F105" i="1"/>
  <c r="F106" i="1"/>
  <c r="G33" i="1"/>
  <c r="G67" i="1"/>
  <c r="F107" i="1"/>
  <c r="G8" i="1"/>
  <c r="G42" i="1"/>
  <c r="G31" i="1"/>
  <c r="G68" i="1"/>
  <c r="F108" i="1"/>
  <c r="G32" i="1"/>
  <c r="G79" i="1"/>
  <c r="F109" i="1"/>
  <c r="G43" i="1"/>
  <c r="G11" i="1"/>
  <c r="G12" i="1"/>
  <c r="G46" i="1"/>
  <c r="G9" i="1"/>
  <c r="G47" i="1"/>
  <c r="G72" i="1"/>
  <c r="G20" i="1"/>
  <c r="G48" i="1"/>
  <c r="G21" i="1"/>
  <c r="G49" i="1"/>
  <c r="G97" i="1"/>
  <c r="G36" i="1"/>
  <c r="G50" i="1"/>
  <c r="G98" i="1"/>
  <c r="G99" i="1"/>
  <c r="G35" i="1"/>
  <c r="G100" i="1"/>
  <c r="F110" i="1"/>
  <c r="G71" i="1"/>
  <c r="F113" i="1"/>
  <c r="F117" i="1"/>
  <c r="F126" i="1"/>
  <c r="G101" i="1"/>
  <c r="H38" i="1"/>
  <c r="H4" i="1"/>
  <c r="H5" i="1"/>
  <c r="H6" i="1"/>
  <c r="H41" i="1"/>
  <c r="H65" i="1"/>
  <c r="G105" i="1"/>
  <c r="G106" i="1"/>
  <c r="H33" i="1"/>
  <c r="H67" i="1"/>
  <c r="G107" i="1"/>
  <c r="H8" i="1"/>
  <c r="H42" i="1"/>
  <c r="H31" i="1"/>
  <c r="H68" i="1"/>
  <c r="G108" i="1"/>
  <c r="H32" i="1"/>
  <c r="H79" i="1"/>
  <c r="G109" i="1"/>
  <c r="H43" i="1"/>
  <c r="H11" i="1"/>
  <c r="H12" i="1"/>
  <c r="H46" i="1"/>
  <c r="H9" i="1"/>
  <c r="H47" i="1"/>
  <c r="H72" i="1"/>
  <c r="H20" i="1"/>
  <c r="H48" i="1"/>
  <c r="H21" i="1"/>
  <c r="H49" i="1"/>
  <c r="H97" i="1"/>
  <c r="H36" i="1"/>
  <c r="H50" i="1"/>
  <c r="H98" i="1"/>
  <c r="H99" i="1"/>
  <c r="H35" i="1"/>
  <c r="H100" i="1"/>
  <c r="G110" i="1"/>
  <c r="H71" i="1"/>
  <c r="G113" i="1"/>
  <c r="G117" i="1"/>
  <c r="G126" i="1"/>
  <c r="H101" i="1"/>
  <c r="I38" i="1"/>
  <c r="I4" i="1"/>
  <c r="I5" i="1"/>
  <c r="I6" i="1"/>
  <c r="I41" i="1"/>
  <c r="I65" i="1"/>
  <c r="H105" i="1"/>
  <c r="H106" i="1"/>
  <c r="I33" i="1"/>
  <c r="I67" i="1"/>
  <c r="H107" i="1"/>
  <c r="I8" i="1"/>
  <c r="I42" i="1"/>
  <c r="I31" i="1"/>
  <c r="I68" i="1"/>
  <c r="H108" i="1"/>
  <c r="I32" i="1"/>
  <c r="I79" i="1"/>
  <c r="H109" i="1"/>
  <c r="I43" i="1"/>
  <c r="I11" i="1"/>
  <c r="I12" i="1"/>
  <c r="I46" i="1"/>
  <c r="I9" i="1"/>
  <c r="I47" i="1"/>
  <c r="I72" i="1"/>
  <c r="I20" i="1"/>
  <c r="I48" i="1"/>
  <c r="I21" i="1"/>
  <c r="I49" i="1"/>
  <c r="I97" i="1"/>
  <c r="I36" i="1"/>
  <c r="I50" i="1"/>
  <c r="I98" i="1"/>
  <c r="I99" i="1"/>
  <c r="I35" i="1"/>
  <c r="I100" i="1"/>
  <c r="H110" i="1"/>
  <c r="I71" i="1"/>
  <c r="H113" i="1"/>
  <c r="H117" i="1"/>
  <c r="H126" i="1"/>
  <c r="I101" i="1"/>
  <c r="J38" i="1"/>
  <c r="J4" i="1"/>
  <c r="J5" i="1"/>
  <c r="J6" i="1"/>
  <c r="J41" i="1"/>
  <c r="J65" i="1"/>
  <c r="I105" i="1"/>
  <c r="I106" i="1"/>
  <c r="J33" i="1"/>
  <c r="J67" i="1"/>
  <c r="I107" i="1"/>
  <c r="J8" i="1"/>
  <c r="J42" i="1"/>
  <c r="J31" i="1"/>
  <c r="J68" i="1"/>
  <c r="I108" i="1"/>
  <c r="J32" i="1"/>
  <c r="J79" i="1"/>
  <c r="I109" i="1"/>
  <c r="J43" i="1"/>
  <c r="J11" i="1"/>
  <c r="J12" i="1"/>
  <c r="J46" i="1"/>
  <c r="J9" i="1"/>
  <c r="J47" i="1"/>
  <c r="J72" i="1"/>
  <c r="J20" i="1"/>
  <c r="J48" i="1"/>
  <c r="J21" i="1"/>
  <c r="J49" i="1"/>
  <c r="J97" i="1"/>
  <c r="J36" i="1"/>
  <c r="J50" i="1"/>
  <c r="J98" i="1"/>
  <c r="J99" i="1"/>
  <c r="J35" i="1"/>
  <c r="J100" i="1"/>
  <c r="I110" i="1"/>
  <c r="J71" i="1"/>
  <c r="I113" i="1"/>
  <c r="I117" i="1"/>
  <c r="I126" i="1"/>
  <c r="J101" i="1"/>
  <c r="K38" i="1"/>
  <c r="K4" i="1"/>
  <c r="K5" i="1"/>
  <c r="K6" i="1"/>
  <c r="K41" i="1"/>
  <c r="K65" i="1"/>
  <c r="J105" i="1"/>
  <c r="J106" i="1"/>
  <c r="K33" i="1"/>
  <c r="K67" i="1"/>
  <c r="J107" i="1"/>
  <c r="K8" i="1"/>
  <c r="K42" i="1"/>
  <c r="K31" i="1"/>
  <c r="K68" i="1"/>
  <c r="J108" i="1"/>
  <c r="K32" i="1"/>
  <c r="K79" i="1"/>
  <c r="J109" i="1"/>
  <c r="K43" i="1"/>
  <c r="K11" i="1"/>
  <c r="K12" i="1"/>
  <c r="K46" i="1"/>
  <c r="K9" i="1"/>
  <c r="K47" i="1"/>
  <c r="K72" i="1"/>
  <c r="K20" i="1"/>
  <c r="K48" i="1"/>
  <c r="K21" i="1"/>
  <c r="K49" i="1"/>
  <c r="K97" i="1"/>
  <c r="K36" i="1"/>
  <c r="K50" i="1"/>
  <c r="K98" i="1"/>
  <c r="K99" i="1"/>
  <c r="K35" i="1"/>
  <c r="K100" i="1"/>
  <c r="J110" i="1"/>
  <c r="K71" i="1"/>
  <c r="J113" i="1"/>
  <c r="J117" i="1"/>
  <c r="J126" i="1"/>
  <c r="K101" i="1"/>
  <c r="L38" i="1"/>
  <c r="L4" i="1"/>
  <c r="L5" i="1"/>
  <c r="L6" i="1"/>
  <c r="L41" i="1"/>
  <c r="L65" i="1"/>
  <c r="K105" i="1"/>
  <c r="K106" i="1"/>
  <c r="L33" i="1"/>
  <c r="L67" i="1"/>
  <c r="K107" i="1"/>
  <c r="L8" i="1"/>
  <c r="L42" i="1"/>
  <c r="L31" i="1"/>
  <c r="L68" i="1"/>
  <c r="K108" i="1"/>
  <c r="L32" i="1"/>
  <c r="L79" i="1"/>
  <c r="K109" i="1"/>
  <c r="L43" i="1"/>
  <c r="L11" i="1"/>
  <c r="L12" i="1"/>
  <c r="L46" i="1"/>
  <c r="L9" i="1"/>
  <c r="L47" i="1"/>
  <c r="L72" i="1"/>
  <c r="L20" i="1"/>
  <c r="L48" i="1"/>
  <c r="L21" i="1"/>
  <c r="L49" i="1"/>
  <c r="L97" i="1"/>
  <c r="L36" i="1"/>
  <c r="L50" i="1"/>
  <c r="L98" i="1"/>
  <c r="L99" i="1"/>
  <c r="L35" i="1"/>
  <c r="L100" i="1"/>
  <c r="K110" i="1"/>
  <c r="L71" i="1"/>
  <c r="K113" i="1"/>
  <c r="K117" i="1"/>
  <c r="K126" i="1"/>
  <c r="L101" i="1"/>
  <c r="M38" i="1"/>
  <c r="M4" i="1"/>
  <c r="M5" i="1"/>
  <c r="M6" i="1"/>
  <c r="M41" i="1"/>
  <c r="M65" i="1"/>
  <c r="L105" i="1"/>
  <c r="L106" i="1"/>
  <c r="M33" i="1"/>
  <c r="M67" i="1"/>
  <c r="L107" i="1"/>
  <c r="M8" i="1"/>
  <c r="M42" i="1"/>
  <c r="M31" i="1"/>
  <c r="M68" i="1"/>
  <c r="L108" i="1"/>
  <c r="M32" i="1"/>
  <c r="M79" i="1"/>
  <c r="L109" i="1"/>
  <c r="M43" i="1"/>
  <c r="M11" i="1"/>
  <c r="M12" i="1"/>
  <c r="M46" i="1"/>
  <c r="M9" i="1"/>
  <c r="M47" i="1"/>
  <c r="M72" i="1"/>
  <c r="M20" i="1"/>
  <c r="M48" i="1"/>
  <c r="M21" i="1"/>
  <c r="M49" i="1"/>
  <c r="M97" i="1"/>
  <c r="M36" i="1"/>
  <c r="M50" i="1"/>
  <c r="M98" i="1"/>
  <c r="M99" i="1"/>
  <c r="M35" i="1"/>
  <c r="M100" i="1"/>
  <c r="L110" i="1"/>
  <c r="M71" i="1"/>
  <c r="L113" i="1"/>
  <c r="L117" i="1"/>
  <c r="L126" i="1"/>
  <c r="M101" i="1"/>
  <c r="N38" i="1"/>
  <c r="N4" i="1"/>
  <c r="N5" i="1"/>
  <c r="N6" i="1"/>
  <c r="N41" i="1"/>
  <c r="N65" i="1"/>
  <c r="M105" i="1"/>
  <c r="M106" i="1"/>
  <c r="N33" i="1"/>
  <c r="N67" i="1"/>
  <c r="M107" i="1"/>
  <c r="N8" i="1"/>
  <c r="N42" i="1"/>
  <c r="N31" i="1"/>
  <c r="N68" i="1"/>
  <c r="M108" i="1"/>
  <c r="N32" i="1"/>
  <c r="N79" i="1"/>
  <c r="M109" i="1"/>
  <c r="N43" i="1"/>
  <c r="N11" i="1"/>
  <c r="N12" i="1"/>
  <c r="N46" i="1"/>
  <c r="N9" i="1"/>
  <c r="N47" i="1"/>
  <c r="N72" i="1"/>
  <c r="N20" i="1"/>
  <c r="N48" i="1"/>
  <c r="N21" i="1"/>
  <c r="N49" i="1"/>
  <c r="N97" i="1"/>
  <c r="N36" i="1"/>
  <c r="N50" i="1"/>
  <c r="N98" i="1"/>
  <c r="N99" i="1"/>
  <c r="N35" i="1"/>
  <c r="N100" i="1"/>
  <c r="M110" i="1"/>
  <c r="N71" i="1"/>
  <c r="M113" i="1"/>
  <c r="M117" i="1"/>
  <c r="M126" i="1"/>
  <c r="N101" i="1"/>
  <c r="N105" i="1"/>
  <c r="N106" i="1"/>
  <c r="N107" i="1"/>
  <c r="N108" i="1"/>
  <c r="N109" i="1"/>
  <c r="O97" i="1"/>
  <c r="O98" i="1"/>
  <c r="O99" i="1"/>
  <c r="O100" i="1"/>
  <c r="N110" i="1"/>
  <c r="N113" i="1"/>
  <c r="Q113" i="1"/>
  <c r="Q114" i="1"/>
  <c r="Q115" i="1"/>
  <c r="Q116" i="1"/>
  <c r="N115" i="1"/>
  <c r="N117" i="1"/>
  <c r="Q118" i="1"/>
  <c r="E73" i="1"/>
  <c r="F73" i="1"/>
  <c r="G73" i="1"/>
  <c r="H73" i="1"/>
  <c r="I73" i="1"/>
  <c r="J73" i="1"/>
  <c r="K73" i="1"/>
  <c r="L73" i="1"/>
  <c r="M73" i="1"/>
  <c r="N73" i="1"/>
  <c r="Q119" i="1"/>
  <c r="Q120" i="1"/>
  <c r="Q121" i="1"/>
  <c r="N119" i="1"/>
  <c r="N126" i="1"/>
  <c r="D128" i="1"/>
  <c r="E179" i="1"/>
  <c r="E183" i="1"/>
  <c r="F179" i="1"/>
  <c r="F183" i="1"/>
  <c r="G179" i="1"/>
  <c r="G183" i="1"/>
  <c r="H179" i="1"/>
  <c r="H183" i="1"/>
  <c r="I179" i="1"/>
  <c r="I183" i="1"/>
  <c r="J179" i="1"/>
  <c r="J183" i="1"/>
  <c r="K179" i="1"/>
  <c r="K183" i="1"/>
  <c r="L179" i="1"/>
  <c r="L183" i="1"/>
  <c r="M179" i="1"/>
  <c r="M183" i="1"/>
  <c r="N179" i="1"/>
  <c r="N182" i="1"/>
  <c r="N183" i="1"/>
  <c r="D179" i="1"/>
  <c r="D183" i="1"/>
  <c r="D184" i="1"/>
  <c r="G208" i="1"/>
  <c r="D194" i="1"/>
  <c r="E188" i="1"/>
  <c r="E192" i="1"/>
  <c r="F188" i="1"/>
  <c r="F189" i="1"/>
  <c r="F192" i="1"/>
  <c r="G188" i="1"/>
  <c r="G192" i="1"/>
  <c r="H188" i="1"/>
  <c r="H192" i="1"/>
  <c r="I188" i="1"/>
  <c r="I192" i="1"/>
  <c r="J188" i="1"/>
  <c r="J192" i="1"/>
  <c r="K188" i="1"/>
  <c r="K192" i="1"/>
  <c r="L188" i="1"/>
  <c r="L192" i="1"/>
  <c r="M188" i="1"/>
  <c r="M192" i="1"/>
  <c r="N188" i="1"/>
  <c r="N191" i="1"/>
  <c r="N192" i="1"/>
  <c r="D188" i="1"/>
  <c r="D192" i="1"/>
  <c r="D193" i="1"/>
  <c r="G210" i="1"/>
  <c r="D199" i="1"/>
  <c r="E197" i="1"/>
  <c r="F197" i="1"/>
  <c r="D197" i="1"/>
  <c r="D198" i="1"/>
  <c r="D201" i="1"/>
  <c r="B189" i="1"/>
  <c r="B190" i="1"/>
  <c r="B191" i="1"/>
  <c r="B192" i="1"/>
  <c r="B188" i="1"/>
  <c r="G212" i="1"/>
  <c r="E26" i="1"/>
  <c r="I7" i="3"/>
  <c r="B2" i="3"/>
  <c r="I1" i="3"/>
  <c r="I2" i="3"/>
  <c r="I4" i="3"/>
  <c r="I5" i="3"/>
  <c r="I9" i="3"/>
  <c r="E2" i="3"/>
  <c r="D2" i="3"/>
  <c r="C2" i="3"/>
  <c r="F2" i="3"/>
  <c r="B3" i="3"/>
  <c r="E3" i="3"/>
  <c r="D3" i="3"/>
  <c r="C3" i="3"/>
  <c r="F3" i="3"/>
  <c r="B4" i="3"/>
  <c r="E4" i="3"/>
  <c r="D4" i="3"/>
  <c r="C4" i="3"/>
  <c r="F4" i="3"/>
  <c r="B5" i="3"/>
  <c r="E5" i="3"/>
  <c r="D5" i="3"/>
  <c r="C5" i="3"/>
  <c r="F5" i="3"/>
  <c r="B6" i="3"/>
  <c r="E6" i="3"/>
  <c r="D6" i="3"/>
  <c r="C6" i="3"/>
  <c r="F6" i="3"/>
  <c r="B7" i="3"/>
  <c r="E7" i="3"/>
  <c r="D7" i="3"/>
  <c r="C7" i="3"/>
  <c r="F7" i="3"/>
  <c r="B8" i="3"/>
  <c r="E8" i="3"/>
  <c r="D8" i="3"/>
  <c r="C8" i="3"/>
  <c r="F8" i="3"/>
  <c r="B9" i="3"/>
  <c r="E9" i="3"/>
  <c r="D9" i="3"/>
  <c r="C9" i="3"/>
  <c r="F9" i="3"/>
  <c r="B10" i="3"/>
  <c r="E10" i="3"/>
  <c r="D10" i="3"/>
  <c r="C10" i="3"/>
  <c r="F10" i="3"/>
  <c r="B11" i="3"/>
  <c r="E11" i="3"/>
  <c r="D11" i="3"/>
  <c r="C11" i="3"/>
  <c r="F11" i="3"/>
  <c r="B12" i="3"/>
  <c r="E12" i="3"/>
  <c r="D12" i="3"/>
  <c r="C12" i="3"/>
  <c r="F12" i="3"/>
  <c r="B13" i="3"/>
  <c r="E13" i="3"/>
  <c r="D13" i="3"/>
  <c r="C13" i="3"/>
  <c r="F13" i="3"/>
  <c r="E83" i="1"/>
  <c r="B16" i="3"/>
  <c r="E16" i="3"/>
  <c r="D16" i="3"/>
  <c r="C16" i="3"/>
  <c r="F16" i="3"/>
  <c r="B17" i="3"/>
  <c r="E17" i="3"/>
  <c r="D17" i="3"/>
  <c r="C17" i="3"/>
  <c r="F17" i="3"/>
  <c r="B18" i="3"/>
  <c r="E18" i="3"/>
  <c r="D18" i="3"/>
  <c r="C18" i="3"/>
  <c r="F18" i="3"/>
  <c r="B19" i="3"/>
  <c r="E19" i="3"/>
  <c r="D19" i="3"/>
  <c r="C19" i="3"/>
  <c r="F19" i="3"/>
  <c r="B20" i="3"/>
  <c r="E20" i="3"/>
  <c r="D20" i="3"/>
  <c r="C20" i="3"/>
  <c r="F20" i="3"/>
  <c r="B21" i="3"/>
  <c r="E21" i="3"/>
  <c r="D21" i="3"/>
  <c r="C21" i="3"/>
  <c r="F21" i="3"/>
  <c r="B22" i="3"/>
  <c r="E22" i="3"/>
  <c r="D22" i="3"/>
  <c r="C22" i="3"/>
  <c r="F22" i="3"/>
  <c r="B23" i="3"/>
  <c r="E23" i="3"/>
  <c r="D23" i="3"/>
  <c r="C23" i="3"/>
  <c r="F23" i="3"/>
  <c r="B24" i="3"/>
  <c r="E24" i="3"/>
  <c r="D24" i="3"/>
  <c r="C24" i="3"/>
  <c r="F24" i="3"/>
  <c r="B25" i="3"/>
  <c r="E25" i="3"/>
  <c r="D25" i="3"/>
  <c r="C25" i="3"/>
  <c r="F25" i="3"/>
  <c r="B26" i="3"/>
  <c r="E26" i="3"/>
  <c r="D26" i="3"/>
  <c r="C26" i="3"/>
  <c r="F26" i="3"/>
  <c r="B27" i="3"/>
  <c r="E27" i="3"/>
  <c r="D27" i="3"/>
  <c r="C27" i="3"/>
  <c r="F27" i="3"/>
  <c r="F83" i="1"/>
  <c r="B30" i="3"/>
  <c r="E30" i="3"/>
  <c r="D30" i="3"/>
  <c r="C30" i="3"/>
  <c r="F30" i="3"/>
  <c r="B31" i="3"/>
  <c r="E31" i="3"/>
  <c r="D31" i="3"/>
  <c r="C31" i="3"/>
  <c r="F31" i="3"/>
  <c r="B32" i="3"/>
  <c r="E32" i="3"/>
  <c r="D32" i="3"/>
  <c r="C32" i="3"/>
  <c r="F32" i="3"/>
  <c r="B33" i="3"/>
  <c r="E33" i="3"/>
  <c r="D33" i="3"/>
  <c r="C33" i="3"/>
  <c r="F33" i="3"/>
  <c r="B34" i="3"/>
  <c r="E34" i="3"/>
  <c r="D34" i="3"/>
  <c r="C34" i="3"/>
  <c r="F34" i="3"/>
  <c r="B35" i="3"/>
  <c r="E35" i="3"/>
  <c r="D35" i="3"/>
  <c r="C35" i="3"/>
  <c r="F35" i="3"/>
  <c r="B36" i="3"/>
  <c r="E36" i="3"/>
  <c r="D36" i="3"/>
  <c r="C36" i="3"/>
  <c r="F36" i="3"/>
  <c r="B37" i="3"/>
  <c r="E37" i="3"/>
  <c r="D37" i="3"/>
  <c r="C37" i="3"/>
  <c r="F37" i="3"/>
  <c r="B38" i="3"/>
  <c r="E38" i="3"/>
  <c r="D38" i="3"/>
  <c r="C38" i="3"/>
  <c r="F38" i="3"/>
  <c r="B39" i="3"/>
  <c r="E39" i="3"/>
  <c r="D39" i="3"/>
  <c r="C39" i="3"/>
  <c r="F39" i="3"/>
  <c r="B40" i="3"/>
  <c r="E40" i="3"/>
  <c r="D40" i="3"/>
  <c r="C40" i="3"/>
  <c r="F40" i="3"/>
  <c r="B41" i="3"/>
  <c r="E41" i="3"/>
  <c r="D41" i="3"/>
  <c r="C41" i="3"/>
  <c r="F41" i="3"/>
  <c r="G83" i="1"/>
  <c r="B44" i="3"/>
  <c r="E44" i="3"/>
  <c r="D44" i="3"/>
  <c r="C44" i="3"/>
  <c r="F44" i="3"/>
  <c r="B45" i="3"/>
  <c r="E45" i="3"/>
  <c r="D45" i="3"/>
  <c r="C45" i="3"/>
  <c r="F45" i="3"/>
  <c r="B46" i="3"/>
  <c r="E46" i="3"/>
  <c r="D46" i="3"/>
  <c r="C46" i="3"/>
  <c r="F46" i="3"/>
  <c r="B47" i="3"/>
  <c r="E47" i="3"/>
  <c r="D47" i="3"/>
  <c r="C47" i="3"/>
  <c r="F47" i="3"/>
  <c r="B48" i="3"/>
  <c r="E48" i="3"/>
  <c r="D48" i="3"/>
  <c r="C48" i="3"/>
  <c r="F48" i="3"/>
  <c r="B49" i="3"/>
  <c r="E49" i="3"/>
  <c r="D49" i="3"/>
  <c r="C49" i="3"/>
  <c r="F49" i="3"/>
  <c r="B50" i="3"/>
  <c r="E50" i="3"/>
  <c r="D50" i="3"/>
  <c r="C50" i="3"/>
  <c r="F50" i="3"/>
  <c r="B51" i="3"/>
  <c r="E51" i="3"/>
  <c r="D51" i="3"/>
  <c r="C51" i="3"/>
  <c r="F51" i="3"/>
  <c r="B52" i="3"/>
  <c r="E52" i="3"/>
  <c r="D52" i="3"/>
  <c r="C52" i="3"/>
  <c r="F52" i="3"/>
  <c r="B53" i="3"/>
  <c r="E53" i="3"/>
  <c r="D53" i="3"/>
  <c r="C53" i="3"/>
  <c r="F53" i="3"/>
  <c r="B54" i="3"/>
  <c r="E54" i="3"/>
  <c r="D54" i="3"/>
  <c r="C54" i="3"/>
  <c r="F54" i="3"/>
  <c r="B55" i="3"/>
  <c r="E55" i="3"/>
  <c r="D55" i="3"/>
  <c r="C55" i="3"/>
  <c r="F55" i="3"/>
  <c r="H83" i="1"/>
  <c r="B58" i="3"/>
  <c r="E58" i="3"/>
  <c r="D58" i="3"/>
  <c r="C58" i="3"/>
  <c r="F58" i="3"/>
  <c r="B59" i="3"/>
  <c r="E59" i="3"/>
  <c r="D59" i="3"/>
  <c r="C59" i="3"/>
  <c r="F59" i="3"/>
  <c r="B60" i="3"/>
  <c r="E60" i="3"/>
  <c r="D60" i="3"/>
  <c r="C60" i="3"/>
  <c r="F60" i="3"/>
  <c r="B61" i="3"/>
  <c r="E61" i="3"/>
  <c r="D61" i="3"/>
  <c r="C61" i="3"/>
  <c r="F61" i="3"/>
  <c r="B62" i="3"/>
  <c r="E62" i="3"/>
  <c r="D62" i="3"/>
  <c r="C62" i="3"/>
  <c r="F62" i="3"/>
  <c r="B63" i="3"/>
  <c r="E63" i="3"/>
  <c r="D63" i="3"/>
  <c r="C63" i="3"/>
  <c r="F63" i="3"/>
  <c r="B64" i="3"/>
  <c r="E64" i="3"/>
  <c r="D64" i="3"/>
  <c r="C64" i="3"/>
  <c r="F64" i="3"/>
  <c r="B65" i="3"/>
  <c r="E65" i="3"/>
  <c r="D65" i="3"/>
  <c r="C65" i="3"/>
  <c r="F65" i="3"/>
  <c r="B66" i="3"/>
  <c r="E66" i="3"/>
  <c r="D66" i="3"/>
  <c r="C66" i="3"/>
  <c r="F66" i="3"/>
  <c r="B67" i="3"/>
  <c r="E67" i="3"/>
  <c r="D67" i="3"/>
  <c r="C67" i="3"/>
  <c r="F67" i="3"/>
  <c r="B68" i="3"/>
  <c r="E68" i="3"/>
  <c r="D68" i="3"/>
  <c r="C68" i="3"/>
  <c r="F68" i="3"/>
  <c r="B69" i="3"/>
  <c r="E69" i="3"/>
  <c r="D69" i="3"/>
  <c r="C69" i="3"/>
  <c r="F69" i="3"/>
  <c r="I83" i="1"/>
  <c r="B72" i="3"/>
  <c r="E72" i="3"/>
  <c r="D72" i="3"/>
  <c r="C72" i="3"/>
  <c r="F72" i="3"/>
  <c r="B73" i="3"/>
  <c r="E73" i="3"/>
  <c r="D73" i="3"/>
  <c r="C73" i="3"/>
  <c r="F73" i="3"/>
  <c r="B74" i="3"/>
  <c r="E74" i="3"/>
  <c r="D74" i="3"/>
  <c r="C74" i="3"/>
  <c r="F74" i="3"/>
  <c r="B75" i="3"/>
  <c r="E75" i="3"/>
  <c r="D75" i="3"/>
  <c r="C75" i="3"/>
  <c r="F75" i="3"/>
  <c r="B76" i="3"/>
  <c r="E76" i="3"/>
  <c r="D76" i="3"/>
  <c r="C76" i="3"/>
  <c r="F76" i="3"/>
  <c r="B77" i="3"/>
  <c r="E77" i="3"/>
  <c r="D77" i="3"/>
  <c r="C77" i="3"/>
  <c r="F77" i="3"/>
  <c r="B78" i="3"/>
  <c r="E78" i="3"/>
  <c r="D78" i="3"/>
  <c r="C78" i="3"/>
  <c r="F78" i="3"/>
  <c r="B79" i="3"/>
  <c r="E79" i="3"/>
  <c r="D79" i="3"/>
  <c r="C79" i="3"/>
  <c r="F79" i="3"/>
  <c r="B80" i="3"/>
  <c r="E80" i="3"/>
  <c r="D80" i="3"/>
  <c r="C80" i="3"/>
  <c r="F80" i="3"/>
  <c r="B81" i="3"/>
  <c r="E81" i="3"/>
  <c r="D81" i="3"/>
  <c r="C81" i="3"/>
  <c r="F81" i="3"/>
  <c r="B82" i="3"/>
  <c r="E82" i="3"/>
  <c r="D82" i="3"/>
  <c r="C82" i="3"/>
  <c r="F82" i="3"/>
  <c r="B83" i="3"/>
  <c r="E83" i="3"/>
  <c r="D83" i="3"/>
  <c r="C83" i="3"/>
  <c r="F83" i="3"/>
  <c r="J83" i="1"/>
  <c r="B86" i="3"/>
  <c r="E86" i="3"/>
  <c r="D86" i="3"/>
  <c r="C86" i="3"/>
  <c r="F86" i="3"/>
  <c r="B87" i="3"/>
  <c r="E87" i="3"/>
  <c r="D87" i="3"/>
  <c r="C87" i="3"/>
  <c r="F87" i="3"/>
  <c r="B88" i="3"/>
  <c r="E88" i="3"/>
  <c r="D88" i="3"/>
  <c r="C88" i="3"/>
  <c r="F88" i="3"/>
  <c r="B89" i="3"/>
  <c r="E89" i="3"/>
  <c r="D89" i="3"/>
  <c r="C89" i="3"/>
  <c r="F89" i="3"/>
  <c r="B90" i="3"/>
  <c r="E90" i="3"/>
  <c r="D90" i="3"/>
  <c r="C90" i="3"/>
  <c r="F90" i="3"/>
  <c r="B91" i="3"/>
  <c r="E91" i="3"/>
  <c r="D91" i="3"/>
  <c r="C91" i="3"/>
  <c r="F91" i="3"/>
  <c r="B92" i="3"/>
  <c r="E92" i="3"/>
  <c r="D92" i="3"/>
  <c r="C92" i="3"/>
  <c r="F92" i="3"/>
  <c r="B93" i="3"/>
  <c r="E93" i="3"/>
  <c r="D93" i="3"/>
  <c r="C93" i="3"/>
  <c r="F93" i="3"/>
  <c r="B94" i="3"/>
  <c r="E94" i="3"/>
  <c r="D94" i="3"/>
  <c r="C94" i="3"/>
  <c r="F94" i="3"/>
  <c r="B95" i="3"/>
  <c r="E95" i="3"/>
  <c r="D95" i="3"/>
  <c r="C95" i="3"/>
  <c r="F95" i="3"/>
  <c r="B96" i="3"/>
  <c r="E96" i="3"/>
  <c r="D96" i="3"/>
  <c r="C96" i="3"/>
  <c r="F96" i="3"/>
  <c r="B97" i="3"/>
  <c r="E97" i="3"/>
  <c r="D97" i="3"/>
  <c r="C97" i="3"/>
  <c r="F97" i="3"/>
  <c r="K83" i="1"/>
  <c r="B100" i="3"/>
  <c r="E100" i="3"/>
  <c r="D100" i="3"/>
  <c r="C100" i="3"/>
  <c r="F100" i="3"/>
  <c r="B101" i="3"/>
  <c r="E101" i="3"/>
  <c r="D101" i="3"/>
  <c r="C101" i="3"/>
  <c r="F101" i="3"/>
  <c r="B102" i="3"/>
  <c r="E102" i="3"/>
  <c r="D102" i="3"/>
  <c r="C102" i="3"/>
  <c r="F102" i="3"/>
  <c r="B103" i="3"/>
  <c r="E103" i="3"/>
  <c r="D103" i="3"/>
  <c r="C103" i="3"/>
  <c r="F103" i="3"/>
  <c r="B104" i="3"/>
  <c r="E104" i="3"/>
  <c r="D104" i="3"/>
  <c r="C104" i="3"/>
  <c r="F104" i="3"/>
  <c r="B105" i="3"/>
  <c r="E105" i="3"/>
  <c r="D105" i="3"/>
  <c r="C105" i="3"/>
  <c r="F105" i="3"/>
  <c r="B106" i="3"/>
  <c r="E106" i="3"/>
  <c r="D106" i="3"/>
  <c r="C106" i="3"/>
  <c r="F106" i="3"/>
  <c r="B107" i="3"/>
  <c r="E107" i="3"/>
  <c r="D107" i="3"/>
  <c r="C107" i="3"/>
  <c r="F107" i="3"/>
  <c r="B108" i="3"/>
  <c r="E108" i="3"/>
  <c r="D108" i="3"/>
  <c r="C108" i="3"/>
  <c r="F108" i="3"/>
  <c r="B109" i="3"/>
  <c r="E109" i="3"/>
  <c r="D109" i="3"/>
  <c r="C109" i="3"/>
  <c r="F109" i="3"/>
  <c r="B110" i="3"/>
  <c r="E110" i="3"/>
  <c r="D110" i="3"/>
  <c r="C110" i="3"/>
  <c r="F110" i="3"/>
  <c r="B111" i="3"/>
  <c r="E111" i="3"/>
  <c r="D111" i="3"/>
  <c r="C111" i="3"/>
  <c r="F111" i="3"/>
  <c r="L83" i="1"/>
  <c r="B114" i="3"/>
  <c r="E114" i="3"/>
  <c r="D114" i="3"/>
  <c r="C114" i="3"/>
  <c r="F114" i="3"/>
  <c r="B115" i="3"/>
  <c r="E115" i="3"/>
  <c r="D115" i="3"/>
  <c r="C115" i="3"/>
  <c r="F115" i="3"/>
  <c r="B116" i="3"/>
  <c r="E116" i="3"/>
  <c r="D116" i="3"/>
  <c r="C116" i="3"/>
  <c r="F116" i="3"/>
  <c r="B117" i="3"/>
  <c r="E117" i="3"/>
  <c r="D117" i="3"/>
  <c r="C117" i="3"/>
  <c r="F117" i="3"/>
  <c r="B118" i="3"/>
  <c r="E118" i="3"/>
  <c r="D118" i="3"/>
  <c r="C118" i="3"/>
  <c r="F118" i="3"/>
  <c r="B119" i="3"/>
  <c r="E119" i="3"/>
  <c r="D119" i="3"/>
  <c r="C119" i="3"/>
  <c r="F119" i="3"/>
  <c r="B120" i="3"/>
  <c r="E120" i="3"/>
  <c r="D120" i="3"/>
  <c r="C120" i="3"/>
  <c r="F120" i="3"/>
  <c r="B121" i="3"/>
  <c r="E121" i="3"/>
  <c r="D121" i="3"/>
  <c r="C121" i="3"/>
  <c r="F121" i="3"/>
  <c r="B122" i="3"/>
  <c r="E122" i="3"/>
  <c r="D122" i="3"/>
  <c r="C122" i="3"/>
  <c r="F122" i="3"/>
  <c r="B123" i="3"/>
  <c r="E123" i="3"/>
  <c r="D123" i="3"/>
  <c r="C123" i="3"/>
  <c r="F123" i="3"/>
  <c r="B124" i="3"/>
  <c r="E124" i="3"/>
  <c r="D124" i="3"/>
  <c r="C124" i="3"/>
  <c r="F124" i="3"/>
  <c r="B125" i="3"/>
  <c r="E125" i="3"/>
  <c r="D125" i="3"/>
  <c r="C125" i="3"/>
  <c r="F125" i="3"/>
  <c r="M83" i="1"/>
  <c r="B128" i="3"/>
  <c r="E128" i="3"/>
  <c r="D128" i="3"/>
  <c r="C128" i="3"/>
  <c r="F128" i="3"/>
  <c r="B129" i="3"/>
  <c r="E129" i="3"/>
  <c r="D129" i="3"/>
  <c r="C129" i="3"/>
  <c r="F129" i="3"/>
  <c r="B130" i="3"/>
  <c r="E130" i="3"/>
  <c r="D130" i="3"/>
  <c r="C130" i="3"/>
  <c r="F130" i="3"/>
  <c r="B131" i="3"/>
  <c r="E131" i="3"/>
  <c r="D131" i="3"/>
  <c r="C131" i="3"/>
  <c r="F131" i="3"/>
  <c r="B132" i="3"/>
  <c r="E132" i="3"/>
  <c r="D132" i="3"/>
  <c r="C132" i="3"/>
  <c r="F132" i="3"/>
  <c r="B133" i="3"/>
  <c r="E133" i="3"/>
  <c r="D133" i="3"/>
  <c r="C133" i="3"/>
  <c r="F133" i="3"/>
  <c r="B134" i="3"/>
  <c r="E134" i="3"/>
  <c r="D134" i="3"/>
  <c r="C134" i="3"/>
  <c r="F134" i="3"/>
  <c r="B135" i="3"/>
  <c r="E135" i="3"/>
  <c r="D135" i="3"/>
  <c r="C135" i="3"/>
  <c r="F135" i="3"/>
  <c r="B136" i="3"/>
  <c r="E136" i="3"/>
  <c r="D136" i="3"/>
  <c r="C136" i="3"/>
  <c r="F136" i="3"/>
  <c r="B137" i="3"/>
  <c r="E137" i="3"/>
  <c r="D137" i="3"/>
  <c r="C137" i="3"/>
  <c r="F137" i="3"/>
  <c r="B138" i="3"/>
  <c r="E138" i="3"/>
  <c r="D138" i="3"/>
  <c r="C138" i="3"/>
  <c r="F138" i="3"/>
  <c r="B139" i="3"/>
  <c r="E139" i="3"/>
  <c r="D139" i="3"/>
  <c r="C139" i="3"/>
  <c r="F139" i="3"/>
  <c r="N83" i="1"/>
  <c r="P83" i="1"/>
  <c r="Q91" i="1"/>
  <c r="D14" i="3"/>
  <c r="E55" i="1"/>
  <c r="E51" i="1"/>
  <c r="E53" i="1"/>
  <c r="E56" i="1"/>
  <c r="E58" i="1"/>
  <c r="E59" i="1"/>
  <c r="E60" i="1"/>
  <c r="E89" i="1"/>
  <c r="D28" i="3"/>
  <c r="F55" i="1"/>
  <c r="F51" i="1"/>
  <c r="F53" i="1"/>
  <c r="F27" i="1"/>
  <c r="F56" i="1"/>
  <c r="F58" i="1"/>
  <c r="F59" i="1"/>
  <c r="F60" i="1"/>
  <c r="F89" i="1"/>
  <c r="D42" i="3"/>
  <c r="G55" i="1"/>
  <c r="G51" i="1"/>
  <c r="G53" i="1"/>
  <c r="G27" i="1"/>
  <c r="G56" i="1"/>
  <c r="G58" i="1"/>
  <c r="G59" i="1"/>
  <c r="G60" i="1"/>
  <c r="G89" i="1"/>
  <c r="D56" i="3"/>
  <c r="H55" i="1"/>
  <c r="H51" i="1"/>
  <c r="H53" i="1"/>
  <c r="H27" i="1"/>
  <c r="H56" i="1"/>
  <c r="H58" i="1"/>
  <c r="H59" i="1"/>
  <c r="H60" i="1"/>
  <c r="H89" i="1"/>
  <c r="D70" i="3"/>
  <c r="I55" i="1"/>
  <c r="I51" i="1"/>
  <c r="I53" i="1"/>
  <c r="I27" i="1"/>
  <c r="I56" i="1"/>
  <c r="I58" i="1"/>
  <c r="I59" i="1"/>
  <c r="I60" i="1"/>
  <c r="I89" i="1"/>
  <c r="D84" i="3"/>
  <c r="J55" i="1"/>
  <c r="J51" i="1"/>
  <c r="J53" i="1"/>
  <c r="J27" i="1"/>
  <c r="J56" i="1"/>
  <c r="J58" i="1"/>
  <c r="J59" i="1"/>
  <c r="J60" i="1"/>
  <c r="J89" i="1"/>
  <c r="D98" i="3"/>
  <c r="K55" i="1"/>
  <c r="K51" i="1"/>
  <c r="K53" i="1"/>
  <c r="K27" i="1"/>
  <c r="K56" i="1"/>
  <c r="K58" i="1"/>
  <c r="K59" i="1"/>
  <c r="K60" i="1"/>
  <c r="K89" i="1"/>
  <c r="D112" i="3"/>
  <c r="L55" i="1"/>
  <c r="L51" i="1"/>
  <c r="L53" i="1"/>
  <c r="L27" i="1"/>
  <c r="L56" i="1"/>
  <c r="L58" i="1"/>
  <c r="L59" i="1"/>
  <c r="L60" i="1"/>
  <c r="L89" i="1"/>
  <c r="D126" i="3"/>
  <c r="M55" i="1"/>
  <c r="M51" i="1"/>
  <c r="M53" i="1"/>
  <c r="M27" i="1"/>
  <c r="M56" i="1"/>
  <c r="M58" i="1"/>
  <c r="M59" i="1"/>
  <c r="M60" i="1"/>
  <c r="M89" i="1"/>
  <c r="D140" i="3"/>
  <c r="N55" i="1"/>
  <c r="N51" i="1"/>
  <c r="N53" i="1"/>
  <c r="N27" i="1"/>
  <c r="N56" i="1"/>
  <c r="N58" i="1"/>
  <c r="N59" i="1"/>
  <c r="N60" i="1"/>
  <c r="N89" i="1"/>
  <c r="P89" i="1"/>
  <c r="Q97" i="1"/>
  <c r="F88" i="1"/>
  <c r="G88" i="1"/>
  <c r="H88" i="1"/>
  <c r="I88" i="1"/>
  <c r="J88" i="1"/>
  <c r="K88" i="1"/>
  <c r="L88" i="1"/>
  <c r="M88" i="1"/>
  <c r="N88" i="1"/>
  <c r="Q96" i="1"/>
  <c r="Q99" i="1"/>
  <c r="R91" i="1"/>
  <c r="R79" i="1"/>
  <c r="S91" i="1"/>
  <c r="T91" i="1"/>
  <c r="U91" i="1"/>
  <c r="R96" i="1"/>
  <c r="AA92" i="1"/>
  <c r="Y95" i="1"/>
  <c r="AA91" i="1"/>
  <c r="R85" i="1"/>
  <c r="R88" i="1"/>
  <c r="S96" i="1"/>
  <c r="T96" i="1"/>
  <c r="U96" i="1"/>
  <c r="U99" i="1"/>
  <c r="D127" i="1"/>
  <c r="G161" i="1"/>
  <c r="H161" i="1"/>
  <c r="I161" i="1"/>
  <c r="J161" i="1"/>
  <c r="K161" i="1"/>
  <c r="L161" i="1"/>
  <c r="M161" i="1"/>
  <c r="N161" i="1"/>
  <c r="O161" i="1"/>
  <c r="P161" i="1"/>
  <c r="D162" i="1"/>
  <c r="F159" i="1"/>
  <c r="B167" i="1"/>
  <c r="C167" i="1"/>
  <c r="G167" i="1"/>
  <c r="P88" i="1"/>
  <c r="E80" i="1"/>
  <c r="F69" i="1"/>
  <c r="F75" i="1"/>
  <c r="F80" i="1"/>
  <c r="F81" i="1"/>
  <c r="F86" i="1"/>
  <c r="F91" i="1"/>
  <c r="F93" i="1"/>
  <c r="G69" i="1"/>
  <c r="G75" i="1"/>
  <c r="G80" i="1"/>
  <c r="G81" i="1"/>
  <c r="G86" i="1"/>
  <c r="G91" i="1"/>
  <c r="G93" i="1"/>
  <c r="H69" i="1"/>
  <c r="H75" i="1"/>
  <c r="H80" i="1"/>
  <c r="H81" i="1"/>
  <c r="H86" i="1"/>
  <c r="H91" i="1"/>
  <c r="H93" i="1"/>
  <c r="I69" i="1"/>
  <c r="I75" i="1"/>
  <c r="I80" i="1"/>
  <c r="I81" i="1"/>
  <c r="I86" i="1"/>
  <c r="I91" i="1"/>
  <c r="I93" i="1"/>
  <c r="J69" i="1"/>
  <c r="J75" i="1"/>
  <c r="J80" i="1"/>
  <c r="J81" i="1"/>
  <c r="J86" i="1"/>
  <c r="J91" i="1"/>
  <c r="J93" i="1"/>
  <c r="K69" i="1"/>
  <c r="K75" i="1"/>
  <c r="K80" i="1"/>
  <c r="K81" i="1"/>
  <c r="K86" i="1"/>
  <c r="K91" i="1"/>
  <c r="K93" i="1"/>
  <c r="L69" i="1"/>
  <c r="L75" i="1"/>
  <c r="L80" i="1"/>
  <c r="L81" i="1"/>
  <c r="L86" i="1"/>
  <c r="L91" i="1"/>
  <c r="L93" i="1"/>
  <c r="M69" i="1"/>
  <c r="M75" i="1"/>
  <c r="M80" i="1"/>
  <c r="M81" i="1"/>
  <c r="M86" i="1"/>
  <c r="M91" i="1"/>
  <c r="M93" i="1"/>
  <c r="N69" i="1"/>
  <c r="N75" i="1"/>
  <c r="N80" i="1"/>
  <c r="N81" i="1"/>
  <c r="N86" i="1"/>
  <c r="N91" i="1"/>
  <c r="N93" i="1"/>
  <c r="D129" i="1"/>
  <c r="D130" i="1"/>
  <c r="D131" i="1"/>
  <c r="R83" i="1"/>
  <c r="R75" i="1"/>
  <c r="R99" i="1"/>
  <c r="O101" i="1"/>
  <c r="E69" i="1"/>
  <c r="E75" i="1"/>
  <c r="E81" i="1"/>
  <c r="E86" i="1"/>
  <c r="E91" i="1"/>
  <c r="E93" i="1"/>
  <c r="E29" i="1"/>
  <c r="G27" i="3"/>
  <c r="G41" i="3"/>
  <c r="G55" i="3"/>
  <c r="G69" i="3"/>
  <c r="G83" i="3"/>
  <c r="G97" i="3"/>
  <c r="G111" i="3"/>
  <c r="G125" i="3"/>
  <c r="G139" i="3"/>
  <c r="C14" i="3"/>
  <c r="C28" i="3"/>
  <c r="C42" i="3"/>
  <c r="C56" i="3"/>
  <c r="C70" i="3"/>
  <c r="C84" i="3"/>
  <c r="C98" i="3"/>
  <c r="C112" i="3"/>
  <c r="C126" i="3"/>
  <c r="C140" i="3"/>
</calcChain>
</file>

<file path=xl/sharedStrings.xml><?xml version="1.0" encoding="utf-8"?>
<sst xmlns="http://schemas.openxmlformats.org/spreadsheetml/2006/main" count="377" uniqueCount="210">
  <si>
    <t>URL</t>
  </si>
  <si>
    <t>Year 1</t>
  </si>
  <si>
    <t>Year 2</t>
  </si>
  <si>
    <t>Year 3</t>
  </si>
  <si>
    <t>Year 4</t>
  </si>
  <si>
    <t>Year 5</t>
  </si>
  <si>
    <t>Year 6</t>
  </si>
  <si>
    <t>Year 7</t>
  </si>
  <si>
    <t>Year 8</t>
  </si>
  <si>
    <t>Year 9</t>
  </si>
  <si>
    <t>Year 10</t>
  </si>
  <si>
    <t>INCOME STATEMENT</t>
  </si>
  <si>
    <t>Sales Revenue</t>
  </si>
  <si>
    <t>Cost of Good Sold</t>
  </si>
  <si>
    <t>Gross Profit</t>
  </si>
  <si>
    <t xml:space="preserve">Expenses </t>
  </si>
  <si>
    <t>Salaries and Wages</t>
  </si>
  <si>
    <t>General and Administrative</t>
  </si>
  <si>
    <t>Total Expenses</t>
  </si>
  <si>
    <t>Income Before Interest and Taxes</t>
  </si>
  <si>
    <t>Taxable Income</t>
  </si>
  <si>
    <t>Income Tax Expense</t>
  </si>
  <si>
    <t>BALANCE SHEET</t>
  </si>
  <si>
    <t xml:space="preserve">ASSETS </t>
  </si>
  <si>
    <t>Current Assets</t>
  </si>
  <si>
    <t xml:space="preserve">Inventory </t>
  </si>
  <si>
    <t>Land</t>
  </si>
  <si>
    <t>Less Accumulated Depreciation</t>
  </si>
  <si>
    <t xml:space="preserve">LIABILITIES </t>
  </si>
  <si>
    <t>Current Liabilities</t>
  </si>
  <si>
    <t>Common Stock</t>
  </si>
  <si>
    <t>Total Liabilities and Shareholders Equity</t>
  </si>
  <si>
    <t>Number of competing stores in city</t>
  </si>
  <si>
    <t>yearly change</t>
  </si>
  <si>
    <t xml:space="preserve">Average number of labor hours per year needed </t>
  </si>
  <si>
    <t>Cost per acre for land</t>
  </si>
  <si>
    <t>Cost per square foot for store building</t>
  </si>
  <si>
    <t>Square footage of building</t>
  </si>
  <si>
    <t>Depeciation Expense</t>
  </si>
  <si>
    <t>Mortgage Interest Expense</t>
  </si>
  <si>
    <t>Extra Bank Loan Interest Expense</t>
  </si>
  <si>
    <t>Buildings</t>
  </si>
  <si>
    <t>Average maintenance cost per year, per square foot of buildings</t>
  </si>
  <si>
    <t>Average cost of insurance and property tax, % of building value</t>
  </si>
  <si>
    <t>Building Insurance and Property Taxes</t>
  </si>
  <si>
    <t>Days of receivables (credit card use assumed for all revenue)</t>
  </si>
  <si>
    <t>Beg Balance</t>
  </si>
  <si>
    <t>Principal</t>
  </si>
  <si>
    <t xml:space="preserve">Interest </t>
  </si>
  <si>
    <t>Payment</t>
  </si>
  <si>
    <t>End Balance</t>
  </si>
  <si>
    <t>Rate</t>
  </si>
  <si>
    <t>Jan</t>
  </si>
  <si>
    <t>Per Rate</t>
  </si>
  <si>
    <t>Feb</t>
  </si>
  <si>
    <t>FV</t>
  </si>
  <si>
    <t>Mar</t>
  </si>
  <si>
    <t>Years</t>
  </si>
  <si>
    <t>Apr</t>
  </si>
  <si>
    <t>Per</t>
  </si>
  <si>
    <t>May</t>
  </si>
  <si>
    <t>Type</t>
  </si>
  <si>
    <t>Jun</t>
  </si>
  <si>
    <t>PV</t>
  </si>
  <si>
    <t>Jul</t>
  </si>
  <si>
    <t>Aug</t>
  </si>
  <si>
    <t>Sep</t>
  </si>
  <si>
    <t>Oct</t>
  </si>
  <si>
    <t>Nov</t>
  </si>
  <si>
    <t>Dec</t>
  </si>
  <si>
    <t>TOTALS</t>
  </si>
  <si>
    <t>ASSUMPTIONS</t>
  </si>
  <si>
    <t>Income Taxes Payable</t>
  </si>
  <si>
    <t>Popluation of city</t>
  </si>
  <si>
    <t>Acres of land</t>
  </si>
  <si>
    <t>Mortgage loan interest rate</t>
  </si>
  <si>
    <t>Mortgage loan length (in years)</t>
  </si>
  <si>
    <t>Mortgage loan starting balance, % of total land and buildings</t>
  </si>
  <si>
    <t>Mortgage loan starting balance (PV)</t>
  </si>
  <si>
    <t>Extra bank loan interest rate</t>
  </si>
  <si>
    <t>Common stock starting balance, percent of total assets first year</t>
  </si>
  <si>
    <t>Days of inventory</t>
  </si>
  <si>
    <t>Days of accounts payable (COGS expense)</t>
  </si>
  <si>
    <t>General and Administrative as percent of sales</t>
  </si>
  <si>
    <t>COGS as percent of sales</t>
  </si>
  <si>
    <t>Income tax rate (state plus federal)</t>
  </si>
  <si>
    <t>Depriciation years</t>
  </si>
  <si>
    <t>Minimum cash as % of sales</t>
  </si>
  <si>
    <t>Net Income</t>
  </si>
  <si>
    <t>Minimum Cash Balance</t>
  </si>
  <si>
    <t>Extra Cash</t>
  </si>
  <si>
    <t>Accounts Receivable</t>
  </si>
  <si>
    <t>Total Current Assets</t>
  </si>
  <si>
    <t>Total Assets</t>
  </si>
  <si>
    <t>Accounts Payable (COGS Expense)</t>
  </si>
  <si>
    <t>Total Current Liabilities</t>
  </si>
  <si>
    <t>Mortgage Loan</t>
  </si>
  <si>
    <t>Extra Bank Loan</t>
  </si>
  <si>
    <t>Total Liabilities</t>
  </si>
  <si>
    <t>Retained Earnings</t>
  </si>
  <si>
    <t>DFN</t>
  </si>
  <si>
    <t>Value</t>
  </si>
  <si>
    <t>Anaylsis</t>
  </si>
  <si>
    <t>Common stock starting balance minimum, if at least as above</t>
  </si>
  <si>
    <t>Hokulia Shaved Ice</t>
  </si>
  <si>
    <t>Average Price of Snowcone for Hokulia</t>
  </si>
  <si>
    <t>Average Equioment for Snow Cone shack</t>
  </si>
  <si>
    <t>Minimum Wage in Utah</t>
  </si>
  <si>
    <t>Maintenance Cost</t>
  </si>
  <si>
    <t>We looked this up on a census and computed the average growth rate</t>
  </si>
  <si>
    <t>We found an average cost for operating a snow cone shack, web page attached</t>
  </si>
  <si>
    <t>We looked up the average cost of land, per acre, in Provo, see attachment.</t>
  </si>
  <si>
    <t>This is the average interest rate for a mortgage in Provo</t>
  </si>
  <si>
    <t>Population</t>
  </si>
  <si>
    <t>COGS</t>
  </si>
  <si>
    <t>Mortgage Rate</t>
  </si>
  <si>
    <t>Acres Cost</t>
  </si>
  <si>
    <t>https://suburbanstats.org/population/utah/how-many-people-live-in-provo</t>
  </si>
  <si>
    <t>https://www.1-800-shaved-ice.com/prcoc.html</t>
  </si>
  <si>
    <t>https://www.icy-sky.com/blogs/news/profitability-of-a-shave-ice-business</t>
  </si>
  <si>
    <t>https://www.hawaiianshavedice.com/cost-of-a-shaved-ice-buisness-blog.html</t>
  </si>
  <si>
    <t>https://foodtruckempire.com/shaved-ice/open-operate/</t>
  </si>
  <si>
    <t>https://www.bankrate.com/finance/mortgages/current-interest-rates.aspx</t>
  </si>
  <si>
    <t>https://www.redfin.com/city/16042/UT/Provo/land</t>
  </si>
  <si>
    <t>FREE CASH FLOWS</t>
  </si>
  <si>
    <t>Cash From Operatoins</t>
  </si>
  <si>
    <t>Operating Profit</t>
  </si>
  <si>
    <t>Less: Depreciation</t>
  </si>
  <si>
    <t>Taxable Operating Profit</t>
  </si>
  <si>
    <t>Taxes on Operations</t>
  </si>
  <si>
    <t>Total Cash from Operations</t>
  </si>
  <si>
    <t>Cash from Changes in Balance Sheet</t>
  </si>
  <si>
    <t>Working Capital</t>
  </si>
  <si>
    <t>Fixed Assets</t>
  </si>
  <si>
    <t>Adjustment for Sale</t>
  </si>
  <si>
    <t>Taxes on Sale</t>
  </si>
  <si>
    <t>Gain</t>
  </si>
  <si>
    <t>Goodwill At Purchase</t>
  </si>
  <si>
    <t>Total Free Cash Flows</t>
  </si>
  <si>
    <t>WACC</t>
  </si>
  <si>
    <t>IRR</t>
  </si>
  <si>
    <t>NPV</t>
  </si>
  <si>
    <t>CREDIT RATING</t>
  </si>
  <si>
    <t>Coverage Ratio</t>
  </si>
  <si>
    <t>Used worst ratio, in first year of operation</t>
  </si>
  <si>
    <t>Credit Rating</t>
  </si>
  <si>
    <t>From NYU Stern chart for this industry, adjusted up</t>
  </si>
  <si>
    <t>Spread Above T-Bill</t>
  </si>
  <si>
    <t>From NYU Stern chart based on adjusted rating</t>
  </si>
  <si>
    <t>T-Bill Return</t>
  </si>
  <si>
    <t>Mortage Loan</t>
  </si>
  <si>
    <t>T-Bill Rate plus Spread based on Credit Rating</t>
  </si>
  <si>
    <t>CAPM</t>
  </si>
  <si>
    <t>Average Tax Rate</t>
  </si>
  <si>
    <t>Average over all years of forecast</t>
  </si>
  <si>
    <t>Unlevered Beta</t>
  </si>
  <si>
    <t>From NYU Stern chart for this industry, adjusted down</t>
  </si>
  <si>
    <t>Relevered Beta</t>
  </si>
  <si>
    <t>Based on this company's forecasted debt and equity</t>
  </si>
  <si>
    <t>S&amp;P 500 Return</t>
  </si>
  <si>
    <t>Equity Cost</t>
  </si>
  <si>
    <t>Average</t>
  </si>
  <si>
    <t>Proportion</t>
  </si>
  <si>
    <t>Tax Adjusted</t>
  </si>
  <si>
    <t>Weighted</t>
  </si>
  <si>
    <t>AAA</t>
  </si>
  <si>
    <t>Debt</t>
  </si>
  <si>
    <t>Tax rate</t>
  </si>
  <si>
    <t>Average over last 90 years</t>
  </si>
  <si>
    <t>Capital Expenditures</t>
  </si>
  <si>
    <t>Sale</t>
  </si>
  <si>
    <t>BV</t>
  </si>
  <si>
    <t>Tax</t>
  </si>
  <si>
    <t>DCF</t>
  </si>
  <si>
    <t>We chose to increase the beta because their is higher risk with a seasonal company. When looking at the beta that we received from The NYU website it was under the food wholesale section. This beta is for all the restuarnts and the fast food places and desret places. These places sale food and a lot of the them sell things for all three meals. WIth Hokulia Shaved Ice it doesn't sell anything for one of the three meals, and secondly it is only open during the summer time. Looking at these two facts show us that there will be a higher risk than the average company that will fall under that section. </t>
  </si>
  <si>
    <t>We decided to keep this rating the same because we already adjusted the BETA, which will compensate for additional risk. Another reason why is because the debt rate is lower we decidded to keep their equity rate high.</t>
  </si>
  <si>
    <t>Terminal Value Essay</t>
  </si>
  <si>
    <t>Goodwill Essay</t>
  </si>
  <si>
    <t>Credit Rating Essay</t>
  </si>
  <si>
    <t>BETA</t>
  </si>
  <si>
    <t xml:space="preserve">This company is a franchise which comes with a good name. In addition, they are right next to BYU which is a large customer base. </t>
  </si>
  <si>
    <t>We chose to increase the value of the land because it has a great location next to BYU. We decreased the value of building because of normal ware and tear.</t>
  </si>
  <si>
    <t>Exercise Price</t>
  </si>
  <si>
    <t>Cash Flows if Exercised</t>
  </si>
  <si>
    <t>Black-Sholes Computation area provided for you:</t>
  </si>
  <si>
    <t>S</t>
  </si>
  <si>
    <t>X</t>
  </si>
  <si>
    <t>t</t>
  </si>
  <si>
    <t>STDEV(%)</t>
  </si>
  <si>
    <t>r</t>
  </si>
  <si>
    <t>VALUE</t>
  </si>
  <si>
    <t>The option being sold is:  the option to buy this company two years from today, at a fixed price today of $435,891.</t>
  </si>
  <si>
    <t>Decision Tree</t>
  </si>
  <si>
    <t>SCENARIOS OF COMPANY</t>
  </si>
  <si>
    <t>Success - Success</t>
  </si>
  <si>
    <t>Normal Forecasted Operations</t>
  </si>
  <si>
    <t>TOTAL</t>
  </si>
  <si>
    <t>Probability</t>
  </si>
  <si>
    <t>Success - Failure</t>
  </si>
  <si>
    <t>Failure</t>
  </si>
  <si>
    <t>Adjusted Forecasted Operations</t>
  </si>
  <si>
    <t>Total Expected NPV</t>
  </si>
  <si>
    <t>Expansion is Good</t>
  </si>
  <si>
    <t>Good -Expand</t>
  </si>
  <si>
    <t>Expansion is Bad</t>
  </si>
  <si>
    <t>Bad - Stop Co.</t>
  </si>
  <si>
    <t>Black-Scholes</t>
  </si>
  <si>
    <t>Cost of Churro Machine</t>
  </si>
  <si>
    <t>Additional Revenues from churros</t>
  </si>
  <si>
    <t>Sell Churro Machine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</si>
</sst>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409]#,##0.00;[Red]\-[$$-409]#,##0.00"/>
    <numFmt numFmtId="168" formatCode="_(&quot;$&quot;* #,##0.0_);_(&quot;$&quot;* \(#,##0.0\);_(&quot;$&quot;* &quot;-&quot;?_);_(@_)"/>
    <numFmt numFmtId="169" formatCode="_(\$* #,##0_);_(\$* \(#,##0\);_(\$* \-??_);_(@_)"/>
  </numFmts>
  <fonts count="19">
    <font>
      <sz val="11"/>
      <color rgb="FF000000"/>
      <name val="Calibri"/>
    </font>
    <font>
      <sz val="12"/>
      <color theme="1"/>
      <name val="Calibri"/>
      <family val="2"/>
      <scheme val="minor"/>
    </font>
    <font>
      <sz val="11"/>
      <name val="Calibri"/>
    </font>
    <font>
      <sz val="11"/>
      <color rgb="FF000000"/>
      <name val="Calibri"/>
    </font>
    <font>
      <b/>
      <sz val="12"/>
      <color rgb="FF000000"/>
      <name val="Calibri"/>
      <family val="2"/>
    </font>
    <font>
      <sz val="12"/>
      <color rgb="FF000000"/>
      <name val="Calibri"/>
      <family val="2"/>
    </font>
    <font>
      <sz val="12"/>
      <name val="Calibri"/>
      <family val="2"/>
    </font>
    <font>
      <b/>
      <u/>
      <sz val="12"/>
      <color rgb="FF000000"/>
      <name val="Calibri"/>
      <family val="2"/>
    </font>
    <font>
      <sz val="11"/>
      <name val="Arial"/>
      <family val="2"/>
    </font>
    <font>
      <sz val="11"/>
      <color indexed="8"/>
      <name val="Arial"/>
      <family val="2"/>
    </font>
    <font>
      <b/>
      <sz val="11"/>
      <name val="Arial"/>
      <family val="2"/>
    </font>
    <font>
      <b/>
      <u/>
      <sz val="11"/>
      <name val="Arial"/>
      <family val="2"/>
    </font>
    <font>
      <b/>
      <u/>
      <sz val="11"/>
      <name val="Calibri"/>
      <family val="2"/>
    </font>
    <font>
      <u/>
      <sz val="11"/>
      <color theme="10"/>
      <name val="Calibri"/>
    </font>
    <font>
      <b/>
      <sz val="12"/>
      <color theme="1"/>
      <name val="Calibri"/>
      <family val="2"/>
      <scheme val="minor"/>
    </font>
    <font>
      <sz val="13"/>
      <color rgb="FF222222"/>
      <name val="Arial"/>
    </font>
    <font>
      <sz val="12"/>
      <name val="Calibri"/>
      <family val="2"/>
      <scheme val="minor"/>
    </font>
    <font>
      <b/>
      <sz val="12"/>
      <name val="Calibri"/>
      <family val="2"/>
      <scheme val="minor"/>
    </font>
    <font>
      <sz val="12"/>
      <color indexed="8"/>
      <name val="Calibri"/>
      <family val="2"/>
    </font>
  </fonts>
  <fills count="6">
    <fill>
      <patternFill patternType="none"/>
    </fill>
    <fill>
      <patternFill patternType="gray125"/>
    </fill>
    <fill>
      <patternFill patternType="solid">
        <fgColor rgb="FFFFFFFF"/>
        <bgColor rgb="FFFFFFFF"/>
      </patternFill>
    </fill>
    <fill>
      <patternFill patternType="solid">
        <fgColor theme="6" tint="0.79998168889431442"/>
        <bgColor indexed="64"/>
      </patternFill>
    </fill>
    <fill>
      <patternFill patternType="solid">
        <fgColor theme="6" tint="0.59999389629810485"/>
        <bgColor indexed="64"/>
      </patternFill>
    </fill>
    <fill>
      <patternFill patternType="solid">
        <fgColor rgb="FF92D05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cellStyleXfs>
  <cellXfs count="104">
    <xf numFmtId="0" fontId="0" fillId="0" borderId="0" xfId="0"/>
    <xf numFmtId="0" fontId="2" fillId="0" borderId="0" xfId="0" applyFont="1"/>
    <xf numFmtId="0" fontId="4" fillId="0" borderId="0" xfId="0" applyFont="1"/>
    <xf numFmtId="0" fontId="5" fillId="0" borderId="0" xfId="0" applyFont="1"/>
    <xf numFmtId="0" fontId="7" fillId="0" borderId="1" xfId="0" applyFont="1" applyBorder="1" applyAlignment="1">
      <alignment horizontal="center"/>
    </xf>
    <xf numFmtId="166" fontId="5" fillId="0" borderId="0" xfId="1" applyNumberFormat="1" applyFont="1"/>
    <xf numFmtId="166" fontId="5" fillId="0" borderId="0" xfId="1" applyNumberFormat="1" applyFont="1" applyAlignment="1"/>
    <xf numFmtId="9" fontId="5" fillId="0" borderId="0" xfId="0" applyNumberFormat="1" applyFont="1"/>
    <xf numFmtId="44" fontId="5" fillId="0" borderId="0" xfId="2" applyFont="1"/>
    <xf numFmtId="44" fontId="5" fillId="0" borderId="0" xfId="2" applyFont="1" applyAlignment="1"/>
    <xf numFmtId="164" fontId="5" fillId="0" borderId="0" xfId="0" applyNumberFormat="1" applyFont="1"/>
    <xf numFmtId="2" fontId="5" fillId="0" borderId="0" xfId="0" applyNumberFormat="1" applyFont="1"/>
    <xf numFmtId="165" fontId="5" fillId="0" borderId="0" xfId="0" applyNumberFormat="1" applyFont="1"/>
    <xf numFmtId="165" fontId="5" fillId="0" borderId="2" xfId="0" applyNumberFormat="1" applyFont="1" applyBorder="1"/>
    <xf numFmtId="6" fontId="5" fillId="0" borderId="0" xfId="0" applyNumberFormat="1" applyFont="1"/>
    <xf numFmtId="0" fontId="6" fillId="0" borderId="0" xfId="0" applyFont="1"/>
    <xf numFmtId="165" fontId="4" fillId="0" borderId="0" xfId="0" applyNumberFormat="1" applyFont="1"/>
    <xf numFmtId="164" fontId="5" fillId="0" borderId="0" xfId="3" applyNumberFormat="1" applyFont="1" applyAlignment="1"/>
    <xf numFmtId="10" fontId="5" fillId="0" borderId="0" xfId="3" applyNumberFormat="1" applyFont="1" applyAlignment="1"/>
    <xf numFmtId="43" fontId="5" fillId="0" borderId="0" xfId="1" applyFont="1" applyAlignment="1"/>
    <xf numFmtId="0" fontId="8" fillId="0" borderId="0" xfId="0" applyFont="1"/>
    <xf numFmtId="10" fontId="8" fillId="0" borderId="0" xfId="0" applyNumberFormat="1" applyFont="1"/>
    <xf numFmtId="17" fontId="8" fillId="0" borderId="0" xfId="0" quotePrefix="1" applyNumberFormat="1" applyFont="1" applyAlignment="1">
      <alignment wrapText="1"/>
    </xf>
    <xf numFmtId="44" fontId="9" fillId="0" borderId="0" xfId="2" applyFont="1"/>
    <xf numFmtId="0" fontId="8" fillId="0" borderId="0" xfId="0" applyFont="1" applyAlignment="1">
      <alignment wrapText="1"/>
    </xf>
    <xf numFmtId="167" fontId="8" fillId="0" borderId="0" xfId="0" applyNumberFormat="1" applyFont="1"/>
    <xf numFmtId="0" fontId="10" fillId="0" borderId="0" xfId="0" applyFont="1" applyAlignment="1">
      <alignment wrapText="1"/>
    </xf>
    <xf numFmtId="43" fontId="8" fillId="0" borderId="0" xfId="0" applyNumberFormat="1" applyFont="1"/>
    <xf numFmtId="165" fontId="5" fillId="0" borderId="0" xfId="2" applyNumberFormat="1" applyFont="1" applyAlignment="1"/>
    <xf numFmtId="165" fontId="6" fillId="2" borderId="3" xfId="2" applyNumberFormat="1" applyFont="1" applyFill="1" applyBorder="1" applyAlignment="1"/>
    <xf numFmtId="165" fontId="5" fillId="0" borderId="3" xfId="0" applyNumberFormat="1" applyFont="1" applyBorder="1"/>
    <xf numFmtId="43" fontId="5" fillId="0" borderId="0" xfId="1" applyFont="1"/>
    <xf numFmtId="0" fontId="10" fillId="0" borderId="0" xfId="0" applyFont="1"/>
    <xf numFmtId="0" fontId="11" fillId="0" borderId="0" xfId="0" applyFont="1" applyAlignment="1">
      <alignment horizontal="center"/>
    </xf>
    <xf numFmtId="0" fontId="12" fillId="0" borderId="0" xfId="0" applyFont="1"/>
    <xf numFmtId="165" fontId="5" fillId="0" borderId="3" xfId="2" applyNumberFormat="1" applyFont="1" applyBorder="1" applyAlignment="1"/>
    <xf numFmtId="165" fontId="5" fillId="0" borderId="3" xfId="2" applyNumberFormat="1" applyFont="1" applyBorder="1"/>
    <xf numFmtId="165" fontId="6" fillId="0" borderId="3" xfId="2" applyNumberFormat="1" applyFont="1" applyBorder="1"/>
    <xf numFmtId="0" fontId="13" fillId="0" borderId="0" xfId="4" applyAlignment="1"/>
    <xf numFmtId="0" fontId="5" fillId="0" borderId="0" xfId="0" applyFont="1" applyAlignment="1">
      <alignment wrapText="1"/>
    </xf>
    <xf numFmtId="0" fontId="7" fillId="0" borderId="4" xfId="0" applyFont="1" applyBorder="1" applyAlignment="1">
      <alignment wrapText="1"/>
    </xf>
    <xf numFmtId="10" fontId="5" fillId="0" borderId="0" xfId="0" applyNumberFormat="1" applyFont="1"/>
    <xf numFmtId="0" fontId="5" fillId="0" borderId="5" xfId="0" applyFont="1" applyBorder="1"/>
    <xf numFmtId="0" fontId="4" fillId="0" borderId="5" xfId="0" applyFont="1" applyBorder="1"/>
    <xf numFmtId="44" fontId="5" fillId="0" borderId="0" xfId="0" applyNumberFormat="1" applyFont="1"/>
    <xf numFmtId="0" fontId="5" fillId="0" borderId="0" xfId="0" applyFont="1" applyAlignment="1">
      <alignment horizontal="right"/>
    </xf>
    <xf numFmtId="2" fontId="5" fillId="0" borderId="0" xfId="1" applyNumberFormat="1" applyFont="1" applyAlignment="1"/>
    <xf numFmtId="0" fontId="14" fillId="0" borderId="6" xfId="0" applyFont="1" applyBorder="1" applyAlignment="1">
      <alignment horizontal="center" vertical="center"/>
    </xf>
    <xf numFmtId="0" fontId="0" fillId="0" borderId="0" xfId="0" applyAlignment="1">
      <alignment horizontal="center" vertical="center"/>
    </xf>
    <xf numFmtId="0" fontId="14" fillId="0" borderId="8" xfId="0" applyFont="1" applyBorder="1" applyAlignment="1">
      <alignment horizontal="center" vertical="center"/>
    </xf>
    <xf numFmtId="2" fontId="0" fillId="0" borderId="9" xfId="0" applyNumberFormat="1" applyBorder="1" applyAlignment="1">
      <alignment horizontal="center" vertical="center"/>
    </xf>
    <xf numFmtId="9" fontId="0" fillId="0" borderId="7" xfId="0" applyNumberFormat="1" applyBorder="1" applyAlignment="1">
      <alignment horizontal="center" vertical="center"/>
    </xf>
    <xf numFmtId="0" fontId="14" fillId="0" borderId="0" xfId="0" applyFont="1" applyAlignment="1">
      <alignment horizontal="center" vertical="center"/>
    </xf>
    <xf numFmtId="9" fontId="0" fillId="0" borderId="0" xfId="0" applyNumberFormat="1" applyAlignment="1">
      <alignment horizontal="center" vertical="center"/>
    </xf>
    <xf numFmtId="10" fontId="0" fillId="0" borderId="0" xfId="0" applyNumberFormat="1" applyAlignment="1">
      <alignment horizontal="center" vertical="center"/>
    </xf>
    <xf numFmtId="10" fontId="0" fillId="0" borderId="0" xfId="3" applyNumberFormat="1" applyFont="1" applyBorder="1" applyAlignment="1">
      <alignment horizontal="center" vertical="center"/>
    </xf>
    <xf numFmtId="2" fontId="0" fillId="0" borderId="0" xfId="0" applyNumberFormat="1" applyAlignment="1">
      <alignment horizontal="center" vertical="center"/>
    </xf>
    <xf numFmtId="0" fontId="4" fillId="0" borderId="0" xfId="0" quotePrefix="1" applyFont="1"/>
    <xf numFmtId="0" fontId="5" fillId="0" borderId="10" xfId="0" applyFont="1" applyBorder="1"/>
    <xf numFmtId="10" fontId="5" fillId="0" borderId="0" xfId="3" applyNumberFormat="1" applyFont="1" applyBorder="1" applyAlignment="1"/>
    <xf numFmtId="0" fontId="5" fillId="0" borderId="11" xfId="0" applyFont="1" applyBorder="1"/>
    <xf numFmtId="0" fontId="5" fillId="0" borderId="12" xfId="0" applyFont="1" applyBorder="1"/>
    <xf numFmtId="10" fontId="5" fillId="0" borderId="3" xfId="3" applyNumberFormat="1" applyFont="1" applyBorder="1" applyAlignment="1"/>
    <xf numFmtId="0" fontId="5" fillId="0" borderId="3" xfId="0" applyFont="1" applyBorder="1"/>
    <xf numFmtId="10" fontId="4" fillId="0" borderId="3" xfId="3" applyNumberFormat="1" applyFont="1" applyBorder="1" applyAlignment="1"/>
    <xf numFmtId="0" fontId="4" fillId="0" borderId="13" xfId="0" applyFont="1" applyBorder="1"/>
    <xf numFmtId="0" fontId="5" fillId="0" borderId="14" xfId="0" applyFont="1" applyBorder="1"/>
    <xf numFmtId="0" fontId="5" fillId="0" borderId="15" xfId="0" applyFont="1" applyBorder="1"/>
    <xf numFmtId="0" fontId="5" fillId="0" borderId="16" xfId="0" applyFont="1" applyBorder="1"/>
    <xf numFmtId="0" fontId="5" fillId="3" borderId="0" xfId="0" applyFont="1" applyFill="1"/>
    <xf numFmtId="0" fontId="5" fillId="4" borderId="0" xfId="0" applyFont="1" applyFill="1"/>
    <xf numFmtId="168" fontId="5" fillId="0" borderId="0" xfId="0" applyNumberFormat="1" applyFont="1"/>
    <xf numFmtId="0" fontId="0" fillId="5" borderId="0" xfId="0" applyFill="1" applyAlignment="1">
      <alignment horizontal="left" vertical="center"/>
    </xf>
    <xf numFmtId="0" fontId="5" fillId="5" borderId="0" xfId="0" applyFont="1" applyFill="1"/>
    <xf numFmtId="0" fontId="15" fillId="0" borderId="0" xfId="0" applyFont="1"/>
    <xf numFmtId="0" fontId="0" fillId="0" borderId="0" xfId="0" applyAlignment="1">
      <alignment horizontal="left" vertical="center"/>
    </xf>
    <xf numFmtId="0" fontId="14" fillId="0" borderId="0" xfId="0" applyFont="1"/>
    <xf numFmtId="0" fontId="16" fillId="0" borderId="0" xfId="0" applyFont="1"/>
    <xf numFmtId="0" fontId="16" fillId="0" borderId="0" xfId="0" applyFont="1" applyAlignment="1">
      <alignment horizontal="center"/>
    </xf>
    <xf numFmtId="169" fontId="3" fillId="0" borderId="0" xfId="2" applyNumberFormat="1"/>
    <xf numFmtId="10" fontId="16" fillId="0" borderId="0" xfId="0" applyNumberFormat="1" applyFont="1"/>
    <xf numFmtId="0" fontId="17" fillId="0" borderId="0" xfId="0" applyFont="1"/>
    <xf numFmtId="44" fontId="3" fillId="0" borderId="0" xfId="2"/>
    <xf numFmtId="0" fontId="1" fillId="0" borderId="0" xfId="0" applyFont="1"/>
    <xf numFmtId="169" fontId="16" fillId="0" borderId="0" xfId="0" applyNumberFormat="1" applyFont="1"/>
    <xf numFmtId="9" fontId="16" fillId="0" borderId="0" xfId="0" applyNumberFormat="1" applyFont="1"/>
    <xf numFmtId="169" fontId="18" fillId="0" borderId="0" xfId="2" applyNumberFormat="1" applyFont="1" applyFill="1"/>
    <xf numFmtId="44" fontId="18" fillId="0" borderId="0" xfId="2" applyFont="1" applyFill="1"/>
    <xf numFmtId="9" fontId="14" fillId="0" borderId="0" xfId="0" applyNumberFormat="1" applyFont="1"/>
    <xf numFmtId="0" fontId="0" fillId="0" borderId="4" xfId="0" applyBorder="1"/>
    <xf numFmtId="44" fontId="0" fillId="0" borderId="4" xfId="2" applyFont="1" applyBorder="1"/>
    <xf numFmtId="9" fontId="0" fillId="0" borderId="4" xfId="3" applyFont="1" applyBorder="1"/>
    <xf numFmtId="165" fontId="3" fillId="0" borderId="4" xfId="2" applyNumberFormat="1" applyBorder="1"/>
    <xf numFmtId="165" fontId="16" fillId="0" borderId="0" xfId="0" applyNumberFormat="1" applyFont="1"/>
    <xf numFmtId="8" fontId="18" fillId="0" borderId="0" xfId="2" applyNumberFormat="1" applyFont="1" applyFill="1"/>
    <xf numFmtId="9" fontId="3" fillId="0" borderId="0" xfId="3"/>
    <xf numFmtId="169" fontId="3" fillId="0" borderId="17" xfId="2" applyNumberFormat="1" applyBorder="1"/>
    <xf numFmtId="0" fontId="16" fillId="0" borderId="10" xfId="0" applyFont="1" applyBorder="1"/>
    <xf numFmtId="0" fontId="16" fillId="0" borderId="12" xfId="0" applyFont="1" applyBorder="1"/>
    <xf numFmtId="169" fontId="3" fillId="0" borderId="10" xfId="2" applyNumberFormat="1" applyBorder="1"/>
    <xf numFmtId="9" fontId="16" fillId="0" borderId="3" xfId="0" applyNumberFormat="1" applyFont="1" applyBorder="1"/>
    <xf numFmtId="43" fontId="3" fillId="0" borderId="0" xfId="2" applyNumberFormat="1"/>
    <xf numFmtId="0" fontId="15" fillId="5" borderId="0" xfId="0" applyFont="1" applyFill="1" applyAlignment="1">
      <alignment horizontal="center" wrapText="1"/>
    </xf>
    <xf numFmtId="0" fontId="5" fillId="3" borderId="0" xfId="0" applyFont="1" applyFill="1" applyAlignment="1">
      <alignment horizontal="center"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63500</xdr:colOff>
      <xdr:row>92</xdr:row>
      <xdr:rowOff>38100</xdr:rowOff>
    </xdr:from>
    <xdr:to>
      <xdr:col>25</xdr:col>
      <xdr:colOff>317500</xdr:colOff>
      <xdr:row>93</xdr:row>
      <xdr:rowOff>177800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V="1">
          <a:off x="6781800" y="5054600"/>
          <a:ext cx="25400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cy-sky.com/blogs/news/profitability-of-a-shave-ice-business" TargetMode="External"/><Relationship Id="rId2" Type="http://schemas.openxmlformats.org/officeDocument/2006/relationships/hyperlink" Target="https://www.1-800-shaved-ice.com/prcoc.html" TargetMode="External"/><Relationship Id="rId1" Type="http://schemas.openxmlformats.org/officeDocument/2006/relationships/hyperlink" Target="https://suburbanstats.org/population/utah/how-many-people-live-in-provo" TargetMode="External"/><Relationship Id="rId6" Type="http://schemas.openxmlformats.org/officeDocument/2006/relationships/printerSettings" Target="../printerSettings/printerSettings3.bin"/><Relationship Id="rId5" Type="http://schemas.openxmlformats.org/officeDocument/2006/relationships/hyperlink" Target="https://foodtruckempire.com/shaved-ice/open-operate/" TargetMode="External"/><Relationship Id="rId4" Type="http://schemas.openxmlformats.org/officeDocument/2006/relationships/hyperlink" Target="https://www.hawaiianshavedice.com/cost-of-a-shaved-ice-buisness-blo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2"/>
  <sheetViews>
    <sheetView tabSelected="1" zoomScale="85" workbookViewId="0">
      <pane ySplit="2" topLeftCell="A167" activePane="bottomLeft" state="frozen"/>
      <selection pane="bottomLeft" activeCell="D202" sqref="D202"/>
    </sheetView>
  </sheetViews>
  <sheetFormatPr defaultColWidth="15.140625" defaultRowHeight="15" customHeight="1"/>
  <cols>
    <col min="1" max="1" width="5.42578125" style="3" customWidth="1"/>
    <col min="2" max="2" width="28.7109375" style="3" customWidth="1"/>
    <col min="3" max="3" width="53.85546875" style="3" customWidth="1"/>
    <col min="4" max="4" width="20" style="3" customWidth="1"/>
    <col min="5" max="13" width="14.7109375" style="3" customWidth="1"/>
    <col min="14" max="14" width="21" style="3" customWidth="1"/>
    <col min="15" max="15" width="13" style="3" customWidth="1"/>
    <col min="16" max="16" width="17.85546875" style="3" customWidth="1"/>
    <col min="17" max="17" width="15.140625" style="3"/>
    <col min="18" max="18" width="14.28515625" style="39" customWidth="1"/>
    <col min="19" max="19" width="45.28515625" style="3" customWidth="1"/>
    <col min="20" max="16384" width="15.140625" style="3"/>
  </cols>
  <sheetData>
    <row r="1" spans="1:19" ht="15" customHeight="1">
      <c r="A1" s="2" t="s">
        <v>104</v>
      </c>
    </row>
    <row r="2" spans="1:19" ht="13.5" customHeight="1">
      <c r="E2" s="4" t="s">
        <v>1</v>
      </c>
      <c r="F2" s="4" t="s">
        <v>2</v>
      </c>
      <c r="G2" s="4" t="s">
        <v>3</v>
      </c>
      <c r="H2" s="4" t="s">
        <v>4</v>
      </c>
      <c r="I2" s="4" t="s">
        <v>5</v>
      </c>
      <c r="J2" s="4" t="s">
        <v>6</v>
      </c>
      <c r="K2" s="4" t="s">
        <v>7</v>
      </c>
      <c r="L2" s="4" t="s">
        <v>8</v>
      </c>
      <c r="M2" s="4" t="s">
        <v>9</v>
      </c>
      <c r="N2" s="4" t="s">
        <v>10</v>
      </c>
      <c r="R2" s="40" t="s">
        <v>102</v>
      </c>
    </row>
    <row r="3" spans="1:19" ht="13.5" customHeight="1">
      <c r="A3" s="2" t="s">
        <v>71</v>
      </c>
      <c r="I3" s="2"/>
    </row>
    <row r="4" spans="1:19" ht="13.5" customHeight="1">
      <c r="A4" s="3" t="s">
        <v>73</v>
      </c>
      <c r="E4" s="5">
        <v>117000</v>
      </c>
      <c r="F4" s="6">
        <f t="shared" ref="F4:N4" si="0">E4*(1+$P4)</f>
        <v>117000</v>
      </c>
      <c r="G4" s="6">
        <f t="shared" si="0"/>
        <v>117000</v>
      </c>
      <c r="H4" s="6">
        <f t="shared" si="0"/>
        <v>117000</v>
      </c>
      <c r="I4" s="6">
        <f t="shared" si="0"/>
        <v>117000</v>
      </c>
      <c r="J4" s="6">
        <f t="shared" si="0"/>
        <v>117000</v>
      </c>
      <c r="K4" s="6">
        <f t="shared" si="0"/>
        <v>117000</v>
      </c>
      <c r="L4" s="6">
        <f t="shared" si="0"/>
        <v>117000</v>
      </c>
      <c r="M4" s="6">
        <f t="shared" si="0"/>
        <v>117000</v>
      </c>
      <c r="N4" s="6">
        <f t="shared" si="0"/>
        <v>117000</v>
      </c>
      <c r="P4" s="7">
        <v>0</v>
      </c>
      <c r="Q4" s="3" t="s">
        <v>33</v>
      </c>
      <c r="R4" s="69" t="s">
        <v>109</v>
      </c>
      <c r="S4" s="70"/>
    </row>
    <row r="5" spans="1:19" ht="13.5" customHeight="1">
      <c r="A5" s="3" t="s">
        <v>105</v>
      </c>
      <c r="E5" s="8">
        <v>5</v>
      </c>
      <c r="F5" s="9">
        <f t="shared" ref="F5:N5" si="1">E5*(1+$P5)</f>
        <v>5</v>
      </c>
      <c r="G5" s="9">
        <f t="shared" si="1"/>
        <v>5</v>
      </c>
      <c r="H5" s="9">
        <f t="shared" si="1"/>
        <v>5</v>
      </c>
      <c r="I5" s="9">
        <f t="shared" si="1"/>
        <v>5</v>
      </c>
      <c r="J5" s="9">
        <f t="shared" si="1"/>
        <v>5</v>
      </c>
      <c r="K5" s="9">
        <f t="shared" si="1"/>
        <v>5</v>
      </c>
      <c r="L5" s="9">
        <f t="shared" si="1"/>
        <v>5</v>
      </c>
      <c r="M5" s="9">
        <f t="shared" si="1"/>
        <v>5</v>
      </c>
      <c r="N5" s="9">
        <f t="shared" si="1"/>
        <v>5</v>
      </c>
      <c r="P5" s="7">
        <v>0</v>
      </c>
      <c r="Q5" s="3" t="s">
        <v>33</v>
      </c>
    </row>
    <row r="6" spans="1:19" ht="13.5" customHeight="1">
      <c r="A6" s="3" t="s">
        <v>32</v>
      </c>
      <c r="E6" s="31">
        <v>3</v>
      </c>
      <c r="F6" s="19">
        <f t="shared" ref="F6:N6" si="2">E6*(1+$P6)</f>
        <v>3.09</v>
      </c>
      <c r="G6" s="19">
        <f t="shared" si="2"/>
        <v>3.1827000000000001</v>
      </c>
      <c r="H6" s="19">
        <f t="shared" si="2"/>
        <v>3.278181</v>
      </c>
      <c r="I6" s="19">
        <f t="shared" si="2"/>
        <v>3.3765264300000002</v>
      </c>
      <c r="J6" s="19">
        <f t="shared" si="2"/>
        <v>3.4778222229000004</v>
      </c>
      <c r="K6" s="19">
        <f t="shared" si="2"/>
        <v>3.5821568895870004</v>
      </c>
      <c r="L6" s="19">
        <f t="shared" si="2"/>
        <v>3.6896215962746104</v>
      </c>
      <c r="M6" s="19">
        <f t="shared" si="2"/>
        <v>3.8003102441628487</v>
      </c>
      <c r="N6" s="19">
        <f t="shared" si="2"/>
        <v>3.914319551487734</v>
      </c>
      <c r="O6" s="19"/>
      <c r="P6" s="7">
        <v>0.03</v>
      </c>
      <c r="Q6" s="3" t="s">
        <v>33</v>
      </c>
    </row>
    <row r="7" spans="1:19" ht="13.5" customHeight="1">
      <c r="E7" s="31"/>
      <c r="F7" s="19"/>
      <c r="G7" s="19"/>
      <c r="H7" s="19"/>
      <c r="I7" s="19"/>
      <c r="J7" s="19"/>
      <c r="K7" s="19"/>
      <c r="L7" s="19"/>
      <c r="M7" s="19"/>
      <c r="N7" s="19"/>
      <c r="O7" s="19"/>
      <c r="P7" s="7"/>
    </row>
    <row r="8" spans="1:19" ht="13.5" customHeight="1">
      <c r="A8" s="3" t="s">
        <v>84</v>
      </c>
      <c r="E8" s="18">
        <v>0.2</v>
      </c>
      <c r="F8" s="18">
        <f t="shared" ref="F8:N8" si="3">E8*(1+$P8)</f>
        <v>0.20600000000000002</v>
      </c>
      <c r="G8" s="18">
        <f t="shared" si="3"/>
        <v>0.21218000000000004</v>
      </c>
      <c r="H8" s="18">
        <f t="shared" si="3"/>
        <v>0.21854540000000003</v>
      </c>
      <c r="I8" s="18">
        <f t="shared" si="3"/>
        <v>0.22510176200000004</v>
      </c>
      <c r="J8" s="18">
        <f t="shared" si="3"/>
        <v>0.23185481486000004</v>
      </c>
      <c r="K8" s="18">
        <f t="shared" si="3"/>
        <v>0.23881045930580005</v>
      </c>
      <c r="L8" s="18">
        <f t="shared" si="3"/>
        <v>0.24597477308497406</v>
      </c>
      <c r="M8" s="18">
        <f t="shared" si="3"/>
        <v>0.2533540162775233</v>
      </c>
      <c r="N8" s="18">
        <f t="shared" si="3"/>
        <v>0.26095463676584901</v>
      </c>
      <c r="P8" s="7">
        <v>0.03</v>
      </c>
      <c r="Q8" s="3" t="s">
        <v>33</v>
      </c>
      <c r="R8" s="69" t="s">
        <v>110</v>
      </c>
      <c r="S8" s="70"/>
    </row>
    <row r="9" spans="1:19" ht="13.5" customHeight="1">
      <c r="A9" s="3" t="s">
        <v>83</v>
      </c>
      <c r="E9" s="18">
        <v>0.15</v>
      </c>
      <c r="F9" s="18">
        <f t="shared" ref="F9:N9" si="4">E9*(1+$P9)</f>
        <v>0.15</v>
      </c>
      <c r="G9" s="18">
        <f t="shared" si="4"/>
        <v>0.15</v>
      </c>
      <c r="H9" s="18">
        <f t="shared" si="4"/>
        <v>0.15</v>
      </c>
      <c r="I9" s="18">
        <f t="shared" si="4"/>
        <v>0.15</v>
      </c>
      <c r="J9" s="18">
        <f t="shared" si="4"/>
        <v>0.15</v>
      </c>
      <c r="K9" s="18">
        <f t="shared" si="4"/>
        <v>0.15</v>
      </c>
      <c r="L9" s="18">
        <f t="shared" si="4"/>
        <v>0.15</v>
      </c>
      <c r="M9" s="18">
        <f t="shared" si="4"/>
        <v>0.15</v>
      </c>
      <c r="N9" s="18">
        <f t="shared" si="4"/>
        <v>0.15</v>
      </c>
      <c r="P9" s="7">
        <v>0</v>
      </c>
      <c r="Q9" s="3" t="s">
        <v>33</v>
      </c>
    </row>
    <row r="10" spans="1:19" ht="13.5" customHeight="1">
      <c r="E10" s="7"/>
      <c r="P10" s="7"/>
    </row>
    <row r="11" spans="1:19" ht="13.5" customHeight="1">
      <c r="A11" s="3" t="s">
        <v>34</v>
      </c>
      <c r="E11" s="19">
        <f>6*3*200</f>
        <v>3600</v>
      </c>
      <c r="F11" s="19">
        <f t="shared" ref="F11:N11" si="5">E11*(1+$P11)</f>
        <v>3600</v>
      </c>
      <c r="G11" s="19">
        <f t="shared" si="5"/>
        <v>3600</v>
      </c>
      <c r="H11" s="19">
        <f t="shared" si="5"/>
        <v>3600</v>
      </c>
      <c r="I11" s="19">
        <f t="shared" si="5"/>
        <v>3600</v>
      </c>
      <c r="J11" s="19">
        <f t="shared" si="5"/>
        <v>3600</v>
      </c>
      <c r="K11" s="19">
        <f t="shared" si="5"/>
        <v>3600</v>
      </c>
      <c r="L11" s="19">
        <f t="shared" si="5"/>
        <v>3600</v>
      </c>
      <c r="M11" s="19">
        <f t="shared" si="5"/>
        <v>3600</v>
      </c>
      <c r="N11" s="19">
        <f t="shared" si="5"/>
        <v>3600</v>
      </c>
      <c r="P11" s="7">
        <v>0</v>
      </c>
      <c r="Q11" s="3" t="s">
        <v>33</v>
      </c>
    </row>
    <row r="12" spans="1:19" ht="13.5" customHeight="1">
      <c r="A12" s="3" t="s">
        <v>107</v>
      </c>
      <c r="E12" s="9">
        <v>7.25</v>
      </c>
      <c r="F12" s="9">
        <f t="shared" ref="F12:N12" si="6">E12*(1+$P12)</f>
        <v>7.4675000000000002</v>
      </c>
      <c r="G12" s="9">
        <f t="shared" si="6"/>
        <v>7.6915250000000004</v>
      </c>
      <c r="H12" s="9">
        <f t="shared" si="6"/>
        <v>7.9222707500000009</v>
      </c>
      <c r="I12" s="9">
        <f t="shared" si="6"/>
        <v>8.1599388725000015</v>
      </c>
      <c r="J12" s="9">
        <f t="shared" si="6"/>
        <v>8.4047370386750018</v>
      </c>
      <c r="K12" s="9">
        <f t="shared" si="6"/>
        <v>8.6568791498352518</v>
      </c>
      <c r="L12" s="9">
        <f t="shared" si="6"/>
        <v>8.9165855243303103</v>
      </c>
      <c r="M12" s="9">
        <f t="shared" si="6"/>
        <v>9.1840830900602199</v>
      </c>
      <c r="N12" s="9">
        <f t="shared" si="6"/>
        <v>9.4596055827620269</v>
      </c>
      <c r="P12" s="7">
        <v>0.03</v>
      </c>
      <c r="Q12" s="3" t="s">
        <v>33</v>
      </c>
    </row>
    <row r="13" spans="1:19" ht="13.5" customHeight="1">
      <c r="E13" s="7"/>
      <c r="P13" s="7"/>
    </row>
    <row r="14" spans="1:19" ht="13.5" customHeight="1">
      <c r="A14" s="3" t="s">
        <v>35</v>
      </c>
      <c r="E14" s="9">
        <v>330000</v>
      </c>
      <c r="P14" s="7"/>
      <c r="R14" s="69" t="s">
        <v>111</v>
      </c>
      <c r="S14" s="70"/>
    </row>
    <row r="15" spans="1:19" ht="13.5" customHeight="1">
      <c r="A15" s="3" t="s">
        <v>74</v>
      </c>
      <c r="E15" s="19">
        <v>0.75</v>
      </c>
      <c r="P15" s="7"/>
    </row>
    <row r="16" spans="1:19" ht="13.5" customHeight="1">
      <c r="A16" s="3" t="s">
        <v>106</v>
      </c>
      <c r="E16" s="19">
        <v>75000</v>
      </c>
      <c r="P16" s="7"/>
    </row>
    <row r="17" spans="1:19" ht="13.5" customHeight="1">
      <c r="A17" s="3" t="s">
        <v>36</v>
      </c>
      <c r="E17" s="9">
        <v>75</v>
      </c>
      <c r="P17" s="7"/>
    </row>
    <row r="18" spans="1:19" ht="13.5" customHeight="1">
      <c r="A18" s="3" t="s">
        <v>37</v>
      </c>
      <c r="E18" s="19">
        <v>300</v>
      </c>
      <c r="P18" s="7"/>
    </row>
    <row r="19" spans="1:19" ht="13.5" customHeight="1">
      <c r="E19" s="19"/>
      <c r="P19" s="7"/>
    </row>
    <row r="20" spans="1:19" ht="13.5" customHeight="1">
      <c r="A20" s="3" t="s">
        <v>43</v>
      </c>
      <c r="E20" s="17">
        <v>1.098E-2</v>
      </c>
      <c r="F20" s="17">
        <f t="shared" ref="F20:N20" si="7">E20*(1+$P20)</f>
        <v>1.1529000000000001E-2</v>
      </c>
      <c r="G20" s="17">
        <f t="shared" si="7"/>
        <v>1.2105450000000002E-2</v>
      </c>
      <c r="H20" s="17">
        <f t="shared" si="7"/>
        <v>1.2710722500000002E-2</v>
      </c>
      <c r="I20" s="17">
        <f t="shared" si="7"/>
        <v>1.3346258625000003E-2</v>
      </c>
      <c r="J20" s="17">
        <f t="shared" si="7"/>
        <v>1.4013571556250003E-2</v>
      </c>
      <c r="K20" s="17">
        <f t="shared" si="7"/>
        <v>1.4714250134062504E-2</v>
      </c>
      <c r="L20" s="17">
        <f t="shared" si="7"/>
        <v>1.5449962640765629E-2</v>
      </c>
      <c r="M20" s="17">
        <f t="shared" si="7"/>
        <v>1.6222460772803912E-2</v>
      </c>
      <c r="N20" s="17">
        <f t="shared" si="7"/>
        <v>1.7033583811444108E-2</v>
      </c>
      <c r="P20" s="7">
        <v>0.05</v>
      </c>
      <c r="Q20" s="3" t="s">
        <v>33</v>
      </c>
    </row>
    <row r="21" spans="1:19" ht="13.5" customHeight="1">
      <c r="A21" s="3" t="s">
        <v>42</v>
      </c>
      <c r="E21" s="9">
        <v>1</v>
      </c>
      <c r="F21" s="9">
        <f t="shared" ref="F21:N21" si="8">E21*(1+$P21)</f>
        <v>1.05</v>
      </c>
      <c r="G21" s="9">
        <f t="shared" si="8"/>
        <v>1.1025</v>
      </c>
      <c r="H21" s="9">
        <f t="shared" si="8"/>
        <v>1.1576250000000001</v>
      </c>
      <c r="I21" s="9">
        <f t="shared" si="8"/>
        <v>1.2155062500000002</v>
      </c>
      <c r="J21" s="9">
        <f t="shared" si="8"/>
        <v>1.2762815625000004</v>
      </c>
      <c r="K21" s="9">
        <f t="shared" si="8"/>
        <v>1.3400956406250004</v>
      </c>
      <c r="L21" s="9">
        <f t="shared" si="8"/>
        <v>1.4071004226562505</v>
      </c>
      <c r="M21" s="9">
        <f t="shared" si="8"/>
        <v>1.477455443789063</v>
      </c>
      <c r="N21" s="9">
        <f t="shared" si="8"/>
        <v>1.5513282159785162</v>
      </c>
      <c r="P21" s="7">
        <v>0.05</v>
      </c>
      <c r="Q21" s="3" t="s">
        <v>33</v>
      </c>
    </row>
    <row r="22" spans="1:19" ht="13.5" customHeight="1">
      <c r="E22" s="7"/>
      <c r="P22" s="7"/>
    </row>
    <row r="23" spans="1:19" ht="13.5" customHeight="1">
      <c r="A23" s="3" t="s">
        <v>75</v>
      </c>
      <c r="E23" s="17">
        <v>4.1700000000000001E-2</v>
      </c>
      <c r="F23" s="17"/>
      <c r="G23" s="17"/>
      <c r="H23" s="17"/>
      <c r="I23" s="17"/>
      <c r="J23" s="17"/>
      <c r="K23" s="17"/>
      <c r="L23" s="17"/>
      <c r="M23" s="17"/>
      <c r="N23" s="17"/>
      <c r="P23" s="7"/>
      <c r="R23" s="69" t="s">
        <v>112</v>
      </c>
      <c r="S23" s="70"/>
    </row>
    <row r="24" spans="1:19" ht="13.5" customHeight="1">
      <c r="A24" s="3" t="s">
        <v>76</v>
      </c>
      <c r="E24" s="19">
        <v>30</v>
      </c>
      <c r="F24" s="17"/>
      <c r="G24" s="17"/>
      <c r="H24" s="17"/>
      <c r="I24" s="17"/>
      <c r="J24" s="17"/>
      <c r="K24" s="17"/>
      <c r="L24" s="17"/>
      <c r="M24" s="17"/>
      <c r="N24" s="17"/>
      <c r="P24" s="7"/>
    </row>
    <row r="25" spans="1:19" ht="13.5" customHeight="1">
      <c r="A25" s="3" t="s">
        <v>77</v>
      </c>
      <c r="E25" s="10">
        <v>0.7</v>
      </c>
      <c r="F25" s="17"/>
      <c r="G25" s="17"/>
      <c r="H25" s="17"/>
      <c r="I25" s="17"/>
      <c r="J25" s="17"/>
      <c r="K25" s="17"/>
      <c r="L25" s="17"/>
      <c r="M25" s="17"/>
      <c r="N25" s="17"/>
      <c r="P25" s="7"/>
    </row>
    <row r="26" spans="1:19" ht="13.5" customHeight="1">
      <c r="A26" s="3" t="s">
        <v>78</v>
      </c>
      <c r="E26" s="28">
        <f>E25*(E71+E72)</f>
        <v>189000</v>
      </c>
      <c r="F26" s="17"/>
      <c r="G26" s="17"/>
      <c r="H26" s="17"/>
      <c r="I26" s="17"/>
      <c r="J26" s="17"/>
      <c r="K26" s="17"/>
      <c r="L26" s="17"/>
      <c r="M26" s="17"/>
      <c r="N26" s="17"/>
      <c r="P26" s="7"/>
    </row>
    <row r="27" spans="1:19" ht="13.5" customHeight="1">
      <c r="A27" s="3" t="s">
        <v>79</v>
      </c>
      <c r="E27" s="17">
        <v>0.09</v>
      </c>
      <c r="F27" s="17">
        <f t="shared" ref="F27:N27" si="9">E27*(1+$P27)</f>
        <v>0.09</v>
      </c>
      <c r="G27" s="17">
        <f t="shared" si="9"/>
        <v>0.09</v>
      </c>
      <c r="H27" s="17">
        <f t="shared" si="9"/>
        <v>0.09</v>
      </c>
      <c r="I27" s="17">
        <f t="shared" si="9"/>
        <v>0.09</v>
      </c>
      <c r="J27" s="17">
        <f t="shared" si="9"/>
        <v>0.09</v>
      </c>
      <c r="K27" s="17">
        <f t="shared" si="9"/>
        <v>0.09</v>
      </c>
      <c r="L27" s="17">
        <f t="shared" si="9"/>
        <v>0.09</v>
      </c>
      <c r="M27" s="17">
        <f t="shared" si="9"/>
        <v>0.09</v>
      </c>
      <c r="N27" s="17">
        <f t="shared" si="9"/>
        <v>0.09</v>
      </c>
      <c r="P27" s="7">
        <v>0</v>
      </c>
      <c r="Q27" s="3" t="s">
        <v>33</v>
      </c>
    </row>
    <row r="28" spans="1:19" ht="13.5" customHeight="1">
      <c r="A28" s="3" t="s">
        <v>80</v>
      </c>
      <c r="E28" s="17">
        <v>0.25</v>
      </c>
      <c r="F28" s="17"/>
      <c r="G28" s="17"/>
      <c r="H28" s="17"/>
      <c r="I28" s="17"/>
      <c r="J28" s="17"/>
      <c r="K28" s="17"/>
      <c r="L28" s="17"/>
      <c r="M28" s="17"/>
      <c r="N28" s="17"/>
      <c r="P28" s="7"/>
    </row>
    <row r="29" spans="1:19" ht="13.5" customHeight="1">
      <c r="A29" s="3" t="s">
        <v>103</v>
      </c>
      <c r="E29" s="28">
        <f>E28*E75</f>
        <v>77092.55237823019</v>
      </c>
      <c r="F29" s="17"/>
      <c r="G29" s="17"/>
      <c r="H29" s="17"/>
      <c r="I29" s="17"/>
      <c r="J29" s="17"/>
      <c r="K29" s="17"/>
      <c r="L29" s="17"/>
      <c r="M29" s="17"/>
      <c r="N29" s="17"/>
      <c r="P29" s="7"/>
    </row>
    <row r="30" spans="1:19" ht="13.5" customHeight="1">
      <c r="E30" s="10"/>
      <c r="P30" s="7"/>
    </row>
    <row r="31" spans="1:19" ht="16.5" customHeight="1">
      <c r="A31" s="15" t="s">
        <v>81</v>
      </c>
      <c r="B31" s="15"/>
      <c r="C31" s="15"/>
      <c r="D31" s="15"/>
      <c r="E31" s="19">
        <v>7</v>
      </c>
      <c r="F31" s="19">
        <f t="shared" ref="F31:N31" si="10">E31*(1+$P31)</f>
        <v>7</v>
      </c>
      <c r="G31" s="19">
        <f t="shared" si="10"/>
        <v>7</v>
      </c>
      <c r="H31" s="19">
        <f t="shared" si="10"/>
        <v>7</v>
      </c>
      <c r="I31" s="19">
        <f t="shared" si="10"/>
        <v>7</v>
      </c>
      <c r="J31" s="19">
        <f t="shared" si="10"/>
        <v>7</v>
      </c>
      <c r="K31" s="19">
        <f t="shared" si="10"/>
        <v>7</v>
      </c>
      <c r="L31" s="19">
        <f t="shared" si="10"/>
        <v>7</v>
      </c>
      <c r="M31" s="19">
        <f t="shared" si="10"/>
        <v>7</v>
      </c>
      <c r="N31" s="19">
        <f t="shared" si="10"/>
        <v>7</v>
      </c>
      <c r="P31" s="7">
        <v>0</v>
      </c>
      <c r="Q31" s="3" t="s">
        <v>33</v>
      </c>
    </row>
    <row r="32" spans="1:19" ht="16.5" customHeight="1">
      <c r="A32" s="15" t="s">
        <v>82</v>
      </c>
      <c r="B32" s="15"/>
      <c r="C32" s="15"/>
      <c r="D32" s="15"/>
      <c r="E32" s="19">
        <v>10</v>
      </c>
      <c r="F32" s="19">
        <f t="shared" ref="F32:N32" si="11">E32*(1+$P32)</f>
        <v>10</v>
      </c>
      <c r="G32" s="19">
        <f t="shared" si="11"/>
        <v>10</v>
      </c>
      <c r="H32" s="19">
        <f t="shared" si="11"/>
        <v>10</v>
      </c>
      <c r="I32" s="19">
        <f t="shared" si="11"/>
        <v>10</v>
      </c>
      <c r="J32" s="19">
        <f t="shared" si="11"/>
        <v>10</v>
      </c>
      <c r="K32" s="19">
        <f t="shared" si="11"/>
        <v>10</v>
      </c>
      <c r="L32" s="19">
        <f t="shared" si="11"/>
        <v>10</v>
      </c>
      <c r="M32" s="19">
        <f t="shared" si="11"/>
        <v>10</v>
      </c>
      <c r="N32" s="19">
        <f t="shared" si="11"/>
        <v>10</v>
      </c>
      <c r="P32" s="7">
        <v>0</v>
      </c>
      <c r="Q32" s="3" t="s">
        <v>33</v>
      </c>
    </row>
    <row r="33" spans="1:26" ht="16.5" customHeight="1">
      <c r="A33" s="15" t="s">
        <v>45</v>
      </c>
      <c r="B33" s="15"/>
      <c r="C33" s="15"/>
      <c r="D33" s="15"/>
      <c r="E33" s="19">
        <v>3</v>
      </c>
      <c r="F33" s="19">
        <f t="shared" ref="F33:N33" si="12">E33*(1+$P33)</f>
        <v>3</v>
      </c>
      <c r="G33" s="19">
        <f t="shared" si="12"/>
        <v>3</v>
      </c>
      <c r="H33" s="19">
        <f t="shared" si="12"/>
        <v>3</v>
      </c>
      <c r="I33" s="19">
        <f t="shared" si="12"/>
        <v>3</v>
      </c>
      <c r="J33" s="19">
        <f t="shared" si="12"/>
        <v>3</v>
      </c>
      <c r="K33" s="19">
        <f t="shared" si="12"/>
        <v>3</v>
      </c>
      <c r="L33" s="19">
        <f t="shared" si="12"/>
        <v>3</v>
      </c>
      <c r="M33" s="19">
        <f t="shared" si="12"/>
        <v>3</v>
      </c>
      <c r="N33" s="19">
        <f t="shared" si="12"/>
        <v>3</v>
      </c>
      <c r="P33" s="7">
        <v>0</v>
      </c>
      <c r="Q33" s="3" t="s">
        <v>33</v>
      </c>
    </row>
    <row r="34" spans="1:26" ht="16.5" customHeight="1">
      <c r="A34" s="15"/>
      <c r="B34" s="15"/>
      <c r="C34" s="15"/>
      <c r="D34" s="15"/>
      <c r="E34" s="11"/>
      <c r="P34" s="7"/>
    </row>
    <row r="35" spans="1:26" ht="16.5" customHeight="1">
      <c r="A35" s="15" t="s">
        <v>85</v>
      </c>
      <c r="B35" s="15"/>
      <c r="C35" s="15"/>
      <c r="D35" s="15"/>
      <c r="E35" s="18">
        <v>0.25</v>
      </c>
      <c r="F35" s="18">
        <f t="shared" ref="F35:N35" si="13">E35*(1+$P35)</f>
        <v>0.25</v>
      </c>
      <c r="G35" s="18">
        <f t="shared" si="13"/>
        <v>0.25</v>
      </c>
      <c r="H35" s="18">
        <f t="shared" si="13"/>
        <v>0.25</v>
      </c>
      <c r="I35" s="18">
        <f t="shared" si="13"/>
        <v>0.25</v>
      </c>
      <c r="J35" s="18">
        <f t="shared" si="13"/>
        <v>0.25</v>
      </c>
      <c r="K35" s="18">
        <f t="shared" si="13"/>
        <v>0.25</v>
      </c>
      <c r="L35" s="18">
        <f t="shared" si="13"/>
        <v>0.25</v>
      </c>
      <c r="M35" s="18">
        <f t="shared" si="13"/>
        <v>0.25</v>
      </c>
      <c r="N35" s="18">
        <f t="shared" si="13"/>
        <v>0.25</v>
      </c>
      <c r="P35" s="7">
        <v>0</v>
      </c>
      <c r="Q35" s="3" t="s">
        <v>33</v>
      </c>
    </row>
    <row r="36" spans="1:26" ht="16.5" customHeight="1">
      <c r="A36" s="15" t="s">
        <v>86</v>
      </c>
      <c r="B36" s="15"/>
      <c r="C36" s="15"/>
      <c r="D36" s="15"/>
      <c r="E36" s="3">
        <v>30</v>
      </c>
      <c r="F36" s="3">
        <f t="shared" ref="F36:N36" si="14">E36*(1+$P36)</f>
        <v>30</v>
      </c>
      <c r="G36" s="3">
        <f t="shared" si="14"/>
        <v>30</v>
      </c>
      <c r="H36" s="3">
        <f t="shared" si="14"/>
        <v>30</v>
      </c>
      <c r="I36" s="3">
        <f t="shared" si="14"/>
        <v>30</v>
      </c>
      <c r="J36" s="3">
        <f t="shared" si="14"/>
        <v>30</v>
      </c>
      <c r="K36" s="3">
        <f t="shared" si="14"/>
        <v>30</v>
      </c>
      <c r="L36" s="3">
        <f t="shared" si="14"/>
        <v>30</v>
      </c>
      <c r="M36" s="3">
        <f t="shared" si="14"/>
        <v>30</v>
      </c>
      <c r="N36" s="3">
        <f t="shared" si="14"/>
        <v>30</v>
      </c>
      <c r="P36" s="7">
        <v>0</v>
      </c>
      <c r="Q36" s="3" t="s">
        <v>33</v>
      </c>
    </row>
    <row r="37" spans="1:26" ht="16.5" customHeight="1">
      <c r="A37" s="15" t="s">
        <v>169</v>
      </c>
      <c r="B37" s="15"/>
      <c r="C37" s="15"/>
      <c r="D37" s="15"/>
      <c r="F37" s="3">
        <v>1000</v>
      </c>
      <c r="H37" s="3">
        <v>1000</v>
      </c>
      <c r="J37" s="3">
        <v>1000</v>
      </c>
      <c r="L37" s="3">
        <v>1000</v>
      </c>
      <c r="P37" s="7"/>
    </row>
    <row r="38" spans="1:26" ht="16.5" customHeight="1">
      <c r="A38" s="15" t="s">
        <v>87</v>
      </c>
      <c r="B38" s="15"/>
      <c r="C38" s="15"/>
      <c r="D38" s="15"/>
      <c r="E38" s="17">
        <v>0.02</v>
      </c>
      <c r="F38" s="17">
        <f t="shared" ref="F38:N38" si="15">E38*(1+$P38)</f>
        <v>0.02</v>
      </c>
      <c r="G38" s="17">
        <f t="shared" si="15"/>
        <v>0.02</v>
      </c>
      <c r="H38" s="17">
        <f t="shared" si="15"/>
        <v>0.02</v>
      </c>
      <c r="I38" s="17">
        <f t="shared" si="15"/>
        <v>0.02</v>
      </c>
      <c r="J38" s="17">
        <f t="shared" si="15"/>
        <v>0.02</v>
      </c>
      <c r="K38" s="17">
        <f t="shared" si="15"/>
        <v>0.02</v>
      </c>
      <c r="L38" s="17">
        <f t="shared" si="15"/>
        <v>0.02</v>
      </c>
      <c r="M38" s="17">
        <f t="shared" si="15"/>
        <v>0.02</v>
      </c>
      <c r="N38" s="17">
        <f t="shared" si="15"/>
        <v>0.02</v>
      </c>
      <c r="P38" s="7">
        <v>0</v>
      </c>
      <c r="Q38" s="3" t="s">
        <v>33</v>
      </c>
    </row>
    <row r="39" spans="1:26" ht="16.5" customHeight="1">
      <c r="A39" s="15"/>
      <c r="B39" s="15"/>
      <c r="C39" s="15"/>
      <c r="D39" s="15"/>
      <c r="I39" s="2"/>
    </row>
    <row r="40" spans="1:26" ht="13.5" customHeight="1">
      <c r="A40" s="2" t="s">
        <v>11</v>
      </c>
    </row>
    <row r="41" spans="1:26" ht="13.5" customHeight="1">
      <c r="A41" s="3" t="s">
        <v>12</v>
      </c>
      <c r="E41" s="12">
        <f t="shared" ref="E41:N41" si="16">E4*E5/E6</f>
        <v>195000</v>
      </c>
      <c r="F41" s="12">
        <f t="shared" si="16"/>
        <v>189320.38834951457</v>
      </c>
      <c r="G41" s="12">
        <f t="shared" si="16"/>
        <v>183806.20228108211</v>
      </c>
      <c r="H41" s="12">
        <f t="shared" si="16"/>
        <v>178452.62357386612</v>
      </c>
      <c r="I41" s="12">
        <f t="shared" si="16"/>
        <v>173254.97434355933</v>
      </c>
      <c r="J41" s="12">
        <f t="shared" si="16"/>
        <v>168208.71295491196</v>
      </c>
      <c r="K41" s="12">
        <f t="shared" si="16"/>
        <v>163309.43005331259</v>
      </c>
      <c r="L41" s="12">
        <f t="shared" si="16"/>
        <v>158552.84471195395</v>
      </c>
      <c r="M41" s="12">
        <f t="shared" si="16"/>
        <v>153934.80069121745</v>
      </c>
      <c r="N41" s="12">
        <f t="shared" si="16"/>
        <v>149451.26280700724</v>
      </c>
      <c r="R41" s="103" t="s">
        <v>109</v>
      </c>
      <c r="S41" s="103"/>
      <c r="T41" s="103"/>
      <c r="U41" s="103"/>
      <c r="V41" s="103"/>
      <c r="W41" s="103"/>
      <c r="X41" s="103"/>
      <c r="Y41" s="103"/>
      <c r="Z41" s="103"/>
    </row>
    <row r="42" spans="1:26" ht="13.5" customHeight="1">
      <c r="A42" s="3" t="s">
        <v>13</v>
      </c>
      <c r="E42" s="13">
        <f t="shared" ref="E42:N42" si="17">E41*E8</f>
        <v>39000</v>
      </c>
      <c r="F42" s="13">
        <f t="shared" si="17"/>
        <v>39000.000000000007</v>
      </c>
      <c r="G42" s="13">
        <f t="shared" si="17"/>
        <v>39000.000000000007</v>
      </c>
      <c r="H42" s="13">
        <f t="shared" si="17"/>
        <v>39000.000000000007</v>
      </c>
      <c r="I42" s="13">
        <f t="shared" si="17"/>
        <v>39000.000000000007</v>
      </c>
      <c r="J42" s="13">
        <f t="shared" si="17"/>
        <v>39000</v>
      </c>
      <c r="K42" s="13">
        <f t="shared" si="17"/>
        <v>39000.000000000007</v>
      </c>
      <c r="L42" s="13">
        <f t="shared" si="17"/>
        <v>39000</v>
      </c>
      <c r="M42" s="13">
        <f t="shared" si="17"/>
        <v>39000.000000000007</v>
      </c>
      <c r="N42" s="13">
        <f t="shared" si="17"/>
        <v>39000.000000000015</v>
      </c>
      <c r="R42" s="103" t="s">
        <v>110</v>
      </c>
      <c r="S42" s="103"/>
      <c r="T42" s="103"/>
      <c r="U42" s="103"/>
      <c r="V42" s="103"/>
      <c r="W42" s="103"/>
      <c r="X42" s="103"/>
      <c r="Y42" s="103"/>
      <c r="Z42" s="103"/>
    </row>
    <row r="43" spans="1:26" ht="13.5" customHeight="1">
      <c r="A43" s="3" t="s">
        <v>14</v>
      </c>
      <c r="E43" s="12">
        <f t="shared" ref="E43" si="18">E41-E42</f>
        <v>156000</v>
      </c>
      <c r="F43" s="12">
        <f t="shared" ref="F43:N43" si="19">F41-F42</f>
        <v>150320.38834951457</v>
      </c>
      <c r="G43" s="12">
        <f t="shared" si="19"/>
        <v>144806.20228108211</v>
      </c>
      <c r="H43" s="12">
        <f t="shared" si="19"/>
        <v>139452.62357386612</v>
      </c>
      <c r="I43" s="12">
        <f t="shared" si="19"/>
        <v>134254.97434355933</v>
      </c>
      <c r="J43" s="12">
        <f t="shared" si="19"/>
        <v>129208.71295491196</v>
      </c>
      <c r="K43" s="12">
        <f t="shared" si="19"/>
        <v>124309.43005331259</v>
      </c>
      <c r="L43" s="12">
        <f t="shared" si="19"/>
        <v>119552.84471195395</v>
      </c>
      <c r="M43" s="12">
        <f t="shared" si="19"/>
        <v>114934.80069121745</v>
      </c>
      <c r="N43" s="12">
        <f t="shared" si="19"/>
        <v>110451.26280700722</v>
      </c>
    </row>
    <row r="44" spans="1:26" ht="13.5" customHeight="1">
      <c r="E44" s="12"/>
      <c r="F44" s="12"/>
      <c r="G44" s="12"/>
      <c r="H44" s="12"/>
      <c r="I44" s="12"/>
      <c r="J44" s="12"/>
    </row>
    <row r="45" spans="1:26" ht="13.5" customHeight="1">
      <c r="A45" s="3" t="s">
        <v>15</v>
      </c>
      <c r="E45" s="12"/>
      <c r="F45" s="12"/>
      <c r="G45" s="12"/>
      <c r="H45" s="12"/>
      <c r="I45" s="12"/>
      <c r="J45" s="12"/>
    </row>
    <row r="46" spans="1:26" ht="13.5" customHeight="1">
      <c r="B46" s="3" t="s">
        <v>16</v>
      </c>
      <c r="E46" s="12">
        <f t="shared" ref="E46:N46" si="20">E11*E12</f>
        <v>26100</v>
      </c>
      <c r="F46" s="12">
        <f t="shared" si="20"/>
        <v>26883</v>
      </c>
      <c r="G46" s="12">
        <f t="shared" si="20"/>
        <v>27689.49</v>
      </c>
      <c r="H46" s="12">
        <f t="shared" si="20"/>
        <v>28520.174700000003</v>
      </c>
      <c r="I46" s="12">
        <f t="shared" si="20"/>
        <v>29375.779941000004</v>
      </c>
      <c r="J46" s="12">
        <f t="shared" si="20"/>
        <v>30257.053339230006</v>
      </c>
      <c r="K46" s="12">
        <f t="shared" si="20"/>
        <v>31164.764939406905</v>
      </c>
      <c r="L46" s="12">
        <f t="shared" si="20"/>
        <v>32099.707887589117</v>
      </c>
      <c r="M46" s="12">
        <f t="shared" si="20"/>
        <v>33062.699124216793</v>
      </c>
      <c r="N46" s="12">
        <f t="shared" si="20"/>
        <v>34054.580097943297</v>
      </c>
    </row>
    <row r="47" spans="1:26" ht="13.5" customHeight="1">
      <c r="B47" s="3" t="s">
        <v>17</v>
      </c>
      <c r="E47" s="12">
        <f t="shared" ref="E47:N47" si="21">E41*E9</f>
        <v>29250</v>
      </c>
      <c r="F47" s="12">
        <f t="shared" si="21"/>
        <v>28398.058252427185</v>
      </c>
      <c r="G47" s="12">
        <f t="shared" si="21"/>
        <v>27570.930342162315</v>
      </c>
      <c r="H47" s="12">
        <f t="shared" si="21"/>
        <v>26767.893536079919</v>
      </c>
      <c r="I47" s="12">
        <f t="shared" si="21"/>
        <v>25988.246151533898</v>
      </c>
      <c r="J47" s="12">
        <f t="shared" si="21"/>
        <v>25231.306943236792</v>
      </c>
      <c r="K47" s="12">
        <f t="shared" si="21"/>
        <v>24496.414507996888</v>
      </c>
      <c r="L47" s="12">
        <f t="shared" si="21"/>
        <v>23782.926706793092</v>
      </c>
      <c r="M47" s="12">
        <f t="shared" si="21"/>
        <v>23090.220103682615</v>
      </c>
      <c r="N47" s="12">
        <f t="shared" si="21"/>
        <v>22417.689421051084</v>
      </c>
      <c r="P47" s="7"/>
    </row>
    <row r="48" spans="1:26" ht="13.5" customHeight="1">
      <c r="B48" s="3" t="s">
        <v>44</v>
      </c>
      <c r="E48" s="12">
        <f t="shared" ref="E48:N48" si="22">E72*E20</f>
        <v>247.05</v>
      </c>
      <c r="F48" s="12">
        <f t="shared" si="22"/>
        <v>259.40250000000003</v>
      </c>
      <c r="G48" s="12">
        <f t="shared" si="22"/>
        <v>272.37262500000003</v>
      </c>
      <c r="H48" s="12">
        <f t="shared" si="22"/>
        <v>285.99125625000005</v>
      </c>
      <c r="I48" s="12">
        <f t="shared" si="22"/>
        <v>300.29081906250008</v>
      </c>
      <c r="J48" s="12">
        <f t="shared" si="22"/>
        <v>315.30536001562507</v>
      </c>
      <c r="K48" s="12">
        <f t="shared" si="22"/>
        <v>331.07062801640632</v>
      </c>
      <c r="L48" s="12">
        <f t="shared" si="22"/>
        <v>347.62415941722668</v>
      </c>
      <c r="M48" s="12">
        <f t="shared" si="22"/>
        <v>365.00536738808802</v>
      </c>
      <c r="N48" s="12">
        <f t="shared" si="22"/>
        <v>383.25563575749243</v>
      </c>
    </row>
    <row r="49" spans="1:26" ht="13.5" customHeight="1">
      <c r="B49" s="3" t="s">
        <v>108</v>
      </c>
      <c r="E49" s="12">
        <f t="shared" ref="E49:N49" si="23">$E$18*E21</f>
        <v>300</v>
      </c>
      <c r="F49" s="12">
        <f t="shared" si="23"/>
        <v>315</v>
      </c>
      <c r="G49" s="12">
        <f t="shared" si="23"/>
        <v>330.75</v>
      </c>
      <c r="H49" s="12">
        <f t="shared" si="23"/>
        <v>347.28750000000002</v>
      </c>
      <c r="I49" s="12">
        <f t="shared" si="23"/>
        <v>364.65187500000008</v>
      </c>
      <c r="J49" s="12">
        <f t="shared" si="23"/>
        <v>382.88446875000011</v>
      </c>
      <c r="K49" s="12">
        <f t="shared" si="23"/>
        <v>402.0286921875001</v>
      </c>
      <c r="L49" s="12">
        <f t="shared" si="23"/>
        <v>422.13012679687512</v>
      </c>
      <c r="M49" s="12">
        <f t="shared" si="23"/>
        <v>443.23663313671892</v>
      </c>
      <c r="N49" s="12">
        <f t="shared" si="23"/>
        <v>465.39846479355487</v>
      </c>
    </row>
    <row r="50" spans="1:26" ht="13.5" customHeight="1">
      <c r="B50" s="3" t="s">
        <v>38</v>
      </c>
      <c r="E50" s="13">
        <f t="shared" ref="E50:N50" si="24">E72/E36</f>
        <v>750</v>
      </c>
      <c r="F50" s="13">
        <f t="shared" si="24"/>
        <v>750</v>
      </c>
      <c r="G50" s="13">
        <f t="shared" si="24"/>
        <v>750</v>
      </c>
      <c r="H50" s="13">
        <f t="shared" si="24"/>
        <v>750</v>
      </c>
      <c r="I50" s="13">
        <f t="shared" si="24"/>
        <v>750</v>
      </c>
      <c r="J50" s="13">
        <f t="shared" si="24"/>
        <v>750</v>
      </c>
      <c r="K50" s="13">
        <f t="shared" si="24"/>
        <v>750</v>
      </c>
      <c r="L50" s="13">
        <f t="shared" si="24"/>
        <v>750</v>
      </c>
      <c r="M50" s="13">
        <f t="shared" si="24"/>
        <v>750</v>
      </c>
      <c r="N50" s="13">
        <f t="shared" si="24"/>
        <v>750</v>
      </c>
    </row>
    <row r="51" spans="1:26" ht="13.5" customHeight="1">
      <c r="A51" s="3" t="s">
        <v>18</v>
      </c>
      <c r="E51" s="12">
        <f>SUM(E46:E50)</f>
        <v>56647.05</v>
      </c>
      <c r="F51" s="12">
        <f t="shared" ref="F51:N51" si="25">SUM(F46:F50)</f>
        <v>56605.460752427185</v>
      </c>
      <c r="G51" s="12">
        <f t="shared" si="25"/>
        <v>56613.542967162321</v>
      </c>
      <c r="H51" s="12">
        <f t="shared" si="25"/>
        <v>56671.346992329927</v>
      </c>
      <c r="I51" s="12">
        <f t="shared" si="25"/>
        <v>56778.968786596408</v>
      </c>
      <c r="J51" s="12">
        <f t="shared" si="25"/>
        <v>56936.550111232427</v>
      </c>
      <c r="K51" s="12">
        <f t="shared" si="25"/>
        <v>57144.278767607699</v>
      </c>
      <c r="L51" s="12">
        <f t="shared" si="25"/>
        <v>57402.388880596307</v>
      </c>
      <c r="M51" s="12">
        <f t="shared" si="25"/>
        <v>57711.161228424215</v>
      </c>
      <c r="N51" s="12">
        <f t="shared" si="25"/>
        <v>58070.923619545429</v>
      </c>
    </row>
    <row r="52" spans="1:26" ht="13.5" customHeight="1">
      <c r="E52" s="12"/>
      <c r="F52" s="12"/>
      <c r="G52" s="12"/>
      <c r="H52" s="12"/>
      <c r="I52" s="12"/>
      <c r="J52" s="12"/>
    </row>
    <row r="53" spans="1:26" ht="13.5" customHeight="1">
      <c r="A53" s="3" t="s">
        <v>19</v>
      </c>
      <c r="E53" s="12">
        <f>E43-E51</f>
        <v>99352.95</v>
      </c>
      <c r="F53" s="12">
        <f t="shared" ref="F53:N53" si="26">F43-F51</f>
        <v>93714.927597087386</v>
      </c>
      <c r="G53" s="12">
        <f t="shared" si="26"/>
        <v>88192.659313919779</v>
      </c>
      <c r="H53" s="12">
        <f t="shared" si="26"/>
        <v>82781.276581536193</v>
      </c>
      <c r="I53" s="12">
        <f t="shared" si="26"/>
        <v>77476.005556962918</v>
      </c>
      <c r="J53" s="12">
        <f t="shared" si="26"/>
        <v>72272.162843679529</v>
      </c>
      <c r="K53" s="12">
        <f t="shared" si="26"/>
        <v>67165.151285704895</v>
      </c>
      <c r="L53" s="12">
        <f t="shared" si="26"/>
        <v>62150.455831357642</v>
      </c>
      <c r="M53" s="12">
        <f t="shared" si="26"/>
        <v>57223.639462793231</v>
      </c>
      <c r="N53" s="12">
        <f t="shared" si="26"/>
        <v>52380.339187461796</v>
      </c>
    </row>
    <row r="54" spans="1:26" ht="13.5" customHeight="1">
      <c r="E54" s="12"/>
      <c r="F54" s="12"/>
      <c r="G54" s="12"/>
      <c r="H54" s="12"/>
      <c r="I54" s="12"/>
      <c r="J54" s="12"/>
    </row>
    <row r="55" spans="1:26" ht="13.5" customHeight="1">
      <c r="A55" s="3" t="s">
        <v>39</v>
      </c>
      <c r="E55" s="12">
        <f>'Amortization Table'!D14</f>
        <v>7820.0073452896368</v>
      </c>
      <c r="F55" s="12">
        <f>'Amortization Table'!D28</f>
        <v>7682.6598851911867</v>
      </c>
      <c r="G55" s="12">
        <f>'Amortization Table'!D42</f>
        <v>7539.4742933470779</v>
      </c>
      <c r="H55" s="12">
        <f>'Amortization Table'!D56</f>
        <v>7390.2024124032923</v>
      </c>
      <c r="I55" s="12">
        <f>'Amortization Table'!D70</f>
        <v>7234.5855367559498</v>
      </c>
      <c r="J55" s="12">
        <f>'Amortization Table'!D84</f>
        <v>7072.3539641842845</v>
      </c>
      <c r="K55" s="12">
        <f>'Amortization Table'!D98</f>
        <v>6903.2265284251989</v>
      </c>
      <c r="L55" s="12">
        <f>'Amortization Table'!D112</f>
        <v>6726.9101118792942</v>
      </c>
      <c r="M55" s="12">
        <f>'Amortization Table'!D126</f>
        <v>6543.0991376038191</v>
      </c>
      <c r="N55" s="12">
        <f>'Amortization Table'!D140</f>
        <v>6351.4750397121679</v>
      </c>
      <c r="R55" s="103" t="s">
        <v>112</v>
      </c>
      <c r="S55" s="103"/>
      <c r="T55" s="103"/>
      <c r="U55" s="103"/>
      <c r="V55" s="103"/>
      <c r="W55" s="103"/>
      <c r="X55" s="103"/>
      <c r="Y55" s="103"/>
      <c r="Z55" s="103"/>
    </row>
    <row r="56" spans="1:26" ht="13.5" customHeight="1">
      <c r="A56" s="3" t="s">
        <v>40</v>
      </c>
      <c r="E56" s="12">
        <f t="shared" ref="E56:N56" si="27">E84*E27</f>
        <v>0</v>
      </c>
      <c r="F56" s="12">
        <f t="shared" si="27"/>
        <v>0</v>
      </c>
      <c r="G56" s="12">
        <f t="shared" si="27"/>
        <v>0</v>
      </c>
      <c r="H56" s="12">
        <f t="shared" si="27"/>
        <v>0</v>
      </c>
      <c r="I56" s="12">
        <f t="shared" si="27"/>
        <v>0</v>
      </c>
      <c r="J56" s="12">
        <f t="shared" si="27"/>
        <v>0</v>
      </c>
      <c r="K56" s="12">
        <f t="shared" si="27"/>
        <v>0</v>
      </c>
      <c r="L56" s="12">
        <f t="shared" si="27"/>
        <v>0</v>
      </c>
      <c r="M56" s="12">
        <f t="shared" si="27"/>
        <v>0</v>
      </c>
      <c r="N56" s="12">
        <f t="shared" si="27"/>
        <v>0</v>
      </c>
    </row>
    <row r="57" spans="1:26" ht="13.5" customHeight="1">
      <c r="E57" s="12"/>
      <c r="F57" s="12"/>
      <c r="G57" s="12"/>
      <c r="H57" s="12"/>
      <c r="I57" s="12"/>
      <c r="J57" s="12"/>
      <c r="K57" s="12"/>
      <c r="L57" s="12"/>
      <c r="M57" s="12"/>
      <c r="N57" s="12"/>
    </row>
    <row r="58" spans="1:26" ht="13.5" customHeight="1">
      <c r="A58" s="3" t="s">
        <v>20</v>
      </c>
      <c r="E58" s="12">
        <f>E53-E55-E56</f>
        <v>91532.942654710365</v>
      </c>
      <c r="F58" s="12">
        <f t="shared" ref="F58:N58" si="28">F53-F55-F56</f>
        <v>86032.267711896202</v>
      </c>
      <c r="G58" s="12">
        <f t="shared" si="28"/>
        <v>80653.185020572695</v>
      </c>
      <c r="H58" s="12">
        <f t="shared" si="28"/>
        <v>75391.074169132902</v>
      </c>
      <c r="I58" s="12">
        <f t="shared" si="28"/>
        <v>70241.420020206962</v>
      </c>
      <c r="J58" s="12">
        <f t="shared" si="28"/>
        <v>65199.808879495242</v>
      </c>
      <c r="K58" s="12">
        <f t="shared" si="28"/>
        <v>60261.924757279696</v>
      </c>
      <c r="L58" s="12">
        <f t="shared" si="28"/>
        <v>55423.545719478345</v>
      </c>
      <c r="M58" s="12">
        <f t="shared" si="28"/>
        <v>50680.540325189409</v>
      </c>
      <c r="N58" s="12">
        <f t="shared" si="28"/>
        <v>46028.864147749628</v>
      </c>
    </row>
    <row r="59" spans="1:26" ht="13.5" customHeight="1">
      <c r="A59" s="3" t="s">
        <v>21</v>
      </c>
      <c r="E59" s="13">
        <f t="shared" ref="E59:N59" si="29">E58*E35</f>
        <v>22883.235663677591</v>
      </c>
      <c r="F59" s="13">
        <f t="shared" si="29"/>
        <v>21508.06692797405</v>
      </c>
      <c r="G59" s="13">
        <f t="shared" si="29"/>
        <v>20163.296255143174</v>
      </c>
      <c r="H59" s="13">
        <f t="shared" si="29"/>
        <v>18847.768542283226</v>
      </c>
      <c r="I59" s="13">
        <f t="shared" si="29"/>
        <v>17560.355005051741</v>
      </c>
      <c r="J59" s="13">
        <f t="shared" si="29"/>
        <v>16299.95221987381</v>
      </c>
      <c r="K59" s="13">
        <f t="shared" si="29"/>
        <v>15065.481189319924</v>
      </c>
      <c r="L59" s="13">
        <f t="shared" si="29"/>
        <v>13855.886429869586</v>
      </c>
      <c r="M59" s="13">
        <f t="shared" si="29"/>
        <v>12670.135081297352</v>
      </c>
      <c r="N59" s="13">
        <f t="shared" si="29"/>
        <v>11507.216036937407</v>
      </c>
    </row>
    <row r="60" spans="1:26" ht="13.5" customHeight="1">
      <c r="A60" s="3" t="s">
        <v>88</v>
      </c>
      <c r="E60" s="12">
        <f t="shared" ref="E60:N60" si="30">E58-E59</f>
        <v>68649.70699103277</v>
      </c>
      <c r="F60" s="12">
        <f t="shared" si="30"/>
        <v>64524.200783922148</v>
      </c>
      <c r="G60" s="12">
        <f t="shared" si="30"/>
        <v>60489.888765429525</v>
      </c>
      <c r="H60" s="12">
        <f t="shared" si="30"/>
        <v>56543.305626849673</v>
      </c>
      <c r="I60" s="12">
        <f t="shared" si="30"/>
        <v>52681.065015155225</v>
      </c>
      <c r="J60" s="12">
        <f t="shared" si="30"/>
        <v>48899.85665962143</v>
      </c>
      <c r="K60" s="12">
        <f t="shared" si="30"/>
        <v>45196.443567959774</v>
      </c>
      <c r="L60" s="12">
        <f t="shared" si="30"/>
        <v>41567.65928960876</v>
      </c>
      <c r="M60" s="12">
        <f t="shared" si="30"/>
        <v>38010.405243892055</v>
      </c>
      <c r="N60" s="12">
        <f t="shared" si="30"/>
        <v>34521.648110812224</v>
      </c>
    </row>
    <row r="61" spans="1:26" ht="13.5" customHeight="1">
      <c r="E61" s="12"/>
      <c r="F61" s="12"/>
      <c r="G61" s="12"/>
      <c r="H61" s="12"/>
      <c r="I61" s="12"/>
      <c r="J61" s="12"/>
    </row>
    <row r="62" spans="1:26" ht="13.5" customHeight="1">
      <c r="A62" s="2" t="s">
        <v>22</v>
      </c>
      <c r="F62" s="14"/>
      <c r="H62" s="12"/>
      <c r="I62" s="12"/>
      <c r="J62" s="12"/>
    </row>
    <row r="63" spans="1:26" ht="13.5" customHeight="1">
      <c r="A63" s="3" t="s">
        <v>23</v>
      </c>
      <c r="E63" s="12"/>
      <c r="F63" s="12"/>
      <c r="G63" s="12"/>
      <c r="H63" s="12"/>
      <c r="I63" s="12"/>
      <c r="J63" s="12"/>
    </row>
    <row r="64" spans="1:26" ht="13.5" customHeight="1">
      <c r="A64" s="3" t="s">
        <v>24</v>
      </c>
      <c r="E64" s="12"/>
      <c r="F64" s="12"/>
      <c r="G64" s="12"/>
      <c r="H64" s="12"/>
      <c r="I64" s="12"/>
      <c r="J64" s="12"/>
    </row>
    <row r="65" spans="1:28" ht="13.5" customHeight="1">
      <c r="B65" s="3" t="s">
        <v>89</v>
      </c>
      <c r="E65" s="12">
        <f t="shared" ref="E65:N65" si="31">E38*E41</f>
        <v>3900</v>
      </c>
      <c r="F65" s="12">
        <f t="shared" si="31"/>
        <v>3786.4077669902913</v>
      </c>
      <c r="G65" s="12">
        <f t="shared" si="31"/>
        <v>3676.1240456216424</v>
      </c>
      <c r="H65" s="12">
        <f t="shared" si="31"/>
        <v>3569.0524714773223</v>
      </c>
      <c r="I65" s="12">
        <f t="shared" si="31"/>
        <v>3465.0994868711864</v>
      </c>
      <c r="J65" s="12">
        <f t="shared" si="31"/>
        <v>3364.1742590982394</v>
      </c>
      <c r="K65" s="12">
        <f t="shared" si="31"/>
        <v>3266.188601066252</v>
      </c>
      <c r="L65" s="12">
        <f t="shared" si="31"/>
        <v>3171.0568942390792</v>
      </c>
      <c r="M65" s="12">
        <f t="shared" si="31"/>
        <v>3078.6960138243489</v>
      </c>
      <c r="N65" s="12">
        <f t="shared" si="31"/>
        <v>2989.0252561401448</v>
      </c>
    </row>
    <row r="66" spans="1:28" ht="13.5" customHeight="1">
      <c r="B66" s="3" t="s">
        <v>90</v>
      </c>
      <c r="E66" s="12">
        <v>32869.524581413898</v>
      </c>
      <c r="F66" s="12">
        <v>93560.256849662401</v>
      </c>
      <c r="G66" s="12">
        <v>150099.221396487</v>
      </c>
      <c r="H66" s="12">
        <v>202567.04167603201</v>
      </c>
      <c r="I66" s="12">
        <v>251040.71844218599</v>
      </c>
      <c r="J66" s="12">
        <v>295593.69399182597</v>
      </c>
      <c r="K66" s="12">
        <v>336295.91315656801</v>
      </c>
      <c r="L66" s="12">
        <v>373213.88108965202</v>
      </c>
      <c r="M66" s="12">
        <v>406410.71789142402</v>
      </c>
      <c r="N66" s="12">
        <v>435946.21011381701</v>
      </c>
    </row>
    <row r="67" spans="1:28" ht="13.5" customHeight="1">
      <c r="B67" s="3" t="s">
        <v>91</v>
      </c>
      <c r="E67" s="12">
        <f t="shared" ref="E67:N67" si="32">(E41/365)*E33</f>
        <v>1602.7397260273974</v>
      </c>
      <c r="F67" s="12">
        <f t="shared" si="32"/>
        <v>1556.0579864343663</v>
      </c>
      <c r="G67" s="12">
        <f t="shared" si="32"/>
        <v>1510.735909159579</v>
      </c>
      <c r="H67" s="12">
        <f t="shared" si="32"/>
        <v>1466.7338923879408</v>
      </c>
      <c r="I67" s="12">
        <f t="shared" si="32"/>
        <v>1424.0134877552823</v>
      </c>
      <c r="J67" s="12">
        <f t="shared" si="32"/>
        <v>1382.537366752701</v>
      </c>
      <c r="K67" s="12">
        <f t="shared" si="32"/>
        <v>1342.2692881094185</v>
      </c>
      <c r="L67" s="12">
        <f t="shared" si="32"/>
        <v>1303.1740661256488</v>
      </c>
      <c r="M67" s="12">
        <f t="shared" si="32"/>
        <v>1265.2175399278146</v>
      </c>
      <c r="N67" s="12">
        <f t="shared" si="32"/>
        <v>1228.3665436192377</v>
      </c>
    </row>
    <row r="68" spans="1:28" ht="13.5" customHeight="1">
      <c r="B68" s="3" t="s">
        <v>25</v>
      </c>
      <c r="E68" s="29">
        <f t="shared" ref="E68:N68" si="33">E42/365*E31</f>
        <v>747.94520547945206</v>
      </c>
      <c r="F68" s="29">
        <f t="shared" si="33"/>
        <v>747.94520547945217</v>
      </c>
      <c r="G68" s="29">
        <f t="shared" si="33"/>
        <v>747.94520547945217</v>
      </c>
      <c r="H68" s="29">
        <f t="shared" si="33"/>
        <v>747.94520547945217</v>
      </c>
      <c r="I68" s="29">
        <f t="shared" si="33"/>
        <v>747.94520547945217</v>
      </c>
      <c r="J68" s="29">
        <f t="shared" si="33"/>
        <v>747.94520547945206</v>
      </c>
      <c r="K68" s="29">
        <f t="shared" si="33"/>
        <v>747.94520547945217</v>
      </c>
      <c r="L68" s="29">
        <f t="shared" si="33"/>
        <v>747.94520547945206</v>
      </c>
      <c r="M68" s="29">
        <f t="shared" si="33"/>
        <v>747.94520547945217</v>
      </c>
      <c r="N68" s="29">
        <f t="shared" si="33"/>
        <v>747.9452054794524</v>
      </c>
    </row>
    <row r="69" spans="1:28" ht="13.5" customHeight="1">
      <c r="A69" s="3" t="s">
        <v>92</v>
      </c>
      <c r="E69" s="12">
        <f t="shared" ref="E69" si="34">SUM(E65:E68)</f>
        <v>39120.209512920745</v>
      </c>
      <c r="F69" s="12">
        <f t="shared" ref="F69:N69" si="35">SUM(F65:F68)</f>
        <v>99650.667808566504</v>
      </c>
      <c r="G69" s="12">
        <f t="shared" si="35"/>
        <v>156034.02655674767</v>
      </c>
      <c r="H69" s="12">
        <f t="shared" si="35"/>
        <v>208350.77324537674</v>
      </c>
      <c r="I69" s="12">
        <f t="shared" si="35"/>
        <v>256677.77662229192</v>
      </c>
      <c r="J69" s="12">
        <f t="shared" si="35"/>
        <v>301088.35082315636</v>
      </c>
      <c r="K69" s="12">
        <f t="shared" si="35"/>
        <v>341652.31625122315</v>
      </c>
      <c r="L69" s="12">
        <f t="shared" si="35"/>
        <v>378436.05725549621</v>
      </c>
      <c r="M69" s="12">
        <f t="shared" si="35"/>
        <v>411502.57665065565</v>
      </c>
      <c r="N69" s="12">
        <f t="shared" si="35"/>
        <v>440911.54711905587</v>
      </c>
    </row>
    <row r="70" spans="1:28" ht="13.5" customHeight="1">
      <c r="E70" s="12"/>
      <c r="F70" s="12"/>
      <c r="G70" s="12"/>
      <c r="H70" s="16"/>
      <c r="I70" s="16"/>
      <c r="J70" s="12"/>
      <c r="K70" s="12"/>
      <c r="L70" s="12"/>
      <c r="M70" s="12"/>
      <c r="N70" s="12"/>
    </row>
    <row r="71" spans="1:28" ht="13.5" customHeight="1">
      <c r="B71" s="3" t="s">
        <v>26</v>
      </c>
      <c r="E71" s="12">
        <f>E14*E15</f>
        <v>247500</v>
      </c>
      <c r="F71" s="12">
        <f>E71</f>
        <v>247500</v>
      </c>
      <c r="G71" s="12">
        <f t="shared" ref="G71:N71" si="36">F71</f>
        <v>247500</v>
      </c>
      <c r="H71" s="12">
        <f t="shared" si="36"/>
        <v>247500</v>
      </c>
      <c r="I71" s="12">
        <f t="shared" si="36"/>
        <v>247500</v>
      </c>
      <c r="J71" s="12">
        <f t="shared" si="36"/>
        <v>247500</v>
      </c>
      <c r="K71" s="12">
        <f t="shared" si="36"/>
        <v>247500</v>
      </c>
      <c r="L71" s="12">
        <f t="shared" si="36"/>
        <v>247500</v>
      </c>
      <c r="M71" s="12">
        <f t="shared" si="36"/>
        <v>247500</v>
      </c>
      <c r="N71" s="12">
        <f t="shared" si="36"/>
        <v>247500</v>
      </c>
      <c r="R71" s="103" t="s">
        <v>111</v>
      </c>
      <c r="S71" s="103"/>
      <c r="T71" s="103"/>
      <c r="U71" s="103"/>
      <c r="V71" s="103"/>
      <c r="W71" s="103"/>
      <c r="X71" s="103"/>
      <c r="Y71" s="103"/>
      <c r="Z71" s="103"/>
    </row>
    <row r="72" spans="1:28" ht="13.5" customHeight="1">
      <c r="B72" s="3" t="s">
        <v>41</v>
      </c>
      <c r="E72" s="12">
        <f>E18*E17</f>
        <v>22500</v>
      </c>
      <c r="F72" s="12">
        <f>E72</f>
        <v>22500</v>
      </c>
      <c r="G72" s="12">
        <f t="shared" ref="G72:N72" si="37">F72</f>
        <v>22500</v>
      </c>
      <c r="H72" s="12">
        <f t="shared" si="37"/>
        <v>22500</v>
      </c>
      <c r="I72" s="12">
        <f t="shared" si="37"/>
        <v>22500</v>
      </c>
      <c r="J72" s="12">
        <f t="shared" si="37"/>
        <v>22500</v>
      </c>
      <c r="K72" s="12">
        <f t="shared" si="37"/>
        <v>22500</v>
      </c>
      <c r="L72" s="12">
        <f t="shared" si="37"/>
        <v>22500</v>
      </c>
      <c r="M72" s="12">
        <f t="shared" si="37"/>
        <v>22500</v>
      </c>
      <c r="N72" s="12">
        <f t="shared" si="37"/>
        <v>22500</v>
      </c>
    </row>
    <row r="73" spans="1:28" ht="13.5" customHeight="1">
      <c r="B73" s="3" t="s">
        <v>27</v>
      </c>
      <c r="E73" s="30">
        <f>C73+E50</f>
        <v>750</v>
      </c>
      <c r="F73" s="30">
        <f t="shared" ref="F73:N73" si="38">E73+F50</f>
        <v>1500</v>
      </c>
      <c r="G73" s="30">
        <f t="shared" si="38"/>
        <v>2250</v>
      </c>
      <c r="H73" s="30">
        <f t="shared" si="38"/>
        <v>3000</v>
      </c>
      <c r="I73" s="30">
        <f t="shared" si="38"/>
        <v>3750</v>
      </c>
      <c r="J73" s="30">
        <f t="shared" si="38"/>
        <v>4500</v>
      </c>
      <c r="K73" s="30">
        <f t="shared" si="38"/>
        <v>5250</v>
      </c>
      <c r="L73" s="30">
        <f t="shared" si="38"/>
        <v>6000</v>
      </c>
      <c r="M73" s="30">
        <f t="shared" si="38"/>
        <v>6750</v>
      </c>
      <c r="N73" s="30">
        <f t="shared" si="38"/>
        <v>7500</v>
      </c>
    </row>
    <row r="74" spans="1:28" ht="13.5" customHeight="1">
      <c r="E74" s="12"/>
      <c r="F74" s="12"/>
      <c r="G74" s="12"/>
      <c r="H74" s="16"/>
      <c r="I74" s="16"/>
      <c r="J74" s="12"/>
      <c r="K74" s="12"/>
      <c r="L74" s="12"/>
      <c r="M74" s="12"/>
      <c r="N74" s="12"/>
      <c r="Q74" s="2" t="s">
        <v>142</v>
      </c>
      <c r="R74" s="3"/>
      <c r="W74" s="52"/>
      <c r="AB74"/>
    </row>
    <row r="75" spans="1:28" ht="13.5" customHeight="1">
      <c r="A75" s="3" t="s">
        <v>93</v>
      </c>
      <c r="E75" s="12">
        <f t="shared" ref="E75:N75" si="39">E69+E71+E72-E73</f>
        <v>308370.20951292076</v>
      </c>
      <c r="F75" s="12">
        <f t="shared" si="39"/>
        <v>368150.66780856648</v>
      </c>
      <c r="G75" s="12">
        <f t="shared" si="39"/>
        <v>423784.02655674767</v>
      </c>
      <c r="H75" s="12">
        <f t="shared" si="39"/>
        <v>475350.77324537677</v>
      </c>
      <c r="I75" s="12">
        <f t="shared" si="39"/>
        <v>522927.77662229189</v>
      </c>
      <c r="J75" s="12">
        <f t="shared" si="39"/>
        <v>566588.3508231563</v>
      </c>
      <c r="K75" s="12">
        <f t="shared" si="39"/>
        <v>606402.31625122321</v>
      </c>
      <c r="L75" s="12">
        <f t="shared" si="39"/>
        <v>642436.05725549627</v>
      </c>
      <c r="M75" s="12">
        <f t="shared" si="39"/>
        <v>674752.5766506556</v>
      </c>
      <c r="N75" s="12">
        <f t="shared" si="39"/>
        <v>703411.54711905587</v>
      </c>
      <c r="Q75" s="3" t="s">
        <v>143</v>
      </c>
      <c r="R75" s="46">
        <f>(E53/(E55+E56))</f>
        <v>12.704968884696127</v>
      </c>
      <c r="S75" s="3" t="s">
        <v>144</v>
      </c>
      <c r="W75" s="48"/>
      <c r="AB75"/>
    </row>
    <row r="76" spans="1:28" ht="13.5" customHeight="1">
      <c r="H76" s="12"/>
      <c r="I76" s="12"/>
      <c r="J76" s="12"/>
      <c r="Q76" s="3" t="s">
        <v>145</v>
      </c>
      <c r="R76" s="45" t="s">
        <v>165</v>
      </c>
      <c r="S76" s="3" t="s">
        <v>146</v>
      </c>
      <c r="T76" s="75"/>
      <c r="AB76"/>
    </row>
    <row r="77" spans="1:28" ht="13.5" customHeight="1">
      <c r="A77" s="3" t="s">
        <v>28</v>
      </c>
      <c r="E77" s="12"/>
      <c r="F77" s="12"/>
      <c r="G77" s="12"/>
      <c r="H77" s="12"/>
      <c r="I77" s="12"/>
      <c r="J77" s="12"/>
      <c r="Q77" s="3" t="s">
        <v>147</v>
      </c>
      <c r="R77" s="41">
        <v>5.4000000000000003E-3</v>
      </c>
      <c r="S77" s="3" t="s">
        <v>148</v>
      </c>
      <c r="W77" s="48"/>
      <c r="AB77"/>
    </row>
    <row r="78" spans="1:28" ht="13.5" customHeight="1">
      <c r="A78" s="3" t="s">
        <v>29</v>
      </c>
      <c r="E78" s="12"/>
      <c r="F78" s="12"/>
      <c r="G78" s="12"/>
      <c r="H78" s="12"/>
      <c r="I78" s="12"/>
      <c r="J78" s="12"/>
      <c r="Q78" s="3" t="s">
        <v>149</v>
      </c>
      <c r="R78" s="41">
        <v>0.03</v>
      </c>
      <c r="W78" s="48"/>
      <c r="AB78"/>
    </row>
    <row r="79" spans="1:28" ht="13.5" customHeight="1">
      <c r="B79" s="3" t="s">
        <v>94</v>
      </c>
      <c r="E79" s="12">
        <f t="shared" ref="E79:N79" si="40">E42/365*E32</f>
        <v>1068.4931506849316</v>
      </c>
      <c r="F79" s="12">
        <f t="shared" si="40"/>
        <v>1068.4931506849316</v>
      </c>
      <c r="G79" s="12">
        <f t="shared" si="40"/>
        <v>1068.4931506849316</v>
      </c>
      <c r="H79" s="12">
        <f t="shared" si="40"/>
        <v>1068.4931506849316</v>
      </c>
      <c r="I79" s="12">
        <f t="shared" si="40"/>
        <v>1068.4931506849316</v>
      </c>
      <c r="J79" s="12">
        <f t="shared" si="40"/>
        <v>1068.4931506849316</v>
      </c>
      <c r="K79" s="12">
        <f t="shared" si="40"/>
        <v>1068.4931506849316</v>
      </c>
      <c r="L79" s="12">
        <f t="shared" si="40"/>
        <v>1068.4931506849316</v>
      </c>
      <c r="M79" s="12">
        <f t="shared" si="40"/>
        <v>1068.4931506849316</v>
      </c>
      <c r="N79" s="12">
        <f t="shared" si="40"/>
        <v>1068.4931506849321</v>
      </c>
      <c r="Q79" s="3" t="s">
        <v>150</v>
      </c>
      <c r="R79" s="41">
        <f>'Amortization Table'!I1</f>
        <v>4.1700000000000001E-2</v>
      </c>
      <c r="S79" s="3" t="s">
        <v>151</v>
      </c>
      <c r="W79" s="48"/>
      <c r="AB79"/>
    </row>
    <row r="80" spans="1:28" ht="13.5" customHeight="1">
      <c r="B80" s="3" t="s">
        <v>72</v>
      </c>
      <c r="E80" s="30">
        <f t="shared" ref="E80:N80" si="41">E59</f>
        <v>22883.235663677591</v>
      </c>
      <c r="F80" s="30">
        <f t="shared" si="41"/>
        <v>21508.06692797405</v>
      </c>
      <c r="G80" s="30">
        <f t="shared" si="41"/>
        <v>20163.296255143174</v>
      </c>
      <c r="H80" s="30">
        <f t="shared" si="41"/>
        <v>18847.768542283226</v>
      </c>
      <c r="I80" s="30">
        <f t="shared" si="41"/>
        <v>17560.355005051741</v>
      </c>
      <c r="J80" s="30">
        <f t="shared" si="41"/>
        <v>16299.95221987381</v>
      </c>
      <c r="K80" s="30">
        <f t="shared" si="41"/>
        <v>15065.481189319924</v>
      </c>
      <c r="L80" s="30">
        <f t="shared" si="41"/>
        <v>13855.886429869586</v>
      </c>
      <c r="M80" s="30">
        <f t="shared" si="41"/>
        <v>12670.135081297352</v>
      </c>
      <c r="N80" s="30">
        <f t="shared" si="41"/>
        <v>11507.216036937407</v>
      </c>
      <c r="R80" s="41"/>
      <c r="W80" s="48"/>
      <c r="AB80"/>
    </row>
    <row r="81" spans="1:28" ht="13.5" customHeight="1">
      <c r="A81" s="3" t="s">
        <v>95</v>
      </c>
      <c r="E81" s="12">
        <f>SUM(E79:E80)</f>
        <v>23951.728814362523</v>
      </c>
      <c r="F81" s="12">
        <f t="shared" ref="F81:N81" si="42">SUM(F79:F80)</f>
        <v>22576.560078658982</v>
      </c>
      <c r="G81" s="12">
        <f t="shared" si="42"/>
        <v>21231.789405828105</v>
      </c>
      <c r="H81" s="12">
        <f t="shared" si="42"/>
        <v>19916.261692968157</v>
      </c>
      <c r="I81" s="12">
        <f t="shared" si="42"/>
        <v>18628.848155736672</v>
      </c>
      <c r="J81" s="12">
        <f t="shared" si="42"/>
        <v>17368.445370558744</v>
      </c>
      <c r="K81" s="12">
        <f t="shared" si="42"/>
        <v>16133.974340004856</v>
      </c>
      <c r="L81" s="12">
        <f t="shared" si="42"/>
        <v>14924.379580554518</v>
      </c>
      <c r="M81" s="12">
        <f t="shared" si="42"/>
        <v>13738.628231982284</v>
      </c>
      <c r="N81" s="12">
        <f t="shared" si="42"/>
        <v>12575.709187622339</v>
      </c>
      <c r="R81" s="3"/>
      <c r="W81" s="48"/>
      <c r="AB81"/>
    </row>
    <row r="82" spans="1:28" ht="13.5" customHeight="1">
      <c r="E82" s="12"/>
      <c r="F82" s="12"/>
      <c r="G82" s="12"/>
      <c r="H82" s="12"/>
      <c r="I82" s="12"/>
      <c r="J82" s="12"/>
      <c r="Q82" s="2" t="s">
        <v>152</v>
      </c>
      <c r="R82" s="3"/>
      <c r="W82" s="48"/>
      <c r="AB82"/>
    </row>
    <row r="83" spans="1:28" ht="13.5" customHeight="1">
      <c r="A83" s="3" t="s">
        <v>96</v>
      </c>
      <c r="E83" s="12">
        <f>'Amortization Table'!F13</f>
        <v>185768.77370752551</v>
      </c>
      <c r="F83" s="12">
        <f>'Amortization Table'!F27</f>
        <v>182400.19995495255</v>
      </c>
      <c r="G83" s="12">
        <f>'Amortization Table'!F41</f>
        <v>178888.44061053547</v>
      </c>
      <c r="H83" s="12">
        <f>'Amortization Table'!F55</f>
        <v>175227.4093851746</v>
      </c>
      <c r="I83" s="12">
        <f>'Amortization Table'!F69</f>
        <v>171410.76128416639</v>
      </c>
      <c r="J83" s="12">
        <f>'Amortization Table'!F83</f>
        <v>167431.88161058651</v>
      </c>
      <c r="K83" s="12">
        <f>'Amortization Table'!F97</f>
        <v>163283.87450124754</v>
      </c>
      <c r="L83" s="12">
        <f>'Amortization Table'!F111</f>
        <v>158959.55097536265</v>
      </c>
      <c r="M83" s="12">
        <f>'Amortization Table'!F125</f>
        <v>154451.41647520231</v>
      </c>
      <c r="N83" s="12">
        <f>'Amortization Table'!F139</f>
        <v>149751.65787715037</v>
      </c>
      <c r="P83" s="12">
        <f>AVERAGE(E83:N83)</f>
        <v>168757.39663819043</v>
      </c>
      <c r="Q83" s="3" t="s">
        <v>153</v>
      </c>
      <c r="R83" s="41">
        <f>N35</f>
        <v>0.25</v>
      </c>
      <c r="S83" s="3" t="s">
        <v>154</v>
      </c>
      <c r="W83" s="48"/>
      <c r="X83" s="48"/>
      <c r="Y83" s="48"/>
      <c r="Z83" s="48"/>
      <c r="AA83" s="48"/>
      <c r="AB83"/>
    </row>
    <row r="84" spans="1:28" ht="13.5" customHeight="1">
      <c r="A84" s="3" t="s">
        <v>97</v>
      </c>
      <c r="E84" s="30"/>
      <c r="F84" s="30"/>
      <c r="G84" s="30"/>
      <c r="H84" s="35"/>
      <c r="I84" s="36"/>
      <c r="J84" s="36"/>
      <c r="K84" s="37"/>
      <c r="L84" s="37"/>
      <c r="M84" s="37"/>
      <c r="N84" s="37"/>
      <c r="Q84" s="3" t="s">
        <v>155</v>
      </c>
      <c r="R84" s="3">
        <v>1.5</v>
      </c>
      <c r="S84" s="3" t="s">
        <v>156</v>
      </c>
      <c r="W84" s="52"/>
      <c r="X84" s="52"/>
      <c r="Y84" s="52"/>
      <c r="Z84" s="52"/>
      <c r="AA84" s="52"/>
      <c r="AB84" s="52"/>
    </row>
    <row r="85" spans="1:28" ht="13.5" customHeight="1">
      <c r="E85" s="12"/>
      <c r="F85" s="12"/>
      <c r="G85" s="12"/>
      <c r="H85" s="16"/>
      <c r="I85" s="16"/>
      <c r="J85" s="12"/>
      <c r="Q85" s="3" t="s">
        <v>157</v>
      </c>
      <c r="R85" s="19">
        <f>AA91</f>
        <v>2.0175769563476829</v>
      </c>
      <c r="S85" s="3" t="s">
        <v>158</v>
      </c>
      <c r="W85" s="55"/>
      <c r="X85" s="54"/>
      <c r="Y85" s="56"/>
      <c r="Z85" s="53"/>
      <c r="AA85" s="54"/>
      <c r="AB85" s="48"/>
    </row>
    <row r="86" spans="1:28" ht="13.5" customHeight="1">
      <c r="A86" s="3" t="s">
        <v>98</v>
      </c>
      <c r="E86" s="12">
        <f t="shared" ref="E86:N86" si="43">SUM(E81,E83,E84)</f>
        <v>209720.50252188803</v>
      </c>
      <c r="F86" s="12">
        <f t="shared" si="43"/>
        <v>204976.76003361153</v>
      </c>
      <c r="G86" s="12">
        <f t="shared" si="43"/>
        <v>200120.23001636358</v>
      </c>
      <c r="H86" s="12">
        <f t="shared" si="43"/>
        <v>195143.67107814277</v>
      </c>
      <c r="I86" s="12">
        <f t="shared" si="43"/>
        <v>190039.60943990306</v>
      </c>
      <c r="J86" s="12">
        <f t="shared" si="43"/>
        <v>184800.32698114525</v>
      </c>
      <c r="K86" s="12">
        <f t="shared" si="43"/>
        <v>179417.84884125239</v>
      </c>
      <c r="L86" s="12">
        <f t="shared" si="43"/>
        <v>173883.93055591718</v>
      </c>
      <c r="M86" s="12">
        <f t="shared" si="43"/>
        <v>168190.0447071846</v>
      </c>
      <c r="N86" s="12">
        <f t="shared" si="43"/>
        <v>162327.3670647727</v>
      </c>
      <c r="Q86" s="3" t="s">
        <v>159</v>
      </c>
      <c r="R86" s="41">
        <v>9.8000000000000004E-2</v>
      </c>
      <c r="S86" s="3" t="s">
        <v>168</v>
      </c>
    </row>
    <row r="87" spans="1:28" ht="13.5" customHeight="1">
      <c r="E87" s="12"/>
      <c r="F87" s="12"/>
      <c r="G87" s="12"/>
      <c r="H87" s="12"/>
      <c r="I87" s="12"/>
      <c r="J87" s="12"/>
      <c r="Q87" s="3" t="s">
        <v>149</v>
      </c>
      <c r="R87" s="41">
        <v>0.03</v>
      </c>
    </row>
    <row r="88" spans="1:28" ht="13.5" customHeight="1">
      <c r="A88" s="3" t="s">
        <v>30</v>
      </c>
      <c r="E88" s="12">
        <v>30000</v>
      </c>
      <c r="F88" s="12">
        <f t="shared" ref="F88:N88" si="44">E88</f>
        <v>30000</v>
      </c>
      <c r="G88" s="12">
        <f t="shared" si="44"/>
        <v>30000</v>
      </c>
      <c r="H88" s="12">
        <f t="shared" si="44"/>
        <v>30000</v>
      </c>
      <c r="I88" s="12">
        <f t="shared" si="44"/>
        <v>30000</v>
      </c>
      <c r="J88" s="12">
        <f t="shared" si="44"/>
        <v>30000</v>
      </c>
      <c r="K88" s="12">
        <f t="shared" si="44"/>
        <v>30000</v>
      </c>
      <c r="L88" s="12">
        <f t="shared" si="44"/>
        <v>30000</v>
      </c>
      <c r="M88" s="12">
        <f t="shared" si="44"/>
        <v>30000</v>
      </c>
      <c r="N88" s="12">
        <f t="shared" si="44"/>
        <v>30000</v>
      </c>
      <c r="P88" s="12">
        <f>AVERAGE(E88:N89)</f>
        <v>171177.70053026555</v>
      </c>
      <c r="Q88" s="3" t="s">
        <v>160</v>
      </c>
      <c r="R88" s="18">
        <f>R87+R85*(R86-R87)</f>
        <v>0.16719523303164244</v>
      </c>
    </row>
    <row r="89" spans="1:28" ht="13.5" customHeight="1">
      <c r="A89" s="3" t="s">
        <v>99</v>
      </c>
      <c r="E89" s="13">
        <f>C89+E60</f>
        <v>68649.70699103277</v>
      </c>
      <c r="F89" s="13">
        <f t="shared" ref="F89:N89" si="45">E89+F60</f>
        <v>133173.90777495492</v>
      </c>
      <c r="G89" s="13">
        <f t="shared" si="45"/>
        <v>193663.79654038444</v>
      </c>
      <c r="H89" s="13">
        <f t="shared" si="45"/>
        <v>250207.10216723412</v>
      </c>
      <c r="I89" s="13">
        <f t="shared" si="45"/>
        <v>302888.16718238936</v>
      </c>
      <c r="J89" s="13">
        <f t="shared" si="45"/>
        <v>351788.02384201076</v>
      </c>
      <c r="K89" s="13">
        <f t="shared" si="45"/>
        <v>396984.46740997053</v>
      </c>
      <c r="L89" s="13">
        <f t="shared" si="45"/>
        <v>438552.1266995793</v>
      </c>
      <c r="M89" s="13">
        <f t="shared" si="45"/>
        <v>476562.53194347135</v>
      </c>
      <c r="N89" s="13">
        <f t="shared" si="45"/>
        <v>511084.18005428358</v>
      </c>
      <c r="P89" s="12">
        <f>AVERAGE(E89:N89)</f>
        <v>312355.40106053109</v>
      </c>
      <c r="R89" s="3"/>
    </row>
    <row r="90" spans="1:28" ht="13.5" customHeight="1" thickBot="1">
      <c r="E90" s="12"/>
      <c r="F90" s="12"/>
      <c r="G90" s="12"/>
      <c r="H90" s="12"/>
      <c r="I90" s="12"/>
      <c r="J90" s="12"/>
      <c r="P90" s="66"/>
      <c r="Q90" s="67" t="s">
        <v>161</v>
      </c>
      <c r="R90" s="67" t="s">
        <v>162</v>
      </c>
      <c r="S90" s="67" t="s">
        <v>51</v>
      </c>
      <c r="T90" s="67" t="s">
        <v>163</v>
      </c>
      <c r="U90" s="67" t="s">
        <v>164</v>
      </c>
      <c r="V90" s="68"/>
    </row>
    <row r="91" spans="1:28" ht="13.5" customHeight="1">
      <c r="A91" s="3" t="s">
        <v>31</v>
      </c>
      <c r="E91" s="12">
        <f t="shared" ref="E91:N91" si="46">E86+E89+E88</f>
        <v>308370.20951292082</v>
      </c>
      <c r="F91" s="12">
        <f t="shared" si="46"/>
        <v>368150.66780856648</v>
      </c>
      <c r="G91" s="12">
        <f t="shared" si="46"/>
        <v>423784.02655674802</v>
      </c>
      <c r="H91" s="12">
        <f t="shared" si="46"/>
        <v>475350.77324537688</v>
      </c>
      <c r="I91" s="12">
        <f t="shared" si="46"/>
        <v>522927.77662229241</v>
      </c>
      <c r="J91" s="12">
        <f t="shared" si="46"/>
        <v>566588.35082315607</v>
      </c>
      <c r="K91" s="12">
        <f t="shared" si="46"/>
        <v>606402.31625122298</v>
      </c>
      <c r="L91" s="12">
        <f t="shared" si="46"/>
        <v>642436.0572554965</v>
      </c>
      <c r="M91" s="12">
        <f t="shared" si="46"/>
        <v>674752.57665065594</v>
      </c>
      <c r="N91" s="12">
        <f t="shared" si="46"/>
        <v>703411.54711905634</v>
      </c>
      <c r="P91" s="58" t="s">
        <v>96</v>
      </c>
      <c r="Q91" s="12">
        <f>P83</f>
        <v>168757.39663819043</v>
      </c>
      <c r="R91" s="59">
        <f>Q91/Q99</f>
        <v>0.3301764256305425</v>
      </c>
      <c r="S91" s="10">
        <f>R79</f>
        <v>4.1700000000000001E-2</v>
      </c>
      <c r="T91" s="59">
        <f>S91*(1-E35)</f>
        <v>3.1274999999999997E-2</v>
      </c>
      <c r="U91" s="59">
        <f>R91*T91</f>
        <v>1.0326267711595215E-2</v>
      </c>
      <c r="V91" s="60"/>
      <c r="X91" s="54"/>
      <c r="Y91" s="48"/>
      <c r="Z91" s="49" t="s">
        <v>157</v>
      </c>
      <c r="AA91" s="50">
        <f>Y95*(1+(1-Y98)*(AA92/(1-AA92)))</f>
        <v>2.0175769563476829</v>
      </c>
    </row>
    <row r="92" spans="1:28" ht="13.5" customHeight="1" thickBot="1">
      <c r="H92" s="12"/>
      <c r="I92" s="12"/>
      <c r="J92" s="12"/>
      <c r="P92" s="58"/>
      <c r="Q92" s="12"/>
      <c r="R92" s="59"/>
      <c r="S92" s="10"/>
      <c r="T92" s="59"/>
      <c r="U92" s="59"/>
      <c r="V92" s="60"/>
      <c r="X92" s="48"/>
      <c r="Y92" s="48"/>
      <c r="Z92" s="47" t="s">
        <v>166</v>
      </c>
      <c r="AA92" s="51">
        <f>R91</f>
        <v>0.3301764256305425</v>
      </c>
    </row>
    <row r="93" spans="1:28" ht="13.5" customHeight="1">
      <c r="A93" s="3" t="s">
        <v>100</v>
      </c>
      <c r="E93" s="12">
        <f>E75-E91</f>
        <v>0</v>
      </c>
      <c r="F93" s="12">
        <f t="shared" ref="F93:N93" si="47">F75-F91</f>
        <v>0</v>
      </c>
      <c r="G93" s="12">
        <f t="shared" si="47"/>
        <v>0</v>
      </c>
      <c r="H93" s="12">
        <f t="shared" si="47"/>
        <v>0</v>
      </c>
      <c r="I93" s="12">
        <f t="shared" si="47"/>
        <v>-5.2386894822120667E-10</v>
      </c>
      <c r="J93" s="12">
        <f t="shared" si="47"/>
        <v>0</v>
      </c>
      <c r="K93" s="12">
        <f t="shared" si="47"/>
        <v>0</v>
      </c>
      <c r="L93" s="12">
        <f t="shared" si="47"/>
        <v>0</v>
      </c>
      <c r="M93" s="12">
        <f t="shared" si="47"/>
        <v>0</v>
      </c>
      <c r="N93" s="12">
        <f t="shared" si="47"/>
        <v>0</v>
      </c>
      <c r="P93" s="58"/>
      <c r="R93" s="59"/>
      <c r="T93" s="59"/>
      <c r="U93" s="59"/>
      <c r="V93" s="60"/>
      <c r="X93" s="48"/>
      <c r="Y93" s="48"/>
      <c r="Z93" s="48"/>
      <c r="AA93" s="48"/>
    </row>
    <row r="94" spans="1:28" ht="15" customHeight="1" thickBot="1">
      <c r="A94" s="43" t="s">
        <v>124</v>
      </c>
      <c r="B94" s="42"/>
      <c r="C94" s="42"/>
      <c r="D94" s="42"/>
      <c r="E94" s="42"/>
      <c r="F94" s="42"/>
      <c r="G94" s="42"/>
      <c r="H94" s="42"/>
      <c r="I94" s="42"/>
      <c r="J94" s="42"/>
      <c r="K94" s="42"/>
      <c r="L94" s="42"/>
      <c r="M94" s="42"/>
      <c r="N94" s="42"/>
      <c r="P94" s="58"/>
      <c r="R94" s="59"/>
      <c r="T94" s="59"/>
      <c r="U94" s="59"/>
      <c r="V94" s="60"/>
      <c r="X94" s="48"/>
      <c r="Y94" s="48"/>
      <c r="Z94" s="48"/>
      <c r="AA94" s="48"/>
    </row>
    <row r="95" spans="1:28" ht="15" customHeight="1">
      <c r="P95" s="58"/>
      <c r="R95" s="59"/>
      <c r="T95" s="59"/>
      <c r="U95" s="59"/>
      <c r="V95" s="60"/>
      <c r="X95" s="49" t="s">
        <v>155</v>
      </c>
      <c r="Y95" s="50">
        <f>R84</f>
        <v>1.5</v>
      </c>
      <c r="Z95" s="48"/>
      <c r="AA95" s="48"/>
    </row>
    <row r="96" spans="1:28" ht="15" customHeight="1" thickBot="1">
      <c r="A96" s="2" t="s">
        <v>125</v>
      </c>
      <c r="P96" s="58" t="s">
        <v>30</v>
      </c>
      <c r="Q96" s="12">
        <f>N88</f>
        <v>30000</v>
      </c>
      <c r="R96" s="59">
        <f>SUM(Q96:Q97)/Q99</f>
        <v>0.6698235743694575</v>
      </c>
      <c r="S96" s="41">
        <f>R88</f>
        <v>0.16719523303164244</v>
      </c>
      <c r="T96" s="59">
        <f>S96</f>
        <v>0.16719523303164244</v>
      </c>
      <c r="U96" s="59">
        <f>R96*T96</f>
        <v>0.11199130860678913</v>
      </c>
      <c r="V96" s="60"/>
      <c r="X96" s="47" t="s">
        <v>166</v>
      </c>
      <c r="Y96" s="51">
        <v>0</v>
      </c>
      <c r="Z96" s="48"/>
      <c r="AA96" s="48"/>
    </row>
    <row r="97" spans="1:27" ht="15" customHeight="1">
      <c r="B97" s="3" t="s">
        <v>126</v>
      </c>
      <c r="D97" s="9">
        <f>D43-D46-D47-D48-D49</f>
        <v>0</v>
      </c>
      <c r="E97" s="9">
        <f>E43-E46-E47-E48-E49</f>
        <v>100102.95</v>
      </c>
      <c r="F97" s="9">
        <f t="shared" ref="F97:N97" si="48">F43-F46-F47-F48-F49</f>
        <v>94464.927597087386</v>
      </c>
      <c r="G97" s="9">
        <f t="shared" si="48"/>
        <v>88942.659313919779</v>
      </c>
      <c r="H97" s="9">
        <f t="shared" si="48"/>
        <v>83531.276581536193</v>
      </c>
      <c r="I97" s="9">
        <f t="shared" si="48"/>
        <v>78226.005556962933</v>
      </c>
      <c r="J97" s="9">
        <f t="shared" si="48"/>
        <v>73022.162843679529</v>
      </c>
      <c r="K97" s="9">
        <f t="shared" si="48"/>
        <v>67915.151285704909</v>
      </c>
      <c r="L97" s="9">
        <f t="shared" si="48"/>
        <v>62900.455831357642</v>
      </c>
      <c r="M97" s="9">
        <f t="shared" si="48"/>
        <v>57973.639462793224</v>
      </c>
      <c r="N97" s="9">
        <f t="shared" si="48"/>
        <v>53130.339187461796</v>
      </c>
      <c r="O97" s="28">
        <f>O40-O41-O45-O46-O47-O48</f>
        <v>0</v>
      </c>
      <c r="P97" s="58" t="s">
        <v>99</v>
      </c>
      <c r="Q97" s="12">
        <f>P89</f>
        <v>312355.40106053109</v>
      </c>
      <c r="R97" s="59"/>
      <c r="U97" s="59"/>
      <c r="V97" s="60"/>
      <c r="X97" s="48"/>
      <c r="Y97" s="48"/>
      <c r="Z97" s="48"/>
      <c r="AA97" s="48"/>
    </row>
    <row r="98" spans="1:27" ht="15" customHeight="1">
      <c r="B98" s="3" t="s">
        <v>127</v>
      </c>
      <c r="D98" s="9">
        <f>D50</f>
        <v>0</v>
      </c>
      <c r="E98" s="9">
        <f>E50</f>
        <v>750</v>
      </c>
      <c r="F98" s="9">
        <f t="shared" ref="F98:N98" si="49">F50</f>
        <v>750</v>
      </c>
      <c r="G98" s="9">
        <f t="shared" si="49"/>
        <v>750</v>
      </c>
      <c r="H98" s="9">
        <f t="shared" si="49"/>
        <v>750</v>
      </c>
      <c r="I98" s="9">
        <f t="shared" si="49"/>
        <v>750</v>
      </c>
      <c r="J98" s="9">
        <f t="shared" si="49"/>
        <v>750</v>
      </c>
      <c r="K98" s="9">
        <f t="shared" si="49"/>
        <v>750</v>
      </c>
      <c r="L98" s="9">
        <f t="shared" si="49"/>
        <v>750</v>
      </c>
      <c r="M98" s="9">
        <f t="shared" si="49"/>
        <v>750</v>
      </c>
      <c r="N98" s="9">
        <f t="shared" si="49"/>
        <v>750</v>
      </c>
      <c r="O98" s="28">
        <f>O49</f>
        <v>0</v>
      </c>
      <c r="P98" s="58"/>
      <c r="R98" s="59"/>
      <c r="U98" s="59"/>
      <c r="V98" s="60"/>
      <c r="X98" s="52" t="s">
        <v>167</v>
      </c>
      <c r="Y98" s="53">
        <v>0.3</v>
      </c>
      <c r="Z98" s="48"/>
      <c r="AA98" s="48"/>
    </row>
    <row r="99" spans="1:27" ht="15" customHeight="1">
      <c r="B99" s="3" t="s">
        <v>128</v>
      </c>
      <c r="D99" s="9">
        <f>D97-D98</f>
        <v>0</v>
      </c>
      <c r="E99" s="9">
        <f>E97-E98</f>
        <v>99352.95</v>
      </c>
      <c r="F99" s="9">
        <f t="shared" ref="F99:N99" si="50">F97-F98</f>
        <v>93714.927597087386</v>
      </c>
      <c r="G99" s="9">
        <f t="shared" si="50"/>
        <v>88192.659313919779</v>
      </c>
      <c r="H99" s="9">
        <f t="shared" si="50"/>
        <v>82781.276581536193</v>
      </c>
      <c r="I99" s="9">
        <f t="shared" si="50"/>
        <v>77476.005556962933</v>
      </c>
      <c r="J99" s="9">
        <f t="shared" si="50"/>
        <v>72272.162843679529</v>
      </c>
      <c r="K99" s="9">
        <f t="shared" si="50"/>
        <v>67165.151285704909</v>
      </c>
      <c r="L99" s="9">
        <f t="shared" si="50"/>
        <v>62150.455831357642</v>
      </c>
      <c r="M99" s="9">
        <f t="shared" si="50"/>
        <v>57223.639462793224</v>
      </c>
      <c r="N99" s="9">
        <f t="shared" si="50"/>
        <v>52380.339187461796</v>
      </c>
      <c r="O99" s="28">
        <f t="shared" ref="O99" si="51">O97-O98</f>
        <v>0</v>
      </c>
      <c r="P99" s="61"/>
      <c r="Q99" s="30">
        <f>SUM(Q91:Q97)</f>
        <v>511112.79769872152</v>
      </c>
      <c r="R99" s="62">
        <f>SUM(R91:R97)</f>
        <v>1</v>
      </c>
      <c r="S99" s="63"/>
      <c r="T99" s="63"/>
      <c r="U99" s="64">
        <f>SUM(U91:U96)</f>
        <v>0.12231757631838434</v>
      </c>
      <c r="V99" s="65" t="s">
        <v>139</v>
      </c>
      <c r="X99" s="48"/>
      <c r="Y99" s="48"/>
      <c r="Z99" s="48"/>
      <c r="AA99" s="48"/>
    </row>
    <row r="100" spans="1:27" ht="15" customHeight="1">
      <c r="B100" s="3" t="s">
        <v>129</v>
      </c>
      <c r="D100" s="9">
        <f t="shared" ref="D100:N100" si="52">D99*D35</f>
        <v>0</v>
      </c>
      <c r="E100" s="9">
        <f t="shared" si="52"/>
        <v>24838.237499999999</v>
      </c>
      <c r="F100" s="9">
        <f t="shared" si="52"/>
        <v>23428.731899271846</v>
      </c>
      <c r="G100" s="9">
        <f t="shared" si="52"/>
        <v>22048.164828479945</v>
      </c>
      <c r="H100" s="9">
        <f t="shared" si="52"/>
        <v>20695.319145384048</v>
      </c>
      <c r="I100" s="9">
        <f t="shared" si="52"/>
        <v>19369.001389240733</v>
      </c>
      <c r="J100" s="9">
        <f t="shared" si="52"/>
        <v>18068.040710919882</v>
      </c>
      <c r="K100" s="9">
        <f t="shared" si="52"/>
        <v>16791.287821426227</v>
      </c>
      <c r="L100" s="9">
        <f t="shared" si="52"/>
        <v>15537.61395783941</v>
      </c>
      <c r="M100" s="9">
        <f t="shared" si="52"/>
        <v>14305.909865698306</v>
      </c>
      <c r="N100" s="9">
        <f t="shared" si="52"/>
        <v>13095.084796865449</v>
      </c>
      <c r="O100" s="28">
        <f>O99*O34</f>
        <v>0</v>
      </c>
      <c r="R100" s="3"/>
    </row>
    <row r="101" spans="1:27" ht="15" customHeight="1">
      <c r="B101" s="3" t="s">
        <v>130</v>
      </c>
      <c r="D101" s="9">
        <f>D97-D100</f>
        <v>0</v>
      </c>
      <c r="E101" s="9">
        <f>E97-E100</f>
        <v>75264.712499999994</v>
      </c>
      <c r="F101" s="9">
        <f>F97-F100</f>
        <v>71036.195697815536</v>
      </c>
      <c r="G101" s="9">
        <f t="shared" ref="G101:N101" si="53">G97-G100</f>
        <v>66894.494485439835</v>
      </c>
      <c r="H101" s="9">
        <f t="shared" si="53"/>
        <v>62835.957436152145</v>
      </c>
      <c r="I101" s="9">
        <f t="shared" si="53"/>
        <v>58857.004167722203</v>
      </c>
      <c r="J101" s="9">
        <f t="shared" si="53"/>
        <v>54954.122132759643</v>
      </c>
      <c r="K101" s="9">
        <f t="shared" si="53"/>
        <v>51123.863464278678</v>
      </c>
      <c r="L101" s="9">
        <f t="shared" si="53"/>
        <v>47362.841873518235</v>
      </c>
      <c r="M101" s="9">
        <f t="shared" si="53"/>
        <v>43667.72959709492</v>
      </c>
      <c r="N101" s="9">
        <f t="shared" si="53"/>
        <v>40035.254390596347</v>
      </c>
      <c r="O101" s="28">
        <f t="shared" ref="O101" si="54">O97-O100</f>
        <v>0</v>
      </c>
      <c r="R101" s="3"/>
    </row>
    <row r="102" spans="1:27" ht="15" customHeight="1">
      <c r="R102" s="3"/>
    </row>
    <row r="103" spans="1:27" ht="15" customHeight="1">
      <c r="A103" s="2" t="s">
        <v>131</v>
      </c>
      <c r="R103" s="3"/>
    </row>
    <row r="104" spans="1:27" ht="15" customHeight="1">
      <c r="A104" s="3" t="s">
        <v>132</v>
      </c>
      <c r="R104" s="3"/>
    </row>
    <row r="105" spans="1:27" ht="15" customHeight="1">
      <c r="B105" s="3" t="s">
        <v>89</v>
      </c>
      <c r="D105" s="12">
        <f>-(E65-D65)</f>
        <v>-3900</v>
      </c>
      <c r="E105" s="12">
        <f t="shared" ref="E105:N105" si="55">-(F65-E65)</f>
        <v>113.59223300970871</v>
      </c>
      <c r="F105" s="12">
        <f t="shared" si="55"/>
        <v>110.28372136864891</v>
      </c>
      <c r="G105" s="12">
        <f t="shared" si="55"/>
        <v>107.07157414432004</v>
      </c>
      <c r="H105" s="12">
        <f t="shared" si="55"/>
        <v>103.95298460613594</v>
      </c>
      <c r="I105" s="12">
        <f t="shared" si="55"/>
        <v>100.92522777294698</v>
      </c>
      <c r="J105" s="12">
        <f t="shared" si="55"/>
        <v>97.985658031987441</v>
      </c>
      <c r="K105" s="12">
        <f t="shared" si="55"/>
        <v>95.13170682717282</v>
      </c>
      <c r="L105" s="12">
        <f t="shared" si="55"/>
        <v>92.360880414730218</v>
      </c>
      <c r="M105" s="12">
        <f t="shared" si="55"/>
        <v>89.670757684204091</v>
      </c>
      <c r="N105" s="12">
        <f t="shared" si="55"/>
        <v>2989.0252561401448</v>
      </c>
      <c r="O105" s="12"/>
      <c r="Q105" s="12"/>
      <c r="R105" s="3"/>
    </row>
    <row r="106" spans="1:27" ht="15" customHeight="1">
      <c r="B106" s="3" t="s">
        <v>90</v>
      </c>
      <c r="D106" s="12">
        <f t="shared" ref="D106:N108" si="56">-(E66-D66)</f>
        <v>-32869.524581413898</v>
      </c>
      <c r="E106" s="12">
        <f t="shared" si="56"/>
        <v>-60690.732268248503</v>
      </c>
      <c r="F106" s="12">
        <f t="shared" si="56"/>
        <v>-56538.964546824602</v>
      </c>
      <c r="G106" s="12">
        <f t="shared" si="56"/>
        <v>-52467.820279545005</v>
      </c>
      <c r="H106" s="12">
        <f t="shared" si="56"/>
        <v>-48473.676766153978</v>
      </c>
      <c r="I106" s="12">
        <f t="shared" si="56"/>
        <v>-44552.975549639988</v>
      </c>
      <c r="J106" s="12">
        <f t="shared" si="56"/>
        <v>-40702.21916474204</v>
      </c>
      <c r="K106" s="12">
        <f t="shared" si="56"/>
        <v>-36917.967933084001</v>
      </c>
      <c r="L106" s="12">
        <f t="shared" si="56"/>
        <v>-33196.836801772006</v>
      </c>
      <c r="M106" s="12">
        <f t="shared" si="56"/>
        <v>-29535.49222239299</v>
      </c>
      <c r="N106" s="12">
        <f t="shared" si="56"/>
        <v>435946.21011381701</v>
      </c>
      <c r="O106" s="12"/>
      <c r="Q106" s="12"/>
      <c r="R106" s="3"/>
    </row>
    <row r="107" spans="1:27" ht="15" customHeight="1">
      <c r="B107" s="3" t="s">
        <v>91</v>
      </c>
      <c r="D107" s="12">
        <f t="shared" si="56"/>
        <v>-1602.7397260273974</v>
      </c>
      <c r="E107" s="12">
        <f t="shared" si="56"/>
        <v>46.681739593031125</v>
      </c>
      <c r="F107" s="12">
        <f t="shared" si="56"/>
        <v>45.322077274787262</v>
      </c>
      <c r="G107" s="12">
        <f t="shared" si="56"/>
        <v>44.002016771638182</v>
      </c>
      <c r="H107" s="12">
        <f t="shared" si="56"/>
        <v>42.720404632658528</v>
      </c>
      <c r="I107" s="12">
        <f t="shared" si="56"/>
        <v>41.476121002581294</v>
      </c>
      <c r="J107" s="12">
        <f t="shared" si="56"/>
        <v>40.268078643282479</v>
      </c>
      <c r="K107" s="12">
        <f t="shared" si="56"/>
        <v>39.095221983769761</v>
      </c>
      <c r="L107" s="12">
        <f t="shared" si="56"/>
        <v>37.956526197834137</v>
      </c>
      <c r="M107" s="12">
        <f t="shared" si="56"/>
        <v>36.850996308576896</v>
      </c>
      <c r="N107" s="12">
        <f t="shared" si="56"/>
        <v>1228.3665436192377</v>
      </c>
      <c r="O107" s="12"/>
      <c r="Q107" s="12"/>
      <c r="R107" s="3"/>
    </row>
    <row r="108" spans="1:27" ht="15" customHeight="1">
      <c r="B108" s="3" t="s">
        <v>25</v>
      </c>
      <c r="D108" s="12">
        <f t="shared" si="56"/>
        <v>-747.94520547945206</v>
      </c>
      <c r="E108" s="12">
        <f t="shared" si="56"/>
        <v>-1.1368683772161603E-13</v>
      </c>
      <c r="F108" s="12">
        <f t="shared" si="56"/>
        <v>0</v>
      </c>
      <c r="G108" s="12">
        <f t="shared" si="56"/>
        <v>0</v>
      </c>
      <c r="H108" s="12">
        <f t="shared" si="56"/>
        <v>0</v>
      </c>
      <c r="I108" s="12">
        <f t="shared" si="56"/>
        <v>1.1368683772161603E-13</v>
      </c>
      <c r="J108" s="12">
        <f t="shared" si="56"/>
        <v>-1.1368683772161603E-13</v>
      </c>
      <c r="K108" s="12">
        <f t="shared" si="56"/>
        <v>1.1368683772161603E-13</v>
      </c>
      <c r="L108" s="12">
        <f t="shared" si="56"/>
        <v>-1.1368683772161603E-13</v>
      </c>
      <c r="M108" s="12">
        <f t="shared" si="56"/>
        <v>-2.2737367544323206E-13</v>
      </c>
      <c r="N108" s="12">
        <f t="shared" si="56"/>
        <v>747.9452054794524</v>
      </c>
      <c r="O108" s="12"/>
      <c r="Q108" s="12"/>
      <c r="R108" s="3"/>
    </row>
    <row r="109" spans="1:27" ht="15" customHeight="1">
      <c r="B109" s="3" t="s">
        <v>94</v>
      </c>
      <c r="D109" s="12">
        <f>E79-D79</f>
        <v>1068.4931506849316</v>
      </c>
      <c r="E109" s="12">
        <f t="shared" ref="E109:N109" si="57">F79-E79</f>
        <v>0</v>
      </c>
      <c r="F109" s="12">
        <f t="shared" si="57"/>
        <v>0</v>
      </c>
      <c r="G109" s="12">
        <f t="shared" si="57"/>
        <v>0</v>
      </c>
      <c r="H109" s="12">
        <f t="shared" si="57"/>
        <v>0</v>
      </c>
      <c r="I109" s="12">
        <f t="shared" si="57"/>
        <v>0</v>
      </c>
      <c r="J109" s="12">
        <f t="shared" si="57"/>
        <v>0</v>
      </c>
      <c r="K109" s="12">
        <f t="shared" si="57"/>
        <v>0</v>
      </c>
      <c r="L109" s="12">
        <f t="shared" si="57"/>
        <v>0</v>
      </c>
      <c r="M109" s="12">
        <f t="shared" si="57"/>
        <v>0</v>
      </c>
      <c r="N109" s="12">
        <f t="shared" si="57"/>
        <v>-1068.4931506849321</v>
      </c>
      <c r="O109" s="12"/>
      <c r="Q109" s="12"/>
      <c r="R109" s="3"/>
      <c r="S109" s="2"/>
    </row>
    <row r="110" spans="1:27" ht="15" customHeight="1">
      <c r="B110" s="3" t="s">
        <v>72</v>
      </c>
      <c r="D110" s="12">
        <f>E100-D100</f>
        <v>24838.237499999999</v>
      </c>
      <c r="E110" s="12">
        <f t="shared" ref="E110:N110" si="58">F100-E100</f>
        <v>-1409.5056007281528</v>
      </c>
      <c r="F110" s="12">
        <f t="shared" si="58"/>
        <v>-1380.5670707919016</v>
      </c>
      <c r="G110" s="12">
        <f t="shared" si="58"/>
        <v>-1352.8456830958967</v>
      </c>
      <c r="H110" s="12">
        <f t="shared" si="58"/>
        <v>-1326.3177561433149</v>
      </c>
      <c r="I110" s="12">
        <f t="shared" si="58"/>
        <v>-1300.960678320851</v>
      </c>
      <c r="J110" s="12">
        <f t="shared" si="58"/>
        <v>-1276.7528894936549</v>
      </c>
      <c r="K110" s="12">
        <f t="shared" si="58"/>
        <v>-1253.6738635868169</v>
      </c>
      <c r="L110" s="12">
        <f t="shared" si="58"/>
        <v>-1231.7040921411044</v>
      </c>
      <c r="M110" s="12">
        <f t="shared" si="58"/>
        <v>-1210.8250688328571</v>
      </c>
      <c r="N110" s="12">
        <f t="shared" si="58"/>
        <v>-13095.084796865449</v>
      </c>
      <c r="O110" s="12"/>
      <c r="Q110" s="12"/>
      <c r="R110" s="3"/>
      <c r="S110" s="57"/>
    </row>
    <row r="111" spans="1:27" ht="15" customHeight="1">
      <c r="R111" s="3"/>
      <c r="S111" s="57"/>
    </row>
    <row r="112" spans="1:27" ht="15" customHeight="1">
      <c r="A112" s="3" t="s">
        <v>133</v>
      </c>
      <c r="R112" s="3"/>
    </row>
    <row r="113" spans="1:19" ht="15" customHeight="1">
      <c r="B113" s="3" t="s">
        <v>26</v>
      </c>
      <c r="D113" s="12">
        <f>-(E71-D71)</f>
        <v>-247500</v>
      </c>
      <c r="E113" s="12">
        <f t="shared" ref="E113:N113" si="59">-(F71-E71)</f>
        <v>0</v>
      </c>
      <c r="F113" s="12">
        <f t="shared" si="59"/>
        <v>0</v>
      </c>
      <c r="G113" s="12">
        <f t="shared" si="59"/>
        <v>0</v>
      </c>
      <c r="H113" s="12">
        <f t="shared" si="59"/>
        <v>0</v>
      </c>
      <c r="I113" s="12">
        <f t="shared" si="59"/>
        <v>0</v>
      </c>
      <c r="J113" s="12">
        <f t="shared" si="59"/>
        <v>0</v>
      </c>
      <c r="K113" s="12">
        <f t="shared" si="59"/>
        <v>0</v>
      </c>
      <c r="L113" s="12">
        <f t="shared" si="59"/>
        <v>0</v>
      </c>
      <c r="M113" s="12">
        <f t="shared" si="59"/>
        <v>0</v>
      </c>
      <c r="N113" s="12">
        <f t="shared" si="59"/>
        <v>247500</v>
      </c>
      <c r="O113" s="12"/>
      <c r="P113" s="3" t="s">
        <v>170</v>
      </c>
      <c r="Q113" s="12">
        <f>N114+N113</f>
        <v>252500</v>
      </c>
      <c r="R113" s="3"/>
    </row>
    <row r="114" spans="1:19" ht="15" customHeight="1">
      <c r="B114" s="3" t="s">
        <v>134</v>
      </c>
      <c r="N114" s="3">
        <v>5000</v>
      </c>
      <c r="O114" s="12"/>
      <c r="P114" s="3" t="s">
        <v>171</v>
      </c>
      <c r="Q114" s="12">
        <f>N113</f>
        <v>247500</v>
      </c>
      <c r="R114" s="12"/>
    </row>
    <row r="115" spans="1:19" ht="15" customHeight="1">
      <c r="B115" s="3" t="s">
        <v>135</v>
      </c>
      <c r="N115" s="44">
        <f>-Q116</f>
        <v>-1250</v>
      </c>
      <c r="O115" s="12"/>
      <c r="P115" s="3" t="s">
        <v>136</v>
      </c>
      <c r="Q115" s="12">
        <f>Q113-Q114</f>
        <v>5000</v>
      </c>
      <c r="R115" s="12"/>
    </row>
    <row r="116" spans="1:19" ht="15" customHeight="1">
      <c r="P116" s="3" t="s">
        <v>172</v>
      </c>
      <c r="Q116" s="44">
        <f>Q115*E35</f>
        <v>1250</v>
      </c>
      <c r="R116" s="3"/>
    </row>
    <row r="117" spans="1:19" ht="15" customHeight="1">
      <c r="B117" s="3" t="s">
        <v>41</v>
      </c>
      <c r="D117" s="12">
        <f>-(E72-D72)</f>
        <v>-22500</v>
      </c>
      <c r="E117" s="12">
        <f t="shared" ref="E117:N117" si="60">-(F72-E72)</f>
        <v>0</v>
      </c>
      <c r="F117" s="12">
        <f t="shared" si="60"/>
        <v>0</v>
      </c>
      <c r="G117" s="12">
        <f t="shared" si="60"/>
        <v>0</v>
      </c>
      <c r="H117" s="12">
        <f t="shared" si="60"/>
        <v>0</v>
      </c>
      <c r="I117" s="12">
        <f t="shared" si="60"/>
        <v>0</v>
      </c>
      <c r="J117" s="12">
        <f t="shared" si="60"/>
        <v>0</v>
      </c>
      <c r="K117" s="12">
        <f t="shared" si="60"/>
        <v>0</v>
      </c>
      <c r="L117" s="12">
        <f t="shared" si="60"/>
        <v>0</v>
      </c>
      <c r="M117" s="12">
        <f t="shared" si="60"/>
        <v>0</v>
      </c>
      <c r="N117" s="12">
        <f t="shared" si="60"/>
        <v>22500</v>
      </c>
      <c r="O117" s="12"/>
      <c r="R117" s="3"/>
    </row>
    <row r="118" spans="1:19" ht="15" customHeight="1">
      <c r="B118" s="3" t="s">
        <v>134</v>
      </c>
      <c r="N118" s="3">
        <v>-10000</v>
      </c>
      <c r="O118" s="28"/>
      <c r="P118" s="3" t="s">
        <v>170</v>
      </c>
      <c r="Q118" s="12">
        <f>N118+N117</f>
        <v>12500</v>
      </c>
      <c r="R118" s="12"/>
    </row>
    <row r="119" spans="1:19" ht="15" customHeight="1">
      <c r="B119" s="3" t="s">
        <v>135</v>
      </c>
      <c r="N119" s="44">
        <f>-Q121</f>
        <v>625</v>
      </c>
      <c r="O119" s="12"/>
      <c r="P119" s="3" t="s">
        <v>171</v>
      </c>
      <c r="Q119" s="12">
        <f>E72-N73</f>
        <v>15000</v>
      </c>
      <c r="R119" s="28"/>
    </row>
    <row r="120" spans="1:19" ht="15" customHeight="1">
      <c r="O120" s="12"/>
      <c r="P120" s="3" t="s">
        <v>136</v>
      </c>
      <c r="Q120" s="12">
        <f>Q118-Q119</f>
        <v>-2500</v>
      </c>
      <c r="R120" s="28"/>
    </row>
    <row r="121" spans="1:19" ht="15" customHeight="1">
      <c r="O121" s="12"/>
      <c r="P121" s="3" t="s">
        <v>172</v>
      </c>
      <c r="Q121" s="44">
        <f>Q120*E35</f>
        <v>-625</v>
      </c>
      <c r="R121" s="28"/>
    </row>
    <row r="122" spans="1:19" ht="15" customHeight="1">
      <c r="O122" s="12"/>
      <c r="R122" s="28"/>
    </row>
    <row r="123" spans="1:19" ht="15" customHeight="1">
      <c r="D123" s="12"/>
      <c r="E123" s="71"/>
      <c r="O123" s="12"/>
      <c r="R123" s="28"/>
    </row>
    <row r="124" spans="1:19" ht="15" customHeight="1">
      <c r="A124" s="3" t="s">
        <v>137</v>
      </c>
      <c r="D124" s="3">
        <v>-17044.150000000001</v>
      </c>
      <c r="E124" s="12"/>
      <c r="F124" s="12"/>
      <c r="G124" s="12"/>
      <c r="H124" s="12"/>
      <c r="I124" s="12"/>
      <c r="J124" s="12"/>
      <c r="K124" s="12"/>
      <c r="L124" s="12"/>
      <c r="M124" s="12"/>
      <c r="N124" s="12"/>
      <c r="O124" s="12"/>
      <c r="R124" s="3"/>
      <c r="S124" s="2"/>
    </row>
    <row r="125" spans="1:19" ht="15" customHeight="1">
      <c r="R125" s="3"/>
      <c r="S125" s="57"/>
    </row>
    <row r="126" spans="1:19" ht="15" customHeight="1">
      <c r="A126" s="2" t="s">
        <v>138</v>
      </c>
      <c r="D126" s="44">
        <f t="shared" ref="D126:M126" si="61">SUM(D101:D125)</f>
        <v>-300257.62886223581</v>
      </c>
      <c r="E126" s="44">
        <f t="shared" si="61"/>
        <v>13324.748603626078</v>
      </c>
      <c r="F126" s="44">
        <f t="shared" si="61"/>
        <v>13272.269878842464</v>
      </c>
      <c r="G126" s="44">
        <f t="shared" si="61"/>
        <v>13224.902113714883</v>
      </c>
      <c r="H126" s="44">
        <f t="shared" si="61"/>
        <v>13182.636303093645</v>
      </c>
      <c r="I126" s="44">
        <f t="shared" si="61"/>
        <v>13145.469288536891</v>
      </c>
      <c r="J126" s="44">
        <f t="shared" si="61"/>
        <v>13113.403815199221</v>
      </c>
      <c r="K126" s="44">
        <f t="shared" si="61"/>
        <v>13086.448596418804</v>
      </c>
      <c r="L126" s="44">
        <f t="shared" si="61"/>
        <v>13064.618386217689</v>
      </c>
      <c r="M126" s="44">
        <f t="shared" si="61"/>
        <v>13047.934059861851</v>
      </c>
      <c r="N126" s="44">
        <f>SUM(N101:N125)</f>
        <v>731158.22356210183</v>
      </c>
      <c r="O126" s="28"/>
      <c r="R126" s="3"/>
      <c r="S126" s="57"/>
    </row>
    <row r="127" spans="1:19" ht="15" customHeight="1">
      <c r="A127" s="2" t="s">
        <v>139</v>
      </c>
      <c r="D127" s="41">
        <f>U99</f>
        <v>0.12231757631838434</v>
      </c>
      <c r="E127" s="74"/>
      <c r="F127" s="74"/>
      <c r="G127" s="74"/>
      <c r="H127" s="74"/>
      <c r="I127" s="74"/>
      <c r="J127" s="74"/>
      <c r="R127" s="3"/>
      <c r="S127" s="57"/>
    </row>
    <row r="128" spans="1:19" ht="15" customHeight="1">
      <c r="A128" s="2" t="s">
        <v>140</v>
      </c>
      <c r="D128" s="41">
        <f>IRR(D126:N126)</f>
        <v>0.12231757682947464</v>
      </c>
      <c r="E128" s="74"/>
      <c r="F128" s="74"/>
      <c r="G128" s="74"/>
      <c r="H128" s="74"/>
      <c r="I128" s="74"/>
      <c r="J128" s="74"/>
      <c r="R128" s="3"/>
      <c r="S128" s="57"/>
    </row>
    <row r="129" spans="1:18" ht="15" customHeight="1">
      <c r="A129" s="2" t="s">
        <v>141</v>
      </c>
      <c r="D129" s="44">
        <f>NPV(D127,E126:N126)+D126</f>
        <v>1.1842132080346346E-3</v>
      </c>
      <c r="E129" s="74"/>
      <c r="F129" s="74"/>
      <c r="G129" s="74"/>
      <c r="H129" s="74"/>
      <c r="I129" s="74"/>
      <c r="J129" s="74"/>
      <c r="R129" s="3"/>
    </row>
    <row r="130" spans="1:18" ht="15" customHeight="1">
      <c r="A130" s="3" t="s">
        <v>173</v>
      </c>
      <c r="D130" s="44">
        <f>-D126+D129</f>
        <v>300257.63004644902</v>
      </c>
      <c r="E130" s="74"/>
      <c r="F130" s="74"/>
      <c r="G130" s="74"/>
      <c r="H130" s="74"/>
      <c r="I130" s="74"/>
      <c r="J130" s="74"/>
    </row>
    <row r="131" spans="1:18" ht="15" customHeight="1">
      <c r="D131" s="44">
        <f>0.1*D130</f>
        <v>30025.763004644905</v>
      </c>
      <c r="E131" s="74"/>
      <c r="F131" s="74"/>
      <c r="G131" s="74"/>
      <c r="H131" s="74"/>
      <c r="I131" s="74"/>
      <c r="J131" s="74"/>
    </row>
    <row r="132" spans="1:18" ht="15" customHeight="1">
      <c r="E132" s="74"/>
      <c r="F132" s="74"/>
      <c r="G132" s="74"/>
      <c r="H132" s="74"/>
      <c r="I132" s="74"/>
      <c r="J132" s="74"/>
    </row>
    <row r="133" spans="1:18" ht="15" customHeight="1">
      <c r="E133" s="74"/>
      <c r="F133" s="74"/>
      <c r="G133" s="74"/>
      <c r="H133" s="74"/>
      <c r="I133" s="74"/>
      <c r="J133" s="74"/>
    </row>
    <row r="134" spans="1:18" ht="15" customHeight="1">
      <c r="E134" s="74"/>
      <c r="F134" s="74"/>
      <c r="G134" s="74"/>
      <c r="H134" s="74"/>
      <c r="I134" s="74"/>
      <c r="J134" s="74"/>
    </row>
    <row r="136" spans="1:18" ht="15" customHeight="1">
      <c r="D136" s="3" t="s">
        <v>178</v>
      </c>
      <c r="E136" s="72" t="s">
        <v>175</v>
      </c>
      <c r="F136" s="73"/>
      <c r="G136" s="73"/>
      <c r="H136" s="73"/>
      <c r="I136" s="73"/>
      <c r="J136" s="73"/>
      <c r="K136" s="73"/>
      <c r="L136" s="73"/>
      <c r="M136" s="73"/>
      <c r="N136" s="73"/>
      <c r="O136" s="73"/>
      <c r="P136" s="73"/>
    </row>
    <row r="139" spans="1:18" ht="15" customHeight="1">
      <c r="D139" s="3" t="s">
        <v>176</v>
      </c>
      <c r="E139" s="73" t="s">
        <v>181</v>
      </c>
      <c r="F139" s="73"/>
      <c r="G139" s="73"/>
      <c r="H139" s="73"/>
      <c r="I139" s="73"/>
      <c r="J139" s="73"/>
      <c r="K139" s="73"/>
      <c r="L139" s="73"/>
      <c r="M139" s="73"/>
    </row>
    <row r="145" spans="1:16" ht="15" customHeight="1">
      <c r="D145" s="3" t="s">
        <v>177</v>
      </c>
      <c r="E145" s="73" t="s">
        <v>180</v>
      </c>
      <c r="F145" s="73"/>
      <c r="G145" s="73"/>
      <c r="H145" s="73"/>
      <c r="I145" s="73"/>
      <c r="J145" s="73"/>
      <c r="K145" s="73"/>
      <c r="L145" s="73"/>
    </row>
    <row r="148" spans="1:16" ht="15" customHeight="1">
      <c r="D148" s="3" t="s">
        <v>179</v>
      </c>
      <c r="E148" s="102" t="s">
        <v>174</v>
      </c>
      <c r="F148" s="102"/>
      <c r="G148" s="102"/>
      <c r="H148" s="102"/>
      <c r="I148" s="102"/>
      <c r="J148" s="102"/>
    </row>
    <row r="149" spans="1:16" ht="15" customHeight="1">
      <c r="E149" s="102"/>
      <c r="F149" s="102"/>
      <c r="G149" s="102"/>
      <c r="H149" s="102"/>
      <c r="I149" s="102"/>
      <c r="J149" s="102"/>
    </row>
    <row r="150" spans="1:16" ht="15" customHeight="1">
      <c r="E150" s="102"/>
      <c r="F150" s="102"/>
      <c r="G150" s="102"/>
      <c r="H150" s="102"/>
      <c r="I150" s="102"/>
      <c r="J150" s="102"/>
    </row>
    <row r="151" spans="1:16" ht="15" customHeight="1">
      <c r="E151" s="102"/>
      <c r="F151" s="102"/>
      <c r="G151" s="102"/>
      <c r="H151" s="102"/>
      <c r="I151" s="102"/>
      <c r="J151" s="102"/>
    </row>
    <row r="152" spans="1:16" ht="15" customHeight="1">
      <c r="E152" s="102"/>
      <c r="F152" s="102"/>
      <c r="G152" s="102"/>
      <c r="H152" s="102"/>
      <c r="I152" s="102"/>
      <c r="J152" s="102"/>
    </row>
    <row r="153" spans="1:16" ht="15" customHeight="1">
      <c r="E153" s="102"/>
      <c r="F153" s="102"/>
      <c r="G153" s="102"/>
      <c r="H153" s="102"/>
      <c r="I153" s="102"/>
      <c r="J153" s="102"/>
    </row>
    <row r="154" spans="1:16" ht="15" customHeight="1">
      <c r="E154" s="102"/>
      <c r="F154" s="102"/>
      <c r="G154" s="102"/>
      <c r="H154" s="102"/>
      <c r="I154" s="102"/>
      <c r="J154" s="102"/>
    </row>
    <row r="155" spans="1:16" ht="15" customHeight="1">
      <c r="E155" s="102"/>
      <c r="F155" s="102"/>
      <c r="G155" s="102"/>
      <c r="H155" s="102"/>
      <c r="I155" s="102"/>
      <c r="J155" s="102"/>
    </row>
    <row r="157" spans="1:16" ht="15" customHeight="1">
      <c r="A157" s="76"/>
      <c r="B157" s="81" t="s">
        <v>206</v>
      </c>
      <c r="C157" s="77"/>
      <c r="D157" s="78">
        <v>0</v>
      </c>
      <c r="E157" s="78">
        <v>1</v>
      </c>
      <c r="F157" s="78">
        <v>2</v>
      </c>
      <c r="G157" s="78">
        <v>3</v>
      </c>
      <c r="H157" s="78">
        <v>4</v>
      </c>
      <c r="I157" s="78">
        <v>5</v>
      </c>
      <c r="J157" s="78">
        <v>6</v>
      </c>
      <c r="K157" s="78">
        <v>7</v>
      </c>
      <c r="L157" s="78">
        <v>8</v>
      </c>
      <c r="M157" s="78">
        <v>9</v>
      </c>
      <c r="N157" s="78">
        <v>10</v>
      </c>
      <c r="O157" s="77">
        <v>11</v>
      </c>
      <c r="P157" s="77">
        <v>12</v>
      </c>
    </row>
    <row r="158" spans="1:16" ht="15" customHeight="1">
      <c r="A158" s="76"/>
      <c r="B158" s="77"/>
      <c r="C158" s="80"/>
      <c r="D158" s="78"/>
      <c r="E158" s="78"/>
      <c r="F158" s="78"/>
      <c r="G158" s="78"/>
      <c r="H158" s="78"/>
      <c r="I158" s="78"/>
      <c r="J158" s="78"/>
      <c r="K158" s="78"/>
      <c r="L158" s="78"/>
      <c r="M158" s="78"/>
      <c r="N158" s="78"/>
      <c r="O158" s="78"/>
      <c r="P158" s="78"/>
    </row>
    <row r="159" spans="1:16" ht="15" customHeight="1">
      <c r="A159" s="76"/>
      <c r="B159" s="83" t="s">
        <v>182</v>
      </c>
      <c r="C159" s="77"/>
      <c r="D159" s="77"/>
      <c r="E159" s="77"/>
      <c r="F159" s="84">
        <f>D126</f>
        <v>-300257.62886223581</v>
      </c>
      <c r="G159" s="77"/>
      <c r="H159" s="77"/>
      <c r="I159" s="77"/>
      <c r="J159" s="77"/>
      <c r="K159" s="77"/>
      <c r="L159" s="77"/>
      <c r="M159" s="77"/>
      <c r="N159" s="77"/>
      <c r="O159" s="77"/>
      <c r="P159" s="77"/>
    </row>
    <row r="160" spans="1:16" ht="15" customHeight="1">
      <c r="A160" s="81"/>
      <c r="B160" s="85"/>
      <c r="C160" s="77"/>
      <c r="D160" s="86"/>
      <c r="E160" s="77"/>
      <c r="F160" s="86"/>
      <c r="G160" s="86"/>
      <c r="H160" s="86"/>
      <c r="I160" s="87"/>
      <c r="J160" s="87"/>
      <c r="K160" s="87"/>
      <c r="L160" s="87"/>
      <c r="M160" s="87"/>
      <c r="N160" s="87"/>
      <c r="O160" s="87"/>
      <c r="P160" s="77"/>
    </row>
    <row r="161" spans="1:16" ht="15" customHeight="1">
      <c r="A161" s="81"/>
      <c r="B161" s="77" t="s">
        <v>183</v>
      </c>
      <c r="C161" s="77"/>
      <c r="D161" s="86">
        <v>0</v>
      </c>
      <c r="E161" s="82">
        <v>0</v>
      </c>
      <c r="F161" s="87">
        <v>0</v>
      </c>
      <c r="G161" s="87">
        <f>E126</f>
        <v>13324.748603626078</v>
      </c>
      <c r="H161" s="87">
        <f t="shared" ref="H161:P161" si="62">F126</f>
        <v>13272.269878842464</v>
      </c>
      <c r="I161" s="87">
        <f t="shared" si="62"/>
        <v>13224.902113714883</v>
      </c>
      <c r="J161" s="87">
        <f t="shared" si="62"/>
        <v>13182.636303093645</v>
      </c>
      <c r="K161" s="87">
        <f t="shared" si="62"/>
        <v>13145.469288536891</v>
      </c>
      <c r="L161" s="87">
        <f t="shared" si="62"/>
        <v>13113.403815199221</v>
      </c>
      <c r="M161" s="87">
        <f t="shared" si="62"/>
        <v>13086.448596418804</v>
      </c>
      <c r="N161" s="87">
        <f t="shared" si="62"/>
        <v>13064.618386217689</v>
      </c>
      <c r="O161" s="87">
        <f t="shared" si="62"/>
        <v>13047.934059861851</v>
      </c>
      <c r="P161" s="87">
        <f t="shared" si="62"/>
        <v>731158.22356210183</v>
      </c>
    </row>
    <row r="162" spans="1:16" ht="15" customHeight="1">
      <c r="A162" s="81"/>
      <c r="B162" s="83" t="s">
        <v>141</v>
      </c>
      <c r="C162" s="77"/>
      <c r="D162" s="94">
        <f>NPV(D127,E161:P161)</f>
        <v>238375.9976567734</v>
      </c>
      <c r="E162" s="87"/>
      <c r="F162" s="87"/>
      <c r="G162" s="87"/>
      <c r="H162" s="87"/>
      <c r="I162" s="87"/>
      <c r="J162" s="87"/>
      <c r="K162" s="87"/>
      <c r="L162" s="87"/>
      <c r="M162" s="87"/>
      <c r="N162" s="87"/>
      <c r="O162" s="77"/>
      <c r="P162" s="77"/>
    </row>
    <row r="163" spans="1:16" ht="15" customHeight="1">
      <c r="A163" s="77"/>
      <c r="B163" s="88"/>
      <c r="C163" s="77"/>
      <c r="D163" s="87"/>
      <c r="E163" s="87"/>
      <c r="F163" s="87"/>
      <c r="G163" s="87"/>
      <c r="H163" s="87"/>
      <c r="I163" s="87"/>
      <c r="J163" s="87"/>
      <c r="K163" s="87"/>
      <c r="L163" s="87"/>
      <c r="M163" s="87"/>
      <c r="N163" s="87"/>
      <c r="O163" s="77"/>
      <c r="P163" s="77"/>
    </row>
    <row r="164" spans="1:16" ht="15" customHeight="1">
      <c r="A164" s="81"/>
      <c r="B164" s="77"/>
      <c r="C164" s="77"/>
      <c r="D164" s="77"/>
      <c r="E164" s="77"/>
      <c r="F164" s="77"/>
      <c r="G164" s="77"/>
      <c r="H164" s="77"/>
      <c r="I164" s="77"/>
      <c r="J164" s="77"/>
      <c r="K164" s="77"/>
      <c r="L164" s="77"/>
      <c r="M164" s="77"/>
      <c r="N164" s="77"/>
      <c r="O164" s="77"/>
      <c r="P164" s="77"/>
    </row>
    <row r="165" spans="1:16" ht="15" customHeight="1">
      <c r="A165" s="81"/>
      <c r="B165" s="77" t="s">
        <v>184</v>
      </c>
      <c r="C165" s="77"/>
      <c r="D165" s="77"/>
      <c r="E165" s="77"/>
      <c r="F165" s="77"/>
      <c r="G165" s="77"/>
      <c r="H165" s="77"/>
      <c r="I165" s="77"/>
      <c r="J165" s="77"/>
      <c r="K165" s="77"/>
      <c r="L165" s="77"/>
      <c r="M165" s="77"/>
      <c r="N165" s="77"/>
      <c r="O165" s="77"/>
      <c r="P165" s="77"/>
    </row>
    <row r="166" spans="1:16" ht="15" customHeight="1">
      <c r="A166" s="81"/>
      <c r="B166" s="89" t="s">
        <v>185</v>
      </c>
      <c r="C166" s="89" t="s">
        <v>186</v>
      </c>
      <c r="D166" s="89" t="s">
        <v>187</v>
      </c>
      <c r="E166" s="89" t="s">
        <v>188</v>
      </c>
      <c r="F166" s="89" t="s">
        <v>189</v>
      </c>
      <c r="G166" s="89" t="s">
        <v>190</v>
      </c>
      <c r="H166" s="77"/>
      <c r="I166" s="77"/>
      <c r="J166" s="77"/>
      <c r="K166" s="77"/>
      <c r="L166" s="77"/>
      <c r="M166" s="77"/>
      <c r="N166" s="77"/>
      <c r="O166" s="77"/>
      <c r="P166" s="77"/>
    </row>
    <row r="167" spans="1:16" ht="15" customHeight="1">
      <c r="A167" s="81"/>
      <c r="B167" s="90">
        <f>D162</f>
        <v>238375.9976567734</v>
      </c>
      <c r="C167" s="90">
        <f>-F159</f>
        <v>300257.62886223581</v>
      </c>
      <c r="D167" s="89">
        <v>2</v>
      </c>
      <c r="E167" s="91">
        <v>0.35</v>
      </c>
      <c r="F167" s="91">
        <v>3.5000000000000003E-2</v>
      </c>
      <c r="G167" s="92">
        <f>(B167*_xlfn.NORM.DIST((LN(B167/C167)+(F167+((E167^2)/2))*D167)/(E167*SQRT(D167)),0,1,TRUE))-((C167*EXP(-F167*D167))*_xlfn.NORM.DIST((LN(B167/C167)+(F167+((E167^2)/2))*D167)/(E167*SQRT(D167))-(E167*(SQRT(D167))),0,1,TRUE))</f>
        <v>32457.006090606141</v>
      </c>
      <c r="H167" s="77"/>
      <c r="I167" s="77"/>
      <c r="J167" s="77"/>
      <c r="K167" s="77"/>
      <c r="L167" s="77"/>
      <c r="M167" s="77"/>
      <c r="N167" s="77"/>
      <c r="O167" s="77"/>
      <c r="P167" s="77"/>
    </row>
    <row r="168" spans="1:16" ht="15" customHeight="1">
      <c r="B168" s="77"/>
      <c r="C168" s="77"/>
      <c r="D168" s="77"/>
      <c r="E168" s="77"/>
      <c r="F168" s="77"/>
      <c r="G168" s="77"/>
      <c r="H168" s="77"/>
      <c r="I168" s="77"/>
      <c r="J168" s="77"/>
      <c r="K168" s="77"/>
      <c r="L168" s="77"/>
      <c r="M168" s="77"/>
      <c r="N168" s="77"/>
      <c r="O168" s="77"/>
      <c r="P168" s="77"/>
    </row>
    <row r="169" spans="1:16" ht="15" customHeight="1">
      <c r="B169" s="77" t="s">
        <v>191</v>
      </c>
      <c r="C169" s="84"/>
      <c r="D169" s="93"/>
      <c r="E169" s="77"/>
      <c r="F169" s="77"/>
      <c r="G169" s="77"/>
      <c r="H169" s="77"/>
      <c r="I169" s="77"/>
      <c r="J169" s="77"/>
      <c r="K169" s="77"/>
      <c r="L169" s="77"/>
      <c r="M169" s="77"/>
      <c r="N169" s="77"/>
      <c r="O169" s="77"/>
      <c r="P169" s="77"/>
    </row>
    <row r="173" spans="1:16" ht="15" customHeight="1">
      <c r="B173" s="2" t="s">
        <v>192</v>
      </c>
    </row>
    <row r="175" spans="1:16" ht="15" customHeight="1">
      <c r="B175" s="81" t="s">
        <v>193</v>
      </c>
      <c r="C175" s="77"/>
      <c r="D175" s="77"/>
      <c r="E175" s="77"/>
      <c r="F175" s="77"/>
      <c r="G175" s="77"/>
      <c r="H175" s="77"/>
      <c r="I175" s="77"/>
      <c r="J175" s="77"/>
      <c r="K175" s="77"/>
      <c r="L175" s="77"/>
      <c r="M175" s="77"/>
      <c r="N175" s="77"/>
    </row>
    <row r="176" spans="1:16" ht="15" customHeight="1">
      <c r="B176" s="77"/>
      <c r="C176" s="77"/>
      <c r="D176" s="77"/>
      <c r="E176" s="77"/>
      <c r="F176" s="77"/>
      <c r="G176" s="77"/>
      <c r="H176" s="77"/>
      <c r="I176" s="77"/>
      <c r="J176" s="77"/>
      <c r="K176" s="77"/>
      <c r="L176" s="77"/>
      <c r="M176" s="77"/>
      <c r="N176" s="77"/>
    </row>
    <row r="177" spans="2:14" ht="15" customHeight="1">
      <c r="B177" s="77"/>
      <c r="C177" s="77"/>
      <c r="D177" s="78">
        <v>0</v>
      </c>
      <c r="E177" s="78">
        <v>1</v>
      </c>
      <c r="F177" s="78">
        <v>2</v>
      </c>
      <c r="G177" s="78">
        <v>3</v>
      </c>
      <c r="H177" s="78">
        <v>4</v>
      </c>
      <c r="I177" s="78">
        <v>5</v>
      </c>
      <c r="J177" s="78">
        <v>6</v>
      </c>
      <c r="K177" s="78">
        <v>7</v>
      </c>
      <c r="L177" s="78">
        <v>8</v>
      </c>
      <c r="M177" s="78">
        <v>9</v>
      </c>
      <c r="N177" s="78">
        <v>10</v>
      </c>
    </row>
    <row r="178" spans="2:14" ht="15" customHeight="1">
      <c r="B178" s="81" t="s">
        <v>194</v>
      </c>
      <c r="C178" s="77"/>
      <c r="D178" s="77"/>
      <c r="E178" s="77"/>
      <c r="F178" s="77"/>
      <c r="G178" s="77"/>
      <c r="H178" s="77"/>
      <c r="I178" s="77"/>
      <c r="J178" s="77"/>
      <c r="K178" s="77"/>
      <c r="L178" s="77"/>
      <c r="M178" s="77"/>
      <c r="N178" s="77"/>
    </row>
    <row r="179" spans="2:14" ht="15" customHeight="1">
      <c r="B179" s="77" t="s">
        <v>195</v>
      </c>
      <c r="C179" s="77"/>
      <c r="D179" s="79">
        <f>D126</f>
        <v>-300257.62886223581</v>
      </c>
      <c r="E179" s="79">
        <f t="shared" ref="E179:N179" si="63">E126</f>
        <v>13324.748603626078</v>
      </c>
      <c r="F179" s="79">
        <f t="shared" si="63"/>
        <v>13272.269878842464</v>
      </c>
      <c r="G179" s="79">
        <f t="shared" si="63"/>
        <v>13224.902113714883</v>
      </c>
      <c r="H179" s="79">
        <f t="shared" si="63"/>
        <v>13182.636303093645</v>
      </c>
      <c r="I179" s="79">
        <f t="shared" si="63"/>
        <v>13145.469288536891</v>
      </c>
      <c r="J179" s="79">
        <f t="shared" si="63"/>
        <v>13113.403815199221</v>
      </c>
      <c r="K179" s="79">
        <f t="shared" si="63"/>
        <v>13086.448596418804</v>
      </c>
      <c r="L179" s="79">
        <f t="shared" si="63"/>
        <v>13064.618386217689</v>
      </c>
      <c r="M179" s="79">
        <f t="shared" si="63"/>
        <v>13047.934059861851</v>
      </c>
      <c r="N179" s="79">
        <f t="shared" si="63"/>
        <v>731158.22356210183</v>
      </c>
    </row>
    <row r="180" spans="2:14" ht="15" customHeight="1">
      <c r="B180" s="77" t="s">
        <v>207</v>
      </c>
      <c r="C180" s="77"/>
      <c r="D180" s="79"/>
      <c r="E180" s="79"/>
      <c r="F180" s="79">
        <v>-5000</v>
      </c>
      <c r="G180" s="79"/>
      <c r="I180" s="79"/>
      <c r="J180" s="79"/>
      <c r="K180" s="79"/>
      <c r="L180" s="79"/>
      <c r="M180" s="79"/>
      <c r="N180" s="79"/>
    </row>
    <row r="181" spans="2:14" ht="15" customHeight="1">
      <c r="B181" s="77" t="s">
        <v>208</v>
      </c>
      <c r="C181" s="77"/>
      <c r="D181" s="79"/>
      <c r="E181" s="79"/>
      <c r="F181" s="79"/>
      <c r="G181" s="79">
        <v>750</v>
      </c>
      <c r="H181" s="79">
        <v>750</v>
      </c>
      <c r="I181" s="79">
        <v>750</v>
      </c>
      <c r="J181" s="79">
        <v>750</v>
      </c>
      <c r="K181" s="79">
        <v>750</v>
      </c>
      <c r="L181" s="79">
        <v>750</v>
      </c>
      <c r="M181" s="79">
        <v>750</v>
      </c>
      <c r="N181" s="79">
        <v>750</v>
      </c>
    </row>
    <row r="182" spans="2:14" ht="15" customHeight="1">
      <c r="B182" s="77" t="s">
        <v>209</v>
      </c>
      <c r="C182" s="77"/>
      <c r="D182" s="79"/>
      <c r="E182" s="79"/>
      <c r="F182" s="79"/>
      <c r="G182" s="79"/>
      <c r="H182" s="79"/>
      <c r="I182" s="79"/>
      <c r="J182" s="79"/>
      <c r="K182" s="79"/>
      <c r="L182" s="79"/>
      <c r="M182" s="79"/>
      <c r="N182" s="79">
        <f>F180*-0.9</f>
        <v>4500</v>
      </c>
    </row>
    <row r="183" spans="2:14" ht="15" customHeight="1">
      <c r="B183" s="77" t="s">
        <v>196</v>
      </c>
      <c r="C183" s="77"/>
      <c r="D183" s="79">
        <f>SUM(D179:D182)</f>
        <v>-300257.62886223581</v>
      </c>
      <c r="E183" s="79">
        <f t="shared" ref="E183:N183" si="64">SUM(E179:E182)</f>
        <v>13324.748603626078</v>
      </c>
      <c r="F183" s="79">
        <f t="shared" si="64"/>
        <v>8272.2698788424641</v>
      </c>
      <c r="G183" s="79">
        <f t="shared" si="64"/>
        <v>13974.902113714883</v>
      </c>
      <c r="H183" s="79">
        <f t="shared" si="64"/>
        <v>13932.636303093645</v>
      </c>
      <c r="I183" s="79">
        <f t="shared" si="64"/>
        <v>13895.469288536891</v>
      </c>
      <c r="J183" s="79">
        <f t="shared" si="64"/>
        <v>13863.403815199221</v>
      </c>
      <c r="K183" s="79">
        <f t="shared" si="64"/>
        <v>13836.448596418804</v>
      </c>
      <c r="L183" s="79">
        <f t="shared" si="64"/>
        <v>13814.618386217689</v>
      </c>
      <c r="M183" s="79">
        <f t="shared" si="64"/>
        <v>13797.934059861851</v>
      </c>
      <c r="N183" s="79">
        <f t="shared" si="64"/>
        <v>736408.22356210183</v>
      </c>
    </row>
    <row r="184" spans="2:14" ht="15" customHeight="1">
      <c r="B184" s="77" t="s">
        <v>141</v>
      </c>
      <c r="C184" s="77"/>
      <c r="D184" s="101">
        <f>NPV(D128,E183:N183)+D183</f>
        <v>383.78942970407661</v>
      </c>
      <c r="E184" s="79"/>
      <c r="F184" s="79"/>
      <c r="G184" s="79"/>
      <c r="H184" s="79"/>
      <c r="I184" s="79"/>
      <c r="J184" s="79"/>
      <c r="K184" s="79"/>
      <c r="L184" s="79"/>
      <c r="M184" s="79"/>
      <c r="N184" s="79"/>
    </row>
    <row r="185" spans="2:14" ht="15" customHeight="1">
      <c r="B185" s="77" t="s">
        <v>197</v>
      </c>
      <c r="C185" s="77"/>
      <c r="D185" s="95">
        <f>G204</f>
        <v>0.4</v>
      </c>
      <c r="E185" s="79"/>
      <c r="F185" s="79"/>
      <c r="G185" s="79"/>
      <c r="H185" s="79"/>
      <c r="I185" s="79"/>
      <c r="J185" s="79"/>
      <c r="K185" s="79"/>
      <c r="L185" s="79"/>
      <c r="M185" s="79"/>
      <c r="N185" s="79"/>
    </row>
    <row r="186" spans="2:14" ht="15" customHeight="1">
      <c r="B186" s="77"/>
      <c r="C186" s="77"/>
      <c r="D186" s="79"/>
      <c r="E186" s="79"/>
      <c r="F186" s="79"/>
      <c r="G186" s="79"/>
      <c r="H186" s="79"/>
      <c r="I186" s="79"/>
      <c r="J186" s="79"/>
      <c r="K186" s="79"/>
      <c r="L186" s="79"/>
      <c r="M186" s="79"/>
      <c r="N186" s="79"/>
    </row>
    <row r="187" spans="2:14" ht="15" customHeight="1">
      <c r="B187" s="81" t="s">
        <v>198</v>
      </c>
      <c r="C187" s="77"/>
      <c r="D187" s="79"/>
      <c r="E187" s="79"/>
      <c r="F187" s="79"/>
      <c r="G187" s="79"/>
      <c r="H187" s="79"/>
      <c r="I187" s="79"/>
      <c r="J187" s="79"/>
      <c r="K187" s="79"/>
      <c r="L187" s="79"/>
      <c r="M187" s="79"/>
      <c r="N187" s="79"/>
    </row>
    <row r="188" spans="2:14" ht="15" customHeight="1">
      <c r="B188" s="77" t="str">
        <f>B179</f>
        <v>Normal Forecasted Operations</v>
      </c>
      <c r="C188" s="77"/>
      <c r="D188" s="79">
        <f>D179</f>
        <v>-300257.62886223581</v>
      </c>
      <c r="E188" s="79">
        <f t="shared" ref="E188:N188" si="65">E179</f>
        <v>13324.748603626078</v>
      </c>
      <c r="F188" s="79">
        <f t="shared" si="65"/>
        <v>13272.269878842464</v>
      </c>
      <c r="G188" s="79">
        <f t="shared" si="65"/>
        <v>13224.902113714883</v>
      </c>
      <c r="H188" s="79">
        <f t="shared" si="65"/>
        <v>13182.636303093645</v>
      </c>
      <c r="I188" s="79">
        <f t="shared" si="65"/>
        <v>13145.469288536891</v>
      </c>
      <c r="J188" s="79">
        <f t="shared" si="65"/>
        <v>13113.403815199221</v>
      </c>
      <c r="K188" s="79">
        <f t="shared" si="65"/>
        <v>13086.448596418804</v>
      </c>
      <c r="L188" s="79">
        <f t="shared" si="65"/>
        <v>13064.618386217689</v>
      </c>
      <c r="M188" s="79">
        <f t="shared" si="65"/>
        <v>13047.934059861851</v>
      </c>
      <c r="N188" s="79">
        <f t="shared" si="65"/>
        <v>731158.22356210183</v>
      </c>
    </row>
    <row r="189" spans="2:14" ht="15" customHeight="1">
      <c r="B189" s="77" t="str">
        <f t="shared" ref="B189:B192" si="66">B180</f>
        <v>Cost of Churro Machine</v>
      </c>
      <c r="C189" s="77"/>
      <c r="D189" s="79"/>
      <c r="E189" s="79"/>
      <c r="F189" s="79">
        <f>F180</f>
        <v>-5000</v>
      </c>
      <c r="G189" s="79"/>
      <c r="I189" s="79"/>
      <c r="J189" s="79"/>
      <c r="K189" s="79"/>
      <c r="L189" s="79"/>
      <c r="M189" s="79"/>
      <c r="N189" s="79"/>
    </row>
    <row r="190" spans="2:14" ht="15" customHeight="1">
      <c r="B190" s="77" t="str">
        <f t="shared" si="66"/>
        <v>Additional Revenues from churros</v>
      </c>
      <c r="C190" s="77"/>
      <c r="D190" s="79"/>
      <c r="E190" s="79"/>
      <c r="F190" s="79"/>
      <c r="G190" s="79">
        <v>350</v>
      </c>
      <c r="H190" s="79">
        <v>350</v>
      </c>
      <c r="I190" s="79">
        <v>350</v>
      </c>
      <c r="J190" s="79">
        <v>350</v>
      </c>
      <c r="K190" s="79">
        <v>350</v>
      </c>
      <c r="L190" s="79">
        <v>350</v>
      </c>
      <c r="M190" s="79">
        <v>350</v>
      </c>
      <c r="N190" s="79">
        <v>350</v>
      </c>
    </row>
    <row r="191" spans="2:14" ht="15" customHeight="1">
      <c r="B191" s="77" t="str">
        <f t="shared" si="66"/>
        <v>Sell Churro Machine</v>
      </c>
      <c r="C191" s="77"/>
      <c r="D191" s="79"/>
      <c r="E191" s="79"/>
      <c r="F191" s="79"/>
      <c r="G191" s="79"/>
      <c r="H191" s="79"/>
      <c r="I191" s="79"/>
      <c r="J191" s="79"/>
      <c r="K191" s="79"/>
      <c r="L191" s="79"/>
      <c r="M191" s="79"/>
      <c r="N191" s="79">
        <f>0.75*-F189</f>
        <v>3750</v>
      </c>
    </row>
    <row r="192" spans="2:14" ht="15" customHeight="1">
      <c r="B192" s="77" t="str">
        <f t="shared" si="66"/>
        <v>TOTAL</v>
      </c>
      <c r="C192" s="77"/>
      <c r="D192" s="79">
        <f>SUM(D188:D191)</f>
        <v>-300257.62886223581</v>
      </c>
      <c r="E192" s="79">
        <f t="shared" ref="E192:N192" si="67">SUM(E188:E191)</f>
        <v>13324.748603626078</v>
      </c>
      <c r="F192" s="79">
        <f t="shared" si="67"/>
        <v>8272.2698788424641</v>
      </c>
      <c r="G192" s="79">
        <f t="shared" si="67"/>
        <v>13574.902113714883</v>
      </c>
      <c r="H192" s="79">
        <f t="shared" si="67"/>
        <v>13532.636303093645</v>
      </c>
      <c r="I192" s="79">
        <f t="shared" si="67"/>
        <v>13495.469288536891</v>
      </c>
      <c r="J192" s="79">
        <f t="shared" si="67"/>
        <v>13463.403815199221</v>
      </c>
      <c r="K192" s="79">
        <f t="shared" si="67"/>
        <v>13436.448596418804</v>
      </c>
      <c r="L192" s="79">
        <f t="shared" si="67"/>
        <v>13414.618386217689</v>
      </c>
      <c r="M192" s="79">
        <f t="shared" si="67"/>
        <v>13397.934059861851</v>
      </c>
      <c r="N192" s="79">
        <f t="shared" si="67"/>
        <v>735258.22356210183</v>
      </c>
    </row>
    <row r="193" spans="2:14" ht="15" customHeight="1">
      <c r="B193" s="77" t="s">
        <v>141</v>
      </c>
      <c r="C193" s="77"/>
      <c r="D193" s="101">
        <f>NPV(D128,E192:N192)+D192</f>
        <v>-1417.5911110262387</v>
      </c>
      <c r="E193" s="79"/>
      <c r="F193" s="79"/>
      <c r="G193" s="79"/>
      <c r="H193" s="79"/>
      <c r="I193" s="79"/>
      <c r="J193" s="79"/>
      <c r="K193" s="79"/>
      <c r="L193" s="79"/>
      <c r="M193" s="79"/>
      <c r="N193" s="79"/>
    </row>
    <row r="194" spans="2:14" ht="15" customHeight="1">
      <c r="B194" s="77" t="s">
        <v>197</v>
      </c>
      <c r="C194" s="77"/>
      <c r="D194" s="95">
        <f>G208</f>
        <v>0.4</v>
      </c>
      <c r="E194" s="79"/>
      <c r="F194" s="79"/>
      <c r="G194" s="79"/>
      <c r="H194" s="79"/>
      <c r="I194" s="79"/>
      <c r="J194" s="79"/>
      <c r="K194" s="79"/>
      <c r="L194" s="79"/>
      <c r="M194" s="79"/>
      <c r="N194" s="79"/>
    </row>
    <row r="195" spans="2:14" ht="15" customHeight="1">
      <c r="B195" s="77"/>
      <c r="C195" s="77"/>
      <c r="D195" s="79"/>
      <c r="E195" s="79"/>
      <c r="F195" s="79"/>
      <c r="G195" s="79"/>
      <c r="H195" s="79"/>
      <c r="I195" s="79"/>
      <c r="J195" s="79"/>
      <c r="K195" s="79"/>
      <c r="L195" s="79"/>
      <c r="M195" s="79"/>
      <c r="N195" s="79"/>
    </row>
    <row r="196" spans="2:14" ht="15" customHeight="1">
      <c r="B196" s="81" t="s">
        <v>199</v>
      </c>
      <c r="C196" s="77"/>
      <c r="D196" s="79"/>
      <c r="E196" s="79"/>
      <c r="F196" s="79"/>
      <c r="G196" s="79"/>
      <c r="H196" s="79"/>
      <c r="I196" s="79"/>
      <c r="J196" s="79"/>
      <c r="K196" s="79"/>
      <c r="L196" s="79"/>
      <c r="M196" s="79"/>
      <c r="N196" s="79"/>
    </row>
    <row r="197" spans="2:14" ht="15" customHeight="1">
      <c r="B197" s="77" t="s">
        <v>200</v>
      </c>
      <c r="C197" s="77"/>
      <c r="D197" s="79">
        <f>D179</f>
        <v>-300257.62886223581</v>
      </c>
      <c r="E197" s="101">
        <f>(D$194+D$185)*E179</f>
        <v>10659.798882900863</v>
      </c>
      <c r="F197" s="101">
        <f>(D$194+D$185)*F179</f>
        <v>10617.815903073972</v>
      </c>
      <c r="G197" s="79"/>
      <c r="H197" s="79"/>
      <c r="I197" s="79"/>
      <c r="J197" s="79"/>
      <c r="K197" s="79"/>
      <c r="L197" s="79"/>
      <c r="M197" s="79"/>
      <c r="N197" s="79"/>
    </row>
    <row r="198" spans="2:14" ht="15" customHeight="1">
      <c r="B198" s="77" t="s">
        <v>141</v>
      </c>
      <c r="C198" s="77"/>
      <c r="D198" s="79">
        <f>NPV($C$6,E197:F197)+D197</f>
        <v>-278980.01407626097</v>
      </c>
      <c r="E198" s="79"/>
      <c r="F198" s="79"/>
      <c r="G198" s="79"/>
      <c r="H198" s="79"/>
      <c r="I198" s="79"/>
      <c r="J198" s="79"/>
      <c r="K198" s="79"/>
      <c r="L198" s="79"/>
      <c r="M198" s="79"/>
      <c r="N198" s="79"/>
    </row>
    <row r="199" spans="2:14" ht="15" customHeight="1">
      <c r="B199" s="77" t="s">
        <v>197</v>
      </c>
      <c r="C199" s="77"/>
      <c r="D199" s="95">
        <f>G210</f>
        <v>0.2</v>
      </c>
      <c r="E199" s="79"/>
      <c r="F199" s="79"/>
      <c r="G199" s="79"/>
      <c r="H199" s="79"/>
      <c r="I199" s="79"/>
      <c r="J199" s="79"/>
      <c r="K199" s="79"/>
      <c r="L199" s="79"/>
      <c r="M199" s="79"/>
      <c r="N199" s="79"/>
    </row>
    <row r="200" spans="2:14" ht="15" customHeight="1">
      <c r="B200" s="77"/>
      <c r="C200" s="77"/>
      <c r="D200" s="79"/>
      <c r="E200" s="79"/>
      <c r="F200" s="79"/>
      <c r="G200" s="79"/>
      <c r="H200" s="79"/>
      <c r="I200" s="79"/>
      <c r="J200" s="79"/>
      <c r="K200" s="79"/>
      <c r="L200" s="79"/>
      <c r="M200" s="79"/>
      <c r="N200" s="79"/>
    </row>
    <row r="201" spans="2:14" ht="15" customHeight="1">
      <c r="B201" s="77" t="s">
        <v>201</v>
      </c>
      <c r="C201" s="77"/>
      <c r="D201" s="79">
        <f>D185*D184+D194*D193+D199*D198</f>
        <v>-56209.523487781065</v>
      </c>
      <c r="E201" s="79"/>
      <c r="F201" s="79"/>
      <c r="G201" s="79"/>
      <c r="H201" s="79"/>
      <c r="I201" s="79"/>
      <c r="J201" s="79"/>
      <c r="K201" s="79"/>
      <c r="L201" s="79"/>
      <c r="M201" s="79"/>
      <c r="N201" s="79"/>
    </row>
    <row r="202" spans="2:14" ht="15" customHeight="1">
      <c r="B202" s="77"/>
      <c r="C202" s="77"/>
      <c r="D202" s="77"/>
      <c r="E202" s="77"/>
      <c r="F202" s="79"/>
      <c r="G202" s="79"/>
      <c r="H202" s="79"/>
      <c r="I202" s="79"/>
      <c r="J202" s="79"/>
      <c r="K202" s="79"/>
      <c r="L202" s="79"/>
      <c r="M202" s="79"/>
      <c r="N202" s="79"/>
    </row>
    <row r="203" spans="2:14" ht="15" customHeight="1">
      <c r="B203" s="77"/>
      <c r="C203" s="77"/>
      <c r="D203" s="77"/>
      <c r="E203" s="79"/>
      <c r="F203" s="79"/>
      <c r="G203" s="77"/>
      <c r="H203" s="79"/>
      <c r="I203" s="79"/>
      <c r="J203" s="79"/>
      <c r="K203" s="79"/>
      <c r="L203" s="79"/>
      <c r="M203" s="79"/>
      <c r="N203" s="79"/>
    </row>
    <row r="204" spans="2:14" ht="15" customHeight="1">
      <c r="B204" s="77"/>
      <c r="C204" s="77"/>
      <c r="D204" s="77"/>
      <c r="E204" s="95">
        <v>0.5</v>
      </c>
      <c r="F204" s="79" t="s">
        <v>202</v>
      </c>
      <c r="G204" s="85">
        <f>E204*D206</f>
        <v>0.4</v>
      </c>
      <c r="H204" s="79"/>
      <c r="I204" s="79"/>
      <c r="J204" s="79"/>
      <c r="K204" s="79"/>
      <c r="L204" s="79"/>
      <c r="M204" s="79"/>
      <c r="N204" s="79"/>
    </row>
    <row r="205" spans="2:14" ht="15" customHeight="1">
      <c r="B205" s="77"/>
      <c r="C205" s="79"/>
      <c r="D205" s="79" t="s">
        <v>203</v>
      </c>
      <c r="E205" s="96"/>
      <c r="F205" s="79"/>
      <c r="G205" s="85"/>
      <c r="H205" s="79"/>
      <c r="I205" s="79"/>
      <c r="J205" s="79"/>
      <c r="K205" s="79"/>
      <c r="L205" s="79"/>
      <c r="M205" s="79"/>
      <c r="N205" s="79"/>
    </row>
    <row r="206" spans="2:14" ht="15" customHeight="1">
      <c r="B206" s="77"/>
      <c r="C206" s="79"/>
      <c r="D206" s="95">
        <v>0.8</v>
      </c>
      <c r="E206" s="97"/>
      <c r="F206" s="77"/>
      <c r="G206" s="85"/>
      <c r="H206" s="77"/>
      <c r="I206" s="77"/>
      <c r="J206" s="77"/>
      <c r="K206" s="77"/>
      <c r="L206" s="77"/>
      <c r="M206" s="77"/>
      <c r="N206" s="77"/>
    </row>
    <row r="207" spans="2:14" ht="15" customHeight="1">
      <c r="B207" s="77" t="s">
        <v>192</v>
      </c>
      <c r="C207" s="79"/>
      <c r="D207" s="96"/>
      <c r="E207" s="98"/>
      <c r="F207" s="77"/>
      <c r="G207" s="85"/>
      <c r="H207" s="77"/>
      <c r="I207" s="77"/>
      <c r="J207" s="77"/>
      <c r="K207" s="77"/>
      <c r="L207" s="77"/>
      <c r="M207" s="77"/>
      <c r="N207" s="77"/>
    </row>
    <row r="208" spans="2:14" ht="15" customHeight="1">
      <c r="B208" s="77"/>
      <c r="C208" s="79"/>
      <c r="D208" s="99"/>
      <c r="E208" s="85">
        <v>0.5</v>
      </c>
      <c r="F208" s="77" t="s">
        <v>204</v>
      </c>
      <c r="G208" s="85">
        <f>E208*D206</f>
        <v>0.4</v>
      </c>
      <c r="H208" s="77"/>
      <c r="I208" s="77"/>
      <c r="J208" s="77"/>
      <c r="K208" s="77"/>
      <c r="L208" s="77"/>
      <c r="M208" s="77"/>
      <c r="N208" s="77"/>
    </row>
    <row r="209" spans="2:14" ht="15" customHeight="1">
      <c r="B209" s="77"/>
      <c r="C209" s="77"/>
      <c r="D209" s="98"/>
      <c r="E209" s="77"/>
      <c r="F209" s="77"/>
      <c r="G209" s="85"/>
      <c r="H209" s="77"/>
      <c r="I209" s="77"/>
      <c r="J209" s="77"/>
      <c r="K209" s="77"/>
      <c r="L209" s="77"/>
      <c r="M209" s="77"/>
      <c r="N209" s="77"/>
    </row>
    <row r="210" spans="2:14" ht="15" customHeight="1">
      <c r="B210" s="77"/>
      <c r="C210" s="77"/>
      <c r="D210" s="85">
        <v>0.2</v>
      </c>
      <c r="E210" s="77"/>
      <c r="F210" s="77"/>
      <c r="G210" s="85">
        <f>D210</f>
        <v>0.2</v>
      </c>
      <c r="H210" s="77"/>
      <c r="I210" s="77"/>
      <c r="J210" s="77"/>
      <c r="K210" s="77"/>
      <c r="L210" s="77"/>
      <c r="M210" s="77"/>
      <c r="N210" s="77"/>
    </row>
    <row r="211" spans="2:14" ht="15" customHeight="1">
      <c r="B211" s="77"/>
      <c r="C211" s="77"/>
      <c r="D211" s="77" t="s">
        <v>205</v>
      </c>
      <c r="E211" s="77"/>
      <c r="F211" s="77"/>
      <c r="G211" s="100"/>
      <c r="H211" s="77"/>
      <c r="I211" s="77"/>
      <c r="J211" s="77"/>
      <c r="K211" s="77"/>
      <c r="L211" s="77"/>
      <c r="M211" s="77"/>
      <c r="N211" s="77"/>
    </row>
    <row r="212" spans="2:14" ht="15" customHeight="1">
      <c r="B212" s="77"/>
      <c r="C212" s="77"/>
      <c r="D212" s="77"/>
      <c r="E212" s="77"/>
      <c r="F212" s="77"/>
      <c r="G212" s="85">
        <f>SUM(G204:G210)</f>
        <v>1</v>
      </c>
      <c r="H212" s="77"/>
      <c r="I212" s="77"/>
      <c r="J212" s="77"/>
      <c r="K212" s="77"/>
      <c r="L212" s="77"/>
      <c r="M212" s="77"/>
      <c r="N212" s="77"/>
    </row>
  </sheetData>
  <mergeCells count="5">
    <mergeCell ref="E148:J155"/>
    <mergeCell ref="R42:Z42"/>
    <mergeCell ref="R41:Z41"/>
    <mergeCell ref="R55:Z55"/>
    <mergeCell ref="R71:Z71"/>
  </mergeCell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0"/>
  <sheetViews>
    <sheetView workbookViewId="0">
      <selection activeCell="I7" sqref="I7"/>
    </sheetView>
  </sheetViews>
  <sheetFormatPr defaultColWidth="11.42578125" defaultRowHeight="15"/>
  <cols>
    <col min="1" max="1" width="22.7109375" customWidth="1"/>
    <col min="2" max="6" width="16.7109375" customWidth="1"/>
    <col min="7" max="7" width="6.28515625" customWidth="1"/>
    <col min="9" max="9" width="17.42578125" customWidth="1"/>
  </cols>
  <sheetData>
    <row r="1" spans="1:9">
      <c r="A1" s="20"/>
      <c r="B1" s="33" t="s">
        <v>46</v>
      </c>
      <c r="C1" s="33" t="s">
        <v>47</v>
      </c>
      <c r="D1" s="33" t="s">
        <v>48</v>
      </c>
      <c r="E1" s="33" t="s">
        <v>49</v>
      </c>
      <c r="F1" s="33" t="s">
        <v>50</v>
      </c>
      <c r="G1" s="20"/>
      <c r="H1" s="32" t="s">
        <v>51</v>
      </c>
      <c r="I1" s="21">
        <f>Forecasts!E23</f>
        <v>4.1700000000000001E-2</v>
      </c>
    </row>
    <row r="2" spans="1:9">
      <c r="A2" s="22" t="s">
        <v>52</v>
      </c>
      <c r="B2" s="23">
        <f>+I7</f>
        <v>189000</v>
      </c>
      <c r="C2" s="23">
        <f t="shared" ref="C2:C13" si="0">+E2-D2</f>
        <v>264.16113648034604</v>
      </c>
      <c r="D2" s="23">
        <f t="shared" ref="D2:D13" si="1">B2*$I$2</f>
        <v>656.77500000000009</v>
      </c>
      <c r="E2" s="23">
        <f t="shared" ref="E2:E13" si="2">-$I$9</f>
        <v>920.93613648034614</v>
      </c>
      <c r="F2" s="23">
        <f t="shared" ref="F2:F13" si="3">+B2-C2</f>
        <v>188735.83886351966</v>
      </c>
      <c r="G2" s="20"/>
      <c r="H2" s="32" t="s">
        <v>53</v>
      </c>
      <c r="I2" s="21">
        <f>+I1/12</f>
        <v>3.4750000000000002E-3</v>
      </c>
    </row>
    <row r="3" spans="1:9">
      <c r="A3" s="24" t="s">
        <v>54</v>
      </c>
      <c r="B3" s="23">
        <f t="shared" ref="B3:B13" si="4">+F2</f>
        <v>188735.83886351966</v>
      </c>
      <c r="C3" s="23">
        <f t="shared" si="0"/>
        <v>265.07909642961522</v>
      </c>
      <c r="D3" s="23">
        <f t="shared" si="1"/>
        <v>655.85704005073092</v>
      </c>
      <c r="E3" s="23">
        <f t="shared" si="2"/>
        <v>920.93613648034614</v>
      </c>
      <c r="F3" s="23">
        <f t="shared" si="3"/>
        <v>188470.75976709006</v>
      </c>
      <c r="G3" s="20"/>
      <c r="H3" s="32" t="s">
        <v>55</v>
      </c>
      <c r="I3" s="25">
        <v>0</v>
      </c>
    </row>
    <row r="4" spans="1:9">
      <c r="A4" s="24" t="s">
        <v>56</v>
      </c>
      <c r="B4" s="23">
        <f t="shared" si="4"/>
        <v>188470.75976709006</v>
      </c>
      <c r="C4" s="23">
        <f t="shared" si="0"/>
        <v>266.00024628970812</v>
      </c>
      <c r="D4" s="23">
        <f t="shared" si="1"/>
        <v>654.93589019063802</v>
      </c>
      <c r="E4" s="23">
        <f t="shared" si="2"/>
        <v>920.93613648034614</v>
      </c>
      <c r="F4" s="23">
        <f t="shared" si="3"/>
        <v>188204.75952080035</v>
      </c>
      <c r="G4" s="20"/>
      <c r="H4" s="32" t="s">
        <v>57</v>
      </c>
      <c r="I4" s="27">
        <f>Forecasts!E24</f>
        <v>30</v>
      </c>
    </row>
    <row r="5" spans="1:9">
      <c r="A5" s="24" t="s">
        <v>58</v>
      </c>
      <c r="B5" s="23">
        <f t="shared" si="4"/>
        <v>188204.75952080035</v>
      </c>
      <c r="C5" s="23">
        <f t="shared" si="0"/>
        <v>266.92459714556492</v>
      </c>
      <c r="D5" s="23">
        <f t="shared" si="1"/>
        <v>654.01153933478122</v>
      </c>
      <c r="E5" s="23">
        <f t="shared" si="2"/>
        <v>920.93613648034614</v>
      </c>
      <c r="F5" s="23">
        <f t="shared" si="3"/>
        <v>187937.83492365479</v>
      </c>
      <c r="G5" s="20"/>
      <c r="H5" s="32" t="s">
        <v>59</v>
      </c>
      <c r="I5" s="20">
        <f>I4*12</f>
        <v>360</v>
      </c>
    </row>
    <row r="6" spans="1:9">
      <c r="A6" s="24" t="s">
        <v>60</v>
      </c>
      <c r="B6" s="23">
        <f t="shared" si="4"/>
        <v>187937.83492365479</v>
      </c>
      <c r="C6" s="23">
        <f t="shared" si="0"/>
        <v>267.85216012064564</v>
      </c>
      <c r="D6" s="23">
        <f t="shared" si="1"/>
        <v>653.0839763597005</v>
      </c>
      <c r="E6" s="23">
        <f t="shared" si="2"/>
        <v>920.93613648034614</v>
      </c>
      <c r="F6" s="23">
        <f t="shared" si="3"/>
        <v>187669.98276353415</v>
      </c>
      <c r="G6" s="20"/>
      <c r="H6" s="32" t="s">
        <v>61</v>
      </c>
      <c r="I6" s="20">
        <v>0</v>
      </c>
    </row>
    <row r="7" spans="1:9">
      <c r="A7" s="24" t="s">
        <v>62</v>
      </c>
      <c r="B7" s="23">
        <f t="shared" si="4"/>
        <v>187669.98276353415</v>
      </c>
      <c r="C7" s="23">
        <f t="shared" si="0"/>
        <v>268.78294637706495</v>
      </c>
      <c r="D7" s="23">
        <f t="shared" si="1"/>
        <v>652.15319010328119</v>
      </c>
      <c r="E7" s="23">
        <f t="shared" si="2"/>
        <v>920.93613648034614</v>
      </c>
      <c r="F7" s="23">
        <f t="shared" si="3"/>
        <v>187401.19981715709</v>
      </c>
      <c r="G7" s="20"/>
      <c r="H7" s="32" t="s">
        <v>63</v>
      </c>
      <c r="I7" s="25">
        <f>Forecasts!E26</f>
        <v>189000</v>
      </c>
    </row>
    <row r="8" spans="1:9">
      <c r="A8" s="24" t="s">
        <v>64</v>
      </c>
      <c r="B8" s="23">
        <f t="shared" si="4"/>
        <v>187401.19981715709</v>
      </c>
      <c r="C8" s="23">
        <f t="shared" si="0"/>
        <v>269.7169671157252</v>
      </c>
      <c r="D8" s="23">
        <f t="shared" si="1"/>
        <v>651.21916936462094</v>
      </c>
      <c r="E8" s="23">
        <f t="shared" si="2"/>
        <v>920.93613648034614</v>
      </c>
      <c r="F8" s="23">
        <f t="shared" si="3"/>
        <v>187131.48285004136</v>
      </c>
      <c r="G8" s="20"/>
      <c r="H8" s="32"/>
      <c r="I8" s="20"/>
    </row>
    <row r="9" spans="1:9">
      <c r="A9" s="24" t="s">
        <v>65</v>
      </c>
      <c r="B9" s="23">
        <f t="shared" si="4"/>
        <v>187131.48285004136</v>
      </c>
      <c r="C9" s="23">
        <f t="shared" si="0"/>
        <v>270.65423357645238</v>
      </c>
      <c r="D9" s="23">
        <f t="shared" si="1"/>
        <v>650.28190290389375</v>
      </c>
      <c r="E9" s="23">
        <f t="shared" si="2"/>
        <v>920.93613648034614</v>
      </c>
      <c r="F9" s="23">
        <f t="shared" si="3"/>
        <v>186860.82861646492</v>
      </c>
      <c r="G9" s="20"/>
      <c r="H9" s="32" t="s">
        <v>49</v>
      </c>
      <c r="I9" s="23">
        <f>PMT(I2,I5,I7,I3,I6)</f>
        <v>-920.93613648034614</v>
      </c>
    </row>
    <row r="10" spans="1:9">
      <c r="A10" s="24" t="s">
        <v>66</v>
      </c>
      <c r="B10" s="23">
        <f t="shared" si="4"/>
        <v>186860.82861646492</v>
      </c>
      <c r="C10" s="23">
        <f t="shared" si="0"/>
        <v>271.59475703813052</v>
      </c>
      <c r="D10" s="23">
        <f t="shared" si="1"/>
        <v>649.34137944221561</v>
      </c>
      <c r="E10" s="23">
        <f t="shared" si="2"/>
        <v>920.93613648034614</v>
      </c>
      <c r="F10" s="23">
        <f t="shared" si="3"/>
        <v>186589.23385942678</v>
      </c>
      <c r="G10" s="20"/>
      <c r="H10" s="20"/>
      <c r="I10" s="20"/>
    </row>
    <row r="11" spans="1:9">
      <c r="A11" s="24" t="s">
        <v>67</v>
      </c>
      <c r="B11" s="23">
        <f t="shared" si="4"/>
        <v>186589.23385942678</v>
      </c>
      <c r="C11" s="23">
        <f t="shared" si="0"/>
        <v>272.53854881883808</v>
      </c>
      <c r="D11" s="23">
        <f t="shared" si="1"/>
        <v>648.39758766150806</v>
      </c>
      <c r="E11" s="23">
        <f t="shared" si="2"/>
        <v>920.93613648034614</v>
      </c>
      <c r="F11" s="23">
        <f t="shared" si="3"/>
        <v>186316.69531060793</v>
      </c>
      <c r="G11" s="20"/>
      <c r="H11" s="20"/>
      <c r="I11" s="20"/>
    </row>
    <row r="12" spans="1:9">
      <c r="A12" s="24" t="s">
        <v>68</v>
      </c>
      <c r="B12" s="23">
        <f t="shared" si="4"/>
        <v>186316.69531060793</v>
      </c>
      <c r="C12" s="23">
        <f t="shared" si="0"/>
        <v>273.48562027598348</v>
      </c>
      <c r="D12" s="23">
        <f t="shared" si="1"/>
        <v>647.45051620436266</v>
      </c>
      <c r="E12" s="23">
        <f t="shared" si="2"/>
        <v>920.93613648034614</v>
      </c>
      <c r="F12" s="23">
        <f t="shared" si="3"/>
        <v>186043.20969033195</v>
      </c>
      <c r="G12" s="20"/>
      <c r="H12" s="20"/>
      <c r="I12" s="20"/>
    </row>
    <row r="13" spans="1:9">
      <c r="A13" s="24" t="s">
        <v>69</v>
      </c>
      <c r="B13" s="23">
        <f t="shared" si="4"/>
        <v>186043.20969033195</v>
      </c>
      <c r="C13" s="23">
        <f t="shared" si="0"/>
        <v>274.43598280644255</v>
      </c>
      <c r="D13" s="23">
        <f t="shared" si="1"/>
        <v>646.50015367390358</v>
      </c>
      <c r="E13" s="23">
        <f t="shared" si="2"/>
        <v>920.93613648034614</v>
      </c>
      <c r="F13" s="23">
        <f t="shared" si="3"/>
        <v>185768.77370752551</v>
      </c>
      <c r="G13" s="20">
        <v>1</v>
      </c>
      <c r="H13" s="20"/>
      <c r="I13" s="20"/>
    </row>
    <row r="14" spans="1:9">
      <c r="A14" s="26" t="s">
        <v>70</v>
      </c>
      <c r="B14" s="23"/>
      <c r="C14" s="23">
        <f>SUM(C2:C13)</f>
        <v>3231.2262924745173</v>
      </c>
      <c r="D14" s="23">
        <f>SUM(D2:D13)</f>
        <v>7820.0073452896368</v>
      </c>
      <c r="E14" s="23"/>
      <c r="F14" s="23"/>
      <c r="G14" s="20"/>
      <c r="H14" s="20"/>
      <c r="I14" s="20"/>
    </row>
    <row r="15" spans="1:9">
      <c r="A15" s="24"/>
      <c r="B15" s="23"/>
      <c r="C15" s="23"/>
      <c r="D15" s="23"/>
      <c r="E15" s="23"/>
      <c r="F15" s="23"/>
      <c r="G15" s="20"/>
      <c r="H15" s="20"/>
      <c r="I15" s="20"/>
    </row>
    <row r="16" spans="1:9">
      <c r="A16" s="22" t="s">
        <v>52</v>
      </c>
      <c r="B16" s="23">
        <f>+F13</f>
        <v>185768.77370752551</v>
      </c>
      <c r="C16" s="23">
        <f t="shared" ref="C16:C27" si="5">+E16-D16</f>
        <v>275.38964784669497</v>
      </c>
      <c r="D16" s="23">
        <f t="shared" ref="D16:D27" si="6">B16*$I$2</f>
        <v>645.54648863365117</v>
      </c>
      <c r="E16" s="23">
        <f t="shared" ref="E16:E27" si="7">-$I$9</f>
        <v>920.93613648034614</v>
      </c>
      <c r="F16" s="23">
        <f t="shared" ref="F16:F27" si="8">+B16-C16</f>
        <v>185493.38405967882</v>
      </c>
      <c r="G16" s="20"/>
      <c r="H16" s="20"/>
      <c r="I16" s="20"/>
    </row>
    <row r="17" spans="1:9">
      <c r="A17" s="24" t="s">
        <v>54</v>
      </c>
      <c r="B17" s="23">
        <f t="shared" ref="B17:B27" si="9">+F16</f>
        <v>185493.38405967882</v>
      </c>
      <c r="C17" s="23">
        <f t="shared" si="5"/>
        <v>276.34662687296213</v>
      </c>
      <c r="D17" s="23">
        <f t="shared" si="6"/>
        <v>644.589509607384</v>
      </c>
      <c r="E17" s="23">
        <f t="shared" si="7"/>
        <v>920.93613648034614</v>
      </c>
      <c r="F17" s="23">
        <f t="shared" si="8"/>
        <v>185217.03743280587</v>
      </c>
      <c r="G17" s="20"/>
      <c r="H17" s="20"/>
      <c r="I17" s="20"/>
    </row>
    <row r="18" spans="1:9">
      <c r="A18" s="24" t="s">
        <v>56</v>
      </c>
      <c r="B18" s="23">
        <f t="shared" si="9"/>
        <v>185217.03743280587</v>
      </c>
      <c r="C18" s="23">
        <f t="shared" si="5"/>
        <v>277.30693140134565</v>
      </c>
      <c r="D18" s="23">
        <f t="shared" si="6"/>
        <v>643.62920507900049</v>
      </c>
      <c r="E18" s="23">
        <f t="shared" si="7"/>
        <v>920.93613648034614</v>
      </c>
      <c r="F18" s="23">
        <f t="shared" si="8"/>
        <v>184939.73050140453</v>
      </c>
      <c r="G18" s="20"/>
      <c r="H18" s="20"/>
      <c r="I18" s="20"/>
    </row>
    <row r="19" spans="1:9">
      <c r="A19" s="24" t="s">
        <v>58</v>
      </c>
      <c r="B19" s="23">
        <f t="shared" si="9"/>
        <v>184939.73050140453</v>
      </c>
      <c r="C19" s="23">
        <f t="shared" si="5"/>
        <v>278.27057298796535</v>
      </c>
      <c r="D19" s="23">
        <f t="shared" si="6"/>
        <v>642.66556349238078</v>
      </c>
      <c r="E19" s="23">
        <f t="shared" si="7"/>
        <v>920.93613648034614</v>
      </c>
      <c r="F19" s="23">
        <f t="shared" si="8"/>
        <v>184661.45992841656</v>
      </c>
      <c r="G19" s="20"/>
      <c r="H19" s="20"/>
      <c r="I19" s="20"/>
    </row>
    <row r="20" spans="1:9">
      <c r="A20" s="24" t="s">
        <v>60</v>
      </c>
      <c r="B20" s="23">
        <f t="shared" si="9"/>
        <v>184661.45992841656</v>
      </c>
      <c r="C20" s="23">
        <f t="shared" si="5"/>
        <v>279.23756322909855</v>
      </c>
      <c r="D20" s="23">
        <f t="shared" si="6"/>
        <v>641.69857325124758</v>
      </c>
      <c r="E20" s="23">
        <f t="shared" si="7"/>
        <v>920.93613648034614</v>
      </c>
      <c r="F20" s="23">
        <f t="shared" si="8"/>
        <v>184382.22236518745</v>
      </c>
      <c r="G20" s="20"/>
      <c r="H20" s="20"/>
      <c r="I20" s="20"/>
    </row>
    <row r="21" spans="1:9">
      <c r="A21" s="24" t="s">
        <v>62</v>
      </c>
      <c r="B21" s="23">
        <f t="shared" si="9"/>
        <v>184382.22236518745</v>
      </c>
      <c r="C21" s="23">
        <f t="shared" si="5"/>
        <v>280.20791376131967</v>
      </c>
      <c r="D21" s="23">
        <f t="shared" si="6"/>
        <v>640.72822271902646</v>
      </c>
      <c r="E21" s="23">
        <f t="shared" si="7"/>
        <v>920.93613648034614</v>
      </c>
      <c r="F21" s="23">
        <f t="shared" si="8"/>
        <v>184102.01445142613</v>
      </c>
      <c r="G21" s="20"/>
      <c r="H21" s="20"/>
      <c r="I21" s="20"/>
    </row>
    <row r="22" spans="1:9">
      <c r="A22" s="24" t="s">
        <v>64</v>
      </c>
      <c r="B22" s="23">
        <f t="shared" si="9"/>
        <v>184102.01445142613</v>
      </c>
      <c r="C22" s="23">
        <f t="shared" si="5"/>
        <v>281.18163626164028</v>
      </c>
      <c r="D22" s="23">
        <f t="shared" si="6"/>
        <v>639.75450021870586</v>
      </c>
      <c r="E22" s="23">
        <f t="shared" si="7"/>
        <v>920.93613648034614</v>
      </c>
      <c r="F22" s="23">
        <f t="shared" si="8"/>
        <v>183820.8328151645</v>
      </c>
      <c r="G22" s="20"/>
      <c r="H22" s="20"/>
      <c r="I22" s="20"/>
    </row>
    <row r="23" spans="1:9">
      <c r="A23" s="24" t="s">
        <v>65</v>
      </c>
      <c r="B23" s="23">
        <f t="shared" si="9"/>
        <v>183820.8328151645</v>
      </c>
      <c r="C23" s="23">
        <f t="shared" si="5"/>
        <v>282.1587424476495</v>
      </c>
      <c r="D23" s="23">
        <f t="shared" si="6"/>
        <v>638.77739403269663</v>
      </c>
      <c r="E23" s="23">
        <f t="shared" si="7"/>
        <v>920.93613648034614</v>
      </c>
      <c r="F23" s="23">
        <f t="shared" si="8"/>
        <v>183538.67407271685</v>
      </c>
      <c r="G23" s="20"/>
      <c r="H23" s="20"/>
      <c r="I23" s="20"/>
    </row>
    <row r="24" spans="1:9">
      <c r="A24" s="24" t="s">
        <v>66</v>
      </c>
      <c r="B24" s="23">
        <f t="shared" si="9"/>
        <v>183538.67407271685</v>
      </c>
      <c r="C24" s="23">
        <f t="shared" si="5"/>
        <v>283.13924407765501</v>
      </c>
      <c r="D24" s="23">
        <f t="shared" si="6"/>
        <v>637.79689240269113</v>
      </c>
      <c r="E24" s="23">
        <f t="shared" si="7"/>
        <v>920.93613648034614</v>
      </c>
      <c r="F24" s="23">
        <f t="shared" si="8"/>
        <v>183255.53482863918</v>
      </c>
      <c r="G24" s="20"/>
      <c r="H24" s="20"/>
      <c r="I24" s="20"/>
    </row>
    <row r="25" spans="1:9">
      <c r="A25" s="24" t="s">
        <v>67</v>
      </c>
      <c r="B25" s="23">
        <f t="shared" si="9"/>
        <v>183255.53482863918</v>
      </c>
      <c r="C25" s="23">
        <f t="shared" si="5"/>
        <v>284.12315295082499</v>
      </c>
      <c r="D25" s="23">
        <f t="shared" si="6"/>
        <v>636.81298352952115</v>
      </c>
      <c r="E25" s="23">
        <f t="shared" si="7"/>
        <v>920.93613648034614</v>
      </c>
      <c r="F25" s="23">
        <f t="shared" si="8"/>
        <v>182971.41167568834</v>
      </c>
      <c r="G25" s="20"/>
      <c r="H25" s="20"/>
      <c r="I25" s="20"/>
    </row>
    <row r="26" spans="1:9">
      <c r="A26" s="24" t="s">
        <v>68</v>
      </c>
      <c r="B26" s="23">
        <f t="shared" si="9"/>
        <v>182971.41167568834</v>
      </c>
      <c r="C26" s="23">
        <f t="shared" si="5"/>
        <v>285.11048090732913</v>
      </c>
      <c r="D26" s="23">
        <f t="shared" si="6"/>
        <v>635.825655573017</v>
      </c>
      <c r="E26" s="23">
        <f t="shared" si="7"/>
        <v>920.93613648034614</v>
      </c>
      <c r="F26" s="23">
        <f t="shared" si="8"/>
        <v>182686.30119478103</v>
      </c>
      <c r="G26" s="20"/>
      <c r="H26" s="20"/>
      <c r="I26" s="20"/>
    </row>
    <row r="27" spans="1:9">
      <c r="A27" s="24" t="s">
        <v>69</v>
      </c>
      <c r="B27" s="23">
        <f t="shared" si="9"/>
        <v>182686.30119478103</v>
      </c>
      <c r="C27" s="23">
        <f t="shared" si="5"/>
        <v>286.10123982848199</v>
      </c>
      <c r="D27" s="23">
        <f t="shared" si="6"/>
        <v>634.83489665186414</v>
      </c>
      <c r="E27" s="23">
        <f t="shared" si="7"/>
        <v>920.93613648034614</v>
      </c>
      <c r="F27" s="23">
        <f t="shared" si="8"/>
        <v>182400.19995495255</v>
      </c>
      <c r="G27" s="20">
        <f>G13+1</f>
        <v>2</v>
      </c>
      <c r="H27" s="20"/>
      <c r="I27" s="20"/>
    </row>
    <row r="28" spans="1:9">
      <c r="A28" s="26" t="s">
        <v>70</v>
      </c>
      <c r="B28" s="23"/>
      <c r="C28" s="23">
        <f>SUM(C16:C27)</f>
        <v>3368.5737525729669</v>
      </c>
      <c r="D28" s="23">
        <f>SUM(D16:D27)</f>
        <v>7682.6598851911867</v>
      </c>
      <c r="E28" s="23"/>
      <c r="F28" s="23"/>
      <c r="G28" s="20"/>
      <c r="H28" s="20"/>
      <c r="I28" s="20"/>
    </row>
    <row r="29" spans="1:9">
      <c r="A29" s="24"/>
      <c r="B29" s="23"/>
      <c r="C29" s="23"/>
      <c r="D29" s="23"/>
      <c r="E29" s="23"/>
      <c r="F29" s="23"/>
      <c r="G29" s="20"/>
      <c r="H29" s="20"/>
      <c r="I29" s="20"/>
    </row>
    <row r="30" spans="1:9">
      <c r="A30" s="22" t="s">
        <v>52</v>
      </c>
      <c r="B30" s="23">
        <f>+F27</f>
        <v>182400.19995495255</v>
      </c>
      <c r="C30" s="23">
        <f t="shared" ref="C30:C41" si="10">+E30-D30</f>
        <v>287.09544163688599</v>
      </c>
      <c r="D30" s="23">
        <f t="shared" ref="D30:D41" si="11">B30*$I$2</f>
        <v>633.84069484346014</v>
      </c>
      <c r="E30" s="23">
        <f t="shared" ref="E30:E41" si="12">-$I$9</f>
        <v>920.93613648034614</v>
      </c>
      <c r="F30" s="23">
        <f t="shared" ref="F30:F41" si="13">+B30-C30</f>
        <v>182113.10451331566</v>
      </c>
      <c r="G30" s="20"/>
      <c r="H30" s="20"/>
      <c r="I30" s="20"/>
    </row>
    <row r="31" spans="1:9">
      <c r="A31" s="24" t="s">
        <v>54</v>
      </c>
      <c r="B31" s="23">
        <f t="shared" ref="B31:B41" si="14">+F30</f>
        <v>182113.10451331566</v>
      </c>
      <c r="C31" s="23">
        <f t="shared" si="10"/>
        <v>288.09309829657423</v>
      </c>
      <c r="D31" s="23">
        <f t="shared" si="11"/>
        <v>632.84303818377191</v>
      </c>
      <c r="E31" s="23">
        <f t="shared" si="12"/>
        <v>920.93613648034614</v>
      </c>
      <c r="F31" s="23">
        <f t="shared" si="13"/>
        <v>181825.01141501908</v>
      </c>
      <c r="G31" s="20"/>
      <c r="H31" s="20"/>
      <c r="I31" s="20"/>
    </row>
    <row r="32" spans="1:9">
      <c r="A32" s="24" t="s">
        <v>56</v>
      </c>
      <c r="B32" s="23">
        <f t="shared" si="14"/>
        <v>181825.01141501908</v>
      </c>
      <c r="C32" s="23">
        <f t="shared" si="10"/>
        <v>289.09422181315483</v>
      </c>
      <c r="D32" s="23">
        <f t="shared" si="11"/>
        <v>631.8419146671913</v>
      </c>
      <c r="E32" s="23">
        <f t="shared" si="12"/>
        <v>920.93613648034614</v>
      </c>
      <c r="F32" s="23">
        <f t="shared" si="13"/>
        <v>181535.91719320591</v>
      </c>
      <c r="G32" s="20"/>
      <c r="H32" s="20"/>
      <c r="I32" s="20"/>
    </row>
    <row r="33" spans="1:9">
      <c r="A33" s="24" t="s">
        <v>58</v>
      </c>
      <c r="B33" s="23">
        <f t="shared" si="14"/>
        <v>181535.91719320591</v>
      </c>
      <c r="C33" s="23">
        <f t="shared" si="10"/>
        <v>290.09882423395561</v>
      </c>
      <c r="D33" s="23">
        <f t="shared" si="11"/>
        <v>630.83731224639052</v>
      </c>
      <c r="E33" s="23">
        <f t="shared" si="12"/>
        <v>920.93613648034614</v>
      </c>
      <c r="F33" s="23">
        <f t="shared" si="13"/>
        <v>181245.81836897196</v>
      </c>
      <c r="G33" s="20"/>
      <c r="H33" s="20"/>
      <c r="I33" s="20"/>
    </row>
    <row r="34" spans="1:9">
      <c r="A34" s="24" t="s">
        <v>60</v>
      </c>
      <c r="B34" s="23">
        <f t="shared" si="14"/>
        <v>181245.81836897196</v>
      </c>
      <c r="C34" s="23">
        <f t="shared" si="10"/>
        <v>291.10691764816852</v>
      </c>
      <c r="D34" s="23">
        <f t="shared" si="11"/>
        <v>629.82921883217762</v>
      </c>
      <c r="E34" s="23">
        <f t="shared" si="12"/>
        <v>920.93613648034614</v>
      </c>
      <c r="F34" s="23">
        <f t="shared" si="13"/>
        <v>180954.71145132379</v>
      </c>
      <c r="G34" s="20"/>
      <c r="H34" s="20"/>
      <c r="I34" s="20"/>
    </row>
    <row r="35" spans="1:9">
      <c r="A35" s="24" t="s">
        <v>62</v>
      </c>
      <c r="B35" s="23">
        <f t="shared" si="14"/>
        <v>180954.71145132379</v>
      </c>
      <c r="C35" s="23">
        <f t="shared" si="10"/>
        <v>292.11851418699598</v>
      </c>
      <c r="D35" s="23">
        <f t="shared" si="11"/>
        <v>628.81762229335015</v>
      </c>
      <c r="E35" s="23">
        <f t="shared" si="12"/>
        <v>920.93613648034614</v>
      </c>
      <c r="F35" s="23">
        <f t="shared" si="13"/>
        <v>180662.5929371368</v>
      </c>
      <c r="G35" s="20"/>
      <c r="H35" s="20"/>
      <c r="I35" s="20"/>
    </row>
    <row r="36" spans="1:9">
      <c r="A36" s="24" t="s">
        <v>64</v>
      </c>
      <c r="B36" s="23">
        <f t="shared" si="14"/>
        <v>180662.5929371368</v>
      </c>
      <c r="C36" s="23">
        <f t="shared" si="10"/>
        <v>293.13362602379573</v>
      </c>
      <c r="D36" s="23">
        <f t="shared" si="11"/>
        <v>627.80251045655041</v>
      </c>
      <c r="E36" s="23">
        <f t="shared" si="12"/>
        <v>920.93613648034614</v>
      </c>
      <c r="F36" s="23">
        <f t="shared" si="13"/>
        <v>180369.45931111299</v>
      </c>
      <c r="G36" s="20"/>
      <c r="H36" s="20"/>
      <c r="I36" s="20"/>
    </row>
    <row r="37" spans="1:9">
      <c r="A37" s="24" t="s">
        <v>65</v>
      </c>
      <c r="B37" s="23">
        <f t="shared" si="14"/>
        <v>180369.45931111299</v>
      </c>
      <c r="C37" s="23">
        <f t="shared" si="10"/>
        <v>294.15226537422848</v>
      </c>
      <c r="D37" s="23">
        <f t="shared" si="11"/>
        <v>626.78387110611766</v>
      </c>
      <c r="E37" s="23">
        <f t="shared" si="12"/>
        <v>920.93613648034614</v>
      </c>
      <c r="F37" s="23">
        <f t="shared" si="13"/>
        <v>180075.30704573877</v>
      </c>
      <c r="G37" s="20"/>
      <c r="H37" s="20"/>
      <c r="I37" s="20"/>
    </row>
    <row r="38" spans="1:9">
      <c r="A38" s="24" t="s">
        <v>66</v>
      </c>
      <c r="B38" s="23">
        <f t="shared" si="14"/>
        <v>180075.30704573877</v>
      </c>
      <c r="C38" s="23">
        <f t="shared" si="10"/>
        <v>295.17444449640391</v>
      </c>
      <c r="D38" s="23">
        <f t="shared" si="11"/>
        <v>625.76169198394223</v>
      </c>
      <c r="E38" s="23">
        <f t="shared" si="12"/>
        <v>920.93613648034614</v>
      </c>
      <c r="F38" s="23">
        <f t="shared" si="13"/>
        <v>179780.13260124237</v>
      </c>
      <c r="G38" s="20"/>
      <c r="H38" s="20"/>
      <c r="I38" s="20"/>
    </row>
    <row r="39" spans="1:9">
      <c r="A39" s="24" t="s">
        <v>67</v>
      </c>
      <c r="B39" s="23">
        <f t="shared" si="14"/>
        <v>179780.13260124237</v>
      </c>
      <c r="C39" s="23">
        <f t="shared" si="10"/>
        <v>296.2001756910289</v>
      </c>
      <c r="D39" s="23">
        <f t="shared" si="11"/>
        <v>624.73596078931723</v>
      </c>
      <c r="E39" s="23">
        <f t="shared" si="12"/>
        <v>920.93613648034614</v>
      </c>
      <c r="F39" s="23">
        <f t="shared" si="13"/>
        <v>179483.93242555135</v>
      </c>
      <c r="G39" s="20"/>
      <c r="H39" s="20"/>
      <c r="I39" s="20"/>
    </row>
    <row r="40" spans="1:9">
      <c r="A40" s="24" t="s">
        <v>68</v>
      </c>
      <c r="B40" s="23">
        <f t="shared" si="14"/>
        <v>179483.93242555135</v>
      </c>
      <c r="C40" s="23">
        <f t="shared" si="10"/>
        <v>297.22947130155512</v>
      </c>
      <c r="D40" s="23">
        <f t="shared" si="11"/>
        <v>623.70666517879101</v>
      </c>
      <c r="E40" s="23">
        <f t="shared" si="12"/>
        <v>920.93613648034614</v>
      </c>
      <c r="F40" s="23">
        <f t="shared" si="13"/>
        <v>179186.70295424981</v>
      </c>
      <c r="G40" s="20"/>
      <c r="H40" s="20"/>
      <c r="I40" s="20"/>
    </row>
    <row r="41" spans="1:9">
      <c r="A41" s="24" t="s">
        <v>69</v>
      </c>
      <c r="B41" s="23">
        <f t="shared" si="14"/>
        <v>179186.70295424981</v>
      </c>
      <c r="C41" s="23">
        <f t="shared" si="10"/>
        <v>298.26234371432804</v>
      </c>
      <c r="D41" s="23">
        <f t="shared" si="11"/>
        <v>622.6737927660181</v>
      </c>
      <c r="E41" s="23">
        <f t="shared" si="12"/>
        <v>920.93613648034614</v>
      </c>
      <c r="F41" s="23">
        <f t="shared" si="13"/>
        <v>178888.44061053547</v>
      </c>
      <c r="G41" s="20">
        <f>G27+1</f>
        <v>3</v>
      </c>
      <c r="H41" s="20"/>
      <c r="I41" s="20"/>
    </row>
    <row r="42" spans="1:9">
      <c r="A42" s="26" t="s">
        <v>70</v>
      </c>
      <c r="B42" s="23"/>
      <c r="C42" s="23">
        <f>SUM(C30:C41)</f>
        <v>3511.7593444170757</v>
      </c>
      <c r="D42" s="23">
        <f>SUM(D30:D41)</f>
        <v>7539.4742933470779</v>
      </c>
      <c r="E42" s="23"/>
      <c r="F42" s="23"/>
      <c r="G42" s="20"/>
      <c r="H42" s="20"/>
      <c r="I42" s="20"/>
    </row>
    <row r="43" spans="1:9">
      <c r="A43" s="24"/>
      <c r="B43" s="23"/>
      <c r="C43" s="23"/>
      <c r="D43" s="23"/>
      <c r="E43" s="23"/>
      <c r="F43" s="23"/>
      <c r="G43" s="20"/>
      <c r="H43" s="20"/>
      <c r="I43" s="20"/>
    </row>
    <row r="44" spans="1:9">
      <c r="A44" s="22" t="s">
        <v>52</v>
      </c>
      <c r="B44" s="23">
        <f>+F41</f>
        <v>178888.44061053547</v>
      </c>
      <c r="C44" s="23">
        <f>+E44-D44</f>
        <v>299.29880535873531</v>
      </c>
      <c r="D44" s="23">
        <f>B44*$I$2</f>
        <v>621.63733112161083</v>
      </c>
      <c r="E44" s="23">
        <f t="shared" ref="E44:E55" si="15">-$I$9</f>
        <v>920.93613648034614</v>
      </c>
      <c r="F44" s="23">
        <f>+B44-C44</f>
        <v>178589.14180517674</v>
      </c>
      <c r="G44" s="20"/>
      <c r="H44" s="20"/>
      <c r="I44" s="20"/>
    </row>
    <row r="45" spans="1:9">
      <c r="A45" s="24" t="s">
        <v>54</v>
      </c>
      <c r="B45" s="23">
        <f>+F44</f>
        <v>178589.14180517674</v>
      </c>
      <c r="C45" s="23">
        <f>+E45-D45</f>
        <v>300.33886870735694</v>
      </c>
      <c r="D45" s="23">
        <f>B45*$I$2</f>
        <v>620.5972677729892</v>
      </c>
      <c r="E45" s="23">
        <f t="shared" si="15"/>
        <v>920.93613648034614</v>
      </c>
      <c r="F45" s="23">
        <f>+B45-C45</f>
        <v>178288.80293646938</v>
      </c>
      <c r="G45" s="20"/>
      <c r="H45" s="20"/>
      <c r="I45" s="20"/>
    </row>
    <row r="46" spans="1:9">
      <c r="A46" s="24" t="s">
        <v>56</v>
      </c>
      <c r="B46" s="23">
        <f>+F45</f>
        <v>178288.80293646938</v>
      </c>
      <c r="C46" s="23">
        <f>+E46-D46</f>
        <v>301.38254627611502</v>
      </c>
      <c r="D46" s="23">
        <f>B46*$I$2</f>
        <v>619.55359020423111</v>
      </c>
      <c r="E46" s="23">
        <f t="shared" si="15"/>
        <v>920.93613648034614</v>
      </c>
      <c r="F46" s="23">
        <f>+B46-C46</f>
        <v>177987.42039019326</v>
      </c>
      <c r="G46" s="20"/>
      <c r="H46" s="20"/>
      <c r="I46" s="20"/>
    </row>
    <row r="47" spans="1:9">
      <c r="A47" s="24" t="s">
        <v>58</v>
      </c>
      <c r="B47" s="23">
        <f>+F46</f>
        <v>177987.42039019326</v>
      </c>
      <c r="C47" s="23">
        <f>+E47-D47</f>
        <v>302.42985062442449</v>
      </c>
      <c r="D47" s="23">
        <f>B47*$I$2</f>
        <v>618.50628585592165</v>
      </c>
      <c r="E47" s="23">
        <f t="shared" si="15"/>
        <v>920.93613648034614</v>
      </c>
      <c r="F47" s="23">
        <f>+B47-C47</f>
        <v>177684.99053956883</v>
      </c>
      <c r="G47" s="20"/>
      <c r="H47" s="20"/>
      <c r="I47" s="20"/>
    </row>
    <row r="48" spans="1:9">
      <c r="A48" s="24" t="s">
        <v>60</v>
      </c>
      <c r="B48" s="23">
        <f t="shared" ref="B48:B55" si="16">+F47</f>
        <v>177684.99053956883</v>
      </c>
      <c r="C48" s="23">
        <f t="shared" ref="C48:C55" si="17">+E48-D48</f>
        <v>303.48079435534441</v>
      </c>
      <c r="D48" s="23">
        <f t="shared" ref="D48:D55" si="18">B48*$I$2</f>
        <v>617.45534212500172</v>
      </c>
      <c r="E48" s="23">
        <f t="shared" si="15"/>
        <v>920.93613648034614</v>
      </c>
      <c r="F48" s="23">
        <f t="shared" ref="F48:F55" si="19">+B48-C48</f>
        <v>177381.50974521349</v>
      </c>
      <c r="G48" s="20"/>
      <c r="H48" s="20"/>
      <c r="I48" s="20"/>
    </row>
    <row r="49" spans="1:9">
      <c r="A49" s="24" t="s">
        <v>62</v>
      </c>
      <c r="B49" s="23">
        <f t="shared" si="16"/>
        <v>177381.50974521349</v>
      </c>
      <c r="C49" s="23">
        <f t="shared" si="17"/>
        <v>304.53539011572923</v>
      </c>
      <c r="D49" s="23">
        <f t="shared" si="18"/>
        <v>616.40074636461691</v>
      </c>
      <c r="E49" s="23">
        <f t="shared" si="15"/>
        <v>920.93613648034614</v>
      </c>
      <c r="F49" s="23">
        <f t="shared" si="19"/>
        <v>177076.97435509777</v>
      </c>
      <c r="G49" s="20"/>
      <c r="H49" s="20"/>
      <c r="I49" s="20"/>
    </row>
    <row r="50" spans="1:9">
      <c r="A50" s="24" t="s">
        <v>64</v>
      </c>
      <c r="B50" s="23">
        <f t="shared" si="16"/>
        <v>177076.97435509777</v>
      </c>
      <c r="C50" s="23">
        <f t="shared" si="17"/>
        <v>305.59365059638128</v>
      </c>
      <c r="D50" s="23">
        <f t="shared" si="18"/>
        <v>615.34248588396486</v>
      </c>
      <c r="E50" s="23">
        <f t="shared" si="15"/>
        <v>920.93613648034614</v>
      </c>
      <c r="F50" s="23">
        <f t="shared" si="19"/>
        <v>176771.38070450138</v>
      </c>
      <c r="G50" s="20"/>
      <c r="H50" s="20"/>
      <c r="I50" s="20"/>
    </row>
    <row r="51" spans="1:9">
      <c r="A51" s="24" t="s">
        <v>65</v>
      </c>
      <c r="B51" s="23">
        <f t="shared" si="16"/>
        <v>176771.38070450138</v>
      </c>
      <c r="C51" s="23">
        <f t="shared" si="17"/>
        <v>306.65558853220375</v>
      </c>
      <c r="D51" s="23">
        <f t="shared" si="18"/>
        <v>614.28054794814238</v>
      </c>
      <c r="E51" s="23">
        <f t="shared" si="15"/>
        <v>920.93613648034614</v>
      </c>
      <c r="F51" s="23">
        <f t="shared" si="19"/>
        <v>176464.72511596917</v>
      </c>
      <c r="G51" s="20"/>
      <c r="H51" s="20"/>
      <c r="I51" s="20"/>
    </row>
    <row r="52" spans="1:9">
      <c r="A52" s="24" t="s">
        <v>66</v>
      </c>
      <c r="B52" s="23">
        <f t="shared" si="16"/>
        <v>176464.72511596917</v>
      </c>
      <c r="C52" s="23">
        <f t="shared" si="17"/>
        <v>307.72121670235322</v>
      </c>
      <c r="D52" s="23">
        <f t="shared" si="18"/>
        <v>613.21491977799292</v>
      </c>
      <c r="E52" s="23">
        <f t="shared" si="15"/>
        <v>920.93613648034614</v>
      </c>
      <c r="F52" s="23">
        <f t="shared" si="19"/>
        <v>176157.00389926683</v>
      </c>
      <c r="G52" s="20"/>
      <c r="H52" s="20"/>
      <c r="I52" s="20"/>
    </row>
    <row r="53" spans="1:9">
      <c r="A53" s="24" t="s">
        <v>67</v>
      </c>
      <c r="B53" s="23">
        <f t="shared" si="16"/>
        <v>176157.00389926683</v>
      </c>
      <c r="C53" s="23">
        <f t="shared" si="17"/>
        <v>308.79054793039393</v>
      </c>
      <c r="D53" s="23">
        <f t="shared" si="18"/>
        <v>612.14558854995221</v>
      </c>
      <c r="E53" s="23">
        <f t="shared" si="15"/>
        <v>920.93613648034614</v>
      </c>
      <c r="F53" s="23">
        <f t="shared" si="19"/>
        <v>175848.21335133642</v>
      </c>
      <c r="G53" s="20"/>
      <c r="H53" s="20"/>
      <c r="I53" s="20"/>
    </row>
    <row r="54" spans="1:9">
      <c r="A54" s="24" t="s">
        <v>68</v>
      </c>
      <c r="B54" s="23">
        <f t="shared" si="16"/>
        <v>175848.21335133642</v>
      </c>
      <c r="C54" s="23">
        <f t="shared" si="17"/>
        <v>309.86359508445207</v>
      </c>
      <c r="D54" s="23">
        <f t="shared" si="18"/>
        <v>611.07254139589406</v>
      </c>
      <c r="E54" s="23">
        <f t="shared" si="15"/>
        <v>920.93613648034614</v>
      </c>
      <c r="F54" s="23">
        <f t="shared" si="19"/>
        <v>175538.34975625196</v>
      </c>
      <c r="G54" s="20"/>
      <c r="H54" s="20"/>
      <c r="I54" s="20"/>
    </row>
    <row r="55" spans="1:9">
      <c r="A55" s="24" t="s">
        <v>69</v>
      </c>
      <c r="B55" s="23">
        <f t="shared" si="16"/>
        <v>175538.34975625196</v>
      </c>
      <c r="C55" s="23">
        <f t="shared" si="17"/>
        <v>310.94037107737051</v>
      </c>
      <c r="D55" s="23">
        <f t="shared" si="18"/>
        <v>609.99576540297562</v>
      </c>
      <c r="E55" s="23">
        <f t="shared" si="15"/>
        <v>920.93613648034614</v>
      </c>
      <c r="F55" s="23">
        <f t="shared" si="19"/>
        <v>175227.4093851746</v>
      </c>
      <c r="G55" s="20">
        <f>G41+1</f>
        <v>4</v>
      </c>
      <c r="H55" s="20"/>
      <c r="I55" s="20"/>
    </row>
    <row r="56" spans="1:9">
      <c r="A56" s="26" t="s">
        <v>70</v>
      </c>
      <c r="B56" s="23"/>
      <c r="C56" s="23">
        <f>SUM(C44:C55)</f>
        <v>3661.0312253608599</v>
      </c>
      <c r="D56" s="23">
        <f>SUM(D44:D55)</f>
        <v>7390.2024124032923</v>
      </c>
      <c r="E56" s="23"/>
      <c r="F56" s="23"/>
      <c r="G56" s="20"/>
      <c r="H56" s="20"/>
      <c r="I56" s="20"/>
    </row>
    <row r="57" spans="1:9">
      <c r="A57" s="20"/>
      <c r="B57" s="23"/>
      <c r="C57" s="23"/>
      <c r="D57" s="23"/>
      <c r="E57" s="23"/>
      <c r="F57" s="23"/>
      <c r="G57" s="20"/>
      <c r="H57" s="20"/>
      <c r="I57" s="20"/>
    </row>
    <row r="58" spans="1:9">
      <c r="A58" s="22" t="s">
        <v>52</v>
      </c>
      <c r="B58" s="23">
        <f>+F55</f>
        <v>175227.4093851746</v>
      </c>
      <c r="C58" s="23">
        <f t="shared" ref="C58:C69" si="20">+E58-D58</f>
        <v>312.02088886686431</v>
      </c>
      <c r="D58" s="23">
        <f t="shared" ref="D58:D69" si="21">B58*$I$2</f>
        <v>608.91524761348182</v>
      </c>
      <c r="E58" s="23">
        <f t="shared" ref="E58:E69" si="22">-$I$9</f>
        <v>920.93613648034614</v>
      </c>
      <c r="F58" s="23">
        <f t="shared" ref="F58:F69" si="23">+B58-C58</f>
        <v>174915.38849630774</v>
      </c>
      <c r="G58" s="20"/>
      <c r="H58" s="20"/>
      <c r="I58" s="20"/>
    </row>
    <row r="59" spans="1:9">
      <c r="A59" s="24" t="s">
        <v>54</v>
      </c>
      <c r="B59" s="23">
        <f t="shared" ref="B59:B69" si="24">+F58</f>
        <v>174915.38849630774</v>
      </c>
      <c r="C59" s="23">
        <f t="shared" si="20"/>
        <v>313.10516145567669</v>
      </c>
      <c r="D59" s="23">
        <f t="shared" si="21"/>
        <v>607.83097502466944</v>
      </c>
      <c r="E59" s="23">
        <f t="shared" si="22"/>
        <v>920.93613648034614</v>
      </c>
      <c r="F59" s="23">
        <f t="shared" si="23"/>
        <v>174602.28333485208</v>
      </c>
      <c r="G59" s="20"/>
      <c r="H59" s="20"/>
      <c r="I59" s="20"/>
    </row>
    <row r="60" spans="1:9">
      <c r="A60" s="24" t="s">
        <v>56</v>
      </c>
      <c r="B60" s="23">
        <f t="shared" si="24"/>
        <v>174602.28333485208</v>
      </c>
      <c r="C60" s="23">
        <f t="shared" si="20"/>
        <v>314.19320189173516</v>
      </c>
      <c r="D60" s="23">
        <f t="shared" si="21"/>
        <v>606.74293458861098</v>
      </c>
      <c r="E60" s="23">
        <f t="shared" si="22"/>
        <v>920.93613648034614</v>
      </c>
      <c r="F60" s="23">
        <f t="shared" si="23"/>
        <v>174288.09013296035</v>
      </c>
      <c r="G60" s="20"/>
      <c r="H60" s="20"/>
      <c r="I60" s="20"/>
    </row>
    <row r="61" spans="1:9">
      <c r="A61" s="24" t="s">
        <v>58</v>
      </c>
      <c r="B61" s="23">
        <f t="shared" si="24"/>
        <v>174288.09013296035</v>
      </c>
      <c r="C61" s="23">
        <f t="shared" si="20"/>
        <v>315.28502326830892</v>
      </c>
      <c r="D61" s="23">
        <f t="shared" si="21"/>
        <v>605.65111321203722</v>
      </c>
      <c r="E61" s="23">
        <f t="shared" si="22"/>
        <v>920.93613648034614</v>
      </c>
      <c r="F61" s="23">
        <f t="shared" si="23"/>
        <v>173972.80510969204</v>
      </c>
      <c r="G61" s="20"/>
      <c r="H61" s="20"/>
      <c r="I61" s="20"/>
    </row>
    <row r="62" spans="1:9">
      <c r="A62" s="24" t="s">
        <v>60</v>
      </c>
      <c r="B62" s="23">
        <f t="shared" si="24"/>
        <v>173972.80510969204</v>
      </c>
      <c r="C62" s="23">
        <f t="shared" si="20"/>
        <v>316.38063872416626</v>
      </c>
      <c r="D62" s="23">
        <f t="shared" si="21"/>
        <v>604.55549775617988</v>
      </c>
      <c r="E62" s="23">
        <f t="shared" si="22"/>
        <v>920.93613648034614</v>
      </c>
      <c r="F62" s="23">
        <f t="shared" si="23"/>
        <v>173656.42447096788</v>
      </c>
      <c r="G62" s="20"/>
      <c r="H62" s="20"/>
      <c r="I62" s="20"/>
    </row>
    <row r="63" spans="1:9">
      <c r="A63" s="24" t="s">
        <v>62</v>
      </c>
      <c r="B63" s="23">
        <f t="shared" si="24"/>
        <v>173656.42447096788</v>
      </c>
      <c r="C63" s="23">
        <f t="shared" si="20"/>
        <v>317.48006144373278</v>
      </c>
      <c r="D63" s="23">
        <f t="shared" si="21"/>
        <v>603.45607503661336</v>
      </c>
      <c r="E63" s="23">
        <f t="shared" si="22"/>
        <v>920.93613648034614</v>
      </c>
      <c r="F63" s="23">
        <f t="shared" si="23"/>
        <v>173338.94440952415</v>
      </c>
      <c r="G63" s="20"/>
      <c r="H63" s="20"/>
      <c r="I63" s="20"/>
    </row>
    <row r="64" spans="1:9">
      <c r="A64" s="24" t="s">
        <v>64</v>
      </c>
      <c r="B64" s="23">
        <f t="shared" si="24"/>
        <v>173338.94440952415</v>
      </c>
      <c r="C64" s="23">
        <f t="shared" si="20"/>
        <v>318.58330465724964</v>
      </c>
      <c r="D64" s="23">
        <f t="shared" si="21"/>
        <v>602.35283182309649</v>
      </c>
      <c r="E64" s="23">
        <f t="shared" si="22"/>
        <v>920.93613648034614</v>
      </c>
      <c r="F64" s="23">
        <f t="shared" si="23"/>
        <v>173020.3611048669</v>
      </c>
      <c r="G64" s="20"/>
      <c r="H64" s="20"/>
      <c r="I64" s="20"/>
    </row>
    <row r="65" spans="1:9">
      <c r="A65" s="24" t="s">
        <v>65</v>
      </c>
      <c r="B65" s="23">
        <f t="shared" si="24"/>
        <v>173020.3611048669</v>
      </c>
      <c r="C65" s="23">
        <f t="shared" si="20"/>
        <v>319.69038164093365</v>
      </c>
      <c r="D65" s="23">
        <f t="shared" si="21"/>
        <v>601.24575483941248</v>
      </c>
      <c r="E65" s="23">
        <f t="shared" si="22"/>
        <v>920.93613648034614</v>
      </c>
      <c r="F65" s="23">
        <f t="shared" si="23"/>
        <v>172700.67072322595</v>
      </c>
      <c r="G65" s="20"/>
      <c r="H65" s="20"/>
      <c r="I65" s="20"/>
    </row>
    <row r="66" spans="1:9">
      <c r="A66" s="24" t="s">
        <v>66</v>
      </c>
      <c r="B66" s="23">
        <f t="shared" si="24"/>
        <v>172700.67072322595</v>
      </c>
      <c r="C66" s="23">
        <f t="shared" si="20"/>
        <v>320.80130571713596</v>
      </c>
      <c r="D66" s="23">
        <f t="shared" si="21"/>
        <v>600.13483076321018</v>
      </c>
      <c r="E66" s="23">
        <f t="shared" si="22"/>
        <v>920.93613648034614</v>
      </c>
      <c r="F66" s="23">
        <f t="shared" si="23"/>
        <v>172379.8694175088</v>
      </c>
      <c r="G66" s="20"/>
      <c r="H66" s="20"/>
      <c r="I66" s="20"/>
    </row>
    <row r="67" spans="1:9">
      <c r="A67" s="24" t="s">
        <v>67</v>
      </c>
      <c r="B67" s="23">
        <f t="shared" si="24"/>
        <v>172379.8694175088</v>
      </c>
      <c r="C67" s="23">
        <f t="shared" si="20"/>
        <v>321.91609025450305</v>
      </c>
      <c r="D67" s="23">
        <f t="shared" si="21"/>
        <v>599.02004622584309</v>
      </c>
      <c r="E67" s="23">
        <f t="shared" si="22"/>
        <v>920.93613648034614</v>
      </c>
      <c r="F67" s="23">
        <f t="shared" si="23"/>
        <v>172057.9533272543</v>
      </c>
      <c r="G67" s="20"/>
      <c r="H67" s="20"/>
      <c r="I67" s="20"/>
    </row>
    <row r="68" spans="1:9">
      <c r="A68" s="24" t="s">
        <v>68</v>
      </c>
      <c r="B68" s="23">
        <f t="shared" si="24"/>
        <v>172057.9533272543</v>
      </c>
      <c r="C68" s="23">
        <f t="shared" si="20"/>
        <v>323.03474866813735</v>
      </c>
      <c r="D68" s="23">
        <f t="shared" si="21"/>
        <v>597.90138781220878</v>
      </c>
      <c r="E68" s="23">
        <f t="shared" si="22"/>
        <v>920.93613648034614</v>
      </c>
      <c r="F68" s="23">
        <f t="shared" si="23"/>
        <v>171734.91857858616</v>
      </c>
      <c r="G68" s="20"/>
      <c r="H68" s="20"/>
      <c r="I68" s="20"/>
    </row>
    <row r="69" spans="1:9">
      <c r="A69" s="24" t="s">
        <v>69</v>
      </c>
      <c r="B69" s="23">
        <f t="shared" si="24"/>
        <v>171734.91857858616</v>
      </c>
      <c r="C69" s="23">
        <f t="shared" si="20"/>
        <v>324.15729441975918</v>
      </c>
      <c r="D69" s="23">
        <f t="shared" si="21"/>
        <v>596.77884206058695</v>
      </c>
      <c r="E69" s="23">
        <f t="shared" si="22"/>
        <v>920.93613648034614</v>
      </c>
      <c r="F69" s="23">
        <f t="shared" si="23"/>
        <v>171410.76128416639</v>
      </c>
      <c r="G69" s="20">
        <f>G55+1</f>
        <v>5</v>
      </c>
      <c r="H69" s="20"/>
      <c r="I69" s="20"/>
    </row>
    <row r="70" spans="1:9">
      <c r="A70" s="26" t="s">
        <v>70</v>
      </c>
      <c r="B70" s="23"/>
      <c r="C70" s="23">
        <f>SUM(C58:C69)</f>
        <v>3816.648101008203</v>
      </c>
      <c r="D70" s="23">
        <f>SUM(D58:D69)</f>
        <v>7234.5855367559498</v>
      </c>
      <c r="E70" s="23"/>
      <c r="F70" s="23"/>
      <c r="G70" s="20"/>
      <c r="H70" s="20"/>
      <c r="I70" s="20"/>
    </row>
    <row r="71" spans="1:9">
      <c r="A71" s="24"/>
      <c r="B71" s="23"/>
      <c r="C71" s="23"/>
      <c r="D71" s="23"/>
      <c r="E71" s="23"/>
      <c r="F71" s="23"/>
      <c r="G71" s="20"/>
      <c r="H71" s="20"/>
      <c r="I71" s="20"/>
    </row>
    <row r="72" spans="1:9">
      <c r="A72" s="22" t="s">
        <v>52</v>
      </c>
      <c r="B72" s="23">
        <f>+F69</f>
        <v>171410.76128416639</v>
      </c>
      <c r="C72" s="23">
        <f t="shared" ref="C72:C83" si="25">+E72-D72</f>
        <v>325.2837410178679</v>
      </c>
      <c r="D72" s="23">
        <f t="shared" ref="D72:D83" si="26">B72*$I$2</f>
        <v>595.65239546247824</v>
      </c>
      <c r="E72" s="23">
        <f t="shared" ref="E72:E83" si="27">-$I$9</f>
        <v>920.93613648034614</v>
      </c>
      <c r="F72" s="23">
        <f t="shared" ref="F72:F83" si="28">+B72-C72</f>
        <v>171085.47754314853</v>
      </c>
      <c r="G72" s="20"/>
      <c r="H72" s="20"/>
      <c r="I72" s="20"/>
    </row>
    <row r="73" spans="1:9">
      <c r="A73" s="24" t="s">
        <v>54</v>
      </c>
      <c r="B73" s="23">
        <f t="shared" ref="B73:B83" si="29">+F72</f>
        <v>171085.47754314853</v>
      </c>
      <c r="C73" s="23">
        <f t="shared" si="25"/>
        <v>326.41410201790495</v>
      </c>
      <c r="D73" s="23">
        <f t="shared" si="26"/>
        <v>594.52203446244118</v>
      </c>
      <c r="E73" s="23">
        <f t="shared" si="27"/>
        <v>920.93613648034614</v>
      </c>
      <c r="F73" s="23">
        <f t="shared" si="28"/>
        <v>170759.06344113062</v>
      </c>
      <c r="G73" s="20"/>
      <c r="H73" s="20"/>
      <c r="I73" s="20"/>
    </row>
    <row r="74" spans="1:9">
      <c r="A74" s="24" t="s">
        <v>56</v>
      </c>
      <c r="B74" s="23">
        <f t="shared" si="29"/>
        <v>170759.06344113062</v>
      </c>
      <c r="C74" s="23">
        <f t="shared" si="25"/>
        <v>327.54839102241715</v>
      </c>
      <c r="D74" s="23">
        <f t="shared" si="26"/>
        <v>593.38774545792899</v>
      </c>
      <c r="E74" s="23">
        <f t="shared" si="27"/>
        <v>920.93613648034614</v>
      </c>
      <c r="F74" s="23">
        <f t="shared" si="28"/>
        <v>170431.5150501082</v>
      </c>
      <c r="G74" s="20"/>
      <c r="H74" s="20"/>
      <c r="I74" s="20"/>
    </row>
    <row r="75" spans="1:9">
      <c r="A75" s="24" t="s">
        <v>58</v>
      </c>
      <c r="B75" s="23">
        <f t="shared" si="29"/>
        <v>170431.5150501082</v>
      </c>
      <c r="C75" s="23">
        <f t="shared" si="25"/>
        <v>328.68662168122012</v>
      </c>
      <c r="D75" s="23">
        <f t="shared" si="26"/>
        <v>592.24951479912602</v>
      </c>
      <c r="E75" s="23">
        <f t="shared" si="27"/>
        <v>920.93613648034614</v>
      </c>
      <c r="F75" s="23">
        <f t="shared" si="28"/>
        <v>170102.82842842696</v>
      </c>
      <c r="G75" s="20"/>
      <c r="H75" s="20"/>
      <c r="I75" s="20"/>
    </row>
    <row r="76" spans="1:9">
      <c r="A76" s="24" t="s">
        <v>60</v>
      </c>
      <c r="B76" s="23">
        <f t="shared" si="29"/>
        <v>170102.82842842696</v>
      </c>
      <c r="C76" s="23">
        <f t="shared" si="25"/>
        <v>329.82880769156236</v>
      </c>
      <c r="D76" s="23">
        <f t="shared" si="26"/>
        <v>591.10732878878378</v>
      </c>
      <c r="E76" s="23">
        <f t="shared" si="27"/>
        <v>920.93613648034614</v>
      </c>
      <c r="F76" s="23">
        <f t="shared" si="28"/>
        <v>169772.99962073541</v>
      </c>
      <c r="G76" s="20"/>
      <c r="H76" s="20"/>
      <c r="I76" s="20"/>
    </row>
    <row r="77" spans="1:9">
      <c r="A77" s="24" t="s">
        <v>62</v>
      </c>
      <c r="B77" s="23">
        <f t="shared" si="29"/>
        <v>169772.99962073541</v>
      </c>
      <c r="C77" s="23">
        <f t="shared" si="25"/>
        <v>330.97496279829056</v>
      </c>
      <c r="D77" s="23">
        <f t="shared" si="26"/>
        <v>589.96117368205557</v>
      </c>
      <c r="E77" s="23">
        <f t="shared" si="27"/>
        <v>920.93613648034614</v>
      </c>
      <c r="F77" s="23">
        <f t="shared" si="28"/>
        <v>169442.02465793712</v>
      </c>
      <c r="G77" s="20"/>
      <c r="H77" s="20"/>
      <c r="I77" s="20"/>
    </row>
    <row r="78" spans="1:9">
      <c r="A78" s="24" t="s">
        <v>64</v>
      </c>
      <c r="B78" s="23">
        <f t="shared" si="29"/>
        <v>169442.02465793712</v>
      </c>
      <c r="C78" s="23">
        <f t="shared" si="25"/>
        <v>332.12510079401466</v>
      </c>
      <c r="D78" s="23">
        <f t="shared" si="26"/>
        <v>588.81103568633148</v>
      </c>
      <c r="E78" s="23">
        <f t="shared" si="27"/>
        <v>920.93613648034614</v>
      </c>
      <c r="F78" s="23">
        <f t="shared" si="28"/>
        <v>169109.8995571431</v>
      </c>
      <c r="G78" s="20"/>
      <c r="H78" s="20"/>
      <c r="I78" s="20"/>
    </row>
    <row r="79" spans="1:9">
      <c r="A79" s="24" t="s">
        <v>65</v>
      </c>
      <c r="B79" s="23">
        <f t="shared" si="29"/>
        <v>169109.8995571431</v>
      </c>
      <c r="C79" s="23">
        <f t="shared" si="25"/>
        <v>333.27923551927381</v>
      </c>
      <c r="D79" s="23">
        <f t="shared" si="26"/>
        <v>587.65690096107232</v>
      </c>
      <c r="E79" s="23">
        <f t="shared" si="27"/>
        <v>920.93613648034614</v>
      </c>
      <c r="F79" s="23">
        <f t="shared" si="28"/>
        <v>168776.62032162384</v>
      </c>
      <c r="G79" s="20"/>
      <c r="H79" s="20"/>
      <c r="I79" s="20"/>
    </row>
    <row r="80" spans="1:9">
      <c r="A80" s="24" t="s">
        <v>66</v>
      </c>
      <c r="B80" s="23">
        <f t="shared" si="29"/>
        <v>168776.62032162384</v>
      </c>
      <c r="C80" s="23">
        <f t="shared" si="25"/>
        <v>334.43738086270332</v>
      </c>
      <c r="D80" s="23">
        <f t="shared" si="26"/>
        <v>586.49875561764281</v>
      </c>
      <c r="E80" s="23">
        <f t="shared" si="27"/>
        <v>920.93613648034614</v>
      </c>
      <c r="F80" s="23">
        <f t="shared" si="28"/>
        <v>168442.18294076112</v>
      </c>
      <c r="G80" s="20"/>
      <c r="H80" s="20"/>
      <c r="I80" s="20"/>
    </row>
    <row r="81" spans="1:9">
      <c r="A81" s="24" t="s">
        <v>67</v>
      </c>
      <c r="B81" s="23">
        <f t="shared" si="29"/>
        <v>168442.18294076112</v>
      </c>
      <c r="C81" s="23">
        <f t="shared" si="25"/>
        <v>335.59955076120116</v>
      </c>
      <c r="D81" s="23">
        <f t="shared" si="26"/>
        <v>585.33658571914498</v>
      </c>
      <c r="E81" s="23">
        <f t="shared" si="27"/>
        <v>920.93613648034614</v>
      </c>
      <c r="F81" s="23">
        <f t="shared" si="28"/>
        <v>168106.58338999993</v>
      </c>
      <c r="G81" s="20"/>
      <c r="H81" s="20"/>
      <c r="I81" s="20"/>
    </row>
    <row r="82" spans="1:9">
      <c r="A82" s="24" t="s">
        <v>68</v>
      </c>
      <c r="B82" s="23">
        <f t="shared" si="29"/>
        <v>168106.58338999993</v>
      </c>
      <c r="C82" s="23">
        <f t="shared" si="25"/>
        <v>336.76575920009634</v>
      </c>
      <c r="D82" s="23">
        <f t="shared" si="26"/>
        <v>584.1703772802498</v>
      </c>
      <c r="E82" s="23">
        <f t="shared" si="27"/>
        <v>920.93613648034614</v>
      </c>
      <c r="F82" s="23">
        <f t="shared" si="28"/>
        <v>167769.81763079984</v>
      </c>
      <c r="G82" s="20"/>
      <c r="H82" s="20"/>
      <c r="I82" s="20"/>
    </row>
    <row r="83" spans="1:9">
      <c r="A83" s="24" t="s">
        <v>69</v>
      </c>
      <c r="B83" s="23">
        <f t="shared" si="29"/>
        <v>167769.81763079984</v>
      </c>
      <c r="C83" s="23">
        <f t="shared" si="25"/>
        <v>337.93602021331662</v>
      </c>
      <c r="D83" s="23">
        <f t="shared" si="26"/>
        <v>583.00011626702951</v>
      </c>
      <c r="E83" s="23">
        <f t="shared" si="27"/>
        <v>920.93613648034614</v>
      </c>
      <c r="F83" s="23">
        <f t="shared" si="28"/>
        <v>167431.88161058651</v>
      </c>
      <c r="G83" s="20">
        <f>G69+1</f>
        <v>6</v>
      </c>
      <c r="H83" s="20"/>
      <c r="I83" s="20"/>
    </row>
    <row r="84" spans="1:9">
      <c r="A84" s="26" t="s">
        <v>70</v>
      </c>
      <c r="B84" s="23"/>
      <c r="C84" s="23">
        <f>SUM(C72:C83)</f>
        <v>3978.8796735798687</v>
      </c>
      <c r="D84" s="23">
        <f>SUM(D72:D83)</f>
        <v>7072.3539641842845</v>
      </c>
      <c r="E84" s="23"/>
      <c r="F84" s="23"/>
      <c r="G84" s="20"/>
      <c r="H84" s="20"/>
      <c r="I84" s="20"/>
    </row>
    <row r="85" spans="1:9">
      <c r="A85" s="24"/>
      <c r="B85" s="23"/>
      <c r="C85" s="23"/>
      <c r="D85" s="23"/>
      <c r="E85" s="23"/>
      <c r="F85" s="23"/>
      <c r="G85" s="20"/>
      <c r="H85" s="20"/>
      <c r="I85" s="20"/>
    </row>
    <row r="86" spans="1:9">
      <c r="A86" s="22" t="s">
        <v>52</v>
      </c>
      <c r="B86" s="23">
        <f>+F83</f>
        <v>167431.88161058651</v>
      </c>
      <c r="C86" s="23">
        <f>+E86-D86</f>
        <v>339.11034788355801</v>
      </c>
      <c r="D86" s="23">
        <f>B86*$I$2</f>
        <v>581.82578859678813</v>
      </c>
      <c r="E86" s="23">
        <f t="shared" ref="E86:E97" si="30">-$I$9</f>
        <v>920.93613648034614</v>
      </c>
      <c r="F86" s="23">
        <f>+B86-C86</f>
        <v>167092.77126270294</v>
      </c>
    </row>
    <row r="87" spans="1:9">
      <c r="A87" s="24" t="s">
        <v>54</v>
      </c>
      <c r="B87" s="23">
        <f>+F86</f>
        <v>167092.77126270294</v>
      </c>
      <c r="C87" s="23">
        <f>+E87-D87</f>
        <v>340.28875634245344</v>
      </c>
      <c r="D87" s="23">
        <f>B87*$I$2</f>
        <v>580.6473801378927</v>
      </c>
      <c r="E87" s="23">
        <f t="shared" si="30"/>
        <v>920.93613648034614</v>
      </c>
      <c r="F87" s="23">
        <f>+B87-C87</f>
        <v>166752.48250636048</v>
      </c>
    </row>
    <row r="88" spans="1:9">
      <c r="A88" s="24" t="s">
        <v>56</v>
      </c>
      <c r="B88" s="23">
        <f>+F87</f>
        <v>166752.48250636048</v>
      </c>
      <c r="C88" s="23">
        <f>+E88-D88</f>
        <v>341.47125977074347</v>
      </c>
      <c r="D88" s="23">
        <f>B88*$I$2</f>
        <v>579.46487670960266</v>
      </c>
      <c r="E88" s="23">
        <f t="shared" si="30"/>
        <v>920.93613648034614</v>
      </c>
      <c r="F88" s="23">
        <f>+B88-C88</f>
        <v>166411.01124658974</v>
      </c>
    </row>
    <row r="89" spans="1:9">
      <c r="A89" s="24" t="s">
        <v>58</v>
      </c>
      <c r="B89" s="23">
        <f>+F88</f>
        <v>166411.01124658974</v>
      </c>
      <c r="C89" s="23">
        <f>+E89-D89</f>
        <v>342.65787239844678</v>
      </c>
      <c r="D89" s="23">
        <f>B89*$I$2</f>
        <v>578.27826408189935</v>
      </c>
      <c r="E89" s="23">
        <f t="shared" si="30"/>
        <v>920.93613648034614</v>
      </c>
      <c r="F89" s="23">
        <f>+B89-C89</f>
        <v>166068.3533741913</v>
      </c>
    </row>
    <row r="90" spans="1:9">
      <c r="A90" s="24" t="s">
        <v>60</v>
      </c>
      <c r="B90" s="23">
        <f t="shared" ref="B90:B97" si="31">+F89</f>
        <v>166068.3533741913</v>
      </c>
      <c r="C90" s="23">
        <f t="shared" ref="C90:C97" si="32">+E90-D90</f>
        <v>343.84860850503139</v>
      </c>
      <c r="D90" s="23">
        <f t="shared" ref="D90:D97" si="33">B90*$I$2</f>
        <v>577.08752797531474</v>
      </c>
      <c r="E90" s="23">
        <f t="shared" si="30"/>
        <v>920.93613648034614</v>
      </c>
      <c r="F90" s="23">
        <f t="shared" ref="F90:F97" si="34">+B90-C90</f>
        <v>165724.50476568626</v>
      </c>
    </row>
    <row r="91" spans="1:9">
      <c r="A91" s="24" t="s">
        <v>62</v>
      </c>
      <c r="B91" s="23">
        <f t="shared" si="31"/>
        <v>165724.50476568626</v>
      </c>
      <c r="C91" s="23">
        <f t="shared" si="32"/>
        <v>345.04348241958633</v>
      </c>
      <c r="D91" s="23">
        <f t="shared" si="33"/>
        <v>575.89265406075981</v>
      </c>
      <c r="E91" s="23">
        <f t="shared" si="30"/>
        <v>920.93613648034614</v>
      </c>
      <c r="F91" s="23">
        <f t="shared" si="34"/>
        <v>165379.46128326666</v>
      </c>
    </row>
    <row r="92" spans="1:9">
      <c r="A92" s="24" t="s">
        <v>64</v>
      </c>
      <c r="B92" s="23">
        <f t="shared" si="31"/>
        <v>165379.46128326666</v>
      </c>
      <c r="C92" s="23">
        <f t="shared" si="32"/>
        <v>346.24250852099442</v>
      </c>
      <c r="D92" s="23">
        <f t="shared" si="33"/>
        <v>574.69362795935172</v>
      </c>
      <c r="E92" s="23">
        <f t="shared" si="30"/>
        <v>920.93613648034614</v>
      </c>
      <c r="F92" s="23">
        <f t="shared" si="34"/>
        <v>165033.21877474568</v>
      </c>
    </row>
    <row r="93" spans="1:9">
      <c r="A93" s="24" t="s">
        <v>65</v>
      </c>
      <c r="B93" s="23">
        <f t="shared" si="31"/>
        <v>165033.21877474568</v>
      </c>
      <c r="C93" s="23">
        <f t="shared" si="32"/>
        <v>347.4457012381049</v>
      </c>
      <c r="D93" s="23">
        <f t="shared" si="33"/>
        <v>573.49043524224123</v>
      </c>
      <c r="E93" s="23">
        <f t="shared" si="30"/>
        <v>920.93613648034614</v>
      </c>
      <c r="F93" s="23">
        <f t="shared" si="34"/>
        <v>164685.77307350756</v>
      </c>
    </row>
    <row r="94" spans="1:9">
      <c r="A94" s="24" t="s">
        <v>66</v>
      </c>
      <c r="B94" s="23">
        <f t="shared" si="31"/>
        <v>164685.77307350756</v>
      </c>
      <c r="C94" s="23">
        <f t="shared" si="32"/>
        <v>348.65307504990733</v>
      </c>
      <c r="D94" s="23">
        <f t="shared" si="33"/>
        <v>572.28306143043881</v>
      </c>
      <c r="E94" s="23">
        <f t="shared" si="30"/>
        <v>920.93613648034614</v>
      </c>
      <c r="F94" s="23">
        <f t="shared" si="34"/>
        <v>164337.11999845767</v>
      </c>
    </row>
    <row r="95" spans="1:9">
      <c r="A95" s="24" t="s">
        <v>67</v>
      </c>
      <c r="B95" s="23">
        <f t="shared" si="31"/>
        <v>164337.11999845767</v>
      </c>
      <c r="C95" s="23">
        <f t="shared" si="32"/>
        <v>349.86464448570575</v>
      </c>
      <c r="D95" s="23">
        <f t="shared" si="33"/>
        <v>571.07149199464038</v>
      </c>
      <c r="E95" s="23">
        <f t="shared" si="30"/>
        <v>920.93613648034614</v>
      </c>
      <c r="F95" s="23">
        <f t="shared" si="34"/>
        <v>163987.25535397197</v>
      </c>
    </row>
    <row r="96" spans="1:9">
      <c r="A96" s="24" t="s">
        <v>68</v>
      </c>
      <c r="B96" s="23">
        <f t="shared" si="31"/>
        <v>163987.25535397197</v>
      </c>
      <c r="C96" s="23">
        <f t="shared" si="32"/>
        <v>351.08042412529346</v>
      </c>
      <c r="D96" s="23">
        <f t="shared" si="33"/>
        <v>569.85571235505267</v>
      </c>
      <c r="E96" s="23">
        <f t="shared" si="30"/>
        <v>920.93613648034614</v>
      </c>
      <c r="F96" s="23">
        <f t="shared" si="34"/>
        <v>163636.17492984666</v>
      </c>
    </row>
    <row r="97" spans="1:7">
      <c r="A97" s="24" t="s">
        <v>69</v>
      </c>
      <c r="B97" s="23">
        <f t="shared" si="31"/>
        <v>163636.17492984666</v>
      </c>
      <c r="C97" s="23">
        <f t="shared" si="32"/>
        <v>352.30042859912896</v>
      </c>
      <c r="D97" s="23">
        <f t="shared" si="33"/>
        <v>568.63570788121717</v>
      </c>
      <c r="E97" s="23">
        <f t="shared" si="30"/>
        <v>920.93613648034614</v>
      </c>
      <c r="F97" s="23">
        <f t="shared" si="34"/>
        <v>163283.87450124754</v>
      </c>
      <c r="G97" s="20">
        <f>G83+1</f>
        <v>7</v>
      </c>
    </row>
    <row r="98" spans="1:7">
      <c r="A98" s="26" t="s">
        <v>70</v>
      </c>
      <c r="B98" s="23"/>
      <c r="C98" s="23">
        <f>SUM(C86:C97)</f>
        <v>4148.0071093389543</v>
      </c>
      <c r="D98" s="23">
        <f>SUM(D86:D97)</f>
        <v>6903.2265284251989</v>
      </c>
      <c r="E98" s="23"/>
      <c r="F98" s="23"/>
    </row>
    <row r="100" spans="1:7">
      <c r="A100" s="22" t="s">
        <v>52</v>
      </c>
      <c r="B100" s="23">
        <f>+F97</f>
        <v>163283.87450124754</v>
      </c>
      <c r="C100" s="23">
        <f t="shared" ref="C100:C111" si="35">+E100-D100</f>
        <v>353.52467258851084</v>
      </c>
      <c r="D100" s="23">
        <f t="shared" ref="D100:D111" si="36">B100*$I$2</f>
        <v>567.4114638918353</v>
      </c>
      <c r="E100" s="23">
        <f t="shared" ref="E100:E111" si="37">-$I$9</f>
        <v>920.93613648034614</v>
      </c>
      <c r="F100" s="23">
        <f t="shared" ref="F100:F111" si="38">+B100-C100</f>
        <v>162930.34982865903</v>
      </c>
    </row>
    <row r="101" spans="1:7">
      <c r="A101" s="24" t="s">
        <v>54</v>
      </c>
      <c r="B101" s="23">
        <f t="shared" ref="B101:B111" si="39">+F100</f>
        <v>162930.34982865903</v>
      </c>
      <c r="C101" s="23">
        <f t="shared" si="35"/>
        <v>354.753170825756</v>
      </c>
      <c r="D101" s="23">
        <f t="shared" si="36"/>
        <v>566.18296565459013</v>
      </c>
      <c r="E101" s="23">
        <f t="shared" si="37"/>
        <v>920.93613648034614</v>
      </c>
      <c r="F101" s="23">
        <f t="shared" si="38"/>
        <v>162575.59665783329</v>
      </c>
    </row>
    <row r="102" spans="1:7">
      <c r="A102" s="24" t="s">
        <v>56</v>
      </c>
      <c r="B102" s="23">
        <f t="shared" si="39"/>
        <v>162575.59665783329</v>
      </c>
      <c r="C102" s="23">
        <f t="shared" si="35"/>
        <v>355.98593809437546</v>
      </c>
      <c r="D102" s="23">
        <f t="shared" si="36"/>
        <v>564.95019838597068</v>
      </c>
      <c r="E102" s="23">
        <f t="shared" si="37"/>
        <v>920.93613648034614</v>
      </c>
      <c r="F102" s="23">
        <f t="shared" si="38"/>
        <v>162219.61071973891</v>
      </c>
    </row>
    <row r="103" spans="1:7">
      <c r="A103" s="24" t="s">
        <v>58</v>
      </c>
      <c r="B103" s="23">
        <f t="shared" si="39"/>
        <v>162219.61071973891</v>
      </c>
      <c r="C103" s="23">
        <f t="shared" si="35"/>
        <v>357.22298922925336</v>
      </c>
      <c r="D103" s="23">
        <f t="shared" si="36"/>
        <v>563.71314725109278</v>
      </c>
      <c r="E103" s="23">
        <f t="shared" si="37"/>
        <v>920.93613648034614</v>
      </c>
      <c r="F103" s="23">
        <f t="shared" si="38"/>
        <v>161862.38773050965</v>
      </c>
    </row>
    <row r="104" spans="1:7">
      <c r="A104" s="24" t="s">
        <v>60</v>
      </c>
      <c r="B104" s="23">
        <f t="shared" si="39"/>
        <v>161862.38773050965</v>
      </c>
      <c r="C104" s="23">
        <f t="shared" si="35"/>
        <v>358.46433911682504</v>
      </c>
      <c r="D104" s="23">
        <f t="shared" si="36"/>
        <v>562.47179736352109</v>
      </c>
      <c r="E104" s="23">
        <f t="shared" si="37"/>
        <v>920.93613648034614</v>
      </c>
      <c r="F104" s="23">
        <f t="shared" si="38"/>
        <v>161503.92339139283</v>
      </c>
    </row>
    <row r="105" spans="1:7">
      <c r="A105" s="24" t="s">
        <v>62</v>
      </c>
      <c r="B105" s="23">
        <f t="shared" si="39"/>
        <v>161503.92339139283</v>
      </c>
      <c r="C105" s="23">
        <f t="shared" si="35"/>
        <v>359.71000269525598</v>
      </c>
      <c r="D105" s="23">
        <f t="shared" si="36"/>
        <v>561.22613378509016</v>
      </c>
      <c r="E105" s="23">
        <f t="shared" si="37"/>
        <v>920.93613648034614</v>
      </c>
      <c r="F105" s="23">
        <f t="shared" si="38"/>
        <v>161144.21338869756</v>
      </c>
    </row>
    <row r="106" spans="1:7">
      <c r="A106" s="24" t="s">
        <v>64</v>
      </c>
      <c r="B106" s="23">
        <f t="shared" si="39"/>
        <v>161144.21338869756</v>
      </c>
      <c r="C106" s="23">
        <f t="shared" si="35"/>
        <v>360.95999495462206</v>
      </c>
      <c r="D106" s="23">
        <f t="shared" si="36"/>
        <v>559.97614152572407</v>
      </c>
      <c r="E106" s="23">
        <f t="shared" si="37"/>
        <v>920.93613648034614</v>
      </c>
      <c r="F106" s="23">
        <f t="shared" si="38"/>
        <v>160783.25339374295</v>
      </c>
    </row>
    <row r="107" spans="1:7">
      <c r="A107" s="24" t="s">
        <v>65</v>
      </c>
      <c r="B107" s="23">
        <f t="shared" si="39"/>
        <v>160783.25339374295</v>
      </c>
      <c r="C107" s="23">
        <f t="shared" si="35"/>
        <v>362.21433093708936</v>
      </c>
      <c r="D107" s="23">
        <f t="shared" si="36"/>
        <v>558.72180554325678</v>
      </c>
      <c r="E107" s="23">
        <f t="shared" si="37"/>
        <v>920.93613648034614</v>
      </c>
      <c r="F107" s="23">
        <f t="shared" si="38"/>
        <v>160421.03906280585</v>
      </c>
    </row>
    <row r="108" spans="1:7">
      <c r="A108" s="24" t="s">
        <v>66</v>
      </c>
      <c r="B108" s="23">
        <f t="shared" si="39"/>
        <v>160421.03906280585</v>
      </c>
      <c r="C108" s="23">
        <f t="shared" si="35"/>
        <v>363.47302573709578</v>
      </c>
      <c r="D108" s="23">
        <f t="shared" si="36"/>
        <v>557.46311074325035</v>
      </c>
      <c r="E108" s="23">
        <f t="shared" si="37"/>
        <v>920.93613648034614</v>
      </c>
      <c r="F108" s="23">
        <f t="shared" si="38"/>
        <v>160057.56603706875</v>
      </c>
    </row>
    <row r="109" spans="1:7">
      <c r="A109" s="24" t="s">
        <v>67</v>
      </c>
      <c r="B109" s="23">
        <f t="shared" si="39"/>
        <v>160057.56603706875</v>
      </c>
      <c r="C109" s="23">
        <f t="shared" si="35"/>
        <v>364.73609450153219</v>
      </c>
      <c r="D109" s="23">
        <f t="shared" si="36"/>
        <v>556.20004197881394</v>
      </c>
      <c r="E109" s="23">
        <f t="shared" si="37"/>
        <v>920.93613648034614</v>
      </c>
      <c r="F109" s="23">
        <f t="shared" si="38"/>
        <v>159692.82994256722</v>
      </c>
    </row>
    <row r="110" spans="1:7">
      <c r="A110" s="24" t="s">
        <v>68</v>
      </c>
      <c r="B110" s="23">
        <f t="shared" si="39"/>
        <v>159692.82994256722</v>
      </c>
      <c r="C110" s="23">
        <f t="shared" si="35"/>
        <v>366.00355242992498</v>
      </c>
      <c r="D110" s="23">
        <f t="shared" si="36"/>
        <v>554.93258405042116</v>
      </c>
      <c r="E110" s="23">
        <f t="shared" si="37"/>
        <v>920.93613648034614</v>
      </c>
      <c r="F110" s="23">
        <f t="shared" si="38"/>
        <v>159326.82639013728</v>
      </c>
    </row>
    <row r="111" spans="1:7">
      <c r="A111" s="24" t="s">
        <v>69</v>
      </c>
      <c r="B111" s="23">
        <f t="shared" si="39"/>
        <v>159326.82639013728</v>
      </c>
      <c r="C111" s="23">
        <f t="shared" si="35"/>
        <v>367.27541477461898</v>
      </c>
      <c r="D111" s="23">
        <f t="shared" si="36"/>
        <v>553.66072170572716</v>
      </c>
      <c r="E111" s="23">
        <f t="shared" si="37"/>
        <v>920.93613648034614</v>
      </c>
      <c r="F111" s="23">
        <f t="shared" si="38"/>
        <v>158959.55097536265</v>
      </c>
      <c r="G111" s="20">
        <f>G97+1</f>
        <v>8</v>
      </c>
    </row>
    <row r="112" spans="1:7">
      <c r="A112" s="26" t="s">
        <v>70</v>
      </c>
      <c r="B112" s="23"/>
      <c r="C112" s="23">
        <f>SUM(C100:C111)</f>
        <v>4324.3235258848599</v>
      </c>
      <c r="D112" s="23">
        <f>SUM(D100:D111)</f>
        <v>6726.9101118792942</v>
      </c>
      <c r="E112" s="23"/>
      <c r="F112" s="23"/>
    </row>
    <row r="113" spans="1:7">
      <c r="A113" s="24"/>
      <c r="B113" s="23"/>
      <c r="C113" s="23"/>
      <c r="D113" s="23"/>
      <c r="E113" s="23"/>
      <c r="F113" s="23"/>
    </row>
    <row r="114" spans="1:7">
      <c r="A114" s="22" t="s">
        <v>52</v>
      </c>
      <c r="B114" s="23">
        <f>+F111</f>
        <v>158959.55097536265</v>
      </c>
      <c r="C114" s="23">
        <f t="shared" ref="C114:C125" si="40">+E114-D114</f>
        <v>368.55169684096086</v>
      </c>
      <c r="D114" s="23">
        <f t="shared" ref="D114:D125" si="41">B114*$I$2</f>
        <v>552.38443963938528</v>
      </c>
      <c r="E114" s="23">
        <f t="shared" ref="E114:E125" si="42">-$I$9</f>
        <v>920.93613648034614</v>
      </c>
      <c r="F114" s="23">
        <f t="shared" ref="F114:F125" si="43">+B114-C114</f>
        <v>158590.99927852169</v>
      </c>
    </row>
    <row r="115" spans="1:7">
      <c r="A115" s="24" t="s">
        <v>54</v>
      </c>
      <c r="B115" s="23">
        <f t="shared" ref="B115:B125" si="44">+F114</f>
        <v>158590.99927852169</v>
      </c>
      <c r="C115" s="23">
        <f t="shared" si="40"/>
        <v>369.83241398748328</v>
      </c>
      <c r="D115" s="23">
        <f t="shared" si="41"/>
        <v>551.10372249286286</v>
      </c>
      <c r="E115" s="23">
        <f t="shared" si="42"/>
        <v>920.93613648034614</v>
      </c>
      <c r="F115" s="23">
        <f t="shared" si="43"/>
        <v>158221.1668645342</v>
      </c>
    </row>
    <row r="116" spans="1:7">
      <c r="A116" s="24" t="s">
        <v>56</v>
      </c>
      <c r="B116" s="23">
        <f t="shared" si="44"/>
        <v>158221.1668645342</v>
      </c>
      <c r="C116" s="23">
        <f t="shared" si="40"/>
        <v>371.11758162608976</v>
      </c>
      <c r="D116" s="23">
        <f t="shared" si="41"/>
        <v>549.81855485425638</v>
      </c>
      <c r="E116" s="23">
        <f t="shared" si="42"/>
        <v>920.93613648034614</v>
      </c>
      <c r="F116" s="23">
        <f t="shared" si="43"/>
        <v>157850.04928290812</v>
      </c>
    </row>
    <row r="117" spans="1:7">
      <c r="A117" s="24" t="s">
        <v>58</v>
      </c>
      <c r="B117" s="23">
        <f t="shared" si="44"/>
        <v>157850.04928290812</v>
      </c>
      <c r="C117" s="23">
        <f t="shared" si="40"/>
        <v>372.40721522224044</v>
      </c>
      <c r="D117" s="23">
        <f t="shared" si="41"/>
        <v>548.5289212581057</v>
      </c>
      <c r="E117" s="23">
        <f t="shared" si="42"/>
        <v>920.93613648034614</v>
      </c>
      <c r="F117" s="23">
        <f t="shared" si="43"/>
        <v>157477.64206768587</v>
      </c>
    </row>
    <row r="118" spans="1:7">
      <c r="A118" s="24" t="s">
        <v>60</v>
      </c>
      <c r="B118" s="23">
        <f t="shared" si="44"/>
        <v>157477.64206768587</v>
      </c>
      <c r="C118" s="23">
        <f t="shared" si="40"/>
        <v>373.70133029513772</v>
      </c>
      <c r="D118" s="23">
        <f t="shared" si="41"/>
        <v>547.23480618520841</v>
      </c>
      <c r="E118" s="23">
        <f t="shared" si="42"/>
        <v>920.93613648034614</v>
      </c>
      <c r="F118" s="23">
        <f t="shared" si="43"/>
        <v>157103.94073739075</v>
      </c>
    </row>
    <row r="119" spans="1:7">
      <c r="A119" s="24" t="s">
        <v>62</v>
      </c>
      <c r="B119" s="23">
        <f t="shared" si="44"/>
        <v>157103.94073739075</v>
      </c>
      <c r="C119" s="23">
        <f t="shared" si="40"/>
        <v>374.9999424179133</v>
      </c>
      <c r="D119" s="23">
        <f t="shared" si="41"/>
        <v>545.93619406243283</v>
      </c>
      <c r="E119" s="23">
        <f t="shared" si="42"/>
        <v>920.93613648034614</v>
      </c>
      <c r="F119" s="23">
        <f t="shared" si="43"/>
        <v>156728.94079497282</v>
      </c>
    </row>
    <row r="120" spans="1:7">
      <c r="A120" s="24" t="s">
        <v>64</v>
      </c>
      <c r="B120" s="23">
        <f t="shared" si="44"/>
        <v>156728.94079497282</v>
      </c>
      <c r="C120" s="23">
        <f t="shared" si="40"/>
        <v>376.30306721781551</v>
      </c>
      <c r="D120" s="23">
        <f t="shared" si="41"/>
        <v>544.63306926253063</v>
      </c>
      <c r="E120" s="23">
        <f t="shared" si="42"/>
        <v>920.93613648034614</v>
      </c>
      <c r="F120" s="23">
        <f t="shared" si="43"/>
        <v>156352.63772775501</v>
      </c>
    </row>
    <row r="121" spans="1:7">
      <c r="A121" s="24" t="s">
        <v>65</v>
      </c>
      <c r="B121" s="23">
        <f t="shared" si="44"/>
        <v>156352.63772775501</v>
      </c>
      <c r="C121" s="23">
        <f t="shared" si="40"/>
        <v>377.61072037639747</v>
      </c>
      <c r="D121" s="23">
        <f t="shared" si="41"/>
        <v>543.32541610394867</v>
      </c>
      <c r="E121" s="23">
        <f t="shared" si="42"/>
        <v>920.93613648034614</v>
      </c>
      <c r="F121" s="23">
        <f t="shared" si="43"/>
        <v>155975.02700737861</v>
      </c>
    </row>
    <row r="122" spans="1:7">
      <c r="A122" s="24" t="s">
        <v>66</v>
      </c>
      <c r="B122" s="23">
        <f t="shared" si="44"/>
        <v>155975.02700737861</v>
      </c>
      <c r="C122" s="23">
        <f t="shared" si="40"/>
        <v>378.92291762970547</v>
      </c>
      <c r="D122" s="23">
        <f t="shared" si="41"/>
        <v>542.01321885064067</v>
      </c>
      <c r="E122" s="23">
        <f t="shared" si="42"/>
        <v>920.93613648034614</v>
      </c>
      <c r="F122" s="23">
        <f t="shared" si="43"/>
        <v>155596.1040897489</v>
      </c>
    </row>
    <row r="123" spans="1:7">
      <c r="A123" s="24" t="s">
        <v>67</v>
      </c>
      <c r="B123" s="23">
        <f t="shared" si="44"/>
        <v>155596.1040897489</v>
      </c>
      <c r="C123" s="23">
        <f t="shared" si="40"/>
        <v>380.23967476846872</v>
      </c>
      <c r="D123" s="23">
        <f t="shared" si="41"/>
        <v>540.69646171187742</v>
      </c>
      <c r="E123" s="23">
        <f t="shared" si="42"/>
        <v>920.93613648034614</v>
      </c>
      <c r="F123" s="23">
        <f t="shared" si="43"/>
        <v>155215.86441498043</v>
      </c>
    </row>
    <row r="124" spans="1:7">
      <c r="A124" s="24" t="s">
        <v>68</v>
      </c>
      <c r="B124" s="23">
        <f t="shared" si="44"/>
        <v>155215.86441498043</v>
      </c>
      <c r="C124" s="23">
        <f t="shared" si="40"/>
        <v>381.56100763828908</v>
      </c>
      <c r="D124" s="23">
        <f t="shared" si="41"/>
        <v>539.37512884205705</v>
      </c>
      <c r="E124" s="23">
        <f t="shared" si="42"/>
        <v>920.93613648034614</v>
      </c>
      <c r="F124" s="23">
        <f t="shared" si="43"/>
        <v>154834.30340734214</v>
      </c>
    </row>
    <row r="125" spans="1:7">
      <c r="A125" s="24" t="s">
        <v>69</v>
      </c>
      <c r="B125" s="23">
        <f t="shared" si="44"/>
        <v>154834.30340734214</v>
      </c>
      <c r="C125" s="23">
        <f t="shared" si="40"/>
        <v>382.8869321398322</v>
      </c>
      <c r="D125" s="23">
        <f t="shared" si="41"/>
        <v>538.04920434051394</v>
      </c>
      <c r="E125" s="23">
        <f t="shared" si="42"/>
        <v>920.93613648034614</v>
      </c>
      <c r="F125" s="23">
        <f t="shared" si="43"/>
        <v>154451.41647520231</v>
      </c>
      <c r="G125" s="20">
        <f>G111+1</f>
        <v>9</v>
      </c>
    </row>
    <row r="126" spans="1:7">
      <c r="A126" s="26" t="s">
        <v>70</v>
      </c>
      <c r="B126" s="23"/>
      <c r="C126" s="23">
        <f>SUM(C114:C125)</f>
        <v>4508.1345001603349</v>
      </c>
      <c r="D126" s="23">
        <f>SUM(D114:D125)</f>
        <v>6543.0991376038191</v>
      </c>
      <c r="E126" s="23"/>
      <c r="F126" s="23"/>
    </row>
    <row r="127" spans="1:7">
      <c r="A127" s="24"/>
      <c r="B127" s="23"/>
      <c r="C127" s="23"/>
      <c r="D127" s="23"/>
      <c r="E127" s="23"/>
      <c r="F127" s="23"/>
    </row>
    <row r="128" spans="1:7">
      <c r="A128" s="22" t="s">
        <v>52</v>
      </c>
      <c r="B128" s="23">
        <f>+F125</f>
        <v>154451.41647520231</v>
      </c>
      <c r="C128" s="23">
        <f>+E128-D128</f>
        <v>384.21746422901811</v>
      </c>
      <c r="D128" s="23">
        <f>B128*$I$2</f>
        <v>536.71867225132803</v>
      </c>
      <c r="E128" s="23">
        <f t="shared" ref="E128:E139" si="45">-$I$9</f>
        <v>920.93613648034614</v>
      </c>
      <c r="F128" s="23">
        <f>+B128-C128</f>
        <v>154067.1990109733</v>
      </c>
    </row>
    <row r="129" spans="1:7">
      <c r="A129" s="24" t="s">
        <v>54</v>
      </c>
      <c r="B129" s="23">
        <f>+F128</f>
        <v>154067.1990109733</v>
      </c>
      <c r="C129" s="23">
        <f>+E129-D129</f>
        <v>385.55261991721386</v>
      </c>
      <c r="D129" s="23">
        <f>B129*$I$2</f>
        <v>535.38351656313228</v>
      </c>
      <c r="E129" s="23">
        <f t="shared" si="45"/>
        <v>920.93613648034614</v>
      </c>
      <c r="F129" s="23">
        <f>+B129-C129</f>
        <v>153681.6463910561</v>
      </c>
    </row>
    <row r="130" spans="1:7">
      <c r="A130" s="24" t="s">
        <v>56</v>
      </c>
      <c r="B130" s="23">
        <f>+F129</f>
        <v>153681.6463910561</v>
      </c>
      <c r="C130" s="23">
        <f>+E130-D130</f>
        <v>386.8924152714261</v>
      </c>
      <c r="D130" s="23">
        <f>B130*$I$2</f>
        <v>534.04372120892003</v>
      </c>
      <c r="E130" s="23">
        <f t="shared" si="45"/>
        <v>920.93613648034614</v>
      </c>
      <c r="F130" s="23">
        <f>+B130-C130</f>
        <v>153294.75397578467</v>
      </c>
    </row>
    <row r="131" spans="1:7">
      <c r="A131" s="24" t="s">
        <v>58</v>
      </c>
      <c r="B131" s="23">
        <f>+F130</f>
        <v>153294.75397578467</v>
      </c>
      <c r="C131" s="23">
        <f>+E131-D131</f>
        <v>388.23686641449433</v>
      </c>
      <c r="D131" s="23">
        <f>B131*$I$2</f>
        <v>532.69927006585181</v>
      </c>
      <c r="E131" s="23">
        <f t="shared" si="45"/>
        <v>920.93613648034614</v>
      </c>
      <c r="F131" s="23">
        <f>+B131-C131</f>
        <v>152906.51710937018</v>
      </c>
    </row>
    <row r="132" spans="1:7">
      <c r="A132" s="24" t="s">
        <v>60</v>
      </c>
      <c r="B132" s="23">
        <f t="shared" ref="B132:B139" si="46">+F131</f>
        <v>152906.51710937018</v>
      </c>
      <c r="C132" s="23">
        <f t="shared" ref="C132:C139" si="47">+E132-D132</f>
        <v>389.58598952528473</v>
      </c>
      <c r="D132" s="23">
        <f t="shared" ref="D132:D139" si="48">B132*$I$2</f>
        <v>531.3501469550614</v>
      </c>
      <c r="E132" s="23">
        <f t="shared" si="45"/>
        <v>920.93613648034614</v>
      </c>
      <c r="F132" s="23">
        <f t="shared" ref="F132:F139" si="49">+B132-C132</f>
        <v>152516.9311198449</v>
      </c>
    </row>
    <row r="133" spans="1:7">
      <c r="A133" s="24" t="s">
        <v>62</v>
      </c>
      <c r="B133" s="23">
        <f t="shared" si="46"/>
        <v>152516.9311198449</v>
      </c>
      <c r="C133" s="23">
        <f t="shared" si="47"/>
        <v>390.93980083888505</v>
      </c>
      <c r="D133" s="23">
        <f t="shared" si="48"/>
        <v>529.99633564146109</v>
      </c>
      <c r="E133" s="23">
        <f t="shared" si="45"/>
        <v>920.93613648034614</v>
      </c>
      <c r="F133" s="23">
        <f t="shared" si="49"/>
        <v>152125.99131900602</v>
      </c>
    </row>
    <row r="134" spans="1:7">
      <c r="A134" s="24" t="s">
        <v>64</v>
      </c>
      <c r="B134" s="23">
        <f t="shared" si="46"/>
        <v>152125.99131900602</v>
      </c>
      <c r="C134" s="23">
        <f t="shared" si="47"/>
        <v>392.29831664680023</v>
      </c>
      <c r="D134" s="23">
        <f t="shared" si="48"/>
        <v>528.6378198335459</v>
      </c>
      <c r="E134" s="23">
        <f t="shared" si="45"/>
        <v>920.93613648034614</v>
      </c>
      <c r="F134" s="23">
        <f t="shared" si="49"/>
        <v>151733.69300235921</v>
      </c>
    </row>
    <row r="135" spans="1:7">
      <c r="A135" s="24" t="s">
        <v>65</v>
      </c>
      <c r="B135" s="23">
        <f t="shared" si="46"/>
        <v>151733.69300235921</v>
      </c>
      <c r="C135" s="23">
        <f t="shared" si="47"/>
        <v>393.66155329714786</v>
      </c>
      <c r="D135" s="23">
        <f t="shared" si="48"/>
        <v>527.27458318319827</v>
      </c>
      <c r="E135" s="23">
        <f t="shared" si="45"/>
        <v>920.93613648034614</v>
      </c>
      <c r="F135" s="23">
        <f t="shared" si="49"/>
        <v>151340.03144906208</v>
      </c>
    </row>
    <row r="136" spans="1:7">
      <c r="A136" s="24" t="s">
        <v>66</v>
      </c>
      <c r="B136" s="23">
        <f t="shared" si="46"/>
        <v>151340.03144906208</v>
      </c>
      <c r="C136" s="23">
        <f t="shared" si="47"/>
        <v>395.0295271948554</v>
      </c>
      <c r="D136" s="23">
        <f t="shared" si="48"/>
        <v>525.90660928549073</v>
      </c>
      <c r="E136" s="23">
        <f t="shared" si="45"/>
        <v>920.93613648034614</v>
      </c>
      <c r="F136" s="23">
        <f t="shared" si="49"/>
        <v>150945.00192186722</v>
      </c>
    </row>
    <row r="137" spans="1:7">
      <c r="A137" s="24" t="s">
        <v>67</v>
      </c>
      <c r="B137" s="23">
        <f t="shared" si="46"/>
        <v>150945.00192186722</v>
      </c>
      <c r="C137" s="23">
        <f t="shared" si="47"/>
        <v>396.40225480185745</v>
      </c>
      <c r="D137" s="23">
        <f t="shared" si="48"/>
        <v>524.53388167848868</v>
      </c>
      <c r="E137" s="23">
        <f t="shared" si="45"/>
        <v>920.93613648034614</v>
      </c>
      <c r="F137" s="23">
        <f t="shared" si="49"/>
        <v>150548.59966706537</v>
      </c>
    </row>
    <row r="138" spans="1:7">
      <c r="A138" s="24" t="s">
        <v>68</v>
      </c>
      <c r="B138" s="23">
        <f t="shared" si="46"/>
        <v>150548.59966706537</v>
      </c>
      <c r="C138" s="23">
        <f t="shared" si="47"/>
        <v>397.779752637294</v>
      </c>
      <c r="D138" s="23">
        <f t="shared" si="48"/>
        <v>523.15638384305214</v>
      </c>
      <c r="E138" s="23">
        <f t="shared" si="45"/>
        <v>920.93613648034614</v>
      </c>
      <c r="F138" s="23">
        <f t="shared" si="49"/>
        <v>150150.81991442808</v>
      </c>
    </row>
    <row r="139" spans="1:7">
      <c r="A139" s="24" t="s">
        <v>69</v>
      </c>
      <c r="B139" s="23">
        <f t="shared" si="46"/>
        <v>150150.81991442808</v>
      </c>
      <c r="C139" s="23">
        <f t="shared" si="47"/>
        <v>399.16203727770858</v>
      </c>
      <c r="D139" s="23">
        <f t="shared" si="48"/>
        <v>521.77409920263756</v>
      </c>
      <c r="E139" s="23">
        <f t="shared" si="45"/>
        <v>920.93613648034614</v>
      </c>
      <c r="F139" s="23">
        <f t="shared" si="49"/>
        <v>149751.65787715037</v>
      </c>
      <c r="G139" s="20">
        <f>G125+1</f>
        <v>10</v>
      </c>
    </row>
    <row r="140" spans="1:7">
      <c r="A140" s="26" t="s">
        <v>70</v>
      </c>
      <c r="B140" s="23"/>
      <c r="C140" s="23">
        <f>SUM(C128:C139)</f>
        <v>4699.7585980519852</v>
      </c>
      <c r="D140" s="23">
        <f>SUM(D128:D139)</f>
        <v>6351.4750397121679</v>
      </c>
      <c r="E140" s="23"/>
      <c r="F140" s="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B14" sqref="B14"/>
    </sheetView>
  </sheetViews>
  <sheetFormatPr defaultColWidth="15.140625" defaultRowHeight="15" customHeight="1"/>
  <cols>
    <col min="1" max="1" width="43.28515625" customWidth="1"/>
    <col min="2" max="2" width="77.28515625" customWidth="1"/>
  </cols>
  <sheetData>
    <row r="1" spans="1:2">
      <c r="A1" s="34" t="s">
        <v>101</v>
      </c>
      <c r="B1" s="34" t="s">
        <v>0</v>
      </c>
    </row>
    <row r="2" spans="1:2">
      <c r="A2" s="1" t="s">
        <v>113</v>
      </c>
      <c r="B2" s="38" t="s">
        <v>117</v>
      </c>
    </row>
    <row r="3" spans="1:2">
      <c r="A3" s="1" t="s">
        <v>114</v>
      </c>
      <c r="B3" s="38" t="s">
        <v>118</v>
      </c>
    </row>
    <row r="4" spans="1:2">
      <c r="A4" s="1"/>
      <c r="B4" s="38" t="s">
        <v>119</v>
      </c>
    </row>
    <row r="5" spans="1:2">
      <c r="A5" s="1"/>
      <c r="B5" s="38" t="s">
        <v>120</v>
      </c>
    </row>
    <row r="6" spans="1:2">
      <c r="A6" s="1"/>
      <c r="B6" s="38" t="s">
        <v>121</v>
      </c>
    </row>
    <row r="7" spans="1:2" ht="15" customHeight="1">
      <c r="A7" s="1" t="s">
        <v>115</v>
      </c>
      <c r="B7" t="s">
        <v>122</v>
      </c>
    </row>
    <row r="8" spans="1:2" ht="15" customHeight="1">
      <c r="A8" s="1" t="s">
        <v>116</v>
      </c>
      <c r="B8" t="s">
        <v>123</v>
      </c>
    </row>
  </sheetData>
  <hyperlinks>
    <hyperlink ref="B2" r:id="rId1" xr:uid="{00000000-0004-0000-0200-000000000000}"/>
    <hyperlink ref="B3" r:id="rId2" xr:uid="{00000000-0004-0000-0200-000001000000}"/>
    <hyperlink ref="B4" r:id="rId3" xr:uid="{00000000-0004-0000-0200-000002000000}"/>
    <hyperlink ref="B5" r:id="rId4" xr:uid="{00000000-0004-0000-0200-000003000000}"/>
    <hyperlink ref="B6" r:id="rId5" xr:uid="{00000000-0004-0000-0200-000004000000}"/>
  </hyperlinks>
  <pageMargins left="0.75" right="0.75" top="1" bottom="1" header="0.5" footer="0.5"/>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Forecasts</vt:lpstr>
      <vt:lpstr>Amortization Table</vt:lpstr>
      <vt:lpstr>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2023-09-15T17:11:28Z</dcterms:created>
  <dcterms:modified xsi:type="dcterms:W3CDTF">2023-09-15T17:11:43Z</dcterms:modified>
</cp:coreProperties>
</file>