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autoCompressPictures="0"/>
  <xr:revisionPtr revIDLastSave="1" documentId="13_ncr:1_{B8BA81DE-E2EE-44AA-B250-50201CB56D5C}" xr6:coauthVersionLast="47" xr6:coauthVersionMax="47" xr10:uidLastSave="{AD10B1A0-FE02-4CDD-B0F1-00F9361D6F47}"/>
  <bookViews>
    <workbookView xWindow="-120" yWindow="-120" windowWidth="23280" windowHeight="15000" tabRatio="500" xr2:uid="{00000000-000D-0000-FFFF-FFFF00000000}"/>
  </bookViews>
  <sheets>
    <sheet name="Forecasts" sheetId="1" r:id="rId1"/>
    <sheet name="Amortization Table" sheetId="3" r:id="rId2"/>
    <sheet name="Black Scholes" sheetId="5" r:id="rId3"/>
    <sheet name="Tree" sheetId="4" r:id="rId4"/>
    <sheet name="Sources" sheetId="2" r:id="rId5"/>
  </sheets>
  <externalReferences>
    <externalReference r:id="rId6"/>
  </externalReference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Forecasts!$F$66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4" l="1"/>
  <c r="F44" i="4"/>
  <c r="C30" i="4" s="1"/>
  <c r="F40" i="4"/>
  <c r="C35" i="4"/>
  <c r="G25" i="4"/>
  <c r="M24" i="4"/>
  <c r="M28" i="4" s="1"/>
  <c r="E24" i="4"/>
  <c r="E28" i="4" s="1"/>
  <c r="D24" i="4"/>
  <c r="D28" i="4" s="1"/>
  <c r="C6" i="4"/>
  <c r="M4" i="4"/>
  <c r="M15" i="4" s="1"/>
  <c r="M19" i="4" s="1"/>
  <c r="L4" i="4"/>
  <c r="L15" i="4" s="1"/>
  <c r="L19" i="4" s="1"/>
  <c r="K4" i="4"/>
  <c r="K24" i="4" s="1"/>
  <c r="K28" i="4" s="1"/>
  <c r="J4" i="4"/>
  <c r="J15" i="4" s="1"/>
  <c r="J19" i="4" s="1"/>
  <c r="I4" i="4"/>
  <c r="I15" i="4" s="1"/>
  <c r="I19" i="4" s="1"/>
  <c r="H4" i="4"/>
  <c r="H15" i="4" s="1"/>
  <c r="H19" i="4" s="1"/>
  <c r="G4" i="4"/>
  <c r="G24" i="4" s="1"/>
  <c r="F4" i="4"/>
  <c r="F33" i="4" s="1"/>
  <c r="E4" i="4"/>
  <c r="E33" i="4" s="1"/>
  <c r="D4" i="4"/>
  <c r="D33" i="4" s="1"/>
  <c r="C4" i="4"/>
  <c r="C24" i="4" s="1"/>
  <c r="C28" i="4" s="1"/>
  <c r="O22" i="5"/>
  <c r="N22" i="5"/>
  <c r="M22" i="5"/>
  <c r="L22" i="5"/>
  <c r="K22" i="5"/>
  <c r="J22" i="5"/>
  <c r="I22" i="5"/>
  <c r="H22" i="5"/>
  <c r="G22" i="5"/>
  <c r="C23" i="5" s="1"/>
  <c r="A28" i="5" s="1"/>
  <c r="F22" i="5"/>
  <c r="E20" i="5"/>
  <c r="B28" i="5" s="1"/>
  <c r="C7" i="5"/>
  <c r="B33" i="5" s="1"/>
  <c r="C5" i="5"/>
  <c r="J24" i="4" l="1"/>
  <c r="J28" i="4" s="1"/>
  <c r="G28" i="4"/>
  <c r="L24" i="4"/>
  <c r="L28" i="4" s="1"/>
  <c r="F48" i="4"/>
  <c r="F24" i="4"/>
  <c r="F28" i="4" s="1"/>
  <c r="H24" i="4"/>
  <c r="H28" i="4" s="1"/>
  <c r="I24" i="4"/>
  <c r="I28" i="4" s="1"/>
  <c r="C29" i="4"/>
  <c r="C15" i="4"/>
  <c r="C19" i="4" s="1"/>
  <c r="G15" i="4"/>
  <c r="G19" i="4" s="1"/>
  <c r="K15" i="4"/>
  <c r="K19" i="4" s="1"/>
  <c r="C33" i="4"/>
  <c r="C34" i="4" s="1"/>
  <c r="G33" i="4"/>
  <c r="D15" i="4"/>
  <c r="D19" i="4" s="1"/>
  <c r="E15" i="4"/>
  <c r="E19" i="4" s="1"/>
  <c r="F15" i="4"/>
  <c r="F19" i="4" s="1"/>
  <c r="F28" i="5"/>
  <c r="B34" i="5" s="1"/>
  <c r="B35" i="5" s="1"/>
  <c r="C20" i="4" l="1"/>
  <c r="C37" i="4" s="1"/>
  <c r="E40" i="1" l="1"/>
  <c r="F99" i="1" l="1"/>
  <c r="G99" i="1"/>
  <c r="H99" i="1"/>
  <c r="I99" i="1"/>
  <c r="J99" i="1"/>
  <c r="K99" i="1"/>
  <c r="L99" i="1"/>
  <c r="M99" i="1"/>
  <c r="N99" i="1"/>
  <c r="E99" i="1"/>
  <c r="E108" i="1"/>
  <c r="F108" i="1"/>
  <c r="G108" i="1"/>
  <c r="H108" i="1"/>
  <c r="I108" i="1"/>
  <c r="J108" i="1"/>
  <c r="K108" i="1"/>
  <c r="L108" i="1"/>
  <c r="M108" i="1"/>
  <c r="N108" i="1"/>
  <c r="D100" i="1"/>
  <c r="D101" i="1"/>
  <c r="D108" i="1"/>
  <c r="D102" i="1" l="1"/>
  <c r="D103" i="1" s="1"/>
  <c r="D104" i="1" l="1"/>
  <c r="D112" i="1"/>
  <c r="Q79" i="1"/>
  <c r="P86" i="1"/>
  <c r="Q69" i="1"/>
  <c r="Q71" i="1" s="1"/>
  <c r="Q72" i="1" s="1"/>
  <c r="F17" i="1"/>
  <c r="G17" i="1" s="1"/>
  <c r="H17" i="1" s="1"/>
  <c r="I17" i="1" s="1"/>
  <c r="J17" i="1" s="1"/>
  <c r="K17" i="1" s="1"/>
  <c r="L17" i="1" s="1"/>
  <c r="M17" i="1" s="1"/>
  <c r="N17" i="1" s="1"/>
  <c r="F21" i="1" l="1"/>
  <c r="F49" i="1" l="1"/>
  <c r="E49" i="1"/>
  <c r="F72" i="1"/>
  <c r="E72" i="1"/>
  <c r="D118" i="1" s="1"/>
  <c r="H49" i="1"/>
  <c r="E118" i="1" l="1"/>
  <c r="E73" i="1"/>
  <c r="F73" i="1" s="1"/>
  <c r="G49" i="1"/>
  <c r="H72" i="1"/>
  <c r="G72" i="1"/>
  <c r="F118" i="1" s="1"/>
  <c r="I4" i="3"/>
  <c r="E45" i="1"/>
  <c r="G118" i="1" l="1"/>
  <c r="G73" i="1"/>
  <c r="H73" i="1" s="1"/>
  <c r="E41" i="1"/>
  <c r="I49" i="1"/>
  <c r="I72" i="1"/>
  <c r="H118" i="1" s="1"/>
  <c r="E46" i="1"/>
  <c r="F5" i="1"/>
  <c r="G5" i="1" s="1"/>
  <c r="H5" i="1" s="1"/>
  <c r="I73" i="1" l="1"/>
  <c r="J72" i="1"/>
  <c r="I118" i="1" s="1"/>
  <c r="J49" i="1"/>
  <c r="K49" i="1"/>
  <c r="F8" i="1"/>
  <c r="G8" i="1" s="1"/>
  <c r="H8" i="1" s="1"/>
  <c r="I8" i="1" s="1"/>
  <c r="J8" i="1" s="1"/>
  <c r="K8" i="1" s="1"/>
  <c r="L8" i="1" s="1"/>
  <c r="M8" i="1" s="1"/>
  <c r="N8" i="1" s="1"/>
  <c r="G27" i="3"/>
  <c r="G41" i="3" s="1"/>
  <c r="G55" i="3" s="1"/>
  <c r="G69" i="3" s="1"/>
  <c r="G83" i="3" s="1"/>
  <c r="G97" i="3" s="1"/>
  <c r="G111" i="3" s="1"/>
  <c r="G125" i="3" s="1"/>
  <c r="G139" i="3" s="1"/>
  <c r="I5" i="3"/>
  <c r="I1" i="3"/>
  <c r="I2" i="3" s="1"/>
  <c r="I5" i="1" l="1"/>
  <c r="J5" i="1" s="1"/>
  <c r="K5" i="1" s="1"/>
  <c r="L5" i="1" s="1"/>
  <c r="M5" i="1" s="1"/>
  <c r="N5" i="1" s="1"/>
  <c r="J73" i="1"/>
  <c r="K73" i="1" s="1"/>
  <c r="I9" i="3"/>
  <c r="L49" i="1"/>
  <c r="K72" i="1"/>
  <c r="J118" i="1" s="1"/>
  <c r="F27" i="1"/>
  <c r="G27" i="1" s="1"/>
  <c r="E48" i="1"/>
  <c r="F20" i="1"/>
  <c r="G20" i="1" s="1"/>
  <c r="F48" i="1"/>
  <c r="E74" i="1"/>
  <c r="E71" i="1"/>
  <c r="F10" i="1"/>
  <c r="G10" i="1" s="1"/>
  <c r="H10" i="1" s="1"/>
  <c r="I10" i="1" s="1"/>
  <c r="J10" i="1" s="1"/>
  <c r="K10" i="1" s="1"/>
  <c r="L10" i="1" s="1"/>
  <c r="M10" i="1" s="1"/>
  <c r="N10" i="1" s="1"/>
  <c r="F11" i="1"/>
  <c r="G11" i="1" s="1"/>
  <c r="H11" i="1" s="1"/>
  <c r="I11" i="1" s="1"/>
  <c r="J11" i="1" s="1"/>
  <c r="K11" i="1" s="1"/>
  <c r="L11" i="1" s="1"/>
  <c r="M11" i="1" s="1"/>
  <c r="N11" i="1" s="1"/>
  <c r="F37" i="1"/>
  <c r="F33" i="1"/>
  <c r="G33" i="1" s="1"/>
  <c r="H33" i="1" s="1"/>
  <c r="I33" i="1" s="1"/>
  <c r="J33" i="1" s="1"/>
  <c r="K33" i="1" s="1"/>
  <c r="L33" i="1" s="1"/>
  <c r="M33" i="1" s="1"/>
  <c r="N33" i="1" s="1"/>
  <c r="F32" i="1"/>
  <c r="F31" i="1"/>
  <c r="F7" i="1"/>
  <c r="F6" i="1"/>
  <c r="G6" i="1" s="1"/>
  <c r="H6" i="1" s="1"/>
  <c r="F4" i="1"/>
  <c r="F36" i="1"/>
  <c r="G36" i="1" s="1"/>
  <c r="H36" i="1" s="1"/>
  <c r="I36" i="1" s="1"/>
  <c r="J36" i="1" s="1"/>
  <c r="K36" i="1" s="1"/>
  <c r="L36" i="1" s="1"/>
  <c r="M36" i="1" s="1"/>
  <c r="N36" i="1" s="1"/>
  <c r="H7" i="1" l="1"/>
  <c r="I7" i="1" s="1"/>
  <c r="J7" i="1" s="1"/>
  <c r="K7" i="1" s="1"/>
  <c r="L7" i="1" s="1"/>
  <c r="M7" i="1" s="1"/>
  <c r="N7" i="1" s="1"/>
  <c r="G7" i="1"/>
  <c r="D116" i="1"/>
  <c r="E47" i="1"/>
  <c r="E100" i="1" s="1"/>
  <c r="E104" i="1" s="1"/>
  <c r="G31" i="1"/>
  <c r="F71" i="1"/>
  <c r="E114" i="1" s="1"/>
  <c r="D114" i="1"/>
  <c r="L73" i="1"/>
  <c r="G32" i="1"/>
  <c r="M49" i="1"/>
  <c r="L72" i="1"/>
  <c r="K118" i="1" s="1"/>
  <c r="G4" i="1"/>
  <c r="F40" i="1"/>
  <c r="G37" i="1"/>
  <c r="F74" i="1"/>
  <c r="E116" i="1" s="1"/>
  <c r="E67" i="1"/>
  <c r="D109" i="1" s="1"/>
  <c r="H27" i="1"/>
  <c r="G56" i="1"/>
  <c r="E50" i="1"/>
  <c r="E101" i="1" s="1"/>
  <c r="G21" i="1"/>
  <c r="G48" i="1" s="1"/>
  <c r="G45" i="1"/>
  <c r="K45" i="1"/>
  <c r="H45" i="1"/>
  <c r="L45" i="1"/>
  <c r="I45" i="1"/>
  <c r="M45" i="1"/>
  <c r="F45" i="1"/>
  <c r="J45" i="1"/>
  <c r="N45" i="1"/>
  <c r="I6" i="1"/>
  <c r="E65" i="1"/>
  <c r="D107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F56" i="1"/>
  <c r="E102" i="1" l="1"/>
  <c r="G74" i="1"/>
  <c r="F116" i="1" s="1"/>
  <c r="G71" i="1"/>
  <c r="F114" i="1" s="1"/>
  <c r="E75" i="1"/>
  <c r="H31" i="1"/>
  <c r="M73" i="1"/>
  <c r="F65" i="1"/>
  <c r="E107" i="1" s="1"/>
  <c r="H32" i="1"/>
  <c r="M72" i="1"/>
  <c r="L118" i="1" s="1"/>
  <c r="H37" i="1"/>
  <c r="H4" i="1"/>
  <c r="H40" i="1" s="1"/>
  <c r="G40" i="1"/>
  <c r="F67" i="1"/>
  <c r="F46" i="1"/>
  <c r="B2" i="3"/>
  <c r="D2" i="3" s="1"/>
  <c r="E68" i="1"/>
  <c r="D110" i="1" s="1"/>
  <c r="E81" i="1"/>
  <c r="D111" i="1" s="1"/>
  <c r="I27" i="1"/>
  <c r="H56" i="1"/>
  <c r="H20" i="1"/>
  <c r="E51" i="1"/>
  <c r="F41" i="1"/>
  <c r="H21" i="1"/>
  <c r="H48" i="1" s="1"/>
  <c r="J6" i="1"/>
  <c r="E109" i="1" l="1"/>
  <c r="F109" i="1"/>
  <c r="H71" i="1"/>
  <c r="G114" i="1" s="1"/>
  <c r="H74" i="1"/>
  <c r="G116" i="1" s="1"/>
  <c r="I31" i="1"/>
  <c r="J31" i="1" s="1"/>
  <c r="K31" i="1" s="1"/>
  <c r="L31" i="1" s="1"/>
  <c r="M31" i="1" s="1"/>
  <c r="N31" i="1" s="1"/>
  <c r="G46" i="1"/>
  <c r="I32" i="1"/>
  <c r="J32" i="1" s="1"/>
  <c r="K32" i="1" s="1"/>
  <c r="L32" i="1" s="1"/>
  <c r="M32" i="1" s="1"/>
  <c r="N32" i="1" s="1"/>
  <c r="N72" i="1"/>
  <c r="N49" i="1"/>
  <c r="I4" i="1"/>
  <c r="G65" i="1"/>
  <c r="F107" i="1" s="1"/>
  <c r="G41" i="1"/>
  <c r="G42" i="1" s="1"/>
  <c r="I37" i="1"/>
  <c r="H65" i="1"/>
  <c r="E51" i="3"/>
  <c r="E122" i="3"/>
  <c r="E104" i="3"/>
  <c r="E87" i="3"/>
  <c r="E67" i="3"/>
  <c r="E131" i="3"/>
  <c r="E90" i="3"/>
  <c r="E58" i="3"/>
  <c r="E123" i="3"/>
  <c r="E105" i="3"/>
  <c r="E88" i="3"/>
  <c r="E68" i="3"/>
  <c r="E125" i="3"/>
  <c r="E80" i="3"/>
  <c r="E134" i="3"/>
  <c r="E116" i="3"/>
  <c r="E97" i="3"/>
  <c r="E79" i="3"/>
  <c r="E61" i="3"/>
  <c r="E10" i="3"/>
  <c r="E41" i="3"/>
  <c r="E32" i="3"/>
  <c r="E21" i="3"/>
  <c r="E4" i="3"/>
  <c r="E25" i="3"/>
  <c r="E54" i="3"/>
  <c r="E24" i="3"/>
  <c r="E22" i="3"/>
  <c r="E8" i="3"/>
  <c r="E5" i="3"/>
  <c r="E136" i="3"/>
  <c r="E118" i="3"/>
  <c r="E100" i="3"/>
  <c r="E81" i="3"/>
  <c r="E63" i="3"/>
  <c r="E117" i="3"/>
  <c r="E86" i="3"/>
  <c r="E137" i="3"/>
  <c r="E119" i="3"/>
  <c r="E101" i="3"/>
  <c r="E82" i="3"/>
  <c r="E64" i="3"/>
  <c r="E121" i="3"/>
  <c r="E72" i="3"/>
  <c r="E130" i="3"/>
  <c r="E110" i="3"/>
  <c r="E93" i="3"/>
  <c r="E75" i="3"/>
  <c r="E23" i="3"/>
  <c r="E52" i="3"/>
  <c r="E30" i="3"/>
  <c r="E47" i="3"/>
  <c r="E13" i="3"/>
  <c r="E38" i="3"/>
  <c r="E36" i="3"/>
  <c r="E11" i="3"/>
  <c r="E39" i="3"/>
  <c r="E50" i="3"/>
  <c r="E7" i="3"/>
  <c r="E2" i="3"/>
  <c r="C2" i="3" s="1"/>
  <c r="E132" i="3"/>
  <c r="E114" i="3"/>
  <c r="E95" i="3"/>
  <c r="E77" i="3"/>
  <c r="E59" i="3"/>
  <c r="E103" i="3"/>
  <c r="E76" i="3"/>
  <c r="E133" i="3"/>
  <c r="E115" i="3"/>
  <c r="E96" i="3"/>
  <c r="E78" i="3"/>
  <c r="E60" i="3"/>
  <c r="E111" i="3"/>
  <c r="E62" i="3"/>
  <c r="E124" i="3"/>
  <c r="E106" i="3"/>
  <c r="E89" i="3"/>
  <c r="E69" i="3"/>
  <c r="E12" i="3"/>
  <c r="E44" i="3"/>
  <c r="E9" i="3"/>
  <c r="E49" i="3"/>
  <c r="E31" i="3"/>
  <c r="E17" i="3"/>
  <c r="E45" i="3"/>
  <c r="E128" i="3"/>
  <c r="E139" i="3"/>
  <c r="E109" i="3"/>
  <c r="E107" i="3"/>
  <c r="E83" i="3"/>
  <c r="E19" i="3"/>
  <c r="E18" i="3"/>
  <c r="E53" i="3"/>
  <c r="E46" i="3"/>
  <c r="E108" i="3"/>
  <c r="E94" i="3"/>
  <c r="E92" i="3"/>
  <c r="E138" i="3"/>
  <c r="E65" i="3"/>
  <c r="E34" i="3"/>
  <c r="E48" i="3"/>
  <c r="E16" i="3"/>
  <c r="E6" i="3"/>
  <c r="E91" i="3"/>
  <c r="E66" i="3"/>
  <c r="E74" i="3"/>
  <c r="E120" i="3"/>
  <c r="E27" i="3"/>
  <c r="E35" i="3"/>
  <c r="E33" i="3"/>
  <c r="E40" i="3"/>
  <c r="E3" i="3"/>
  <c r="E73" i="3"/>
  <c r="E129" i="3"/>
  <c r="E135" i="3"/>
  <c r="E102" i="3"/>
  <c r="E55" i="3"/>
  <c r="E20" i="3"/>
  <c r="E37" i="3"/>
  <c r="E26" i="3"/>
  <c r="F42" i="1"/>
  <c r="F68" i="1"/>
  <c r="E110" i="1" s="1"/>
  <c r="F81" i="1"/>
  <c r="E111" i="1" s="1"/>
  <c r="J27" i="1"/>
  <c r="I56" i="1"/>
  <c r="F50" i="1"/>
  <c r="F101" i="1" s="1"/>
  <c r="F47" i="1"/>
  <c r="F100" i="1" s="1"/>
  <c r="F102" i="1" s="1"/>
  <c r="F103" i="1" s="1"/>
  <c r="I20" i="1"/>
  <c r="I21" i="1"/>
  <c r="I48" i="1" s="1"/>
  <c r="K6" i="1"/>
  <c r="E69" i="1"/>
  <c r="E42" i="1"/>
  <c r="E53" i="1" s="1"/>
  <c r="F104" i="1" l="1"/>
  <c r="E112" i="1"/>
  <c r="N73" i="1"/>
  <c r="M118" i="1"/>
  <c r="N118" i="1"/>
  <c r="G107" i="1"/>
  <c r="I74" i="1"/>
  <c r="H116" i="1" s="1"/>
  <c r="I71" i="1"/>
  <c r="H114" i="1" s="1"/>
  <c r="E77" i="1"/>
  <c r="E29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G81" i="1"/>
  <c r="F111" i="1" s="1"/>
  <c r="G68" i="1"/>
  <c r="F110" i="1" s="1"/>
  <c r="H46" i="1"/>
  <c r="H67" i="1"/>
  <c r="G109" i="1" s="1"/>
  <c r="H41" i="1"/>
  <c r="J37" i="1"/>
  <c r="J4" i="1"/>
  <c r="I40" i="1"/>
  <c r="F51" i="1"/>
  <c r="F2" i="3"/>
  <c r="B3" i="3" s="1"/>
  <c r="K27" i="1"/>
  <c r="J56" i="1"/>
  <c r="G50" i="1"/>
  <c r="G101" i="1" s="1"/>
  <c r="G47" i="1"/>
  <c r="G100" i="1" s="1"/>
  <c r="J20" i="1"/>
  <c r="F75" i="1"/>
  <c r="J21" i="1"/>
  <c r="J48" i="1" s="1"/>
  <c r="L6" i="1"/>
  <c r="G102" i="1" l="1"/>
  <c r="G103" i="1" s="1"/>
  <c r="I65" i="1"/>
  <c r="H107" i="1" s="1"/>
  <c r="G69" i="1"/>
  <c r="J71" i="1"/>
  <c r="I114" i="1" s="1"/>
  <c r="J74" i="1"/>
  <c r="I116" i="1" s="1"/>
  <c r="F53" i="1"/>
  <c r="K4" i="1"/>
  <c r="J40" i="1"/>
  <c r="K37" i="1"/>
  <c r="I67" i="1"/>
  <c r="H109" i="1" s="1"/>
  <c r="I41" i="1"/>
  <c r="I42" i="1" s="1"/>
  <c r="I46" i="1"/>
  <c r="H42" i="1"/>
  <c r="H81" i="1"/>
  <c r="H68" i="1"/>
  <c r="G110" i="1" s="1"/>
  <c r="D3" i="3"/>
  <c r="G51" i="1"/>
  <c r="L27" i="1"/>
  <c r="K56" i="1"/>
  <c r="H50" i="1"/>
  <c r="H101" i="1" s="1"/>
  <c r="H47" i="1"/>
  <c r="H100" i="1" s="1"/>
  <c r="H102" i="1" s="1"/>
  <c r="H103" i="1" s="1"/>
  <c r="K20" i="1"/>
  <c r="G75" i="1"/>
  <c r="K21" i="1"/>
  <c r="K48" i="1" s="1"/>
  <c r="M6" i="1"/>
  <c r="G104" i="1" l="1"/>
  <c r="F112" i="1"/>
  <c r="G111" i="1"/>
  <c r="H104" i="1"/>
  <c r="G112" i="1"/>
  <c r="J65" i="1"/>
  <c r="I107" i="1" s="1"/>
  <c r="G77" i="1"/>
  <c r="H69" i="1"/>
  <c r="K74" i="1"/>
  <c r="J116" i="1" s="1"/>
  <c r="K71" i="1"/>
  <c r="J114" i="1" s="1"/>
  <c r="G53" i="1"/>
  <c r="L37" i="1"/>
  <c r="I81" i="1"/>
  <c r="H111" i="1" s="1"/>
  <c r="I68" i="1"/>
  <c r="H110" i="1" s="1"/>
  <c r="J41" i="1"/>
  <c r="J42" i="1" s="1"/>
  <c r="J67" i="1"/>
  <c r="I109" i="1" s="1"/>
  <c r="J46" i="1"/>
  <c r="L4" i="1"/>
  <c r="K40" i="1"/>
  <c r="H51" i="1"/>
  <c r="C3" i="3"/>
  <c r="H75" i="1"/>
  <c r="M27" i="1"/>
  <c r="L56" i="1"/>
  <c r="I50" i="1"/>
  <c r="I101" i="1" s="1"/>
  <c r="I47" i="1"/>
  <c r="I100" i="1" s="1"/>
  <c r="I102" i="1" s="1"/>
  <c r="I103" i="1" s="1"/>
  <c r="I104" i="1" s="1"/>
  <c r="L20" i="1"/>
  <c r="L21" i="1"/>
  <c r="L48" i="1" s="1"/>
  <c r="N6" i="1"/>
  <c r="H112" i="1" l="1"/>
  <c r="H77" i="1"/>
  <c r="I69" i="1"/>
  <c r="L71" i="1"/>
  <c r="K114" i="1" s="1"/>
  <c r="L74" i="1"/>
  <c r="K116" i="1" s="1"/>
  <c r="P90" i="1"/>
  <c r="H53" i="1"/>
  <c r="K46" i="1"/>
  <c r="K41" i="1"/>
  <c r="K42" i="1" s="1"/>
  <c r="K67" i="1"/>
  <c r="J109" i="1" s="1"/>
  <c r="K65" i="1"/>
  <c r="J107" i="1" s="1"/>
  <c r="M4" i="1"/>
  <c r="L40" i="1"/>
  <c r="J81" i="1"/>
  <c r="I111" i="1" s="1"/>
  <c r="J68" i="1"/>
  <c r="I110" i="1" s="1"/>
  <c r="M37" i="1"/>
  <c r="I75" i="1"/>
  <c r="F3" i="3"/>
  <c r="B4" i="3" s="1"/>
  <c r="I51" i="1"/>
  <c r="I53" i="1" s="1"/>
  <c r="N27" i="1"/>
  <c r="N56" i="1" s="1"/>
  <c r="M56" i="1"/>
  <c r="J50" i="1"/>
  <c r="J101" i="1" s="1"/>
  <c r="J47" i="1"/>
  <c r="J100" i="1" s="1"/>
  <c r="J102" i="1" s="1"/>
  <c r="J103" i="1" s="1"/>
  <c r="M20" i="1"/>
  <c r="M21" i="1"/>
  <c r="M48" i="1" s="1"/>
  <c r="J104" i="1" l="1"/>
  <c r="I112" i="1"/>
  <c r="L65" i="1"/>
  <c r="K107" i="1" s="1"/>
  <c r="O108" i="1"/>
  <c r="I77" i="1"/>
  <c r="M71" i="1"/>
  <c r="L114" i="1" s="1"/>
  <c r="J69" i="1"/>
  <c r="M74" i="1"/>
  <c r="L116" i="1" s="1"/>
  <c r="J51" i="1"/>
  <c r="J53" i="1" s="1"/>
  <c r="L46" i="1"/>
  <c r="L67" i="1"/>
  <c r="K109" i="1" s="1"/>
  <c r="L41" i="1"/>
  <c r="L42" i="1" s="1"/>
  <c r="N37" i="1"/>
  <c r="N4" i="1"/>
  <c r="N40" i="1" s="1"/>
  <c r="M40" i="1"/>
  <c r="K68" i="1"/>
  <c r="J110" i="1" s="1"/>
  <c r="K81" i="1"/>
  <c r="J111" i="1" s="1"/>
  <c r="J75" i="1"/>
  <c r="D4" i="3"/>
  <c r="K50" i="1"/>
  <c r="K101" i="1" s="1"/>
  <c r="K47" i="1"/>
  <c r="K100" i="1" s="1"/>
  <c r="K102" i="1" s="1"/>
  <c r="K103" i="1" s="1"/>
  <c r="N20" i="1"/>
  <c r="N21" i="1"/>
  <c r="N48" i="1" s="1"/>
  <c r="K104" i="1" l="1"/>
  <c r="J112" i="1"/>
  <c r="J120" i="1" s="1"/>
  <c r="J77" i="1"/>
  <c r="K69" i="1"/>
  <c r="N74" i="1"/>
  <c r="N71" i="1"/>
  <c r="M41" i="1"/>
  <c r="M42" i="1" s="1"/>
  <c r="M67" i="1"/>
  <c r="L109" i="1" s="1"/>
  <c r="M46" i="1"/>
  <c r="N67" i="1"/>
  <c r="N41" i="1"/>
  <c r="N42" i="1" s="1"/>
  <c r="N46" i="1"/>
  <c r="L81" i="1"/>
  <c r="K111" i="1" s="1"/>
  <c r="L68" i="1"/>
  <c r="K110" i="1" s="1"/>
  <c r="M65" i="1"/>
  <c r="L107" i="1" s="1"/>
  <c r="N65" i="1"/>
  <c r="C4" i="3"/>
  <c r="K51" i="1"/>
  <c r="K53" i="1" s="1"/>
  <c r="L50" i="1"/>
  <c r="L101" i="1" s="1"/>
  <c r="L47" i="1"/>
  <c r="L100" i="1" s="1"/>
  <c r="L102" i="1" s="1"/>
  <c r="L103" i="1" s="1"/>
  <c r="K75" i="1"/>
  <c r="L104" i="1" l="1"/>
  <c r="K112" i="1"/>
  <c r="K77" i="1"/>
  <c r="M109" i="1"/>
  <c r="N109" i="1"/>
  <c r="M114" i="1"/>
  <c r="N114" i="1"/>
  <c r="N116" i="1"/>
  <c r="M116" i="1"/>
  <c r="M107" i="1"/>
  <c r="N107" i="1"/>
  <c r="L69" i="1"/>
  <c r="N68" i="1"/>
  <c r="N81" i="1"/>
  <c r="M81" i="1"/>
  <c r="L111" i="1" s="1"/>
  <c r="M68" i="1"/>
  <c r="L110" i="1" s="1"/>
  <c r="F4" i="3"/>
  <c r="B5" i="3" s="1"/>
  <c r="L75" i="1"/>
  <c r="L51" i="1"/>
  <c r="L53" i="1" s="1"/>
  <c r="M50" i="1"/>
  <c r="M101" i="1" s="1"/>
  <c r="M47" i="1"/>
  <c r="M100" i="1" s="1"/>
  <c r="M102" i="1" s="1"/>
  <c r="M103" i="1" s="1"/>
  <c r="M104" i="1" l="1"/>
  <c r="L112" i="1"/>
  <c r="M111" i="1"/>
  <c r="N111" i="1"/>
  <c r="N110" i="1"/>
  <c r="M110" i="1"/>
  <c r="L77" i="1"/>
  <c r="O109" i="1"/>
  <c r="O107" i="1"/>
  <c r="N69" i="1"/>
  <c r="M69" i="1"/>
  <c r="M51" i="1"/>
  <c r="M53" i="1" s="1"/>
  <c r="D5" i="3"/>
  <c r="M75" i="1"/>
  <c r="N50" i="1"/>
  <c r="N101" i="1" s="1"/>
  <c r="N47" i="1"/>
  <c r="N100" i="1" s="1"/>
  <c r="N102" i="1" s="1"/>
  <c r="N103" i="1" s="1"/>
  <c r="N104" i="1" l="1"/>
  <c r="M112" i="1"/>
  <c r="N112" i="1"/>
  <c r="M77" i="1"/>
  <c r="O111" i="1"/>
  <c r="O110" i="1"/>
  <c r="C5" i="3"/>
  <c r="N75" i="1"/>
  <c r="N77" i="1" s="1"/>
  <c r="N51" i="1"/>
  <c r="N53" i="1" s="1"/>
  <c r="P53" i="1" s="1"/>
  <c r="O112" i="1" l="1"/>
  <c r="F5" i="3"/>
  <c r="B6" i="3" s="1"/>
  <c r="D6" i="3" l="1"/>
  <c r="C6" i="3" s="1"/>
  <c r="F6" i="3" s="1"/>
  <c r="B7" i="3" s="1"/>
  <c r="D7" i="3" s="1"/>
  <c r="C7" i="3" s="1"/>
  <c r="F7" i="3" s="1"/>
  <c r="B8" i="3" s="1"/>
  <c r="D8" i="3" s="1"/>
  <c r="C8" i="3" s="1"/>
  <c r="F8" i="3" s="1"/>
  <c r="B9" i="3" s="1"/>
  <c r="D9" i="3" s="1"/>
  <c r="C9" i="3" s="1"/>
  <c r="F9" i="3" s="1"/>
  <c r="B10" i="3" s="1"/>
  <c r="D10" i="3" s="1"/>
  <c r="C10" i="3" s="1"/>
  <c r="F10" i="3" s="1"/>
  <c r="B11" i="3" s="1"/>
  <c r="D11" i="3" s="1"/>
  <c r="C11" i="3" s="1"/>
  <c r="F11" i="3" s="1"/>
  <c r="B12" i="3" s="1"/>
  <c r="D12" i="3" s="1"/>
  <c r="C12" i="3" s="1"/>
  <c r="F12" i="3" s="1"/>
  <c r="B13" i="3" s="1"/>
  <c r="D13" i="3" l="1"/>
  <c r="C13" i="3" l="1"/>
  <c r="D14" i="3"/>
  <c r="E55" i="1" s="1"/>
  <c r="F13" i="3" l="1"/>
  <c r="C14" i="3"/>
  <c r="B16" i="3" l="1"/>
  <c r="E85" i="1"/>
  <c r="D16" i="3" l="1"/>
  <c r="C16" i="3" l="1"/>
  <c r="F16" i="3" l="1"/>
  <c r="B17" i="3" s="1"/>
  <c r="D17" i="3" l="1"/>
  <c r="C17" i="3" l="1"/>
  <c r="F17" i="3" l="1"/>
  <c r="B18" i="3" s="1"/>
  <c r="D18" i="3" l="1"/>
  <c r="C18" i="3" l="1"/>
  <c r="F18" i="3" l="1"/>
  <c r="B19" i="3" s="1"/>
  <c r="D19" i="3" l="1"/>
  <c r="C19" i="3" l="1"/>
  <c r="F19" i="3" l="1"/>
  <c r="B20" i="3" s="1"/>
  <c r="D20" i="3" l="1"/>
  <c r="C20" i="3" l="1"/>
  <c r="F20" i="3" l="1"/>
  <c r="B21" i="3" s="1"/>
  <c r="D21" i="3" s="1"/>
  <c r="C21" i="3" s="1"/>
  <c r="F21" i="3" s="1"/>
  <c r="B22" i="3" s="1"/>
  <c r="D22" i="3" s="1"/>
  <c r="C22" i="3" s="1"/>
  <c r="F22" i="3" s="1"/>
  <c r="B23" i="3" s="1"/>
  <c r="D23" i="3" s="1"/>
  <c r="C23" i="3" s="1"/>
  <c r="F23" i="3" s="1"/>
  <c r="B24" i="3" s="1"/>
  <c r="D24" i="3" s="1"/>
  <c r="C24" i="3" s="1"/>
  <c r="F24" i="3" s="1"/>
  <c r="B25" i="3" s="1"/>
  <c r="D25" i="3" s="1"/>
  <c r="C25" i="3" s="1"/>
  <c r="F25" i="3" s="1"/>
  <c r="B26" i="3" s="1"/>
  <c r="D26" i="3" s="1"/>
  <c r="C26" i="3" s="1"/>
  <c r="F26" i="3" s="1"/>
  <c r="B27" i="3" s="1"/>
  <c r="D27" i="3" l="1"/>
  <c r="C27" i="3" l="1"/>
  <c r="D28" i="3"/>
  <c r="F55" i="1" s="1"/>
  <c r="F58" i="1" l="1"/>
  <c r="C28" i="3"/>
  <c r="F27" i="3"/>
  <c r="F59" i="1" l="1"/>
  <c r="F82" i="1" s="1"/>
  <c r="B30" i="3"/>
  <c r="F85" i="1"/>
  <c r="F83" i="1" l="1"/>
  <c r="F88" i="1" s="1"/>
  <c r="F60" i="1"/>
  <c r="D30" i="3"/>
  <c r="C30" i="3" l="1"/>
  <c r="F30" i="3" l="1"/>
  <c r="B31" i="3" s="1"/>
  <c r="D31" i="3" l="1"/>
  <c r="C31" i="3" l="1"/>
  <c r="F31" i="3" l="1"/>
  <c r="B32" i="3" s="1"/>
  <c r="D32" i="3" l="1"/>
  <c r="C32" i="3" l="1"/>
  <c r="F32" i="3" l="1"/>
  <c r="B33" i="3" s="1"/>
  <c r="D33" i="3" l="1"/>
  <c r="C33" i="3" l="1"/>
  <c r="F33" i="3" l="1"/>
  <c r="B34" i="3" s="1"/>
  <c r="D34" i="3" l="1"/>
  <c r="C34" i="3" l="1"/>
  <c r="F34" i="3" l="1"/>
  <c r="B35" i="3" s="1"/>
  <c r="D35" i="3" s="1"/>
  <c r="C35" i="3" s="1"/>
  <c r="F35" i="3" s="1"/>
  <c r="B36" i="3" s="1"/>
  <c r="D36" i="3" s="1"/>
  <c r="C36" i="3" s="1"/>
  <c r="F36" i="3" s="1"/>
  <c r="B37" i="3" s="1"/>
  <c r="D37" i="3" s="1"/>
  <c r="C37" i="3" s="1"/>
  <c r="F37" i="3" s="1"/>
  <c r="B38" i="3" s="1"/>
  <c r="D38" i="3" s="1"/>
  <c r="C38" i="3" s="1"/>
  <c r="F38" i="3" s="1"/>
  <c r="B39" i="3" s="1"/>
  <c r="D39" i="3" s="1"/>
  <c r="C39" i="3" s="1"/>
  <c r="F39" i="3" s="1"/>
  <c r="B40" i="3" s="1"/>
  <c r="D40" i="3" s="1"/>
  <c r="C40" i="3" s="1"/>
  <c r="F40" i="3" s="1"/>
  <c r="B41" i="3" s="1"/>
  <c r="D41" i="3" l="1"/>
  <c r="C41" i="3" l="1"/>
  <c r="D42" i="3"/>
  <c r="G55" i="1" s="1"/>
  <c r="G58" i="1" l="1"/>
  <c r="C42" i="3"/>
  <c r="F41" i="3"/>
  <c r="G59" i="1" l="1"/>
  <c r="G82" i="1" s="1"/>
  <c r="F120" i="1" s="1"/>
  <c r="F124" i="1" s="1"/>
  <c r="B44" i="3"/>
  <c r="G85" i="1"/>
  <c r="G83" i="1" l="1"/>
  <c r="G88" i="1" s="1"/>
  <c r="G60" i="1"/>
  <c r="D44" i="3"/>
  <c r="C44" i="3" l="1"/>
  <c r="F44" i="3" l="1"/>
  <c r="B45" i="3" s="1"/>
  <c r="D45" i="3" l="1"/>
  <c r="C45" i="3" l="1"/>
  <c r="F45" i="3" l="1"/>
  <c r="B46" i="3" s="1"/>
  <c r="D46" i="3" l="1"/>
  <c r="C46" i="3" l="1"/>
  <c r="F46" i="3" l="1"/>
  <c r="B47" i="3" s="1"/>
  <c r="D47" i="3" l="1"/>
  <c r="C47" i="3" l="1"/>
  <c r="F47" i="3" l="1"/>
  <c r="B48" i="3" s="1"/>
  <c r="D48" i="3" l="1"/>
  <c r="C48" i="3" l="1"/>
  <c r="F48" i="3" l="1"/>
  <c r="B49" i="3" s="1"/>
  <c r="D49" i="3" s="1"/>
  <c r="C49" i="3" s="1"/>
  <c r="F49" i="3" s="1"/>
  <c r="B50" i="3" s="1"/>
  <c r="D50" i="3" s="1"/>
  <c r="C50" i="3" s="1"/>
  <c r="F50" i="3" s="1"/>
  <c r="B51" i="3" s="1"/>
  <c r="D51" i="3" s="1"/>
  <c r="C51" i="3" s="1"/>
  <c r="F51" i="3" s="1"/>
  <c r="B52" i="3" s="1"/>
  <c r="D52" i="3" s="1"/>
  <c r="C52" i="3" s="1"/>
  <c r="F52" i="3" s="1"/>
  <c r="B53" i="3" s="1"/>
  <c r="D53" i="3" s="1"/>
  <c r="C53" i="3" s="1"/>
  <c r="F53" i="3" s="1"/>
  <c r="B54" i="3" s="1"/>
  <c r="D54" i="3" s="1"/>
  <c r="C54" i="3" s="1"/>
  <c r="F54" i="3" s="1"/>
  <c r="B55" i="3" s="1"/>
  <c r="D55" i="3" l="1"/>
  <c r="C55" i="3" l="1"/>
  <c r="D56" i="3"/>
  <c r="H55" i="1" s="1"/>
  <c r="H58" i="1" l="1"/>
  <c r="C56" i="3"/>
  <c r="F55" i="3"/>
  <c r="H59" i="1" l="1"/>
  <c r="B58" i="3"/>
  <c r="H85" i="1"/>
  <c r="H60" i="1" l="1"/>
  <c r="H82" i="1"/>
  <c r="G120" i="1" s="1"/>
  <c r="G124" i="1" s="1"/>
  <c r="D58" i="3"/>
  <c r="H83" i="1" l="1"/>
  <c r="H88" i="1" s="1"/>
  <c r="C58" i="3"/>
  <c r="F58" i="3" l="1"/>
  <c r="B59" i="3" s="1"/>
  <c r="D59" i="3" l="1"/>
  <c r="C59" i="3" l="1"/>
  <c r="F59" i="3" l="1"/>
  <c r="B60" i="3" s="1"/>
  <c r="D60" i="3" l="1"/>
  <c r="C60" i="3" l="1"/>
  <c r="F60" i="3" l="1"/>
  <c r="B61" i="3" s="1"/>
  <c r="D61" i="3" l="1"/>
  <c r="C61" i="3" l="1"/>
  <c r="F61" i="3" l="1"/>
  <c r="B62" i="3" s="1"/>
  <c r="D62" i="3" l="1"/>
  <c r="C62" i="3" l="1"/>
  <c r="F62" i="3" l="1"/>
  <c r="B63" i="3" s="1"/>
  <c r="D63" i="3" s="1"/>
  <c r="C63" i="3" s="1"/>
  <c r="F63" i="3" s="1"/>
  <c r="B64" i="3" s="1"/>
  <c r="D64" i="3" s="1"/>
  <c r="C64" i="3" s="1"/>
  <c r="F64" i="3" s="1"/>
  <c r="B65" i="3" s="1"/>
  <c r="D65" i="3" s="1"/>
  <c r="C65" i="3" s="1"/>
  <c r="F65" i="3" s="1"/>
  <c r="B66" i="3" s="1"/>
  <c r="D66" i="3" s="1"/>
  <c r="C66" i="3" s="1"/>
  <c r="F66" i="3" s="1"/>
  <c r="B67" i="3" s="1"/>
  <c r="D67" i="3" s="1"/>
  <c r="C67" i="3" s="1"/>
  <c r="F67" i="3" s="1"/>
  <c r="B68" i="3" s="1"/>
  <c r="D68" i="3" s="1"/>
  <c r="C68" i="3" s="1"/>
  <c r="F68" i="3" s="1"/>
  <c r="B69" i="3" s="1"/>
  <c r="D69" i="3" l="1"/>
  <c r="C69" i="3" l="1"/>
  <c r="D70" i="3"/>
  <c r="I55" i="1" s="1"/>
  <c r="I58" i="1" l="1"/>
  <c r="C70" i="3"/>
  <c r="F69" i="3"/>
  <c r="I59" i="1" l="1"/>
  <c r="I82" i="1" s="1"/>
  <c r="H120" i="1" s="1"/>
  <c r="H124" i="1" s="1"/>
  <c r="B72" i="3"/>
  <c r="I85" i="1"/>
  <c r="I83" i="1" l="1"/>
  <c r="I88" i="1" s="1"/>
  <c r="I60" i="1"/>
  <c r="D72" i="3"/>
  <c r="C72" i="3" l="1"/>
  <c r="F72" i="3" l="1"/>
  <c r="B73" i="3" s="1"/>
  <c r="D73" i="3" l="1"/>
  <c r="C73" i="3" l="1"/>
  <c r="F73" i="3" l="1"/>
  <c r="B74" i="3" s="1"/>
  <c r="D74" i="3" l="1"/>
  <c r="C74" i="3" l="1"/>
  <c r="F74" i="3" l="1"/>
  <c r="B75" i="3" s="1"/>
  <c r="D75" i="3" l="1"/>
  <c r="C75" i="3" l="1"/>
  <c r="F75" i="3" l="1"/>
  <c r="B76" i="3" s="1"/>
  <c r="D76" i="3" l="1"/>
  <c r="C76" i="3" l="1"/>
  <c r="F76" i="3" l="1"/>
  <c r="B77" i="3" s="1"/>
  <c r="D77" i="3" s="1"/>
  <c r="C77" i="3" s="1"/>
  <c r="F77" i="3" s="1"/>
  <c r="B78" i="3" s="1"/>
  <c r="D78" i="3" s="1"/>
  <c r="C78" i="3" s="1"/>
  <c r="F78" i="3" s="1"/>
  <c r="B79" i="3" s="1"/>
  <c r="D79" i="3" s="1"/>
  <c r="C79" i="3" s="1"/>
  <c r="F79" i="3" s="1"/>
  <c r="B80" i="3" s="1"/>
  <c r="D80" i="3" s="1"/>
  <c r="C80" i="3" s="1"/>
  <c r="F80" i="3" s="1"/>
  <c r="B81" i="3" s="1"/>
  <c r="D81" i="3" s="1"/>
  <c r="C81" i="3" s="1"/>
  <c r="F81" i="3" s="1"/>
  <c r="B82" i="3" s="1"/>
  <c r="D82" i="3" s="1"/>
  <c r="C82" i="3" s="1"/>
  <c r="F82" i="3" s="1"/>
  <c r="B83" i="3" s="1"/>
  <c r="D83" i="3" l="1"/>
  <c r="C83" i="3" l="1"/>
  <c r="D84" i="3"/>
  <c r="J55" i="1" s="1"/>
  <c r="J58" i="1" s="1"/>
  <c r="J59" i="1" l="1"/>
  <c r="J82" i="1" s="1"/>
  <c r="I120" i="1" s="1"/>
  <c r="I124" i="1" s="1"/>
  <c r="C84" i="3"/>
  <c r="F83" i="3"/>
  <c r="J83" i="1" l="1"/>
  <c r="B86" i="3"/>
  <c r="J85" i="1"/>
  <c r="J60" i="1"/>
  <c r="J88" i="1" l="1"/>
  <c r="D86" i="3"/>
  <c r="C86" i="3" l="1"/>
  <c r="F86" i="3" l="1"/>
  <c r="B87" i="3" s="1"/>
  <c r="D87" i="3" l="1"/>
  <c r="C87" i="3" l="1"/>
  <c r="F87" i="3" l="1"/>
  <c r="B88" i="3" s="1"/>
  <c r="D88" i="3" l="1"/>
  <c r="C88" i="3" l="1"/>
  <c r="F88" i="3" l="1"/>
  <c r="B89" i="3" s="1"/>
  <c r="D89" i="3" l="1"/>
  <c r="C89" i="3" l="1"/>
  <c r="F89" i="3" l="1"/>
  <c r="B90" i="3" s="1"/>
  <c r="D90" i="3" l="1"/>
  <c r="C90" i="3" l="1"/>
  <c r="F90" i="3" l="1"/>
  <c r="B91" i="3" s="1"/>
  <c r="D91" i="3" s="1"/>
  <c r="C91" i="3" s="1"/>
  <c r="F91" i="3" s="1"/>
  <c r="B92" i="3" s="1"/>
  <c r="D92" i="3" s="1"/>
  <c r="C92" i="3" s="1"/>
  <c r="F92" i="3" s="1"/>
  <c r="B93" i="3" s="1"/>
  <c r="D93" i="3" s="1"/>
  <c r="C93" i="3" s="1"/>
  <c r="F93" i="3" s="1"/>
  <c r="B94" i="3" s="1"/>
  <c r="D94" i="3" s="1"/>
  <c r="C94" i="3" s="1"/>
  <c r="F94" i="3" s="1"/>
  <c r="B95" i="3" s="1"/>
  <c r="D95" i="3" s="1"/>
  <c r="C95" i="3" s="1"/>
  <c r="F95" i="3" s="1"/>
  <c r="B96" i="3" s="1"/>
  <c r="D96" i="3" s="1"/>
  <c r="C96" i="3" s="1"/>
  <c r="F96" i="3" s="1"/>
  <c r="B97" i="3" s="1"/>
  <c r="D97" i="3" l="1"/>
  <c r="C97" i="3" l="1"/>
  <c r="D98" i="3"/>
  <c r="K55" i="1" s="1"/>
  <c r="K58" i="1" s="1"/>
  <c r="K59" i="1" l="1"/>
  <c r="K82" i="1" s="1"/>
  <c r="J124" i="1" s="1"/>
  <c r="C98" i="3"/>
  <c r="F97" i="3"/>
  <c r="K83" i="1" l="1"/>
  <c r="B100" i="3"/>
  <c r="K85" i="1"/>
  <c r="K60" i="1"/>
  <c r="K88" i="1" l="1"/>
  <c r="D100" i="3"/>
  <c r="C100" i="3" l="1"/>
  <c r="F100" i="3" l="1"/>
  <c r="B101" i="3" s="1"/>
  <c r="D101" i="3" l="1"/>
  <c r="C101" i="3" l="1"/>
  <c r="F101" i="3" l="1"/>
  <c r="B102" i="3" s="1"/>
  <c r="D102" i="3" l="1"/>
  <c r="C102" i="3" l="1"/>
  <c r="F102" i="3" l="1"/>
  <c r="B103" i="3" s="1"/>
  <c r="D103" i="3" l="1"/>
  <c r="C103" i="3" l="1"/>
  <c r="F103" i="3" l="1"/>
  <c r="B104" i="3" s="1"/>
  <c r="D104" i="3" l="1"/>
  <c r="C104" i="3" l="1"/>
  <c r="F104" i="3" l="1"/>
  <c r="B105" i="3" s="1"/>
  <c r="D105" i="3" s="1"/>
  <c r="C105" i="3" s="1"/>
  <c r="F105" i="3" s="1"/>
  <c r="B106" i="3" s="1"/>
  <c r="D106" i="3" s="1"/>
  <c r="C106" i="3" s="1"/>
  <c r="F106" i="3" s="1"/>
  <c r="B107" i="3" s="1"/>
  <c r="D107" i="3" s="1"/>
  <c r="C107" i="3" s="1"/>
  <c r="F107" i="3" s="1"/>
  <c r="B108" i="3" s="1"/>
  <c r="D108" i="3" s="1"/>
  <c r="C108" i="3" s="1"/>
  <c r="F108" i="3" s="1"/>
  <c r="B109" i="3" s="1"/>
  <c r="D109" i="3" s="1"/>
  <c r="C109" i="3" s="1"/>
  <c r="F109" i="3" s="1"/>
  <c r="B110" i="3" s="1"/>
  <c r="D110" i="3" s="1"/>
  <c r="C110" i="3" s="1"/>
  <c r="F110" i="3" s="1"/>
  <c r="B111" i="3" s="1"/>
  <c r="D111" i="3" l="1"/>
  <c r="C111" i="3" l="1"/>
  <c r="D112" i="3"/>
  <c r="L55" i="1" s="1"/>
  <c r="L58" i="1" s="1"/>
  <c r="L59" i="1" l="1"/>
  <c r="L82" i="1" s="1"/>
  <c r="K120" i="1" s="1"/>
  <c r="K124" i="1" s="1"/>
  <c r="C112" i="3"/>
  <c r="F111" i="3"/>
  <c r="L83" i="1" l="1"/>
  <c r="B114" i="3"/>
  <c r="L85" i="1"/>
  <c r="L60" i="1"/>
  <c r="L88" i="1" l="1"/>
  <c r="D114" i="3"/>
  <c r="C114" i="3" l="1"/>
  <c r="F114" i="3" l="1"/>
  <c r="B115" i="3" s="1"/>
  <c r="D115" i="3" l="1"/>
  <c r="C115" i="3" l="1"/>
  <c r="F115" i="3" l="1"/>
  <c r="B116" i="3" s="1"/>
  <c r="D116" i="3" l="1"/>
  <c r="C116" i="3" l="1"/>
  <c r="F116" i="3" l="1"/>
  <c r="B117" i="3" s="1"/>
  <c r="D117" i="3" l="1"/>
  <c r="C117" i="3" l="1"/>
  <c r="F117" i="3" l="1"/>
  <c r="B118" i="3" s="1"/>
  <c r="D118" i="3" l="1"/>
  <c r="C118" i="3" l="1"/>
  <c r="F118" i="3" l="1"/>
  <c r="B119" i="3" s="1"/>
  <c r="D119" i="3" s="1"/>
  <c r="C119" i="3" s="1"/>
  <c r="F119" i="3" s="1"/>
  <c r="B120" i="3" s="1"/>
  <c r="D120" i="3" s="1"/>
  <c r="C120" i="3" s="1"/>
  <c r="F120" i="3" s="1"/>
  <c r="B121" i="3" s="1"/>
  <c r="D121" i="3" s="1"/>
  <c r="C121" i="3" s="1"/>
  <c r="F121" i="3" s="1"/>
  <c r="B122" i="3" s="1"/>
  <c r="D122" i="3" s="1"/>
  <c r="C122" i="3" s="1"/>
  <c r="F122" i="3" s="1"/>
  <c r="B123" i="3" s="1"/>
  <c r="D123" i="3" s="1"/>
  <c r="C123" i="3" s="1"/>
  <c r="F123" i="3" s="1"/>
  <c r="B124" i="3" s="1"/>
  <c r="D124" i="3" s="1"/>
  <c r="C124" i="3" s="1"/>
  <c r="F124" i="3" s="1"/>
  <c r="B125" i="3" s="1"/>
  <c r="D125" i="3" l="1"/>
  <c r="C125" i="3" l="1"/>
  <c r="D126" i="3"/>
  <c r="M55" i="1" s="1"/>
  <c r="M58" i="1" s="1"/>
  <c r="M59" i="1" l="1"/>
  <c r="M82" i="1" s="1"/>
  <c r="L120" i="1" s="1"/>
  <c r="L124" i="1" s="1"/>
  <c r="C126" i="3"/>
  <c r="F125" i="3"/>
  <c r="M83" i="1" l="1"/>
  <c r="M60" i="1"/>
  <c r="B128" i="3"/>
  <c r="M85" i="1"/>
  <c r="M88" i="1" l="1"/>
  <c r="D128" i="3"/>
  <c r="C128" i="3" l="1"/>
  <c r="F128" i="3" l="1"/>
  <c r="B129" i="3" s="1"/>
  <c r="D129" i="3" l="1"/>
  <c r="C129" i="3" l="1"/>
  <c r="F129" i="3" l="1"/>
  <c r="B130" i="3" s="1"/>
  <c r="D130" i="3" l="1"/>
  <c r="C130" i="3" l="1"/>
  <c r="F130" i="3" l="1"/>
  <c r="B131" i="3" s="1"/>
  <c r="D131" i="3" l="1"/>
  <c r="C131" i="3" l="1"/>
  <c r="F131" i="3" l="1"/>
  <c r="B132" i="3" s="1"/>
  <c r="D132" i="3" l="1"/>
  <c r="C132" i="3" l="1"/>
  <c r="F132" i="3" l="1"/>
  <c r="B133" i="3" s="1"/>
  <c r="D133" i="3" s="1"/>
  <c r="C133" i="3" s="1"/>
  <c r="F133" i="3" s="1"/>
  <c r="B134" i="3" s="1"/>
  <c r="D134" i="3" s="1"/>
  <c r="C134" i="3" s="1"/>
  <c r="F134" i="3" s="1"/>
  <c r="B135" i="3" s="1"/>
  <c r="D135" i="3" s="1"/>
  <c r="C135" i="3" s="1"/>
  <c r="F135" i="3" s="1"/>
  <c r="B136" i="3" s="1"/>
  <c r="D136" i="3" s="1"/>
  <c r="C136" i="3" s="1"/>
  <c r="F136" i="3" s="1"/>
  <c r="B137" i="3" s="1"/>
  <c r="D137" i="3" s="1"/>
  <c r="C137" i="3" s="1"/>
  <c r="F137" i="3" s="1"/>
  <c r="B138" i="3" s="1"/>
  <c r="D138" i="3" s="1"/>
  <c r="C138" i="3" s="1"/>
  <c r="F138" i="3" s="1"/>
  <c r="B139" i="3" s="1"/>
  <c r="D139" i="3" l="1"/>
  <c r="C139" i="3" l="1"/>
  <c r="D140" i="3"/>
  <c r="N55" i="1" s="1"/>
  <c r="N58" i="1" l="1"/>
  <c r="N59" i="1" s="1"/>
  <c r="N82" i="1" s="1"/>
  <c r="P55" i="1"/>
  <c r="C140" i="3"/>
  <c r="F139" i="3"/>
  <c r="N85" i="1" s="1"/>
  <c r="P85" i="1" s="1"/>
  <c r="M120" i="1" l="1"/>
  <c r="M124" i="1" s="1"/>
  <c r="N120" i="1"/>
  <c r="N83" i="1"/>
  <c r="N88" i="1" s="1"/>
  <c r="N60" i="1"/>
  <c r="E56" i="1"/>
  <c r="E58" i="1" l="1"/>
  <c r="E59" i="1" s="1"/>
  <c r="E82" i="1" s="1"/>
  <c r="E120" i="1" s="1"/>
  <c r="E124" i="1" s="1"/>
  <c r="P56" i="1"/>
  <c r="Q57" i="1" s="1"/>
  <c r="Q67" i="1"/>
  <c r="E83" i="1" l="1"/>
  <c r="E88" i="1" s="1"/>
  <c r="D120" i="1"/>
  <c r="D124" i="1" s="1"/>
  <c r="E60" i="1"/>
  <c r="E91" i="1" s="1"/>
  <c r="F91" i="1" l="1"/>
  <c r="F93" i="1" s="1"/>
  <c r="E93" i="1"/>
  <c r="E95" i="1" s="1"/>
  <c r="G91" i="1" l="1"/>
  <c r="G93" i="1" s="1"/>
  <c r="G95" i="1" s="1"/>
  <c r="H91" i="1" l="1"/>
  <c r="I91" i="1" s="1"/>
  <c r="H93" i="1" l="1"/>
  <c r="H95" i="1" s="1"/>
  <c r="I93" i="1"/>
  <c r="I95" i="1" s="1"/>
  <c r="J91" i="1"/>
  <c r="J93" i="1" l="1"/>
  <c r="J95" i="1" s="1"/>
  <c r="K91" i="1"/>
  <c r="K93" i="1" l="1"/>
  <c r="K95" i="1" s="1"/>
  <c r="L91" i="1"/>
  <c r="L93" i="1" l="1"/>
  <c r="L95" i="1" s="1"/>
  <c r="M91" i="1"/>
  <c r="M93" i="1" l="1"/>
  <c r="M95" i="1" s="1"/>
  <c r="N91" i="1"/>
  <c r="N93" i="1" l="1"/>
  <c r="N95" i="1" s="1"/>
  <c r="P91" i="1"/>
  <c r="F69" i="1"/>
  <c r="P92" i="1" l="1"/>
  <c r="Q90" i="1" s="1"/>
  <c r="F77" i="1"/>
  <c r="F95" i="1" s="1"/>
  <c r="Q86" i="1" l="1"/>
  <c r="R86" i="1" s="1"/>
  <c r="Q92" i="1"/>
  <c r="Q85" i="1"/>
  <c r="R85" i="1" s="1"/>
  <c r="S86" i="1" l="1"/>
  <c r="T86" i="1" s="1"/>
  <c r="Q77" i="1"/>
  <c r="Q80" i="1" s="1"/>
  <c r="R90" i="1" s="1"/>
  <c r="S85" i="1"/>
  <c r="T85" i="1" s="1"/>
  <c r="T90" i="1" l="1"/>
  <c r="T92" i="1" l="1"/>
  <c r="D127" i="1" s="1"/>
  <c r="N121" i="1" s="1"/>
  <c r="N124" i="1" s="1"/>
  <c r="D130" i="1" s="1"/>
  <c r="D129" i="1" l="1"/>
  <c r="D131" i="1" s="1"/>
</calcChain>
</file>

<file path=xl/sharedStrings.xml><?xml version="1.0" encoding="utf-8"?>
<sst xmlns="http://schemas.openxmlformats.org/spreadsheetml/2006/main" count="368" uniqueCount="207">
  <si>
    <t>URL</t>
  </si>
  <si>
    <t>INCOME STATEMENT</t>
  </si>
  <si>
    <t>Sales Revenue</t>
  </si>
  <si>
    <t>Cost of Good Sold</t>
  </si>
  <si>
    <t>Gross Profit</t>
  </si>
  <si>
    <t xml:space="preserve">Expenses </t>
  </si>
  <si>
    <t>Salaries and Wages</t>
  </si>
  <si>
    <t>General and Administrative</t>
  </si>
  <si>
    <t>Total Expenses</t>
  </si>
  <si>
    <t>Income Before Interest and Taxes</t>
  </si>
  <si>
    <t>Taxable Income</t>
  </si>
  <si>
    <t>Income Tax Expense</t>
  </si>
  <si>
    <t>BALANCE SHEET</t>
  </si>
  <si>
    <t xml:space="preserve">ASSETS </t>
  </si>
  <si>
    <t>Current Assets</t>
  </si>
  <si>
    <t xml:space="preserve">Inventory </t>
  </si>
  <si>
    <t>Land</t>
  </si>
  <si>
    <t>Less Accumulated Depreciation</t>
  </si>
  <si>
    <t xml:space="preserve">LIABILITIES </t>
  </si>
  <si>
    <t>Current Liabilities</t>
  </si>
  <si>
    <t>Common Stock</t>
  </si>
  <si>
    <t>Total Liabilities and Shareholders Equity</t>
  </si>
  <si>
    <t>Number of competing stores in city</t>
  </si>
  <si>
    <t>yearly change</t>
  </si>
  <si>
    <t xml:space="preserve">Average number of labor hours per year needed </t>
  </si>
  <si>
    <t>Building Maintenance</t>
  </si>
  <si>
    <t>Cost per square foot for store building</t>
  </si>
  <si>
    <t>Square footage of building</t>
  </si>
  <si>
    <t>Mortgage Interest Expense</t>
  </si>
  <si>
    <t>Extra Bank Loan Interest Expense</t>
  </si>
  <si>
    <t>Buildings</t>
  </si>
  <si>
    <t>Average maintenance cost per year, per square foot of buildings</t>
  </si>
  <si>
    <t>Average cost of insurance and property tax, % of building value</t>
  </si>
  <si>
    <t>Building Insurance and Property Taxes</t>
  </si>
  <si>
    <t>Days of receivables (credit card use assumed for all revenue)</t>
  </si>
  <si>
    <t>Beg Balance</t>
  </si>
  <si>
    <t>Principal</t>
  </si>
  <si>
    <t xml:space="preserve">Interest </t>
  </si>
  <si>
    <t>Payment</t>
  </si>
  <si>
    <t>End Balance</t>
  </si>
  <si>
    <t>Rate</t>
  </si>
  <si>
    <t>Jan</t>
  </si>
  <si>
    <t>Per Rate</t>
  </si>
  <si>
    <t>Feb</t>
  </si>
  <si>
    <t>FV</t>
  </si>
  <si>
    <t>Mar</t>
  </si>
  <si>
    <t>Years</t>
  </si>
  <si>
    <t>Apr</t>
  </si>
  <si>
    <t>Per</t>
  </si>
  <si>
    <t>May</t>
  </si>
  <si>
    <t>Type</t>
  </si>
  <si>
    <t>Jun</t>
  </si>
  <si>
    <t>PV</t>
  </si>
  <si>
    <t>Jul</t>
  </si>
  <si>
    <t>Aug</t>
  </si>
  <si>
    <t>Sep</t>
  </si>
  <si>
    <t>Oct</t>
  </si>
  <si>
    <t>Nov</t>
  </si>
  <si>
    <t>Dec</t>
  </si>
  <si>
    <t>TOTALS</t>
  </si>
  <si>
    <t>ASSUMPTIONS</t>
  </si>
  <si>
    <t>Income Taxes Payable</t>
  </si>
  <si>
    <t>Average total cost per labor hour (wage + withholdings)</t>
  </si>
  <si>
    <t>Acres of land</t>
  </si>
  <si>
    <t>Mortgage loan interest rate</t>
  </si>
  <si>
    <t>Mortgage loan length (in years)</t>
  </si>
  <si>
    <t>Mortgage loan starting balance, % of total land and buildings</t>
  </si>
  <si>
    <t>Mortgage loan starting balance (PV)</t>
  </si>
  <si>
    <t>Extra bank loan interest rate</t>
  </si>
  <si>
    <t>Common stock starting balance, percent of total assets first year</t>
  </si>
  <si>
    <t>Days of inventory</t>
  </si>
  <si>
    <t>Days of accounts payable (COGS expense)</t>
  </si>
  <si>
    <t>General and Administrative as percent of sales</t>
  </si>
  <si>
    <t>COGS as percent of sales</t>
  </si>
  <si>
    <t>Income tax rate (state plus federal)</t>
  </si>
  <si>
    <t>Minimum cash as % of sales</t>
  </si>
  <si>
    <t>Net Income</t>
  </si>
  <si>
    <t>Minimum Cash Balance</t>
  </si>
  <si>
    <t>Extra Cash</t>
  </si>
  <si>
    <t>Accounts Receivable</t>
  </si>
  <si>
    <t>Total Current Assets</t>
  </si>
  <si>
    <t>Total Assets</t>
  </si>
  <si>
    <t>Accounts Payable (COGS Expense)</t>
  </si>
  <si>
    <t>Total Current Liabilities</t>
  </si>
  <si>
    <t>Mortgage Loan</t>
  </si>
  <si>
    <t>Extra Bank Loan</t>
  </si>
  <si>
    <t>Total Liabilities</t>
  </si>
  <si>
    <t>Retained Earnings</t>
  </si>
  <si>
    <t>DFN</t>
  </si>
  <si>
    <t>Value</t>
  </si>
  <si>
    <t>Anaylsis</t>
  </si>
  <si>
    <t>Common stock starting balance minimum, if at least as above</t>
  </si>
  <si>
    <t xml:space="preserve">Churreros </t>
  </si>
  <si>
    <t>Average spent per person per year on Churros (nationwide)</t>
  </si>
  <si>
    <t>total cost of lot</t>
  </si>
  <si>
    <t>Mortgage Rate</t>
  </si>
  <si>
    <t>https://www.mortgagecalculator.org/mortgage-rates/current.php</t>
  </si>
  <si>
    <t>Commercial Real Estate prices</t>
  </si>
  <si>
    <t>http://www.loopnet.com/idaho/rexburg-commercial-real-estate/</t>
  </si>
  <si>
    <t>Price per unit</t>
  </si>
  <si>
    <t>https://www.menuwithprice.com/menu/churro-factory/</t>
  </si>
  <si>
    <t>Costs to make a Churro</t>
  </si>
  <si>
    <t>https://www.google.com/search?rlz=1C1CHBF_enUS765US765&amp;ei=Hdb0WouMC4TMjwPyzZ_gDg&amp;q=average+cost+of+making+churros&amp;oq=average+cost+of+making+churros&amp;gs_l=psy-ab.3...15008.16190.0.16330.8.8.0.0.0.0.97.663.8.8.0....0...1c.1.64.psy-ab..0.1.83...0i13i30k1.0.ExIsuh4d-ss</t>
  </si>
  <si>
    <t>Average salary in Rexburg</t>
  </si>
  <si>
    <t>http://www.bestplaces.net/economy/city/idaho/rexburg</t>
  </si>
  <si>
    <t>Population of Rexburg</t>
  </si>
  <si>
    <t>https://suburbanstats.org/population/idaho/how-many-people-live-in-rexburg</t>
  </si>
  <si>
    <t>https://www.popsugar.com/smart-living/photo-gallery/37054551/image/37054913/Every-year-28-million-churros-sold-Disneyland</t>
  </si>
  <si>
    <t xml:space="preserve">Average money spent on churros per year </t>
  </si>
  <si>
    <t>Competition in Rexburg</t>
  </si>
  <si>
    <t>https://www.google.com/search?rlz=1C1CHBF_enUS765US765&amp;q=dessert+places+in+rexburg&amp;npsic=0&amp;rflfq=1&amp;rlha=0&amp;rllag=43827495,-111782825,734&amp;tbm=lcl&amp;ved=0ahUKEwiS67rfiP7aAhVP2GMKHY1rAQMQjGoIaA&amp;tbs=lrf:!2m4!1e17!4m2!17m1!1e2!2m1!1e2!2m1!1e3!3sIAE,lf:1,lf_ui:9&amp;rldoc=1#rlfi=hd:;si:;mv:!1m3!1d12473.531342709457!2d-111.79093595!3d43.824577899999994!2m3!1f0!2f0!3f0!3m2!1i348!2i416!4f13.1;tbs:lrf:!2m1!1e2!2m1!1e3!2m4!1e17!4m2!17m1!1e2!3sIAE,lf:1,lf_ui:9</t>
  </si>
  <si>
    <t>Equipment</t>
  </si>
  <si>
    <t>Depreciation years- Equipment</t>
  </si>
  <si>
    <t>As the population of Rexburg increases, it is also likely that property taxes will increase as well. https://www.census.gov/quickfacts/fact/table/rexburgcityidaho/BZA110216: stated that there was a projected growth in population of 10% from 2010 to 2016. Since population can be linked to raising property taxes, https://explorerexburg.com/new-housing-developments-rexburg/ discusses at least 4 new apartment complexes being built during 2017-2018. This again shows that more poeple are coming in and as Rexburg becomes more concentrated, property taxes may rise</t>
  </si>
  <si>
    <t>Due to the increasing population of Rexburg, the potential customer basis grows. https://www.census.gov/quickfacts/fact/table/rexburgcityidaho#viewtop</t>
  </si>
  <si>
    <t>CREDIT RATING</t>
  </si>
  <si>
    <t>Coverage Ratio</t>
  </si>
  <si>
    <t>Credit Rating</t>
  </si>
  <si>
    <t>Spread Above T-Bill</t>
  </si>
  <si>
    <t>T-Bill Return</t>
  </si>
  <si>
    <t>CAPM</t>
  </si>
  <si>
    <t>Average Tax Rate</t>
  </si>
  <si>
    <t>Unlevered Beta</t>
  </si>
  <si>
    <t>Relevered Beta</t>
  </si>
  <si>
    <t>S&amp;P 500 Return</t>
  </si>
  <si>
    <t>Average</t>
  </si>
  <si>
    <t>Proportion</t>
  </si>
  <si>
    <t>Tax Adjusted</t>
  </si>
  <si>
    <t>Weight</t>
  </si>
  <si>
    <t>D2</t>
  </si>
  <si>
    <t>Coverage Ratio Average</t>
  </si>
  <si>
    <t>WACC</t>
  </si>
  <si>
    <t>Equity Cost (CAPM)</t>
  </si>
  <si>
    <t>FREE CASH FLOWS</t>
  </si>
  <si>
    <t>Cash from Operations</t>
  </si>
  <si>
    <t>Less: Depreciation</t>
  </si>
  <si>
    <t>Taxable Operating Profit</t>
  </si>
  <si>
    <t>Taxes on Operation</t>
  </si>
  <si>
    <t>Cash in/out on Balance Sheet</t>
  </si>
  <si>
    <t>Minimum Cash</t>
  </si>
  <si>
    <t>Inventory</t>
  </si>
  <si>
    <t>Accounts Payable</t>
  </si>
  <si>
    <t>Income Tax Payable</t>
  </si>
  <si>
    <t>TOTAL FREE CASH FLOWS</t>
  </si>
  <si>
    <t>IRR</t>
  </si>
  <si>
    <t>NPV</t>
  </si>
  <si>
    <t>Total Free Cash Flows Plus Terminal Value</t>
  </si>
  <si>
    <t>Assumed Perpetuity Amount (Terminal Value)</t>
  </si>
  <si>
    <t>Growth</t>
  </si>
  <si>
    <t>DCF</t>
  </si>
  <si>
    <t xml:space="preserve"> - As of right now, this is the only Churro place in town. 
</t>
  </si>
  <si>
    <t xml:space="preserve"> - Has a strong reputation for good churros that's created loyal customers.</t>
  </si>
  <si>
    <t>Goodwill:</t>
  </si>
  <si>
    <t>Terminal Value:</t>
  </si>
  <si>
    <t xml:space="preserve"> - Due to small demand, we don't not believe that there will be much growth, therefore, they will not increase in land, building or equipment</t>
  </si>
  <si>
    <t>Population of city</t>
  </si>
  <si>
    <t xml:space="preserve">Many of the dessert restaurants are seasonal, so they are only competing with about 8 dessert restaurants at a time. Restaurants in Rexburg are increasing each year. Due to seasonal restaurants, we predict that their competition will stay the same because a large portion of the restaurants will be closed depending on the season. https://www.google.com/search?rlz=1C1CHBF_enUS765US765&amp;q=dessert+places+in+rexburg&amp;npsic=0&amp;rflfq=1&amp;rlha=0&amp;rllag=43827495,-111782825,734&amp;tbm=lcl&amp;ved=0ahUKEwiS67rfiP7aAhVP2GMKHY1rAQMQjGoIaA&amp;tbs=lrf:!2m4!1e17!4m2!17m1!1e2!2m1!1e2!2m1!1e3!3sIAE,lf:1,lf_ui:9&amp;rldoc=1#rlfi=hd:;si:;mv:!1m3!1d12473.531342709457!2d-111.79093595!3d43.824577899999994!2m3!1f0!2f0!3f0!3m2!1i348!2i416!4f13.1;tbs:lrf:!2m1!1e2!2m1!1e3!2m4!1e17!4m2!17m1!1e2!3sIAE,lf:1,lf_ui:9
</t>
  </si>
  <si>
    <t>Depreciation years- Building</t>
  </si>
  <si>
    <t>Depreciation Expense-Equipment</t>
  </si>
  <si>
    <t>Depreciation Expense- Building</t>
  </si>
  <si>
    <t>Operating Profit</t>
  </si>
  <si>
    <t>Goodwill</t>
  </si>
  <si>
    <t xml:space="preserve"> - We predict a small growth because of minimal advertising and poor location. Word of mouth and a Facebook page are their advertising.</t>
  </si>
  <si>
    <t>Unlevered Beta:</t>
  </si>
  <si>
    <t>Credit Rating:</t>
  </si>
  <si>
    <t xml:space="preserve"> - We took the Dinning/Restaurant unlevered beta and raised it in order to fit the Dessert Restaurant industry. </t>
  </si>
  <si>
    <t xml:space="preserve"> - We thought to raise it because we believe it to be more risky to sell only one Dessert for your business, rather than selling various foods. </t>
  </si>
  <si>
    <t xml:space="preserve"> - The credit rating will stay the same because the company is not going out of business, but changing owners.</t>
  </si>
  <si>
    <t xml:space="preserve"> - Due to the extra bank loans that will be required for the next 6 years, we decided to keep the credit rating high. We did not raise the credit rating because debt is cheaper than equity.</t>
  </si>
  <si>
    <t>CONSULTING PROJECT - BLACK-SCHOLES</t>
  </si>
  <si>
    <t>Free Cash Flows from Forecast</t>
  </si>
  <si>
    <t>WACC from Forecast</t>
  </si>
  <si>
    <t>NPV of FCF</t>
  </si>
  <si>
    <t>Because the WACC and IRR are so close, the NPV is almost zero, meaning the operations of the company is not earning more than WACC except by a very small amount (just $925 over the 10 year period)</t>
  </si>
  <si>
    <t>Risk Free T-Bill Rate used in WACC Calculation</t>
  </si>
  <si>
    <t>Relevered Beta Used in WACC calculation</t>
  </si>
  <si>
    <t>OPTION TO BUY THE COMPANY IN 2 YEARS, WITH AN EXERCISE PRICE OF THE CURRENT PURCHASE PRICE</t>
  </si>
  <si>
    <t>Exercise Price</t>
  </si>
  <si>
    <t>Cash Flows if Exercised</t>
  </si>
  <si>
    <t>Black-Sholes Computation area provided for you:</t>
  </si>
  <si>
    <t>S</t>
  </si>
  <si>
    <t>X</t>
  </si>
  <si>
    <t>t</t>
  </si>
  <si>
    <t>STDEV(%)</t>
  </si>
  <si>
    <t>r</t>
  </si>
  <si>
    <t>VALUE</t>
  </si>
  <si>
    <t>The option being sold is:  the option to buy this company two years from today, at a fixed price today of $28,282.</t>
  </si>
  <si>
    <t>Certainty</t>
  </si>
  <si>
    <t>Expected Value</t>
  </si>
  <si>
    <t>CONSULTING PROJECT - DECISION TREE</t>
  </si>
  <si>
    <t>SCENARIOS OF COMPANY</t>
  </si>
  <si>
    <t>Success - Success</t>
  </si>
  <si>
    <t>Normal Forecasted Operations</t>
  </si>
  <si>
    <t>Puchase New Land and Building Location</t>
  </si>
  <si>
    <t>Additional Revenues from New Location</t>
  </si>
  <si>
    <t>Sell New Location</t>
  </si>
  <si>
    <t>TOTAL</t>
  </si>
  <si>
    <t>Probability</t>
  </si>
  <si>
    <t>Success - Failure</t>
  </si>
  <si>
    <t>Failure</t>
  </si>
  <si>
    <t>Adjusted Forecasted Operations</t>
  </si>
  <si>
    <t>Total Expected NPV</t>
  </si>
  <si>
    <t>Expansion is Good</t>
  </si>
  <si>
    <t>Good -Expand</t>
  </si>
  <si>
    <t>Decision Tree</t>
  </si>
  <si>
    <t>Expansion is Bad</t>
  </si>
  <si>
    <t>Bad - Stop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</si>
</sst>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[$$-409]#,##0.00;[Red]\-[$$-409]#,##0.00"/>
    <numFmt numFmtId="168" formatCode="0.000"/>
    <numFmt numFmtId="169" formatCode="_(\$* #,##0_);_(\$* \(#,##0\);_(\$* \-??_);_(@_)"/>
  </numFmts>
  <fonts count="30" x14ac:knownFonts="1">
    <font>
      <sz val="11"/>
      <color rgb="FF000000"/>
      <name val="Calibri"/>
    </font>
    <font>
      <sz val="11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u/>
      <sz val="12"/>
      <color rgb="FF00000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sz val="11"/>
      <color rgb="FF006100"/>
      <name val="Calibri"/>
      <family val="2"/>
      <scheme val="minor"/>
    </font>
    <font>
      <sz val="12"/>
      <color theme="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indexed="8"/>
      <name val="Calibri"/>
      <family val="2"/>
      <charset val="1"/>
    </font>
    <font>
      <sz val="14"/>
      <name val="Calibri"/>
      <family val="2"/>
    </font>
    <font>
      <b/>
      <sz val="16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3" fillId="0" borderId="0"/>
    <xf numFmtId="0" fontId="18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166" fontId="5" fillId="0" borderId="0" xfId="1" applyNumberFormat="1" applyFont="1"/>
    <xf numFmtId="166" fontId="5" fillId="0" borderId="0" xfId="1" applyNumberFormat="1" applyFont="1" applyAlignment="1"/>
    <xf numFmtId="9" fontId="5" fillId="0" borderId="0" xfId="0" applyNumberFormat="1" applyFont="1"/>
    <xf numFmtId="44" fontId="5" fillId="0" borderId="0" xfId="2" applyFont="1" applyAlignment="1"/>
    <xf numFmtId="164" fontId="5" fillId="0" borderId="0" xfId="0" applyNumberFormat="1" applyFont="1"/>
    <xf numFmtId="2" fontId="5" fillId="0" borderId="0" xfId="0" applyNumberFormat="1" applyFont="1"/>
    <xf numFmtId="165" fontId="5" fillId="0" borderId="0" xfId="0" applyNumberFormat="1" applyFont="1"/>
    <xf numFmtId="165" fontId="5" fillId="0" borderId="2" xfId="0" applyNumberFormat="1" applyFont="1" applyBorder="1"/>
    <xf numFmtId="6" fontId="5" fillId="0" borderId="0" xfId="0" applyNumberFormat="1" applyFont="1"/>
    <xf numFmtId="165" fontId="4" fillId="0" borderId="0" xfId="0" applyNumberFormat="1" applyFont="1"/>
    <xf numFmtId="0" fontId="6" fillId="0" borderId="0" xfId="0" applyFont="1"/>
    <xf numFmtId="164" fontId="5" fillId="0" borderId="0" xfId="3" applyNumberFormat="1" applyFont="1" applyAlignment="1"/>
    <xf numFmtId="10" fontId="5" fillId="0" borderId="0" xfId="3" applyNumberFormat="1" applyFont="1" applyAlignment="1"/>
    <xf numFmtId="43" fontId="5" fillId="0" borderId="0" xfId="1" applyFont="1" applyAlignment="1"/>
    <xf numFmtId="0" fontId="8" fillId="0" borderId="0" xfId="0" applyFont="1"/>
    <xf numFmtId="10" fontId="8" fillId="0" borderId="0" xfId="0" applyNumberFormat="1" applyFont="1"/>
    <xf numFmtId="17" fontId="8" fillId="0" borderId="0" xfId="0" quotePrefix="1" applyNumberFormat="1" applyFont="1" applyAlignment="1">
      <alignment wrapText="1"/>
    </xf>
    <xf numFmtId="44" fontId="9" fillId="0" borderId="0" xfId="2" applyFont="1"/>
    <xf numFmtId="0" fontId="8" fillId="0" borderId="0" xfId="0" applyFont="1" applyAlignment="1">
      <alignment wrapText="1"/>
    </xf>
    <xf numFmtId="167" fontId="8" fillId="0" borderId="0" xfId="0" applyNumberFormat="1" applyFont="1"/>
    <xf numFmtId="0" fontId="10" fillId="0" borderId="0" xfId="0" applyFont="1" applyAlignment="1">
      <alignment wrapText="1"/>
    </xf>
    <xf numFmtId="43" fontId="8" fillId="0" borderId="0" xfId="0" applyNumberFormat="1" applyFont="1"/>
    <xf numFmtId="165" fontId="5" fillId="0" borderId="0" xfId="2" applyNumberFormat="1" applyFont="1" applyAlignment="1"/>
    <xf numFmtId="165" fontId="6" fillId="2" borderId="3" xfId="2" applyNumberFormat="1" applyFont="1" applyFill="1" applyBorder="1" applyAlignment="1"/>
    <xf numFmtId="165" fontId="5" fillId="0" borderId="3" xfId="0" applyNumberFormat="1" applyFont="1" applyBorder="1"/>
    <xf numFmtId="43" fontId="5" fillId="0" borderId="0" xfId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4" applyAlignment="1"/>
    <xf numFmtId="165" fontId="5" fillId="0" borderId="0" xfId="2" applyNumberFormat="1" applyFont="1"/>
    <xf numFmtId="8" fontId="9" fillId="0" borderId="0" xfId="2" applyNumberFormat="1" applyFont="1"/>
    <xf numFmtId="0" fontId="5" fillId="0" borderId="0" xfId="0" applyFont="1" applyAlignment="1">
      <alignment wrapText="1"/>
    </xf>
    <xf numFmtId="165" fontId="5" fillId="5" borderId="0" xfId="0" applyNumberFormat="1" applyFont="1" applyFill="1"/>
    <xf numFmtId="165" fontId="5" fillId="5" borderId="3" xfId="0" applyNumberFormat="1" applyFont="1" applyFill="1" applyBorder="1"/>
    <xf numFmtId="44" fontId="5" fillId="0" borderId="0" xfId="0" applyNumberFormat="1" applyFont="1" applyAlignment="1">
      <alignment wrapText="1"/>
    </xf>
    <xf numFmtId="10" fontId="5" fillId="0" borderId="0" xfId="0" applyNumberFormat="1" applyFont="1" applyAlignment="1">
      <alignment wrapText="1"/>
    </xf>
    <xf numFmtId="10" fontId="5" fillId="0" borderId="0" xfId="0" applyNumberFormat="1" applyFont="1"/>
    <xf numFmtId="10" fontId="15" fillId="0" borderId="0" xfId="0" applyNumberFormat="1" applyFont="1" applyAlignment="1">
      <alignment wrapText="1"/>
    </xf>
    <xf numFmtId="9" fontId="5" fillId="0" borderId="0" xfId="3" applyFont="1" applyAlignment="1"/>
    <xf numFmtId="9" fontId="4" fillId="0" borderId="0" xfId="3" applyFont="1" applyAlignment="1"/>
    <xf numFmtId="168" fontId="5" fillId="0" borderId="0" xfId="0" applyNumberFormat="1" applyFont="1"/>
    <xf numFmtId="0" fontId="17" fillId="0" borderId="5" xfId="0" applyFont="1" applyBorder="1" applyAlignment="1">
      <alignment horizontal="right" vertical="center"/>
    </xf>
    <xf numFmtId="2" fontId="17" fillId="0" borderId="4" xfId="0" applyNumberFormat="1" applyFont="1" applyBorder="1" applyAlignment="1">
      <alignment vertical="center"/>
    </xf>
    <xf numFmtId="0" fontId="5" fillId="6" borderId="0" xfId="0" applyFont="1" applyFill="1"/>
    <xf numFmtId="9" fontId="5" fillId="6" borderId="0" xfId="0" applyNumberFormat="1" applyFont="1" applyFill="1"/>
    <xf numFmtId="10" fontId="5" fillId="6" borderId="0" xfId="0" applyNumberFormat="1" applyFont="1" applyFill="1"/>
    <xf numFmtId="44" fontId="5" fillId="6" borderId="0" xfId="0" applyNumberFormat="1" applyFont="1" applyFill="1"/>
    <xf numFmtId="0" fontId="17" fillId="0" borderId="0" xfId="0" applyFont="1"/>
    <xf numFmtId="0" fontId="16" fillId="0" borderId="0" xfId="0" applyFont="1"/>
    <xf numFmtId="0" fontId="19" fillId="0" borderId="0" xfId="0" applyFont="1"/>
    <xf numFmtId="0" fontId="16" fillId="6" borderId="0" xfId="0" applyFont="1" applyFill="1"/>
    <xf numFmtId="0" fontId="20" fillId="6" borderId="0" xfId="0" applyFont="1" applyFill="1" applyAlignment="1">
      <alignment vertical="center"/>
    </xf>
    <xf numFmtId="44" fontId="5" fillId="6" borderId="0" xfId="2" applyFont="1" applyFill="1" applyAlignment="1"/>
    <xf numFmtId="0" fontId="21" fillId="6" borderId="0" xfId="0" applyFont="1" applyFill="1" applyAlignment="1">
      <alignment horizontal="right" vertical="center"/>
    </xf>
    <xf numFmtId="0" fontId="5" fillId="7" borderId="0" xfId="0" applyFont="1" applyFill="1"/>
    <xf numFmtId="0" fontId="7" fillId="0" borderId="4" xfId="0" applyFont="1" applyBorder="1"/>
    <xf numFmtId="0" fontId="5" fillId="4" borderId="0" xfId="0" applyFont="1" applyFill="1"/>
    <xf numFmtId="0" fontId="14" fillId="4" borderId="0" xfId="5" applyFill="1" applyAlignment="1"/>
    <xf numFmtId="0" fontId="5" fillId="4" borderId="0" xfId="6" applyFont="1" applyFill="1"/>
    <xf numFmtId="0" fontId="21" fillId="7" borderId="0" xfId="0" applyFont="1" applyFill="1"/>
    <xf numFmtId="0" fontId="21" fillId="7" borderId="0" xfId="0" applyFont="1" applyFill="1" applyAlignment="1">
      <alignment vertical="center"/>
    </xf>
    <xf numFmtId="44" fontId="5" fillId="0" borderId="0" xfId="0" applyNumberFormat="1" applyFont="1"/>
    <xf numFmtId="9" fontId="5" fillId="6" borderId="0" xfId="3" applyFont="1" applyFill="1" applyAlignment="1"/>
    <xf numFmtId="0" fontId="22" fillId="0" borderId="0" xfId="0" applyFont="1"/>
    <xf numFmtId="0" fontId="23" fillId="0" borderId="0" xfId="0" applyFont="1"/>
    <xf numFmtId="0" fontId="22" fillId="0" borderId="3" xfId="0" applyFont="1" applyBorder="1"/>
    <xf numFmtId="0" fontId="23" fillId="0" borderId="3" xfId="0" applyFont="1" applyBorder="1"/>
    <xf numFmtId="0" fontId="23" fillId="0" borderId="0" xfId="0" applyFont="1" applyAlignment="1">
      <alignment horizontal="center"/>
    </xf>
    <xf numFmtId="169" fontId="3" fillId="0" borderId="0" xfId="2" applyNumberFormat="1"/>
    <xf numFmtId="10" fontId="23" fillId="0" borderId="0" xfId="0" applyNumberFormat="1" applyFont="1"/>
    <xf numFmtId="0" fontId="24" fillId="0" borderId="0" xfId="0" applyFont="1"/>
    <xf numFmtId="10" fontId="23" fillId="0" borderId="0" xfId="3" applyNumberFormat="1" applyFont="1" applyFill="1"/>
    <xf numFmtId="44" fontId="3" fillId="0" borderId="0" xfId="2"/>
    <xf numFmtId="164" fontId="23" fillId="0" borderId="0" xfId="3" applyNumberFormat="1" applyFont="1" applyFill="1"/>
    <xf numFmtId="43" fontId="23" fillId="0" borderId="0" xfId="1" applyFont="1" applyFill="1"/>
    <xf numFmtId="43" fontId="23" fillId="0" borderId="3" xfId="1" applyFont="1" applyBorder="1"/>
    <xf numFmtId="0" fontId="25" fillId="0" borderId="3" xfId="0" applyFont="1" applyBorder="1"/>
    <xf numFmtId="0" fontId="26" fillId="0" borderId="0" xfId="0" applyFont="1"/>
    <xf numFmtId="169" fontId="23" fillId="0" borderId="0" xfId="0" applyNumberFormat="1" applyFont="1"/>
    <xf numFmtId="9" fontId="23" fillId="0" borderId="0" xfId="0" applyNumberFormat="1" applyFont="1"/>
    <xf numFmtId="169" fontId="27" fillId="0" borderId="0" xfId="2" applyNumberFormat="1" applyFont="1" applyFill="1"/>
    <xf numFmtId="44" fontId="27" fillId="0" borderId="0" xfId="2" applyFont="1" applyFill="1"/>
    <xf numFmtId="9" fontId="22" fillId="0" borderId="0" xfId="0" applyNumberFormat="1" applyFont="1"/>
    <xf numFmtId="0" fontId="0" fillId="0" borderId="4" xfId="0" applyBorder="1"/>
    <xf numFmtId="44" fontId="0" fillId="0" borderId="4" xfId="2" applyFont="1" applyBorder="1"/>
    <xf numFmtId="9" fontId="0" fillId="0" borderId="4" xfId="3" applyFont="1" applyBorder="1"/>
    <xf numFmtId="165" fontId="3" fillId="0" borderId="4" xfId="2" applyNumberFormat="1" applyBorder="1"/>
    <xf numFmtId="165" fontId="23" fillId="0" borderId="0" xfId="0" applyNumberFormat="1" applyFont="1"/>
    <xf numFmtId="9" fontId="24" fillId="0" borderId="0" xfId="0" applyNumberFormat="1" applyFont="1"/>
    <xf numFmtId="169" fontId="3" fillId="5" borderId="0" xfId="2" applyNumberFormat="1" applyFill="1"/>
    <xf numFmtId="169" fontId="28" fillId="5" borderId="0" xfId="2" applyNumberFormat="1" applyFont="1" applyFill="1"/>
    <xf numFmtId="169" fontId="29" fillId="5" borderId="0" xfId="2" applyNumberFormat="1" applyFont="1" applyFill="1"/>
    <xf numFmtId="9" fontId="3" fillId="0" borderId="0" xfId="3"/>
    <xf numFmtId="169" fontId="3" fillId="0" borderId="6" xfId="2" applyNumberFormat="1" applyBorder="1"/>
    <xf numFmtId="0" fontId="23" fillId="0" borderId="7" xfId="0" applyFont="1" applyBorder="1"/>
    <xf numFmtId="0" fontId="23" fillId="0" borderId="8" xfId="0" applyFont="1" applyBorder="1"/>
    <xf numFmtId="169" fontId="3" fillId="0" borderId="7" xfId="2" applyNumberFormat="1" applyBorder="1"/>
    <xf numFmtId="9" fontId="23" fillId="0" borderId="3" xfId="0" applyNumberFormat="1" applyFont="1" applyBorder="1"/>
  </cellXfs>
  <cellStyles count="8">
    <cellStyle name="Comma" xfId="1" builtinId="3"/>
    <cellStyle name="Currency" xfId="2" builtinId="4"/>
    <cellStyle name="Excel Built-in Normal" xfId="7" xr:uid="{A7C0BBDB-07CF-47D9-9E33-37863E531131}"/>
    <cellStyle name="Good" xfId="5" builtinId="26"/>
    <cellStyle name="Hyperlink" xfId="4" builtinId="8"/>
    <cellStyle name="Normal" xfId="0" builtinId="0"/>
    <cellStyle name="Normal 2" xfId="6" xr:uid="{00000000-0005-0000-0000-000005000000}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ls/Downloads/B401%20Consulting%20Project%20Rotation%20III%20Real%20Options%20Sample%20170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Option 1"/>
      <sheetName val="Real Option 2"/>
    </sheetNames>
    <sheetDataSet>
      <sheetData sheetId="0">
        <row r="4">
          <cell r="C4">
            <v>-22233.486544533993</v>
          </cell>
          <cell r="D4">
            <v>1923.7379705409121</v>
          </cell>
          <cell r="E4">
            <v>-705.96916664033915</v>
          </cell>
          <cell r="F4">
            <v>6018.9960488976794</v>
          </cell>
          <cell r="G4">
            <v>3411.5279639745172</v>
          </cell>
          <cell r="H4">
            <v>3928.0654447376692</v>
          </cell>
          <cell r="I4">
            <v>29.710742862082498</v>
          </cell>
          <cell r="J4">
            <v>-439.26240520688441</v>
          </cell>
          <cell r="K4">
            <v>-448.89363469488069</v>
          </cell>
          <cell r="L4">
            <v>-458.6965568217322</v>
          </cell>
          <cell r="M4">
            <v>290566.77676939504</v>
          </cell>
        </row>
        <row r="6">
          <cell r="C6">
            <v>0.21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31"/>
  <sheetViews>
    <sheetView tabSelected="1" zoomScale="80" zoomScaleNormal="80" workbookViewId="0">
      <pane ySplit="2" topLeftCell="A3" activePane="bottomLeft" state="frozen"/>
      <selection pane="bottomLeft" activeCell="J127" sqref="J127"/>
    </sheetView>
  </sheetViews>
  <sheetFormatPr defaultColWidth="15.140625" defaultRowHeight="15" customHeight="1" x14ac:dyDescent="0.25"/>
  <cols>
    <col min="1" max="1" width="3.7109375" style="4" customWidth="1"/>
    <col min="2" max="2" width="3.85546875" style="4" customWidth="1"/>
    <col min="3" max="3" width="53.85546875" style="4" customWidth="1"/>
    <col min="4" max="4" width="14.140625" style="4" bestFit="1" customWidth="1"/>
    <col min="5" max="5" width="17.5703125" style="4" bestFit="1" customWidth="1"/>
    <col min="6" max="13" width="14.7109375" style="4" customWidth="1"/>
    <col min="14" max="14" width="15.7109375" style="4" bestFit="1" customWidth="1"/>
    <col min="15" max="15" width="2.5703125" style="4" customWidth="1"/>
    <col min="16" max="16" width="19.28515625" style="4" bestFit="1" customWidth="1"/>
    <col min="17" max="17" width="13.7109375" style="4" bestFit="1" customWidth="1"/>
    <col min="18" max="18" width="8.42578125" style="38" customWidth="1"/>
    <col min="19" max="19" width="13.28515625" style="4" bestFit="1" customWidth="1"/>
    <col min="20" max="20" width="7.7109375" style="4" bestFit="1" customWidth="1"/>
    <col min="21" max="21" width="120.140625" style="4" customWidth="1"/>
    <col min="22" max="16384" width="15.140625" style="4"/>
  </cols>
  <sheetData>
    <row r="1" spans="1:21" ht="15" customHeight="1" x14ac:dyDescent="0.3">
      <c r="A1" s="54" t="s">
        <v>92</v>
      </c>
      <c r="B1" s="55"/>
      <c r="C1" s="55"/>
    </row>
    <row r="2" spans="1:21" ht="13.5" customHeight="1" x14ac:dyDescent="0.3">
      <c r="A2" s="55"/>
      <c r="B2" s="55"/>
      <c r="C2" s="55"/>
      <c r="E2" s="5">
        <v>2018</v>
      </c>
      <c r="F2" s="5">
        <v>2019</v>
      </c>
      <c r="G2" s="5">
        <v>2020</v>
      </c>
      <c r="H2" s="5">
        <v>2021</v>
      </c>
      <c r="I2" s="5">
        <v>2022</v>
      </c>
      <c r="J2" s="5">
        <v>2023</v>
      </c>
      <c r="K2" s="5">
        <v>2024</v>
      </c>
      <c r="L2" s="5">
        <v>2025</v>
      </c>
      <c r="M2" s="5">
        <v>2026</v>
      </c>
      <c r="N2" s="5">
        <v>2027</v>
      </c>
      <c r="U2" s="62" t="s">
        <v>90</v>
      </c>
    </row>
    <row r="3" spans="1:21" ht="13.5" customHeight="1" x14ac:dyDescent="0.3">
      <c r="A3" s="54" t="s">
        <v>60</v>
      </c>
      <c r="B3" s="55"/>
      <c r="C3" s="55"/>
      <c r="I3" s="3"/>
    </row>
    <row r="4" spans="1:21" ht="13.5" customHeight="1" x14ac:dyDescent="0.3">
      <c r="A4" s="55" t="s">
        <v>155</v>
      </c>
      <c r="B4" s="55"/>
      <c r="C4" s="55"/>
      <c r="E4" s="6">
        <v>30000</v>
      </c>
      <c r="F4" s="7">
        <f t="shared" ref="F4:N4" si="0">E4*(1+$P4)</f>
        <v>30600</v>
      </c>
      <c r="G4" s="7">
        <f t="shared" si="0"/>
        <v>31212</v>
      </c>
      <c r="H4" s="7">
        <f t="shared" si="0"/>
        <v>31836.240000000002</v>
      </c>
      <c r="I4" s="7">
        <f t="shared" si="0"/>
        <v>32472.964800000002</v>
      </c>
      <c r="J4" s="7">
        <f t="shared" si="0"/>
        <v>33122.424096000002</v>
      </c>
      <c r="K4" s="7">
        <f t="shared" si="0"/>
        <v>33784.872577920003</v>
      </c>
      <c r="L4" s="7">
        <f t="shared" si="0"/>
        <v>34460.570029478404</v>
      </c>
      <c r="M4" s="7">
        <f t="shared" si="0"/>
        <v>35149.781430067975</v>
      </c>
      <c r="N4" s="7">
        <f t="shared" si="0"/>
        <v>35852.777058669337</v>
      </c>
      <c r="P4" s="8">
        <v>0.02</v>
      </c>
      <c r="Q4" s="4" t="s">
        <v>23</v>
      </c>
    </row>
    <row r="5" spans="1:21" ht="13.5" customHeight="1" x14ac:dyDescent="0.3">
      <c r="A5" s="55" t="s">
        <v>93</v>
      </c>
      <c r="B5" s="55"/>
      <c r="C5" s="55"/>
      <c r="E5" s="36">
        <v>17500000</v>
      </c>
      <c r="F5" s="28">
        <f t="shared" ref="F5:N5" si="1">E5*(1+$P5)</f>
        <v>17685500</v>
      </c>
      <c r="G5" s="28">
        <f t="shared" si="1"/>
        <v>17872966.300000001</v>
      </c>
      <c r="H5" s="28">
        <f>G5*(1+$P5)</f>
        <v>18062419.74278</v>
      </c>
      <c r="I5" s="28">
        <f t="shared" si="1"/>
        <v>18253881.392053466</v>
      </c>
      <c r="J5" s="28">
        <f t="shared" si="1"/>
        <v>18447372.534809232</v>
      </c>
      <c r="K5" s="28">
        <f t="shared" si="1"/>
        <v>18642914.68367821</v>
      </c>
      <c r="L5" s="28">
        <f t="shared" si="1"/>
        <v>18840529.579325199</v>
      </c>
      <c r="M5" s="28">
        <f t="shared" si="1"/>
        <v>19040239.192866046</v>
      </c>
      <c r="N5" s="28">
        <f t="shared" si="1"/>
        <v>19242065.728310425</v>
      </c>
      <c r="P5" s="8">
        <v>1.0600000000000004E-2</v>
      </c>
      <c r="Q5" s="4" t="s">
        <v>23</v>
      </c>
    </row>
    <row r="6" spans="1:21" ht="13.5" customHeight="1" x14ac:dyDescent="0.3">
      <c r="A6" s="55" t="s">
        <v>22</v>
      </c>
      <c r="B6" s="55"/>
      <c r="C6" s="55"/>
      <c r="E6" s="31">
        <v>13</v>
      </c>
      <c r="F6" s="19">
        <f t="shared" ref="F6:N6" si="2">E6*(1+$P6)</f>
        <v>13</v>
      </c>
      <c r="G6" s="19">
        <f t="shared" si="2"/>
        <v>13</v>
      </c>
      <c r="H6" s="19">
        <f t="shared" si="2"/>
        <v>13</v>
      </c>
      <c r="I6" s="19">
        <f t="shared" si="2"/>
        <v>13</v>
      </c>
      <c r="J6" s="19">
        <f t="shared" si="2"/>
        <v>13</v>
      </c>
      <c r="K6" s="19">
        <f t="shared" si="2"/>
        <v>13</v>
      </c>
      <c r="L6" s="19">
        <f t="shared" si="2"/>
        <v>13</v>
      </c>
      <c r="M6" s="19">
        <f t="shared" si="2"/>
        <v>13</v>
      </c>
      <c r="N6" s="19">
        <f t="shared" si="2"/>
        <v>13</v>
      </c>
      <c r="O6" s="19"/>
      <c r="P6" s="8">
        <v>0</v>
      </c>
      <c r="Q6" s="4" t="s">
        <v>23</v>
      </c>
      <c r="U6" s="63" t="s">
        <v>156</v>
      </c>
    </row>
    <row r="7" spans="1:21" ht="13.5" customHeight="1" x14ac:dyDescent="0.3">
      <c r="A7" s="55" t="s">
        <v>73</v>
      </c>
      <c r="B7" s="55"/>
      <c r="C7" s="55"/>
      <c r="E7" s="18">
        <v>0.4</v>
      </c>
      <c r="F7" s="18">
        <f t="shared" ref="F7:N7" si="3">E7*(1+$P7)</f>
        <v>0.4</v>
      </c>
      <c r="G7" s="18">
        <f>F7*(1+$P7)</f>
        <v>0.4</v>
      </c>
      <c r="H7" s="18">
        <f t="shared" si="3"/>
        <v>0.4</v>
      </c>
      <c r="I7" s="18">
        <f t="shared" si="3"/>
        <v>0.4</v>
      </c>
      <c r="J7" s="18">
        <f t="shared" si="3"/>
        <v>0.4</v>
      </c>
      <c r="K7" s="18">
        <f t="shared" si="3"/>
        <v>0.4</v>
      </c>
      <c r="L7" s="18">
        <f t="shared" si="3"/>
        <v>0.4</v>
      </c>
      <c r="M7" s="18">
        <f t="shared" si="3"/>
        <v>0.4</v>
      </c>
      <c r="N7" s="18">
        <f t="shared" si="3"/>
        <v>0.4</v>
      </c>
      <c r="P7" s="8">
        <v>0</v>
      </c>
      <c r="Q7" s="4" t="s">
        <v>23</v>
      </c>
    </row>
    <row r="8" spans="1:21" ht="13.5" customHeight="1" x14ac:dyDescent="0.3">
      <c r="A8" s="55" t="s">
        <v>72</v>
      </c>
      <c r="B8" s="55"/>
      <c r="C8" s="55"/>
      <c r="E8" s="18">
        <v>0.05</v>
      </c>
      <c r="F8" s="18">
        <f t="shared" ref="F8:N8" si="4">E8*(1+$P8)</f>
        <v>0.05</v>
      </c>
      <c r="G8" s="18">
        <f t="shared" si="4"/>
        <v>0.05</v>
      </c>
      <c r="H8" s="18">
        <f t="shared" si="4"/>
        <v>0.05</v>
      </c>
      <c r="I8" s="18">
        <f t="shared" si="4"/>
        <v>0.05</v>
      </c>
      <c r="J8" s="18">
        <f t="shared" si="4"/>
        <v>0.05</v>
      </c>
      <c r="K8" s="18">
        <f t="shared" si="4"/>
        <v>0.05</v>
      </c>
      <c r="L8" s="18">
        <f t="shared" si="4"/>
        <v>0.05</v>
      </c>
      <c r="M8" s="18">
        <f t="shared" si="4"/>
        <v>0.05</v>
      </c>
      <c r="N8" s="18">
        <f t="shared" si="4"/>
        <v>0.05</v>
      </c>
      <c r="P8" s="8">
        <v>0</v>
      </c>
      <c r="Q8" s="4" t="s">
        <v>23</v>
      </c>
    </row>
    <row r="9" spans="1:21" ht="13.5" customHeight="1" x14ac:dyDescent="0.3">
      <c r="A9" s="55"/>
      <c r="B9" s="55"/>
      <c r="C9" s="55"/>
      <c r="E9" s="8"/>
      <c r="P9" s="8"/>
    </row>
    <row r="10" spans="1:21" ht="13.5" customHeight="1" x14ac:dyDescent="0.3">
      <c r="A10" s="55" t="s">
        <v>24</v>
      </c>
      <c r="B10" s="55"/>
      <c r="C10" s="55"/>
      <c r="E10" s="19">
        <v>4960</v>
      </c>
      <c r="F10" s="19">
        <f t="shared" ref="F10:N10" si="5">E10*(1+$P10)</f>
        <v>4960</v>
      </c>
      <c r="G10" s="19">
        <f t="shared" si="5"/>
        <v>4960</v>
      </c>
      <c r="H10" s="19">
        <f t="shared" si="5"/>
        <v>4960</v>
      </c>
      <c r="I10" s="19">
        <f t="shared" si="5"/>
        <v>4960</v>
      </c>
      <c r="J10" s="19">
        <f t="shared" si="5"/>
        <v>4960</v>
      </c>
      <c r="K10" s="19">
        <f t="shared" si="5"/>
        <v>4960</v>
      </c>
      <c r="L10" s="19">
        <f t="shared" si="5"/>
        <v>4960</v>
      </c>
      <c r="M10" s="19">
        <f t="shared" si="5"/>
        <v>4960</v>
      </c>
      <c r="N10" s="19">
        <f t="shared" si="5"/>
        <v>4960</v>
      </c>
      <c r="P10" s="8">
        <v>0</v>
      </c>
      <c r="Q10" s="4" t="s">
        <v>23</v>
      </c>
    </row>
    <row r="11" spans="1:21" ht="13.5" customHeight="1" x14ac:dyDescent="0.3">
      <c r="A11" s="55" t="s">
        <v>62</v>
      </c>
      <c r="B11" s="55"/>
      <c r="C11" s="55"/>
      <c r="E11" s="9">
        <v>8</v>
      </c>
      <c r="F11" s="9">
        <f t="shared" ref="F11:N11" si="6">E11*(1+$P11)</f>
        <v>8</v>
      </c>
      <c r="G11" s="9">
        <f t="shared" si="6"/>
        <v>8</v>
      </c>
      <c r="H11" s="9">
        <f t="shared" si="6"/>
        <v>8</v>
      </c>
      <c r="I11" s="9">
        <f t="shared" si="6"/>
        <v>8</v>
      </c>
      <c r="J11" s="9">
        <f t="shared" si="6"/>
        <v>8</v>
      </c>
      <c r="K11" s="9">
        <f t="shared" si="6"/>
        <v>8</v>
      </c>
      <c r="L11" s="9">
        <f t="shared" si="6"/>
        <v>8</v>
      </c>
      <c r="M11" s="9">
        <f t="shared" si="6"/>
        <v>8</v>
      </c>
      <c r="N11" s="9">
        <f t="shared" si="6"/>
        <v>8</v>
      </c>
      <c r="P11" s="8">
        <v>0</v>
      </c>
      <c r="Q11" s="4" t="s">
        <v>23</v>
      </c>
    </row>
    <row r="12" spans="1:21" ht="13.5" customHeight="1" x14ac:dyDescent="0.3">
      <c r="A12" s="55"/>
      <c r="B12" s="55"/>
      <c r="C12" s="55"/>
      <c r="E12" s="8"/>
      <c r="P12" s="8"/>
    </row>
    <row r="13" spans="1:21" ht="13.5" customHeight="1" x14ac:dyDescent="0.3">
      <c r="A13" s="55" t="s">
        <v>94</v>
      </c>
      <c r="B13" s="55"/>
      <c r="C13" s="55"/>
      <c r="E13" s="9">
        <v>24000</v>
      </c>
      <c r="P13" s="8"/>
    </row>
    <row r="14" spans="1:21" ht="13.5" customHeight="1" x14ac:dyDescent="0.3">
      <c r="A14" s="55" t="s">
        <v>63</v>
      </c>
      <c r="B14" s="55"/>
      <c r="C14" s="55"/>
      <c r="E14" s="19">
        <v>0.02</v>
      </c>
      <c r="P14" s="8"/>
    </row>
    <row r="15" spans="1:21" ht="13.5" customHeight="1" x14ac:dyDescent="0.3">
      <c r="A15" s="55" t="s">
        <v>26</v>
      </c>
      <c r="B15" s="55"/>
      <c r="C15" s="55"/>
      <c r="E15" s="9">
        <v>3</v>
      </c>
      <c r="P15" s="8"/>
    </row>
    <row r="16" spans="1:21" ht="13.5" customHeight="1" x14ac:dyDescent="0.3">
      <c r="A16" s="55" t="s">
        <v>27</v>
      </c>
      <c r="B16" s="55"/>
      <c r="C16" s="55"/>
      <c r="E16" s="7">
        <v>800</v>
      </c>
      <c r="P16" s="8"/>
    </row>
    <row r="17" spans="1:21" ht="13.5" customHeight="1" x14ac:dyDescent="0.3">
      <c r="A17" s="55" t="s">
        <v>111</v>
      </c>
      <c r="B17" s="55"/>
      <c r="C17" s="55"/>
      <c r="E17" s="7">
        <v>18000</v>
      </c>
      <c r="F17" s="4">
        <f>E17*(1+$P$17)</f>
        <v>18000</v>
      </c>
      <c r="G17" s="4">
        <f t="shared" ref="G17:N17" si="7">F17*(1+$P$17)</f>
        <v>18000</v>
      </c>
      <c r="H17" s="4">
        <f t="shared" si="7"/>
        <v>18000</v>
      </c>
      <c r="I17" s="4">
        <f t="shared" si="7"/>
        <v>18000</v>
      </c>
      <c r="J17" s="4">
        <f t="shared" si="7"/>
        <v>18000</v>
      </c>
      <c r="K17" s="4">
        <f t="shared" si="7"/>
        <v>18000</v>
      </c>
      <c r="L17" s="4">
        <f t="shared" si="7"/>
        <v>18000</v>
      </c>
      <c r="M17" s="4">
        <f t="shared" si="7"/>
        <v>18000</v>
      </c>
      <c r="N17" s="4">
        <f t="shared" si="7"/>
        <v>18000</v>
      </c>
      <c r="P17" s="8">
        <v>0</v>
      </c>
    </row>
    <row r="18" spans="1:21" ht="13.5" customHeight="1" x14ac:dyDescent="0.3">
      <c r="A18" s="55" t="s">
        <v>112</v>
      </c>
      <c r="B18" s="55"/>
      <c r="C18" s="55"/>
      <c r="E18" s="7">
        <v>10</v>
      </c>
      <c r="F18" s="7">
        <v>10</v>
      </c>
      <c r="G18" s="7">
        <v>10</v>
      </c>
      <c r="H18" s="7">
        <v>10</v>
      </c>
      <c r="I18" s="7">
        <v>10</v>
      </c>
      <c r="J18" s="7">
        <v>10</v>
      </c>
      <c r="K18" s="7">
        <v>10</v>
      </c>
      <c r="L18" s="7">
        <v>10</v>
      </c>
      <c r="M18" s="7">
        <v>10</v>
      </c>
      <c r="N18" s="7">
        <v>10</v>
      </c>
      <c r="P18" s="8"/>
    </row>
    <row r="19" spans="1:21" ht="13.5" customHeight="1" x14ac:dyDescent="0.3">
      <c r="A19" s="55"/>
      <c r="B19" s="55"/>
      <c r="C19" s="55"/>
      <c r="E19" s="19"/>
      <c r="P19" s="8"/>
    </row>
    <row r="20" spans="1:21" ht="13.5" customHeight="1" x14ac:dyDescent="0.3">
      <c r="A20" s="55" t="s">
        <v>32</v>
      </c>
      <c r="B20" s="55"/>
      <c r="C20" s="55"/>
      <c r="E20" s="17">
        <v>2.5000000000000001E-2</v>
      </c>
      <c r="F20" s="17">
        <f t="shared" ref="F20:N20" si="8">E20*(1+$P20)</f>
        <v>2.5750000000000002E-2</v>
      </c>
      <c r="G20" s="17">
        <f>F20*(1+$P20)</f>
        <v>2.6522500000000004E-2</v>
      </c>
      <c r="H20" s="17">
        <f t="shared" si="8"/>
        <v>2.7318175000000004E-2</v>
      </c>
      <c r="I20" s="17">
        <f t="shared" si="8"/>
        <v>2.8137720250000005E-2</v>
      </c>
      <c r="J20" s="17">
        <f t="shared" si="8"/>
        <v>2.8981851857500004E-2</v>
      </c>
      <c r="K20" s="17">
        <f t="shared" si="8"/>
        <v>2.9851307413225007E-2</v>
      </c>
      <c r="L20" s="17">
        <f t="shared" si="8"/>
        <v>3.0746846635621758E-2</v>
      </c>
      <c r="M20" s="17">
        <f t="shared" si="8"/>
        <v>3.1669252034690412E-2</v>
      </c>
      <c r="N20" s="17">
        <f t="shared" si="8"/>
        <v>3.2619329595731127E-2</v>
      </c>
      <c r="P20" s="8">
        <v>0.03</v>
      </c>
      <c r="Q20" s="4" t="s">
        <v>23</v>
      </c>
      <c r="U20" s="64" t="s">
        <v>113</v>
      </c>
    </row>
    <row r="21" spans="1:21" ht="13.5" customHeight="1" x14ac:dyDescent="0.3">
      <c r="A21" s="55" t="s">
        <v>31</v>
      </c>
      <c r="B21" s="55"/>
      <c r="C21" s="55"/>
      <c r="E21" s="9">
        <v>0.23</v>
      </c>
      <c r="F21" s="9">
        <f>E21*(1+$P21)</f>
        <v>0.23690000000000003</v>
      </c>
      <c r="G21" s="9">
        <f t="shared" ref="G21:N21" si="9">F21*(1+$P21)</f>
        <v>0.24400700000000003</v>
      </c>
      <c r="H21" s="9">
        <f t="shared" si="9"/>
        <v>0.25132721000000002</v>
      </c>
      <c r="I21" s="9">
        <f t="shared" si="9"/>
        <v>0.25886702630000002</v>
      </c>
      <c r="J21" s="9">
        <f t="shared" si="9"/>
        <v>0.26663303708900005</v>
      </c>
      <c r="K21" s="9">
        <f t="shared" si="9"/>
        <v>0.27463202820167004</v>
      </c>
      <c r="L21" s="9">
        <f t="shared" si="9"/>
        <v>0.28287098904772018</v>
      </c>
      <c r="M21" s="9">
        <f t="shared" si="9"/>
        <v>0.29135711871915176</v>
      </c>
      <c r="N21" s="9">
        <f t="shared" si="9"/>
        <v>0.30009783228072634</v>
      </c>
      <c r="P21" s="8">
        <v>0.03</v>
      </c>
      <c r="Q21" s="4" t="s">
        <v>23</v>
      </c>
    </row>
    <row r="22" spans="1:21" ht="13.5" customHeight="1" x14ac:dyDescent="0.3">
      <c r="A22" s="55"/>
      <c r="B22" s="55"/>
      <c r="C22" s="55"/>
      <c r="E22" s="8"/>
      <c r="P22" s="8"/>
    </row>
    <row r="23" spans="1:21" ht="13.5" customHeight="1" x14ac:dyDescent="0.3">
      <c r="A23" s="55" t="s">
        <v>64</v>
      </c>
      <c r="B23" s="55"/>
      <c r="C23" s="55"/>
      <c r="E23" s="17">
        <v>4.2299999999999997E-2</v>
      </c>
      <c r="F23" s="17"/>
      <c r="G23" s="17"/>
      <c r="H23" s="17"/>
      <c r="I23" s="17"/>
      <c r="J23" s="17"/>
      <c r="K23" s="17"/>
      <c r="L23" s="17"/>
      <c r="M23" s="17"/>
      <c r="N23" s="17"/>
      <c r="P23" s="8"/>
    </row>
    <row r="24" spans="1:21" ht="13.5" customHeight="1" x14ac:dyDescent="0.3">
      <c r="A24" s="55" t="s">
        <v>65</v>
      </c>
      <c r="B24" s="55"/>
      <c r="C24" s="55"/>
      <c r="E24" s="19">
        <v>30</v>
      </c>
      <c r="F24" s="17"/>
      <c r="G24" s="17"/>
      <c r="H24" s="17"/>
      <c r="I24" s="17"/>
      <c r="J24" s="17"/>
      <c r="K24" s="17"/>
      <c r="L24" s="17"/>
      <c r="M24" s="17"/>
      <c r="N24" s="17"/>
      <c r="P24" s="8"/>
    </row>
    <row r="25" spans="1:21" ht="13.5" customHeight="1" x14ac:dyDescent="0.3">
      <c r="A25" s="55" t="s">
        <v>66</v>
      </c>
      <c r="B25" s="55"/>
      <c r="C25" s="55"/>
      <c r="E25" s="10">
        <v>0.9</v>
      </c>
      <c r="F25" s="17"/>
      <c r="G25" s="17"/>
      <c r="H25" s="17"/>
      <c r="I25" s="17"/>
      <c r="J25" s="17"/>
      <c r="K25" s="17"/>
      <c r="L25" s="17"/>
      <c r="M25" s="17"/>
      <c r="N25" s="17"/>
      <c r="P25" s="8"/>
    </row>
    <row r="26" spans="1:21" ht="13.5" customHeight="1" x14ac:dyDescent="0.3">
      <c r="A26" s="55" t="s">
        <v>67</v>
      </c>
      <c r="B26" s="55"/>
      <c r="C26" s="55"/>
      <c r="E26" s="28">
        <v>3000</v>
      </c>
      <c r="F26" s="17"/>
      <c r="G26" s="17"/>
      <c r="H26" s="17"/>
      <c r="I26" s="17"/>
      <c r="J26" s="17"/>
      <c r="K26" s="17"/>
      <c r="L26" s="17"/>
      <c r="M26" s="17"/>
      <c r="N26" s="17"/>
      <c r="P26" s="8"/>
    </row>
    <row r="27" spans="1:21" ht="13.5" customHeight="1" x14ac:dyDescent="0.3">
      <c r="A27" s="55" t="s">
        <v>68</v>
      </c>
      <c r="B27" s="55"/>
      <c r="C27" s="55"/>
      <c r="E27" s="17">
        <v>0.05</v>
      </c>
      <c r="F27" s="17">
        <f t="shared" ref="F27:N27" si="10">E27*(1+$P27)</f>
        <v>0.05</v>
      </c>
      <c r="G27" s="17">
        <f t="shared" si="10"/>
        <v>0.05</v>
      </c>
      <c r="H27" s="17">
        <f t="shared" si="10"/>
        <v>0.05</v>
      </c>
      <c r="I27" s="17">
        <f t="shared" si="10"/>
        <v>0.05</v>
      </c>
      <c r="J27" s="17">
        <f t="shared" si="10"/>
        <v>0.05</v>
      </c>
      <c r="K27" s="17">
        <f t="shared" si="10"/>
        <v>0.05</v>
      </c>
      <c r="L27" s="17">
        <f t="shared" si="10"/>
        <v>0.05</v>
      </c>
      <c r="M27" s="17">
        <f t="shared" si="10"/>
        <v>0.05</v>
      </c>
      <c r="N27" s="17">
        <f t="shared" si="10"/>
        <v>0.05</v>
      </c>
      <c r="P27" s="8">
        <v>0</v>
      </c>
      <c r="Q27" s="4" t="s">
        <v>23</v>
      </c>
    </row>
    <row r="28" spans="1:21" ht="13.5" customHeight="1" x14ac:dyDescent="0.3">
      <c r="A28" s="55" t="s">
        <v>69</v>
      </c>
      <c r="B28" s="55"/>
      <c r="C28" s="55"/>
      <c r="E28" s="17">
        <v>0.2</v>
      </c>
      <c r="F28" s="17"/>
      <c r="G28" s="17"/>
      <c r="H28" s="17"/>
      <c r="I28" s="17"/>
      <c r="J28" s="17"/>
      <c r="K28" s="17"/>
      <c r="L28" s="17"/>
      <c r="M28" s="17"/>
      <c r="N28" s="17"/>
      <c r="P28" s="8"/>
    </row>
    <row r="29" spans="1:21" ht="13.5" customHeight="1" x14ac:dyDescent="0.3">
      <c r="A29" s="55" t="s">
        <v>91</v>
      </c>
      <c r="B29" s="55"/>
      <c r="C29" s="55"/>
      <c r="E29" s="28">
        <f>E28*E77</f>
        <v>4196.5753424657541</v>
      </c>
      <c r="F29" s="17"/>
      <c r="G29" s="17"/>
      <c r="H29" s="17"/>
      <c r="I29" s="17"/>
      <c r="J29" s="17"/>
      <c r="K29" s="17"/>
      <c r="L29" s="17"/>
      <c r="M29" s="17"/>
      <c r="N29" s="17"/>
      <c r="P29" s="8"/>
    </row>
    <row r="30" spans="1:21" ht="13.5" customHeight="1" x14ac:dyDescent="0.3">
      <c r="A30" s="55"/>
      <c r="B30" s="55"/>
      <c r="C30" s="55"/>
      <c r="E30" s="10"/>
      <c r="P30" s="8"/>
    </row>
    <row r="31" spans="1:21" ht="16.5" customHeight="1" x14ac:dyDescent="0.3">
      <c r="A31" s="56" t="s">
        <v>70</v>
      </c>
      <c r="B31" s="56"/>
      <c r="C31" s="56"/>
      <c r="D31" s="16"/>
      <c r="E31" s="19">
        <v>5</v>
      </c>
      <c r="F31" s="19">
        <f t="shared" ref="F31:N31" si="11">E31*(1+$P31)</f>
        <v>5</v>
      </c>
      <c r="G31" s="19">
        <f t="shared" si="11"/>
        <v>5</v>
      </c>
      <c r="H31" s="19">
        <f t="shared" si="11"/>
        <v>5</v>
      </c>
      <c r="I31" s="19">
        <f t="shared" si="11"/>
        <v>5</v>
      </c>
      <c r="J31" s="19">
        <f t="shared" si="11"/>
        <v>5</v>
      </c>
      <c r="K31" s="19">
        <f t="shared" si="11"/>
        <v>5</v>
      </c>
      <c r="L31" s="19">
        <f t="shared" si="11"/>
        <v>5</v>
      </c>
      <c r="M31" s="19">
        <f t="shared" si="11"/>
        <v>5</v>
      </c>
      <c r="N31" s="19">
        <f t="shared" si="11"/>
        <v>5</v>
      </c>
      <c r="P31" s="8">
        <v>0</v>
      </c>
      <c r="Q31" s="4" t="s">
        <v>23</v>
      </c>
    </row>
    <row r="32" spans="1:21" ht="16.5" customHeight="1" x14ac:dyDescent="0.3">
      <c r="A32" s="56" t="s">
        <v>71</v>
      </c>
      <c r="B32" s="56"/>
      <c r="C32" s="56"/>
      <c r="D32" s="16"/>
      <c r="E32" s="19">
        <v>5</v>
      </c>
      <c r="F32" s="19">
        <f t="shared" ref="F32:N32" si="12">E32*(1+$P32)</f>
        <v>5</v>
      </c>
      <c r="G32" s="19">
        <f t="shared" si="12"/>
        <v>5</v>
      </c>
      <c r="H32" s="19">
        <f t="shared" si="12"/>
        <v>5</v>
      </c>
      <c r="I32" s="19">
        <f t="shared" si="12"/>
        <v>5</v>
      </c>
      <c r="J32" s="19">
        <f t="shared" si="12"/>
        <v>5</v>
      </c>
      <c r="K32" s="19">
        <f t="shared" si="12"/>
        <v>5</v>
      </c>
      <c r="L32" s="19">
        <f t="shared" si="12"/>
        <v>5</v>
      </c>
      <c r="M32" s="19">
        <f t="shared" si="12"/>
        <v>5</v>
      </c>
      <c r="N32" s="19">
        <f t="shared" si="12"/>
        <v>5</v>
      </c>
      <c r="P32" s="8">
        <v>0</v>
      </c>
      <c r="Q32" s="4" t="s">
        <v>23</v>
      </c>
    </row>
    <row r="33" spans="1:21" ht="16.5" customHeight="1" x14ac:dyDescent="0.3">
      <c r="A33" s="56" t="s">
        <v>34</v>
      </c>
      <c r="B33" s="56"/>
      <c r="C33" s="56"/>
      <c r="D33" s="16"/>
      <c r="E33" s="19">
        <v>4</v>
      </c>
      <c r="F33" s="19">
        <f t="shared" ref="F33:N33" si="13">E33*(1+$P33)</f>
        <v>4</v>
      </c>
      <c r="G33" s="19">
        <f t="shared" si="13"/>
        <v>4</v>
      </c>
      <c r="H33" s="19">
        <f t="shared" si="13"/>
        <v>4</v>
      </c>
      <c r="I33" s="19">
        <f t="shared" si="13"/>
        <v>4</v>
      </c>
      <c r="J33" s="19">
        <f t="shared" si="13"/>
        <v>4</v>
      </c>
      <c r="K33" s="19">
        <f t="shared" si="13"/>
        <v>4</v>
      </c>
      <c r="L33" s="19">
        <f t="shared" si="13"/>
        <v>4</v>
      </c>
      <c r="M33" s="19">
        <f t="shared" si="13"/>
        <v>4</v>
      </c>
      <c r="N33" s="19">
        <f t="shared" si="13"/>
        <v>4</v>
      </c>
      <c r="P33" s="8">
        <v>0</v>
      </c>
      <c r="Q33" s="4" t="s">
        <v>23</v>
      </c>
    </row>
    <row r="34" spans="1:21" ht="16.5" customHeight="1" x14ac:dyDescent="0.3">
      <c r="A34" s="56"/>
      <c r="B34" s="56"/>
      <c r="C34" s="56"/>
      <c r="D34" s="16"/>
      <c r="E34" s="11"/>
      <c r="P34" s="8"/>
    </row>
    <row r="35" spans="1:21" ht="16.5" customHeight="1" x14ac:dyDescent="0.3">
      <c r="A35" s="56" t="s">
        <v>74</v>
      </c>
      <c r="B35" s="56"/>
      <c r="C35" s="56"/>
      <c r="D35" s="16"/>
      <c r="E35" s="18">
        <f t="shared" ref="E35" si="14">8.84%+34%</f>
        <v>0.4284</v>
      </c>
      <c r="F35" s="18">
        <f t="shared" ref="F35:N35" si="15">E35*(1+$P35)</f>
        <v>0.4284</v>
      </c>
      <c r="G35" s="18">
        <f t="shared" si="15"/>
        <v>0.4284</v>
      </c>
      <c r="H35" s="18">
        <f t="shared" si="15"/>
        <v>0.4284</v>
      </c>
      <c r="I35" s="18">
        <f t="shared" si="15"/>
        <v>0.4284</v>
      </c>
      <c r="J35" s="18">
        <f t="shared" si="15"/>
        <v>0.4284</v>
      </c>
      <c r="K35" s="18">
        <f t="shared" si="15"/>
        <v>0.4284</v>
      </c>
      <c r="L35" s="18">
        <f t="shared" si="15"/>
        <v>0.4284</v>
      </c>
      <c r="M35" s="18">
        <f t="shared" si="15"/>
        <v>0.4284</v>
      </c>
      <c r="N35" s="18">
        <f t="shared" si="15"/>
        <v>0.4284</v>
      </c>
      <c r="P35" s="8">
        <v>0</v>
      </c>
      <c r="Q35" s="4" t="s">
        <v>23</v>
      </c>
    </row>
    <row r="36" spans="1:21" ht="16.5" customHeight="1" x14ac:dyDescent="0.3">
      <c r="A36" s="56" t="s">
        <v>157</v>
      </c>
      <c r="B36" s="56"/>
      <c r="C36" s="56"/>
      <c r="D36" s="16"/>
      <c r="E36" s="4">
        <v>30</v>
      </c>
      <c r="F36" s="4">
        <f t="shared" ref="F36:N36" si="16">E36*(1+$P36)</f>
        <v>30</v>
      </c>
      <c r="G36" s="4">
        <f t="shared" si="16"/>
        <v>30</v>
      </c>
      <c r="H36" s="4">
        <f t="shared" si="16"/>
        <v>30</v>
      </c>
      <c r="I36" s="4">
        <f t="shared" si="16"/>
        <v>30</v>
      </c>
      <c r="J36" s="4">
        <f t="shared" si="16"/>
        <v>30</v>
      </c>
      <c r="K36" s="4">
        <f t="shared" si="16"/>
        <v>30</v>
      </c>
      <c r="L36" s="4">
        <f t="shared" si="16"/>
        <v>30</v>
      </c>
      <c r="M36" s="4">
        <f t="shared" si="16"/>
        <v>30</v>
      </c>
      <c r="N36" s="4">
        <f t="shared" si="16"/>
        <v>30</v>
      </c>
      <c r="P36" s="8">
        <v>0</v>
      </c>
      <c r="Q36" s="4" t="s">
        <v>23</v>
      </c>
    </row>
    <row r="37" spans="1:21" ht="16.5" customHeight="1" x14ac:dyDescent="0.3">
      <c r="A37" s="56" t="s">
        <v>75</v>
      </c>
      <c r="B37" s="56"/>
      <c r="C37" s="56"/>
      <c r="D37" s="16"/>
      <c r="E37" s="17">
        <v>0.01</v>
      </c>
      <c r="F37" s="17">
        <f t="shared" ref="F37:N37" si="17">E37*(1+$P37)</f>
        <v>0.01</v>
      </c>
      <c r="G37" s="17">
        <f t="shared" si="17"/>
        <v>0.01</v>
      </c>
      <c r="H37" s="17">
        <f t="shared" si="17"/>
        <v>0.01</v>
      </c>
      <c r="I37" s="17">
        <f t="shared" si="17"/>
        <v>0.01</v>
      </c>
      <c r="J37" s="17">
        <f t="shared" si="17"/>
        <v>0.01</v>
      </c>
      <c r="K37" s="17">
        <f t="shared" si="17"/>
        <v>0.01</v>
      </c>
      <c r="L37" s="17">
        <f t="shared" si="17"/>
        <v>0.01</v>
      </c>
      <c r="M37" s="17">
        <f t="shared" si="17"/>
        <v>0.01</v>
      </c>
      <c r="N37" s="17">
        <f t="shared" si="17"/>
        <v>0.01</v>
      </c>
      <c r="P37" s="8">
        <v>0</v>
      </c>
      <c r="Q37" s="4" t="s">
        <v>23</v>
      </c>
    </row>
    <row r="38" spans="1:21" ht="16.5" customHeight="1" x14ac:dyDescent="0.3">
      <c r="A38" s="56"/>
      <c r="B38" s="56"/>
      <c r="C38" s="56"/>
      <c r="D38" s="16"/>
      <c r="I38" s="3"/>
    </row>
    <row r="39" spans="1:21" ht="13.5" customHeight="1" x14ac:dyDescent="0.3">
      <c r="A39" s="54" t="s">
        <v>1</v>
      </c>
      <c r="B39" s="55"/>
      <c r="C39" s="55"/>
    </row>
    <row r="40" spans="1:21" ht="13.5" customHeight="1" x14ac:dyDescent="0.3">
      <c r="A40" s="55" t="s">
        <v>2</v>
      </c>
      <c r="B40" s="55"/>
      <c r="C40" s="55"/>
      <c r="E40" s="12">
        <f>(E4/(E5/2.5))*E5</f>
        <v>75000</v>
      </c>
      <c r="F40" s="12">
        <f t="shared" ref="F40:N40" si="18">(F4/(F5/2.5))*F5</f>
        <v>76500</v>
      </c>
      <c r="G40" s="12">
        <f t="shared" si="18"/>
        <v>78029.999999999985</v>
      </c>
      <c r="H40" s="68">
        <f>(H4/(H5/2.5))*H5</f>
        <v>79590.600000000006</v>
      </c>
      <c r="I40" s="12">
        <f t="shared" si="18"/>
        <v>81182.411999999997</v>
      </c>
      <c r="J40" s="12">
        <f t="shared" si="18"/>
        <v>82806.060240000006</v>
      </c>
      <c r="K40" s="12">
        <f t="shared" si="18"/>
        <v>84462.181444800008</v>
      </c>
      <c r="L40" s="12">
        <f t="shared" si="18"/>
        <v>86151.425073695995</v>
      </c>
      <c r="M40" s="12">
        <f t="shared" si="18"/>
        <v>87874.453575169944</v>
      </c>
      <c r="N40" s="12">
        <f t="shared" si="18"/>
        <v>89631.942646673328</v>
      </c>
      <c r="U40" s="65" t="s">
        <v>114</v>
      </c>
    </row>
    <row r="41" spans="1:21" ht="13.5" customHeight="1" x14ac:dyDescent="0.3">
      <c r="A41" s="55" t="s">
        <v>3</v>
      </c>
      <c r="B41" s="55"/>
      <c r="C41" s="55"/>
      <c r="E41" s="13">
        <f>E7*E40</f>
        <v>30000</v>
      </c>
      <c r="F41" s="13">
        <f t="shared" ref="F41:N41" si="19">F40*F7</f>
        <v>30600</v>
      </c>
      <c r="G41" s="13">
        <f t="shared" si="19"/>
        <v>31211.999999999996</v>
      </c>
      <c r="H41" s="13">
        <f t="shared" si="19"/>
        <v>31836.240000000005</v>
      </c>
      <c r="I41" s="13">
        <f t="shared" si="19"/>
        <v>32472.964800000002</v>
      </c>
      <c r="J41" s="13">
        <f t="shared" si="19"/>
        <v>33122.424096000002</v>
      </c>
      <c r="K41" s="13">
        <f t="shared" si="19"/>
        <v>33784.872577920003</v>
      </c>
      <c r="L41" s="13">
        <f t="shared" si="19"/>
        <v>34460.570029478396</v>
      </c>
      <c r="M41" s="13">
        <f t="shared" si="19"/>
        <v>35149.781430067982</v>
      </c>
      <c r="N41" s="13">
        <f t="shared" si="19"/>
        <v>35852.77705866933</v>
      </c>
    </row>
    <row r="42" spans="1:21" ht="13.5" customHeight="1" x14ac:dyDescent="0.3">
      <c r="A42" s="55" t="s">
        <v>4</v>
      </c>
      <c r="B42" s="55"/>
      <c r="C42" s="55"/>
      <c r="E42" s="12">
        <f t="shared" ref="E42" si="20">E40-E41</f>
        <v>45000</v>
      </c>
      <c r="F42" s="12">
        <f t="shared" ref="F42:N42" si="21">F40-F41</f>
        <v>45900</v>
      </c>
      <c r="G42" s="12">
        <f t="shared" si="21"/>
        <v>46817.999999999985</v>
      </c>
      <c r="H42" s="12">
        <f t="shared" si="21"/>
        <v>47754.36</v>
      </c>
      <c r="I42" s="12">
        <f t="shared" si="21"/>
        <v>48709.447199999995</v>
      </c>
      <c r="J42" s="12">
        <f t="shared" si="21"/>
        <v>49683.636144000004</v>
      </c>
      <c r="K42" s="12">
        <f t="shared" si="21"/>
        <v>50677.308866880005</v>
      </c>
      <c r="L42" s="12">
        <f t="shared" si="21"/>
        <v>51690.855044217598</v>
      </c>
      <c r="M42" s="12">
        <f t="shared" si="21"/>
        <v>52724.672145101962</v>
      </c>
      <c r="N42" s="12">
        <f t="shared" si="21"/>
        <v>53779.165588003998</v>
      </c>
    </row>
    <row r="43" spans="1:21" ht="13.5" customHeight="1" x14ac:dyDescent="0.3">
      <c r="A43" s="55"/>
      <c r="B43" s="55"/>
      <c r="C43" s="55"/>
      <c r="E43" s="12"/>
      <c r="F43" s="12"/>
      <c r="G43" s="12"/>
      <c r="H43" s="12"/>
      <c r="I43" s="12"/>
      <c r="J43" s="12"/>
    </row>
    <row r="44" spans="1:21" ht="13.5" customHeight="1" x14ac:dyDescent="0.3">
      <c r="A44" s="55" t="s">
        <v>5</v>
      </c>
      <c r="B44" s="55"/>
      <c r="C44" s="55"/>
      <c r="E44" s="12"/>
      <c r="F44" s="12"/>
      <c r="G44" s="12"/>
      <c r="H44" s="12"/>
      <c r="I44" s="12"/>
      <c r="J44" s="12"/>
    </row>
    <row r="45" spans="1:21" ht="13.5" customHeight="1" x14ac:dyDescent="0.3">
      <c r="A45" s="55"/>
      <c r="B45" s="55" t="s">
        <v>6</v>
      </c>
      <c r="C45" s="55"/>
      <c r="E45" s="12">
        <f t="shared" ref="E45:N45" si="22">E10*E11</f>
        <v>39680</v>
      </c>
      <c r="F45" s="12">
        <f t="shared" si="22"/>
        <v>39680</v>
      </c>
      <c r="G45" s="12">
        <f t="shared" si="22"/>
        <v>39680</v>
      </c>
      <c r="H45" s="12">
        <f t="shared" si="22"/>
        <v>39680</v>
      </c>
      <c r="I45" s="12">
        <f t="shared" si="22"/>
        <v>39680</v>
      </c>
      <c r="J45" s="12">
        <f t="shared" si="22"/>
        <v>39680</v>
      </c>
      <c r="K45" s="12">
        <f t="shared" si="22"/>
        <v>39680</v>
      </c>
      <c r="L45" s="12">
        <f t="shared" si="22"/>
        <v>39680</v>
      </c>
      <c r="M45" s="12">
        <f t="shared" si="22"/>
        <v>39680</v>
      </c>
      <c r="N45" s="12">
        <f t="shared" si="22"/>
        <v>39680</v>
      </c>
    </row>
    <row r="46" spans="1:21" ht="13.5" customHeight="1" x14ac:dyDescent="0.3">
      <c r="A46" s="55"/>
      <c r="B46" s="55" t="s">
        <v>7</v>
      </c>
      <c r="C46" s="55"/>
      <c r="E46" s="12">
        <f>E40*E8</f>
        <v>3750</v>
      </c>
      <c r="F46" s="12">
        <f t="shared" ref="F46:N46" si="23">F40*F8</f>
        <v>3825</v>
      </c>
      <c r="G46" s="12">
        <f t="shared" si="23"/>
        <v>3901.4999999999995</v>
      </c>
      <c r="H46" s="12">
        <f t="shared" si="23"/>
        <v>3979.5300000000007</v>
      </c>
      <c r="I46" s="12">
        <f t="shared" si="23"/>
        <v>4059.1206000000002</v>
      </c>
      <c r="J46" s="12">
        <f t="shared" si="23"/>
        <v>4140.3030120000003</v>
      </c>
      <c r="K46" s="12">
        <f t="shared" si="23"/>
        <v>4223.1090722400004</v>
      </c>
      <c r="L46" s="12">
        <f t="shared" si="23"/>
        <v>4307.5712536847996</v>
      </c>
      <c r="M46" s="12">
        <f t="shared" si="23"/>
        <v>4393.7226787584978</v>
      </c>
      <c r="N46" s="12">
        <f t="shared" si="23"/>
        <v>4481.5971323336662</v>
      </c>
      <c r="P46" s="8"/>
    </row>
    <row r="47" spans="1:21" ht="13.5" customHeight="1" x14ac:dyDescent="0.3">
      <c r="A47" s="55"/>
      <c r="B47" s="55" t="s">
        <v>33</v>
      </c>
      <c r="C47" s="55"/>
      <c r="E47" s="12">
        <f>E74*E20</f>
        <v>60</v>
      </c>
      <c r="F47" s="12">
        <f t="shared" ref="F47:N47" si="24">F74*F20</f>
        <v>61.800000000000004</v>
      </c>
      <c r="G47" s="12">
        <f t="shared" si="24"/>
        <v>63.654000000000011</v>
      </c>
      <c r="H47" s="12">
        <f t="shared" si="24"/>
        <v>65.563620000000014</v>
      </c>
      <c r="I47" s="12">
        <f t="shared" si="24"/>
        <v>67.530528600000011</v>
      </c>
      <c r="J47" s="12">
        <f t="shared" si="24"/>
        <v>69.556444458000016</v>
      </c>
      <c r="K47" s="12">
        <f t="shared" si="24"/>
        <v>71.643137791740017</v>
      </c>
      <c r="L47" s="12">
        <f t="shared" si="24"/>
        <v>73.792431925492224</v>
      </c>
      <c r="M47" s="12">
        <f t="shared" si="24"/>
        <v>76.006204883256984</v>
      </c>
      <c r="N47" s="12">
        <f t="shared" si="24"/>
        <v>78.286391029754711</v>
      </c>
    </row>
    <row r="48" spans="1:21" ht="13.5" customHeight="1" x14ac:dyDescent="0.3">
      <c r="A48" s="55"/>
      <c r="B48" s="55" t="s">
        <v>25</v>
      </c>
      <c r="C48" s="55"/>
      <c r="E48" s="12">
        <f t="shared" ref="E48:N48" si="25">$E$16*E21</f>
        <v>184</v>
      </c>
      <c r="F48" s="12">
        <f t="shared" si="25"/>
        <v>189.52</v>
      </c>
      <c r="G48" s="12">
        <f t="shared" si="25"/>
        <v>195.20560000000003</v>
      </c>
      <c r="H48" s="12">
        <f t="shared" si="25"/>
        <v>201.06176800000003</v>
      </c>
      <c r="I48" s="12">
        <f t="shared" si="25"/>
        <v>207.09362104000002</v>
      </c>
      <c r="J48" s="12">
        <f t="shared" si="25"/>
        <v>213.30642967120005</v>
      </c>
      <c r="K48" s="12">
        <f t="shared" si="25"/>
        <v>219.70562256133604</v>
      </c>
      <c r="L48" s="12">
        <f t="shared" si="25"/>
        <v>226.29679123817616</v>
      </c>
      <c r="M48" s="12">
        <f t="shared" si="25"/>
        <v>233.08569497532142</v>
      </c>
      <c r="N48" s="12">
        <f t="shared" si="25"/>
        <v>240.07826582458108</v>
      </c>
    </row>
    <row r="49" spans="1:17" ht="13.5" customHeight="1" x14ac:dyDescent="0.3">
      <c r="A49" s="55"/>
      <c r="B49" s="55" t="s">
        <v>158</v>
      </c>
      <c r="C49" s="55"/>
      <c r="E49" s="12">
        <f>E17/E18</f>
        <v>1800</v>
      </c>
      <c r="F49" s="12">
        <f t="shared" ref="F49:N49" si="26">F17/F18</f>
        <v>1800</v>
      </c>
      <c r="G49" s="12">
        <f t="shared" si="26"/>
        <v>1800</v>
      </c>
      <c r="H49" s="12">
        <f t="shared" si="26"/>
        <v>1800</v>
      </c>
      <c r="I49" s="12">
        <f t="shared" si="26"/>
        <v>1800</v>
      </c>
      <c r="J49" s="12">
        <f t="shared" si="26"/>
        <v>1800</v>
      </c>
      <c r="K49" s="12">
        <f t="shared" si="26"/>
        <v>1800</v>
      </c>
      <c r="L49" s="12">
        <f t="shared" si="26"/>
        <v>1800</v>
      </c>
      <c r="M49" s="12">
        <f t="shared" si="26"/>
        <v>1800</v>
      </c>
      <c r="N49" s="12">
        <f t="shared" si="26"/>
        <v>1800</v>
      </c>
    </row>
    <row r="50" spans="1:17" ht="13.5" customHeight="1" x14ac:dyDescent="0.3">
      <c r="A50" s="55"/>
      <c r="B50" s="55" t="s">
        <v>159</v>
      </c>
      <c r="C50" s="55"/>
      <c r="E50" s="13">
        <f t="shared" ref="E50:N50" si="27">E74/E36</f>
        <v>80</v>
      </c>
      <c r="F50" s="13">
        <f t="shared" si="27"/>
        <v>80</v>
      </c>
      <c r="G50" s="13">
        <f t="shared" si="27"/>
        <v>80</v>
      </c>
      <c r="H50" s="13">
        <f t="shared" si="27"/>
        <v>80</v>
      </c>
      <c r="I50" s="13">
        <f t="shared" si="27"/>
        <v>80</v>
      </c>
      <c r="J50" s="13">
        <f t="shared" si="27"/>
        <v>80</v>
      </c>
      <c r="K50" s="13">
        <f t="shared" si="27"/>
        <v>80</v>
      </c>
      <c r="L50" s="13">
        <f t="shared" si="27"/>
        <v>80</v>
      </c>
      <c r="M50" s="13">
        <f t="shared" si="27"/>
        <v>80</v>
      </c>
      <c r="N50" s="13">
        <f t="shared" si="27"/>
        <v>80</v>
      </c>
    </row>
    <row r="51" spans="1:17" ht="13.5" customHeight="1" x14ac:dyDescent="0.3">
      <c r="A51" s="55" t="s">
        <v>8</v>
      </c>
      <c r="B51" s="55"/>
      <c r="C51" s="55"/>
      <c r="E51" s="12">
        <f t="shared" ref="E51:N51" si="28">SUM(E45:E50)</f>
        <v>45554</v>
      </c>
      <c r="F51" s="12">
        <f t="shared" si="28"/>
        <v>45636.32</v>
      </c>
      <c r="G51" s="12">
        <f t="shared" si="28"/>
        <v>45720.359600000003</v>
      </c>
      <c r="H51" s="12">
        <f t="shared" si="28"/>
        <v>45806.155387999999</v>
      </c>
      <c r="I51" s="12">
        <f t="shared" si="28"/>
        <v>45893.744749640005</v>
      </c>
      <c r="J51" s="12">
        <f t="shared" si="28"/>
        <v>45983.165886129209</v>
      </c>
      <c r="K51" s="12">
        <f t="shared" si="28"/>
        <v>46074.457832593071</v>
      </c>
      <c r="L51" s="12">
        <f t="shared" si="28"/>
        <v>46167.660476848469</v>
      </c>
      <c r="M51" s="12">
        <f t="shared" si="28"/>
        <v>46262.814578617072</v>
      </c>
      <c r="N51" s="12">
        <f t="shared" si="28"/>
        <v>46359.961789187997</v>
      </c>
    </row>
    <row r="52" spans="1:17" ht="13.5" customHeight="1" x14ac:dyDescent="0.3">
      <c r="A52" s="55"/>
      <c r="B52" s="55"/>
      <c r="C52" s="55"/>
      <c r="E52" s="12"/>
      <c r="F52" s="12"/>
      <c r="G52" s="12"/>
      <c r="H52" s="12"/>
      <c r="I52" s="12"/>
      <c r="J52" s="12"/>
    </row>
    <row r="53" spans="1:17" ht="13.5" customHeight="1" x14ac:dyDescent="0.3">
      <c r="A53" s="55" t="s">
        <v>9</v>
      </c>
      <c r="B53" s="55"/>
      <c r="C53" s="55"/>
      <c r="E53" s="12">
        <f t="shared" ref="E53:N53" si="29">E42-E51</f>
        <v>-554</v>
      </c>
      <c r="F53" s="12">
        <f t="shared" si="29"/>
        <v>263.68000000000029</v>
      </c>
      <c r="G53" s="12">
        <f t="shared" si="29"/>
        <v>1097.640399999982</v>
      </c>
      <c r="H53" s="12">
        <f t="shared" si="29"/>
        <v>1948.2046120000014</v>
      </c>
      <c r="I53" s="12">
        <f t="shared" si="29"/>
        <v>2815.7024503599896</v>
      </c>
      <c r="J53" s="12">
        <f t="shared" si="29"/>
        <v>3700.4702578707947</v>
      </c>
      <c r="K53" s="12">
        <f t="shared" si="29"/>
        <v>4602.851034286934</v>
      </c>
      <c r="L53" s="12">
        <f t="shared" si="29"/>
        <v>5523.1945673691298</v>
      </c>
      <c r="M53" s="12">
        <f t="shared" si="29"/>
        <v>6461.8575664848904</v>
      </c>
      <c r="N53" s="12">
        <f t="shared" si="29"/>
        <v>7419.2037988160009</v>
      </c>
      <c r="P53" s="12">
        <f>AVERAGE(E53:N53)</f>
        <v>3327.8804687187721</v>
      </c>
    </row>
    <row r="54" spans="1:17" ht="13.5" customHeight="1" x14ac:dyDescent="0.3">
      <c r="A54" s="55"/>
      <c r="B54" s="55"/>
      <c r="C54" s="55"/>
      <c r="E54" s="12"/>
      <c r="F54" s="12"/>
      <c r="G54" s="12"/>
      <c r="H54" s="12"/>
      <c r="I54" s="12"/>
      <c r="J54" s="12"/>
    </row>
    <row r="55" spans="1:17" ht="13.5" customHeight="1" x14ac:dyDescent="0.3">
      <c r="A55" s="55" t="s">
        <v>28</v>
      </c>
      <c r="B55" s="55"/>
      <c r="C55" s="55"/>
      <c r="E55" s="12">
        <f>'Amortization Table'!D14</f>
        <v>83.949011005639036</v>
      </c>
      <c r="F55" s="12">
        <f>'Amortization Table'!D28</f>
        <v>82.489682719801806</v>
      </c>
      <c r="G55" s="12">
        <f>'Amortization Table'!D42</f>
        <v>80.967413890760469</v>
      </c>
      <c r="H55" s="12">
        <f>'Amortization Table'!D56</f>
        <v>79.379489905211585</v>
      </c>
      <c r="I55" s="12">
        <f>'Amortization Table'!D70</f>
        <v>77.723079069111478</v>
      </c>
      <c r="J55" s="12">
        <f>'Amortization Table'!D84</f>
        <v>75.995227558006931</v>
      </c>
      <c r="K55" s="12">
        <f>'Amortization Table'!D98</f>
        <v>74.192854149574373</v>
      </c>
      <c r="L55" s="12">
        <f>'Amortization Table'!D112</f>
        <v>72.312744728974948</v>
      </c>
      <c r="M55" s="12">
        <f>'Amortization Table'!D126</f>
        <v>70.351546557225973</v>
      </c>
      <c r="N55" s="12">
        <f>'Amortization Table'!D140</f>
        <v>68.305762292369124</v>
      </c>
      <c r="P55" s="12">
        <f>AVERAGE(E55:N55)</f>
        <v>76.566681187667569</v>
      </c>
    </row>
    <row r="56" spans="1:17" ht="13.5" customHeight="1" x14ac:dyDescent="0.3">
      <c r="A56" s="55" t="s">
        <v>29</v>
      </c>
      <c r="B56" s="55"/>
      <c r="C56" s="55"/>
      <c r="E56" s="12">
        <f t="shared" ref="E56:N56" si="30">E86*E27</f>
        <v>791.95</v>
      </c>
      <c r="F56" s="12">
        <f t="shared" si="30"/>
        <v>696.42376641539931</v>
      </c>
      <c r="G56" s="12">
        <f t="shared" si="30"/>
        <v>732.99144697156362</v>
      </c>
      <c r="H56" s="12">
        <f t="shared" si="30"/>
        <v>424.04052580880517</v>
      </c>
      <c r="I56" s="12">
        <f t="shared" si="30"/>
        <v>239.74742947780567</v>
      </c>
      <c r="J56" s="12">
        <f t="shared" si="30"/>
        <v>22.975553761721088</v>
      </c>
      <c r="K56" s="12">
        <f t="shared" si="30"/>
        <v>0</v>
      </c>
      <c r="L56" s="12">
        <f t="shared" si="30"/>
        <v>0</v>
      </c>
      <c r="M56" s="12">
        <f t="shared" si="30"/>
        <v>0</v>
      </c>
      <c r="N56" s="12">
        <f t="shared" si="30"/>
        <v>0</v>
      </c>
      <c r="P56" s="12">
        <f>AVERAGE(E56:N56)</f>
        <v>290.81287224352951</v>
      </c>
    </row>
    <row r="57" spans="1:17" ht="13.5" customHeight="1" x14ac:dyDescent="0.3">
      <c r="A57" s="55"/>
      <c r="B57" s="55"/>
      <c r="C57" s="55"/>
      <c r="E57" s="12"/>
      <c r="F57" s="12"/>
      <c r="G57" s="12"/>
      <c r="H57" s="12"/>
      <c r="I57" s="12"/>
      <c r="J57" s="12"/>
      <c r="K57" s="12"/>
      <c r="L57" s="12"/>
      <c r="M57" s="12"/>
      <c r="N57" s="12"/>
      <c r="P57" s="4" t="s">
        <v>130</v>
      </c>
      <c r="Q57" s="41">
        <f>P53/(P55+P56)</f>
        <v>9.0584259184745779</v>
      </c>
    </row>
    <row r="58" spans="1:17" ht="13.5" customHeight="1" x14ac:dyDescent="0.3">
      <c r="A58" s="55" t="s">
        <v>10</v>
      </c>
      <c r="B58" s="55"/>
      <c r="C58" s="55"/>
      <c r="E58" s="12">
        <f>E53-E55-E56</f>
        <v>-1429.8990110056391</v>
      </c>
      <c r="F58" s="12">
        <f t="shared" ref="F58:N58" si="31">F53-F55-F56</f>
        <v>-515.23344913520077</v>
      </c>
      <c r="G58" s="12">
        <f t="shared" si="31"/>
        <v>283.68153913765798</v>
      </c>
      <c r="H58" s="12">
        <f t="shared" si="31"/>
        <v>1444.7845962859847</v>
      </c>
      <c r="I58" s="12">
        <f t="shared" si="31"/>
        <v>2498.2319418130724</v>
      </c>
      <c r="J58" s="12">
        <f t="shared" si="31"/>
        <v>3601.4994765510669</v>
      </c>
      <c r="K58" s="12">
        <f t="shared" si="31"/>
        <v>4528.6581801373595</v>
      </c>
      <c r="L58" s="12">
        <f t="shared" si="31"/>
        <v>5450.8818226401545</v>
      </c>
      <c r="M58" s="12">
        <f t="shared" si="31"/>
        <v>6391.5060199276641</v>
      </c>
      <c r="N58" s="12">
        <f t="shared" si="31"/>
        <v>7350.8980365236321</v>
      </c>
    </row>
    <row r="59" spans="1:17" ht="13.5" customHeight="1" x14ac:dyDescent="0.3">
      <c r="A59" s="55" t="s">
        <v>11</v>
      </c>
      <c r="B59" s="55"/>
      <c r="C59" s="55"/>
      <c r="E59" s="13">
        <f t="shared" ref="E59:N59" si="32">E58*E35</f>
        <v>-612.56873631481574</v>
      </c>
      <c r="F59" s="13">
        <f t="shared" si="32"/>
        <v>-220.72600960952002</v>
      </c>
      <c r="G59" s="13">
        <f t="shared" si="32"/>
        <v>121.52917136657268</v>
      </c>
      <c r="H59" s="13">
        <f t="shared" si="32"/>
        <v>618.94572104891586</v>
      </c>
      <c r="I59" s="13">
        <f t="shared" si="32"/>
        <v>1070.2425638727202</v>
      </c>
      <c r="J59" s="13">
        <f t="shared" si="32"/>
        <v>1542.8823757544772</v>
      </c>
      <c r="K59" s="13">
        <f t="shared" si="32"/>
        <v>1940.0771643708449</v>
      </c>
      <c r="L59" s="13">
        <f t="shared" si="32"/>
        <v>2335.1577728190423</v>
      </c>
      <c r="M59" s="13">
        <f t="shared" si="32"/>
        <v>2738.1211789370113</v>
      </c>
      <c r="N59" s="13">
        <f t="shared" si="32"/>
        <v>3149.1247188467241</v>
      </c>
    </row>
    <row r="60" spans="1:17" ht="13.5" customHeight="1" x14ac:dyDescent="0.3">
      <c r="A60" s="55" t="s">
        <v>76</v>
      </c>
      <c r="B60" s="55"/>
      <c r="C60" s="55"/>
      <c r="E60" s="12">
        <f t="shared" ref="E60:N60" si="33">E58-E59</f>
        <v>-817.33027469082333</v>
      </c>
      <c r="F60" s="12">
        <f t="shared" si="33"/>
        <v>-294.50743952568075</v>
      </c>
      <c r="G60" s="12">
        <f t="shared" si="33"/>
        <v>162.1523677710853</v>
      </c>
      <c r="H60" s="12">
        <f t="shared" si="33"/>
        <v>825.83887523706881</v>
      </c>
      <c r="I60" s="12">
        <f t="shared" si="33"/>
        <v>1427.9893779403521</v>
      </c>
      <c r="J60" s="12">
        <f t="shared" si="33"/>
        <v>2058.6171007965895</v>
      </c>
      <c r="K60" s="12">
        <f t="shared" si="33"/>
        <v>2588.5810157665146</v>
      </c>
      <c r="L60" s="12">
        <f t="shared" si="33"/>
        <v>3115.7240498211122</v>
      </c>
      <c r="M60" s="12">
        <f t="shared" si="33"/>
        <v>3653.3848409906527</v>
      </c>
      <c r="N60" s="12">
        <f t="shared" si="33"/>
        <v>4201.7733176769079</v>
      </c>
    </row>
    <row r="61" spans="1:17" ht="13.5" customHeight="1" x14ac:dyDescent="0.3">
      <c r="A61" s="55"/>
      <c r="B61" s="55"/>
      <c r="C61" s="55"/>
      <c r="E61" s="12"/>
      <c r="F61" s="12"/>
      <c r="G61" s="12"/>
      <c r="H61" s="12"/>
      <c r="I61" s="12"/>
      <c r="J61" s="12"/>
    </row>
    <row r="62" spans="1:17" ht="13.5" customHeight="1" x14ac:dyDescent="0.3">
      <c r="A62" s="54" t="s">
        <v>12</v>
      </c>
      <c r="B62" s="55"/>
      <c r="C62" s="55"/>
      <c r="F62" s="14"/>
      <c r="H62" s="12"/>
      <c r="I62" s="12"/>
      <c r="J62" s="12"/>
    </row>
    <row r="63" spans="1:17" ht="13.5" customHeight="1" x14ac:dyDescent="0.3">
      <c r="A63" s="55" t="s">
        <v>13</v>
      </c>
      <c r="B63" s="55"/>
      <c r="C63" s="55"/>
      <c r="E63" s="12"/>
      <c r="F63" s="12"/>
      <c r="G63" s="12"/>
      <c r="H63" s="12"/>
      <c r="I63" s="12"/>
      <c r="J63" s="12"/>
    </row>
    <row r="64" spans="1:17" ht="13.5" customHeight="1" x14ac:dyDescent="0.3">
      <c r="A64" s="55" t="s">
        <v>14</v>
      </c>
      <c r="B64" s="55"/>
      <c r="C64" s="55"/>
      <c r="E64" s="12"/>
      <c r="F64" s="12"/>
      <c r="G64" s="12"/>
      <c r="H64" s="12"/>
      <c r="I64" s="12"/>
      <c r="J64" s="12"/>
    </row>
    <row r="65" spans="1:21" ht="13.5" customHeight="1" x14ac:dyDescent="0.3">
      <c r="A65" s="55"/>
      <c r="B65" s="55" t="s">
        <v>77</v>
      </c>
      <c r="C65" s="55"/>
      <c r="E65" s="12">
        <f t="shared" ref="E65:N65" si="34">E37*E40</f>
        <v>750</v>
      </c>
      <c r="F65" s="12">
        <f t="shared" si="34"/>
        <v>765</v>
      </c>
      <c r="G65" s="12">
        <f t="shared" si="34"/>
        <v>780.29999999999984</v>
      </c>
      <c r="H65" s="12">
        <f t="shared" si="34"/>
        <v>795.90600000000006</v>
      </c>
      <c r="I65" s="12">
        <f t="shared" si="34"/>
        <v>811.82411999999999</v>
      </c>
      <c r="J65" s="12">
        <f t="shared" si="34"/>
        <v>828.06060240000011</v>
      </c>
      <c r="K65" s="12">
        <f t="shared" si="34"/>
        <v>844.62181444800012</v>
      </c>
      <c r="L65" s="12">
        <f t="shared" si="34"/>
        <v>861.51425073695998</v>
      </c>
      <c r="M65" s="12">
        <f t="shared" si="34"/>
        <v>878.74453575169946</v>
      </c>
      <c r="N65" s="12">
        <f t="shared" si="34"/>
        <v>896.31942646673326</v>
      </c>
    </row>
    <row r="66" spans="1:21" ht="18.75" x14ac:dyDescent="0.3">
      <c r="A66" s="55"/>
      <c r="B66" s="55" t="s">
        <v>78</v>
      </c>
      <c r="C66" s="55"/>
      <c r="E66" s="39"/>
      <c r="F66" s="39"/>
      <c r="G66" s="39"/>
      <c r="H66" s="39"/>
      <c r="I66" s="39"/>
      <c r="J66" s="39"/>
      <c r="K66" s="39">
        <v>4327.9623596279762</v>
      </c>
      <c r="L66" s="39">
        <v>9637.8903292457035</v>
      </c>
      <c r="M66" s="39">
        <v>15490.692595626268</v>
      </c>
      <c r="N66" s="39">
        <v>21897.155432437183</v>
      </c>
      <c r="P66" s="3" t="s">
        <v>115</v>
      </c>
      <c r="Q66" s="38"/>
      <c r="U66" s="66" t="s">
        <v>164</v>
      </c>
    </row>
    <row r="67" spans="1:21" ht="13.5" customHeight="1" x14ac:dyDescent="0.3">
      <c r="A67" s="55"/>
      <c r="B67" s="55" t="s">
        <v>79</v>
      </c>
      <c r="C67" s="55"/>
      <c r="E67" s="12">
        <f>(E40/365)*E33</f>
        <v>821.91780821917803</v>
      </c>
      <c r="F67" s="12">
        <f>(F40/365)*F33</f>
        <v>838.35616438356169</v>
      </c>
      <c r="G67" s="12">
        <v>3902</v>
      </c>
      <c r="H67" s="12">
        <f t="shared" ref="H67:N67" si="35">(H40/365)*H33</f>
        <v>872.22575342465757</v>
      </c>
      <c r="I67" s="12">
        <f t="shared" si="35"/>
        <v>889.67026849315062</v>
      </c>
      <c r="J67" s="12">
        <f t="shared" si="35"/>
        <v>907.46367386301381</v>
      </c>
      <c r="K67" s="12">
        <f t="shared" si="35"/>
        <v>925.6129473402741</v>
      </c>
      <c r="L67" s="12">
        <f t="shared" si="35"/>
        <v>944.12520628707944</v>
      </c>
      <c r="M67" s="12">
        <f t="shared" si="35"/>
        <v>963.00771041282133</v>
      </c>
      <c r="N67" s="12">
        <f t="shared" si="35"/>
        <v>982.26786462107759</v>
      </c>
      <c r="P67" s="4" t="s">
        <v>116</v>
      </c>
      <c r="Q67" s="41">
        <f>E53/(E55+E56)</f>
        <v>-0.63249300779999773</v>
      </c>
      <c r="U67" s="61" t="s">
        <v>167</v>
      </c>
    </row>
    <row r="68" spans="1:21" ht="13.5" customHeight="1" x14ac:dyDescent="0.3">
      <c r="A68" s="55"/>
      <c r="B68" s="55" t="s">
        <v>15</v>
      </c>
      <c r="C68" s="55"/>
      <c r="E68" s="29">
        <f t="shared" ref="E68:N68" si="36">E41/365*E31</f>
        <v>410.95890410958901</v>
      </c>
      <c r="F68" s="29">
        <f t="shared" si="36"/>
        <v>419.17808219178085</v>
      </c>
      <c r="G68" s="29">
        <f t="shared" si="36"/>
        <v>427.56164383561639</v>
      </c>
      <c r="H68" s="29">
        <f t="shared" si="36"/>
        <v>436.1128767123289</v>
      </c>
      <c r="I68" s="29">
        <f t="shared" si="36"/>
        <v>444.83513424657536</v>
      </c>
      <c r="J68" s="29">
        <f t="shared" si="36"/>
        <v>453.73183693150685</v>
      </c>
      <c r="K68" s="29">
        <f t="shared" si="36"/>
        <v>462.806473670137</v>
      </c>
      <c r="L68" s="29">
        <f t="shared" si="36"/>
        <v>472.06260314353972</v>
      </c>
      <c r="M68" s="29">
        <f t="shared" si="36"/>
        <v>481.50385520641072</v>
      </c>
      <c r="N68" s="29">
        <f t="shared" si="36"/>
        <v>491.13393231053874</v>
      </c>
      <c r="P68" s="4" t="s">
        <v>117</v>
      </c>
      <c r="Q68" s="4" t="s">
        <v>129</v>
      </c>
      <c r="U68" s="61" t="s">
        <v>168</v>
      </c>
    </row>
    <row r="69" spans="1:21" ht="13.5" customHeight="1" x14ac:dyDescent="0.3">
      <c r="A69" s="55" t="s">
        <v>80</v>
      </c>
      <c r="B69" s="55"/>
      <c r="C69" s="55"/>
      <c r="E69" s="12">
        <f t="shared" ref="E69" si="37">SUM(E65:E68)</f>
        <v>1982.8767123287669</v>
      </c>
      <c r="F69" s="12">
        <f t="shared" ref="F69:N69" si="38">SUM(F65:F68)</f>
        <v>2022.5342465753424</v>
      </c>
      <c r="G69" s="12">
        <f t="shared" si="38"/>
        <v>5109.8616438356166</v>
      </c>
      <c r="H69" s="12">
        <f t="shared" si="38"/>
        <v>2104.2446301369864</v>
      </c>
      <c r="I69" s="12">
        <f t="shared" si="38"/>
        <v>2146.3295227397261</v>
      </c>
      <c r="J69" s="12">
        <f t="shared" si="38"/>
        <v>2189.2561131945208</v>
      </c>
      <c r="K69" s="12">
        <f t="shared" si="38"/>
        <v>6561.0035950863876</v>
      </c>
      <c r="L69" s="12">
        <f t="shared" si="38"/>
        <v>11915.592389413283</v>
      </c>
      <c r="M69" s="12">
        <f t="shared" si="38"/>
        <v>17813.948696997199</v>
      </c>
      <c r="N69" s="12">
        <f t="shared" si="38"/>
        <v>24266.876655835531</v>
      </c>
      <c r="P69" s="4" t="s">
        <v>118</v>
      </c>
      <c r="Q69" s="43">
        <f>Q70+R69</f>
        <v>0.21534999999999999</v>
      </c>
      <c r="R69" s="44">
        <v>0.186</v>
      </c>
    </row>
    <row r="70" spans="1:21" ht="13.15" customHeight="1" x14ac:dyDescent="0.3">
      <c r="A70" s="55"/>
      <c r="B70" s="55"/>
      <c r="C70" s="55"/>
      <c r="E70" s="12"/>
      <c r="F70" s="12"/>
      <c r="G70" s="12"/>
      <c r="H70" s="15"/>
      <c r="I70" s="15"/>
      <c r="J70" s="12"/>
      <c r="K70" s="12"/>
      <c r="L70" s="12"/>
      <c r="M70" s="12"/>
      <c r="N70" s="12"/>
      <c r="P70" s="4" t="s">
        <v>119</v>
      </c>
      <c r="Q70" s="43">
        <v>2.9350000000000001E-2</v>
      </c>
    </row>
    <row r="71" spans="1:21" ht="13.5" customHeight="1" x14ac:dyDescent="0.3">
      <c r="A71" s="55"/>
      <c r="B71" s="55" t="s">
        <v>16</v>
      </c>
      <c r="C71" s="55"/>
      <c r="E71" s="12">
        <f>E13*E14</f>
        <v>480</v>
      </c>
      <c r="F71" s="12">
        <f>E71</f>
        <v>480</v>
      </c>
      <c r="G71" s="12">
        <f t="shared" ref="G71:N71" si="39">F71</f>
        <v>480</v>
      </c>
      <c r="H71" s="12">
        <f t="shared" si="39"/>
        <v>480</v>
      </c>
      <c r="I71" s="12">
        <f t="shared" si="39"/>
        <v>480</v>
      </c>
      <c r="J71" s="12">
        <f t="shared" si="39"/>
        <v>480</v>
      </c>
      <c r="K71" s="12">
        <f t="shared" si="39"/>
        <v>480</v>
      </c>
      <c r="L71" s="12">
        <f t="shared" si="39"/>
        <v>480</v>
      </c>
      <c r="M71" s="12">
        <f t="shared" si="39"/>
        <v>480</v>
      </c>
      <c r="N71" s="12">
        <f t="shared" si="39"/>
        <v>480</v>
      </c>
      <c r="P71" s="4" t="s">
        <v>84</v>
      </c>
      <c r="Q71" s="43">
        <f>Q70+Q69</f>
        <v>0.24469999999999997</v>
      </c>
    </row>
    <row r="72" spans="1:21" ht="13.5" customHeight="1" x14ac:dyDescent="0.3">
      <c r="A72" s="55"/>
      <c r="B72" s="55" t="s">
        <v>111</v>
      </c>
      <c r="C72" s="55"/>
      <c r="E72" s="12">
        <f>E17</f>
        <v>18000</v>
      </c>
      <c r="F72" s="12">
        <f t="shared" ref="F72:N72" si="40">F17</f>
        <v>18000</v>
      </c>
      <c r="G72" s="12">
        <f t="shared" si="40"/>
        <v>18000</v>
      </c>
      <c r="H72" s="12">
        <f t="shared" si="40"/>
        <v>18000</v>
      </c>
      <c r="I72" s="12">
        <f t="shared" si="40"/>
        <v>18000</v>
      </c>
      <c r="J72" s="12">
        <f t="shared" si="40"/>
        <v>18000</v>
      </c>
      <c r="K72" s="12">
        <f t="shared" si="40"/>
        <v>18000</v>
      </c>
      <c r="L72" s="12">
        <f t="shared" si="40"/>
        <v>18000</v>
      </c>
      <c r="M72" s="12">
        <f t="shared" si="40"/>
        <v>18000</v>
      </c>
      <c r="N72" s="12">
        <f t="shared" si="40"/>
        <v>18000</v>
      </c>
      <c r="P72" s="4" t="s">
        <v>85</v>
      </c>
      <c r="Q72" s="43">
        <f>Q71+3%</f>
        <v>0.27469999999999994</v>
      </c>
    </row>
    <row r="73" spans="1:21" ht="13.5" customHeight="1" x14ac:dyDescent="0.3">
      <c r="A73" s="55"/>
      <c r="B73" s="55" t="s">
        <v>17</v>
      </c>
      <c r="C73" s="55"/>
      <c r="E73" s="12">
        <f>C73+E49</f>
        <v>1800</v>
      </c>
      <c r="F73" s="12">
        <f t="shared" ref="F73:N73" si="41">E73+F49</f>
        <v>3600</v>
      </c>
      <c r="G73" s="12">
        <f t="shared" si="41"/>
        <v>5400</v>
      </c>
      <c r="H73" s="12">
        <f t="shared" si="41"/>
        <v>7200</v>
      </c>
      <c r="I73" s="12">
        <f t="shared" si="41"/>
        <v>9000</v>
      </c>
      <c r="J73" s="12">
        <f t="shared" si="41"/>
        <v>10800</v>
      </c>
      <c r="K73" s="12">
        <f t="shared" si="41"/>
        <v>12600</v>
      </c>
      <c r="L73" s="12">
        <f t="shared" si="41"/>
        <v>14400</v>
      </c>
      <c r="M73" s="12">
        <f t="shared" si="41"/>
        <v>16200</v>
      </c>
      <c r="N73" s="12">
        <f t="shared" si="41"/>
        <v>18000</v>
      </c>
    </row>
    <row r="74" spans="1:21" ht="13.5" customHeight="1" x14ac:dyDescent="0.3">
      <c r="A74" s="55"/>
      <c r="B74" s="55" t="s">
        <v>30</v>
      </c>
      <c r="C74" s="55"/>
      <c r="E74" s="12">
        <f>E16*E15</f>
        <v>2400</v>
      </c>
      <c r="F74" s="12">
        <f>E74</f>
        <v>2400</v>
      </c>
      <c r="G74" s="12">
        <f t="shared" ref="G74:N74" si="42">F74</f>
        <v>2400</v>
      </c>
      <c r="H74" s="12">
        <f t="shared" si="42"/>
        <v>2400</v>
      </c>
      <c r="I74" s="12">
        <f t="shared" si="42"/>
        <v>2400</v>
      </c>
      <c r="J74" s="12">
        <f t="shared" si="42"/>
        <v>2400</v>
      </c>
      <c r="K74" s="12">
        <f t="shared" si="42"/>
        <v>2400</v>
      </c>
      <c r="L74" s="12">
        <f t="shared" si="42"/>
        <v>2400</v>
      </c>
      <c r="M74" s="12">
        <f t="shared" si="42"/>
        <v>2400</v>
      </c>
      <c r="N74" s="12">
        <f t="shared" si="42"/>
        <v>2400</v>
      </c>
      <c r="P74" s="3" t="s">
        <v>120</v>
      </c>
    </row>
    <row r="75" spans="1:21" ht="18.75" x14ac:dyDescent="0.3">
      <c r="A75" s="55"/>
      <c r="B75" s="55" t="s">
        <v>17</v>
      </c>
      <c r="C75" s="55"/>
      <c r="E75" s="30">
        <f>C75+E50</f>
        <v>80</v>
      </c>
      <c r="F75" s="30">
        <f t="shared" ref="F75:N75" si="43">E75+F50</f>
        <v>160</v>
      </c>
      <c r="G75" s="30">
        <f t="shared" si="43"/>
        <v>240</v>
      </c>
      <c r="H75" s="30">
        <f t="shared" si="43"/>
        <v>320</v>
      </c>
      <c r="I75" s="30">
        <f t="shared" si="43"/>
        <v>400</v>
      </c>
      <c r="J75" s="30">
        <f t="shared" si="43"/>
        <v>480</v>
      </c>
      <c r="K75" s="30">
        <f t="shared" si="43"/>
        <v>560</v>
      </c>
      <c r="L75" s="30">
        <f t="shared" si="43"/>
        <v>640</v>
      </c>
      <c r="M75" s="30">
        <f t="shared" si="43"/>
        <v>720</v>
      </c>
      <c r="N75" s="30">
        <f t="shared" si="43"/>
        <v>800</v>
      </c>
      <c r="P75" s="4" t="s">
        <v>121</v>
      </c>
      <c r="Q75" s="18">
        <v>0.4284</v>
      </c>
      <c r="U75" s="67" t="s">
        <v>163</v>
      </c>
    </row>
    <row r="76" spans="1:21" ht="13.5" customHeight="1" x14ac:dyDescent="0.3">
      <c r="A76" s="55"/>
      <c r="B76" s="55"/>
      <c r="C76" s="55"/>
      <c r="E76" s="12"/>
      <c r="F76" s="12"/>
      <c r="G76" s="12"/>
      <c r="H76" s="15"/>
      <c r="I76" s="15"/>
      <c r="J76" s="12"/>
      <c r="K76" s="12"/>
      <c r="L76" s="12"/>
      <c r="M76" s="12"/>
      <c r="N76" s="12"/>
      <c r="P76" s="4" t="s">
        <v>122</v>
      </c>
      <c r="Q76" s="4">
        <v>0.78</v>
      </c>
      <c r="U76" s="61" t="s">
        <v>165</v>
      </c>
    </row>
    <row r="77" spans="1:21" ht="13.5" customHeight="1" x14ac:dyDescent="0.3">
      <c r="A77" s="55" t="s">
        <v>81</v>
      </c>
      <c r="B77" s="55"/>
      <c r="C77" s="55"/>
      <c r="E77" s="12">
        <f>E69+E71+E74-E75+E72-E73</f>
        <v>20982.876712328769</v>
      </c>
      <c r="F77" s="12">
        <f t="shared" ref="F77:N77" si="44">F69+F71+F74-F75+F72-F73</f>
        <v>19142.534246575342</v>
      </c>
      <c r="G77" s="12">
        <f t="shared" si="44"/>
        <v>20349.861643835618</v>
      </c>
      <c r="H77" s="12">
        <f t="shared" si="44"/>
        <v>15464.244630136986</v>
      </c>
      <c r="I77" s="12">
        <f t="shared" si="44"/>
        <v>13626.329522739725</v>
      </c>
      <c r="J77" s="12">
        <f t="shared" si="44"/>
        <v>11789.256113194519</v>
      </c>
      <c r="K77" s="12">
        <f t="shared" si="44"/>
        <v>14281.003595086389</v>
      </c>
      <c r="L77" s="12">
        <f t="shared" si="44"/>
        <v>17755.592389413283</v>
      </c>
      <c r="M77" s="12">
        <f t="shared" si="44"/>
        <v>21773.948696997199</v>
      </c>
      <c r="N77" s="12">
        <f t="shared" si="44"/>
        <v>26346.876655835527</v>
      </c>
      <c r="P77" s="4" t="s">
        <v>123</v>
      </c>
      <c r="Q77" s="47">
        <f>(1+(1-Q75)*((Q85+Q86)/(Q90+Q91))*Q76)</f>
        <v>1.3839769217574458</v>
      </c>
      <c r="U77" s="61" t="s">
        <v>166</v>
      </c>
    </row>
    <row r="78" spans="1:21" ht="13.5" customHeight="1" x14ac:dyDescent="0.3">
      <c r="A78" s="55"/>
      <c r="B78" s="55"/>
      <c r="C78" s="55"/>
      <c r="H78" s="12"/>
      <c r="I78" s="12"/>
      <c r="J78" s="12"/>
      <c r="P78" s="4" t="s">
        <v>124</v>
      </c>
      <c r="Q78" s="43">
        <v>9.0499999999999997E-2</v>
      </c>
    </row>
    <row r="79" spans="1:21" ht="13.5" customHeight="1" x14ac:dyDescent="0.3">
      <c r="A79" s="55" t="s">
        <v>18</v>
      </c>
      <c r="B79" s="55"/>
      <c r="C79" s="55"/>
      <c r="E79" s="12"/>
      <c r="F79" s="12"/>
      <c r="G79" s="12"/>
      <c r="H79" s="12"/>
      <c r="I79" s="12"/>
      <c r="J79" s="12"/>
      <c r="P79" s="4" t="s">
        <v>119</v>
      </c>
      <c r="Q79" s="43">
        <f>Q70</f>
        <v>2.9350000000000001E-2</v>
      </c>
    </row>
    <row r="80" spans="1:21" ht="13.5" customHeight="1" x14ac:dyDescent="0.3">
      <c r="A80" s="55" t="s">
        <v>19</v>
      </c>
      <c r="B80" s="55"/>
      <c r="C80" s="55"/>
      <c r="E80" s="12"/>
      <c r="F80" s="12"/>
      <c r="G80" s="12"/>
      <c r="H80" s="12"/>
      <c r="I80" s="12"/>
      <c r="J80" s="12"/>
      <c r="P80" s="4" t="s">
        <v>132</v>
      </c>
      <c r="Q80" s="11">
        <f>Q79+Q77*(Q78-Q79)</f>
        <v>0.11398018876546781</v>
      </c>
    </row>
    <row r="81" spans="1:20" ht="13.5" customHeight="1" x14ac:dyDescent="0.3">
      <c r="A81" s="55"/>
      <c r="B81" s="55" t="s">
        <v>82</v>
      </c>
      <c r="C81" s="55"/>
      <c r="E81" s="12">
        <f t="shared" ref="E81:N81" si="45">E41/365*E32</f>
        <v>410.95890410958901</v>
      </c>
      <c r="F81" s="12">
        <f t="shared" si="45"/>
        <v>419.17808219178085</v>
      </c>
      <c r="G81" s="12">
        <f t="shared" si="45"/>
        <v>427.56164383561639</v>
      </c>
      <c r="H81" s="12">
        <f t="shared" si="45"/>
        <v>436.1128767123289</v>
      </c>
      <c r="I81" s="12">
        <f t="shared" si="45"/>
        <v>444.83513424657536</v>
      </c>
      <c r="J81" s="12">
        <f t="shared" si="45"/>
        <v>453.73183693150685</v>
      </c>
      <c r="K81" s="12">
        <f t="shared" si="45"/>
        <v>462.806473670137</v>
      </c>
      <c r="L81" s="12">
        <f t="shared" si="45"/>
        <v>472.06260314353972</v>
      </c>
      <c r="M81" s="12">
        <f t="shared" si="45"/>
        <v>481.50385520641072</v>
      </c>
      <c r="N81" s="12">
        <f t="shared" si="45"/>
        <v>491.13393231053874</v>
      </c>
    </row>
    <row r="82" spans="1:20" ht="13.5" customHeight="1" x14ac:dyDescent="0.3">
      <c r="A82" s="55"/>
      <c r="B82" s="55" t="s">
        <v>61</v>
      </c>
      <c r="C82" s="55"/>
      <c r="E82" s="30">
        <f t="shared" ref="E82:N82" si="46">E59</f>
        <v>-612.56873631481574</v>
      </c>
      <c r="F82" s="30">
        <f t="shared" si="46"/>
        <v>-220.72600960952002</v>
      </c>
      <c r="G82" s="30">
        <f t="shared" si="46"/>
        <v>121.52917136657268</v>
      </c>
      <c r="H82" s="30">
        <f t="shared" si="46"/>
        <v>618.94572104891586</v>
      </c>
      <c r="I82" s="30">
        <f t="shared" si="46"/>
        <v>1070.2425638727202</v>
      </c>
      <c r="J82" s="30">
        <f t="shared" si="46"/>
        <v>1542.8823757544772</v>
      </c>
      <c r="K82" s="30">
        <f t="shared" si="46"/>
        <v>1940.0771643708449</v>
      </c>
      <c r="L82" s="30">
        <f t="shared" si="46"/>
        <v>2335.1577728190423</v>
      </c>
      <c r="M82" s="30">
        <f t="shared" si="46"/>
        <v>2738.1211789370113</v>
      </c>
      <c r="N82" s="30">
        <f t="shared" si="46"/>
        <v>3149.1247188467241</v>
      </c>
    </row>
    <row r="83" spans="1:20" ht="13.5" customHeight="1" x14ac:dyDescent="0.3">
      <c r="A83" s="55" t="s">
        <v>83</v>
      </c>
      <c r="B83" s="55"/>
      <c r="C83" s="55"/>
      <c r="E83" s="12">
        <f>SUM(E81:E82)</f>
        <v>-201.60983220522672</v>
      </c>
      <c r="F83" s="12">
        <f t="shared" ref="F83:N83" si="47">SUM(F81:F82)</f>
        <v>198.45207258226083</v>
      </c>
      <c r="G83" s="12">
        <f t="shared" si="47"/>
        <v>549.09081520218911</v>
      </c>
      <c r="H83" s="12">
        <f t="shared" si="47"/>
        <v>1055.0585977612448</v>
      </c>
      <c r="I83" s="12">
        <f t="shared" si="47"/>
        <v>1515.0776981192955</v>
      </c>
      <c r="J83" s="12">
        <f t="shared" si="47"/>
        <v>1996.6142126859841</v>
      </c>
      <c r="K83" s="12">
        <f t="shared" si="47"/>
        <v>2402.8836380409821</v>
      </c>
      <c r="L83" s="12">
        <f t="shared" si="47"/>
        <v>2807.2203759625818</v>
      </c>
      <c r="M83" s="12">
        <f t="shared" si="47"/>
        <v>3219.625034143422</v>
      </c>
      <c r="N83" s="12">
        <f t="shared" si="47"/>
        <v>3640.2586511572626</v>
      </c>
    </row>
    <row r="84" spans="1:20" ht="13.5" customHeight="1" x14ac:dyDescent="0.3">
      <c r="A84" s="55"/>
      <c r="B84" s="55"/>
      <c r="C84" s="55"/>
      <c r="E84" s="12"/>
      <c r="F84" s="12"/>
      <c r="G84" s="12"/>
      <c r="H84" s="12"/>
      <c r="I84" s="12"/>
      <c r="J84" s="12"/>
      <c r="P84" s="4" t="s">
        <v>125</v>
      </c>
      <c r="Q84" s="4" t="s">
        <v>126</v>
      </c>
      <c r="R84" s="38" t="s">
        <v>40</v>
      </c>
      <c r="S84" s="4" t="s">
        <v>127</v>
      </c>
      <c r="T84" s="4" t="s">
        <v>128</v>
      </c>
    </row>
    <row r="85" spans="1:20" ht="13.5" customHeight="1" x14ac:dyDescent="0.3">
      <c r="A85" s="55" t="s">
        <v>84</v>
      </c>
      <c r="B85" s="55"/>
      <c r="C85" s="55"/>
      <c r="E85" s="12">
        <f>'Amortization Table'!F13</f>
        <v>1966.1642728608419</v>
      </c>
      <c r="F85" s="12">
        <f>'Amortization Table'!F27</f>
        <v>1930.8692174358471</v>
      </c>
      <c r="G85" s="12">
        <f>'Amortization Table'!F41</f>
        <v>1894.0518931818103</v>
      </c>
      <c r="H85" s="12">
        <f>'Amortization Table'!F55</f>
        <v>1855.6466449422248</v>
      </c>
      <c r="I85" s="12">
        <f>'Amortization Table'!F69</f>
        <v>1815.5849858665392</v>
      </c>
      <c r="J85" s="12">
        <f>'Amortization Table'!F83</f>
        <v>1773.7954752797489</v>
      </c>
      <c r="K85" s="12">
        <f>'Amortization Table'!F97</f>
        <v>1730.2035912845261</v>
      </c>
      <c r="L85" s="12">
        <f>'Amortization Table'!F111</f>
        <v>1684.7315978687041</v>
      </c>
      <c r="M85" s="12">
        <f>'Amortization Table'!F125</f>
        <v>1637.2984062811327</v>
      </c>
      <c r="N85" s="12">
        <f>'Amortization Table'!F139</f>
        <v>1587.8194304287051</v>
      </c>
      <c r="P85" s="12">
        <f>AVERAGE(E85:N85)</f>
        <v>1787.616551543008</v>
      </c>
      <c r="Q85" s="45">
        <f>P85/$P$92</f>
        <v>0.10878226684763784</v>
      </c>
      <c r="R85" s="42">
        <f>Q85+Q71</f>
        <v>0.35348226684763784</v>
      </c>
      <c r="S85" s="45">
        <f>R85*(1-$Q$75)</f>
        <v>0.20205046373010979</v>
      </c>
      <c r="T85" s="4">
        <f>S85*Q85</f>
        <v>2.1979507462177774E-2</v>
      </c>
    </row>
    <row r="86" spans="1:20" ht="13.5" customHeight="1" x14ac:dyDescent="0.3">
      <c r="A86" s="55" t="s">
        <v>85</v>
      </c>
      <c r="B86" s="55"/>
      <c r="C86" s="55"/>
      <c r="E86" s="40">
        <v>15839</v>
      </c>
      <c r="F86" s="40">
        <v>13928.475328307986</v>
      </c>
      <c r="G86" s="40">
        <v>14659.828939431272</v>
      </c>
      <c r="H86" s="40">
        <v>8480.8105161761032</v>
      </c>
      <c r="I86" s="40">
        <v>4794.9485895561129</v>
      </c>
      <c r="J86" s="40">
        <v>459.5110752344217</v>
      </c>
      <c r="K86" s="40">
        <v>0</v>
      </c>
      <c r="L86" s="40">
        <v>0</v>
      </c>
      <c r="M86" s="40">
        <v>0</v>
      </c>
      <c r="N86" s="40">
        <v>0</v>
      </c>
      <c r="P86" s="12">
        <f>AVERAGE(E86:N86)</f>
        <v>5816.25744487059</v>
      </c>
      <c r="Q86" s="45">
        <f>P86/$P$92</f>
        <v>0.35393813560091697</v>
      </c>
      <c r="R86" s="42">
        <f>Q86+Q72</f>
        <v>0.62863813560091697</v>
      </c>
      <c r="S86" s="45">
        <f>R86*(1-$Q$75)</f>
        <v>0.35932955830948415</v>
      </c>
      <c r="T86" s="4">
        <f>S86*Q86</f>
        <v>0.12718043393435979</v>
      </c>
    </row>
    <row r="87" spans="1:20" ht="13.5" customHeight="1" x14ac:dyDescent="0.3">
      <c r="A87" s="55"/>
      <c r="B87" s="55"/>
      <c r="C87" s="55"/>
      <c r="E87" s="12"/>
      <c r="F87" s="12"/>
      <c r="G87" s="12"/>
      <c r="H87" s="15"/>
      <c r="I87" s="15"/>
      <c r="J87" s="12"/>
      <c r="Q87" s="45"/>
    </row>
    <row r="88" spans="1:20" ht="13.5" customHeight="1" x14ac:dyDescent="0.3">
      <c r="A88" s="55" t="s">
        <v>86</v>
      </c>
      <c r="B88" s="55"/>
      <c r="C88" s="55"/>
      <c r="E88" s="12">
        <f t="shared" ref="E88:N88" si="48">SUM(E83,E85,E86)</f>
        <v>17603.554440655615</v>
      </c>
      <c r="F88" s="12">
        <f t="shared" si="48"/>
        <v>16057.796618326094</v>
      </c>
      <c r="G88" s="12">
        <f t="shared" si="48"/>
        <v>17102.971647815273</v>
      </c>
      <c r="H88" s="12">
        <f t="shared" si="48"/>
        <v>11391.515758879574</v>
      </c>
      <c r="I88" s="12">
        <f t="shared" si="48"/>
        <v>8125.6112735419474</v>
      </c>
      <c r="J88" s="12">
        <f t="shared" si="48"/>
        <v>4229.9207632001544</v>
      </c>
      <c r="K88" s="12">
        <f t="shared" si="48"/>
        <v>4133.0872293255079</v>
      </c>
      <c r="L88" s="12">
        <f t="shared" si="48"/>
        <v>4491.9519738312856</v>
      </c>
      <c r="M88" s="12">
        <f t="shared" si="48"/>
        <v>4856.9234404245544</v>
      </c>
      <c r="N88" s="12">
        <f t="shared" si="48"/>
        <v>5228.078081585968</v>
      </c>
      <c r="Q88" s="45"/>
    </row>
    <row r="89" spans="1:20" ht="13.5" customHeight="1" x14ac:dyDescent="0.3">
      <c r="A89" s="55"/>
      <c r="B89" s="55"/>
      <c r="C89" s="55"/>
      <c r="E89" s="12"/>
      <c r="F89" s="12"/>
      <c r="G89" s="12"/>
      <c r="H89" s="12"/>
      <c r="I89" s="12"/>
      <c r="J89" s="12"/>
      <c r="Q89" s="45"/>
    </row>
    <row r="90" spans="1:20" ht="13.5" customHeight="1" x14ac:dyDescent="0.3">
      <c r="A90" s="55" t="s">
        <v>20</v>
      </c>
      <c r="B90" s="55"/>
      <c r="C90" s="55"/>
      <c r="E90" s="12">
        <f>E29</f>
        <v>4196.5753424657541</v>
      </c>
      <c r="F90" s="12">
        <f>E90</f>
        <v>4196.5753424657541</v>
      </c>
      <c r="G90" s="12">
        <f t="shared" ref="G90:N90" si="49">F90</f>
        <v>4196.5753424657541</v>
      </c>
      <c r="H90" s="12">
        <f t="shared" si="49"/>
        <v>4196.5753424657541</v>
      </c>
      <c r="I90" s="12">
        <f t="shared" si="49"/>
        <v>4196.5753424657541</v>
      </c>
      <c r="J90" s="12">
        <f t="shared" si="49"/>
        <v>4196.5753424657541</v>
      </c>
      <c r="K90" s="12">
        <f t="shared" si="49"/>
        <v>4196.5753424657541</v>
      </c>
      <c r="L90" s="12">
        <f t="shared" si="49"/>
        <v>4196.5753424657541</v>
      </c>
      <c r="M90" s="12">
        <f t="shared" si="49"/>
        <v>4196.5753424657541</v>
      </c>
      <c r="N90" s="12">
        <f t="shared" si="49"/>
        <v>4196.5753424657541</v>
      </c>
      <c r="P90" s="12">
        <f>AVERAGE(E90:N90)</f>
        <v>4196.5753424657532</v>
      </c>
      <c r="Q90" s="45">
        <f>(P90+P91)/P92</f>
        <v>0.53727959755144516</v>
      </c>
      <c r="R90" s="11">
        <f>Q80</f>
        <v>0.11398018876546781</v>
      </c>
      <c r="T90" s="4">
        <f>R90*Q90</f>
        <v>6.1239229948748294E-2</v>
      </c>
    </row>
    <row r="91" spans="1:20" ht="13.5" customHeight="1" x14ac:dyDescent="0.3">
      <c r="A91" s="55" t="s">
        <v>87</v>
      </c>
      <c r="B91" s="55"/>
      <c r="C91" s="55"/>
      <c r="E91" s="13">
        <f>C91+E60</f>
        <v>-817.33027469082333</v>
      </c>
      <c r="F91" s="13">
        <f t="shared" ref="F91:N91" si="50">E91+F60</f>
        <v>-1111.8377142165041</v>
      </c>
      <c r="G91" s="13">
        <f t="shared" si="50"/>
        <v>-949.68534644541876</v>
      </c>
      <c r="H91" s="13">
        <f t="shared" si="50"/>
        <v>-123.84647120834995</v>
      </c>
      <c r="I91" s="13">
        <f t="shared" si="50"/>
        <v>1304.1429067320023</v>
      </c>
      <c r="J91" s="13">
        <f t="shared" si="50"/>
        <v>3362.7600075285918</v>
      </c>
      <c r="K91" s="13">
        <f t="shared" si="50"/>
        <v>5951.3410232951064</v>
      </c>
      <c r="L91" s="13">
        <f t="shared" si="50"/>
        <v>9067.0650731162186</v>
      </c>
      <c r="M91" s="13">
        <f t="shared" si="50"/>
        <v>12720.449914106872</v>
      </c>
      <c r="N91" s="13">
        <f t="shared" si="50"/>
        <v>16922.223231783781</v>
      </c>
      <c r="P91" s="12">
        <f>AVERAGE(E91:N91)</f>
        <v>4632.528235000148</v>
      </c>
      <c r="Q91" s="45"/>
      <c r="R91" s="11"/>
    </row>
    <row r="92" spans="1:20" ht="13.5" customHeight="1" x14ac:dyDescent="0.3">
      <c r="A92" s="55"/>
      <c r="B92" s="55"/>
      <c r="C92" s="55"/>
      <c r="E92" s="12"/>
      <c r="F92" s="12"/>
      <c r="G92" s="12"/>
      <c r="H92" s="12"/>
      <c r="I92" s="12"/>
      <c r="J92" s="12"/>
      <c r="P92" s="15">
        <f>SUM(P85:P91)</f>
        <v>16432.9775738795</v>
      </c>
      <c r="Q92" s="46">
        <f>P92/$P$92</f>
        <v>1</v>
      </c>
      <c r="S92" s="48" t="s">
        <v>131</v>
      </c>
      <c r="T92" s="49">
        <f>SUM(T85:T91)</f>
        <v>0.21039917134528585</v>
      </c>
    </row>
    <row r="93" spans="1:20" ht="13.5" customHeight="1" x14ac:dyDescent="0.3">
      <c r="A93" s="55" t="s">
        <v>21</v>
      </c>
      <c r="B93" s="55"/>
      <c r="C93" s="55"/>
      <c r="E93" s="12">
        <f t="shared" ref="E93:N93" si="51">E88+E91+E90</f>
        <v>20982.799508430544</v>
      </c>
      <c r="F93" s="12">
        <f t="shared" si="51"/>
        <v>19142.534246575342</v>
      </c>
      <c r="G93" s="12">
        <f t="shared" si="51"/>
        <v>20349.861643835611</v>
      </c>
      <c r="H93" s="12">
        <f t="shared" si="51"/>
        <v>15464.244630136978</v>
      </c>
      <c r="I93" s="12">
        <f t="shared" si="51"/>
        <v>13626.329522739705</v>
      </c>
      <c r="J93" s="12">
        <f t="shared" si="51"/>
        <v>11789.2561131945</v>
      </c>
      <c r="K93" s="12">
        <f t="shared" si="51"/>
        <v>14281.003595086369</v>
      </c>
      <c r="L93" s="12">
        <f t="shared" si="51"/>
        <v>17755.592389413257</v>
      </c>
      <c r="M93" s="12">
        <f t="shared" si="51"/>
        <v>21773.948696997177</v>
      </c>
      <c r="N93" s="12">
        <f t="shared" si="51"/>
        <v>26346.876655835506</v>
      </c>
    </row>
    <row r="94" spans="1:20" ht="13.5" customHeight="1" x14ac:dyDescent="0.3">
      <c r="A94" s="55"/>
      <c r="B94" s="55"/>
      <c r="C94" s="55"/>
      <c r="H94" s="12"/>
      <c r="I94" s="12"/>
      <c r="J94" s="12"/>
    </row>
    <row r="95" spans="1:20" ht="13.5" customHeight="1" x14ac:dyDescent="0.3">
      <c r="A95" s="55" t="s">
        <v>88</v>
      </c>
      <c r="B95" s="55"/>
      <c r="C95" s="55"/>
      <c r="E95" s="12">
        <f>E77-E93</f>
        <v>7.7203898224979639E-2</v>
      </c>
      <c r="F95" s="12">
        <f t="shared" ref="F95:N95" si="52">F77-F93</f>
        <v>0</v>
      </c>
      <c r="G95" s="12">
        <f t="shared" si="52"/>
        <v>0</v>
      </c>
      <c r="H95" s="12">
        <f t="shared" si="52"/>
        <v>0</v>
      </c>
      <c r="I95" s="12">
        <f t="shared" si="52"/>
        <v>2.0008883439004421E-11</v>
      </c>
      <c r="J95" s="12">
        <f t="shared" si="52"/>
        <v>1.8189894035458565E-11</v>
      </c>
      <c r="K95" s="12">
        <f t="shared" si="52"/>
        <v>2.0008883439004421E-11</v>
      </c>
      <c r="L95" s="12">
        <f t="shared" si="52"/>
        <v>0</v>
      </c>
      <c r="M95" s="12">
        <f t="shared" si="52"/>
        <v>0</v>
      </c>
      <c r="N95" s="12">
        <f t="shared" si="52"/>
        <v>0</v>
      </c>
    </row>
    <row r="96" spans="1:20" ht="15" customHeight="1" x14ac:dyDescent="0.3">
      <c r="A96" s="55"/>
      <c r="B96" s="55"/>
      <c r="C96" s="55"/>
    </row>
    <row r="97" spans="1:16" ht="15" customHeight="1" x14ac:dyDescent="0.3">
      <c r="A97" s="58" t="s">
        <v>133</v>
      </c>
      <c r="B97" s="57"/>
      <c r="C97" s="57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6" ht="15" customHeight="1" x14ac:dyDescent="0.3">
      <c r="A98" s="57"/>
      <c r="B98" s="57"/>
      <c r="C98" s="57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16" ht="15" customHeight="1" x14ac:dyDescent="0.3">
      <c r="A99" s="57" t="s">
        <v>134</v>
      </c>
      <c r="B99" s="57"/>
      <c r="C99" s="57"/>
      <c r="D99" s="50"/>
      <c r="E99" s="60">
        <f>E2</f>
        <v>2018</v>
      </c>
      <c r="F99" s="60">
        <f t="shared" ref="F99:N99" si="53">F2</f>
        <v>2019</v>
      </c>
      <c r="G99" s="60">
        <f t="shared" si="53"/>
        <v>2020</v>
      </c>
      <c r="H99" s="60">
        <f t="shared" si="53"/>
        <v>2021</v>
      </c>
      <c r="I99" s="60">
        <f t="shared" si="53"/>
        <v>2022</v>
      </c>
      <c r="J99" s="60">
        <f t="shared" si="53"/>
        <v>2023</v>
      </c>
      <c r="K99" s="60">
        <f t="shared" si="53"/>
        <v>2024</v>
      </c>
      <c r="L99" s="60">
        <f t="shared" si="53"/>
        <v>2025</v>
      </c>
      <c r="M99" s="60">
        <f t="shared" si="53"/>
        <v>2026</v>
      </c>
      <c r="N99" s="60">
        <f t="shared" si="53"/>
        <v>2027</v>
      </c>
    </row>
    <row r="100" spans="1:16" ht="15" customHeight="1" x14ac:dyDescent="0.3">
      <c r="A100" s="57" t="s">
        <v>160</v>
      </c>
      <c r="B100" s="57"/>
      <c r="C100" s="57"/>
      <c r="D100" s="53">
        <f>D40-D41-D45-D46-D47-D48</f>
        <v>0</v>
      </c>
      <c r="E100" s="53">
        <f>E40-E41-E45-E46-E47-E48</f>
        <v>1326</v>
      </c>
      <c r="F100" s="53">
        <f t="shared" ref="F100:N100" si="54">F40-F41-F45-F46-F47-F48</f>
        <v>2143.6799999999998</v>
      </c>
      <c r="G100" s="53">
        <f t="shared" si="54"/>
        <v>2977.6403999999857</v>
      </c>
      <c r="H100" s="53">
        <f t="shared" si="54"/>
        <v>3828.204612</v>
      </c>
      <c r="I100" s="53">
        <f t="shared" si="54"/>
        <v>4695.7024503599951</v>
      </c>
      <c r="J100" s="53">
        <f t="shared" si="54"/>
        <v>5580.4702578708029</v>
      </c>
      <c r="K100" s="53">
        <f t="shared" si="54"/>
        <v>6482.8510342869286</v>
      </c>
      <c r="L100" s="53">
        <f t="shared" si="54"/>
        <v>7403.1945673691298</v>
      </c>
      <c r="M100" s="53">
        <f t="shared" si="54"/>
        <v>8341.857566484885</v>
      </c>
      <c r="N100" s="53">
        <f t="shared" si="54"/>
        <v>9299.2037988159955</v>
      </c>
      <c r="P100" s="68"/>
    </row>
    <row r="101" spans="1:16" ht="15" customHeight="1" x14ac:dyDescent="0.3">
      <c r="A101" s="57" t="s">
        <v>135</v>
      </c>
      <c r="B101" s="57"/>
      <c r="C101" s="57"/>
      <c r="D101" s="53">
        <f>D49+D50</f>
        <v>0</v>
      </c>
      <c r="E101" s="53">
        <f>E49+E50</f>
        <v>1880</v>
      </c>
      <c r="F101" s="53">
        <f t="shared" ref="F101:N101" si="55">F49+F50</f>
        <v>1880</v>
      </c>
      <c r="G101" s="53">
        <f t="shared" si="55"/>
        <v>1880</v>
      </c>
      <c r="H101" s="53">
        <f t="shared" si="55"/>
        <v>1880</v>
      </c>
      <c r="I101" s="53">
        <f t="shared" si="55"/>
        <v>1880</v>
      </c>
      <c r="J101" s="53">
        <f t="shared" si="55"/>
        <v>1880</v>
      </c>
      <c r="K101" s="53">
        <f t="shared" si="55"/>
        <v>1880</v>
      </c>
      <c r="L101" s="53">
        <f t="shared" si="55"/>
        <v>1880</v>
      </c>
      <c r="M101" s="53">
        <f t="shared" si="55"/>
        <v>1880</v>
      </c>
      <c r="N101" s="53">
        <f t="shared" si="55"/>
        <v>1880</v>
      </c>
    </row>
    <row r="102" spans="1:16" ht="15" customHeight="1" x14ac:dyDescent="0.3">
      <c r="A102" s="57" t="s">
        <v>136</v>
      </c>
      <c r="B102" s="57"/>
      <c r="C102" s="57"/>
      <c r="D102" s="53">
        <f>D100-D101</f>
        <v>0</v>
      </c>
      <c r="E102" s="53">
        <f>E100-E101</f>
        <v>-554</v>
      </c>
      <c r="F102" s="53">
        <f t="shared" ref="F102:N102" si="56">F100-F101</f>
        <v>263.67999999999984</v>
      </c>
      <c r="G102" s="53">
        <f t="shared" si="56"/>
        <v>1097.6403999999857</v>
      </c>
      <c r="H102" s="53">
        <f t="shared" si="56"/>
        <v>1948.204612</v>
      </c>
      <c r="I102" s="53">
        <f t="shared" si="56"/>
        <v>2815.7024503599951</v>
      </c>
      <c r="J102" s="53">
        <f t="shared" si="56"/>
        <v>3700.4702578708029</v>
      </c>
      <c r="K102" s="53">
        <f t="shared" si="56"/>
        <v>4602.8510342869286</v>
      </c>
      <c r="L102" s="53">
        <f t="shared" si="56"/>
        <v>5523.1945673691298</v>
      </c>
      <c r="M102" s="53">
        <f t="shared" si="56"/>
        <v>6461.857566484885</v>
      </c>
      <c r="N102" s="53">
        <f t="shared" si="56"/>
        <v>7419.2037988159955</v>
      </c>
    </row>
    <row r="103" spans="1:16" ht="15" customHeight="1" x14ac:dyDescent="0.3">
      <c r="A103" s="57" t="s">
        <v>137</v>
      </c>
      <c r="B103" s="57"/>
      <c r="C103" s="57"/>
      <c r="D103" s="53">
        <f>D102*D35</f>
        <v>0</v>
      </c>
      <c r="E103" s="53">
        <v>0</v>
      </c>
      <c r="F103" s="53">
        <f t="shared" ref="F103:N103" si="57">F102*F35</f>
        <v>112.96051199999994</v>
      </c>
      <c r="G103" s="53">
        <f t="shared" si="57"/>
        <v>470.22914735999387</v>
      </c>
      <c r="H103" s="53">
        <f t="shared" si="57"/>
        <v>834.61085578079997</v>
      </c>
      <c r="I103" s="53">
        <f t="shared" si="57"/>
        <v>1206.2469297342218</v>
      </c>
      <c r="J103" s="53">
        <f t="shared" si="57"/>
        <v>1585.2814584718519</v>
      </c>
      <c r="K103" s="53">
        <f t="shared" si="57"/>
        <v>1971.8613830885201</v>
      </c>
      <c r="L103" s="53">
        <f t="shared" si="57"/>
        <v>2366.1365526609352</v>
      </c>
      <c r="M103" s="53">
        <f t="shared" si="57"/>
        <v>2768.2597814821247</v>
      </c>
      <c r="N103" s="53">
        <f t="shared" si="57"/>
        <v>3178.3869074127724</v>
      </c>
    </row>
    <row r="104" spans="1:16" ht="15" customHeight="1" x14ac:dyDescent="0.3">
      <c r="A104" s="57"/>
      <c r="B104" s="57" t="s">
        <v>134</v>
      </c>
      <c r="C104" s="57"/>
      <c r="D104" s="53">
        <f>D100-D103</f>
        <v>0</v>
      </c>
      <c r="E104" s="53">
        <f>E100-E103</f>
        <v>1326</v>
      </c>
      <c r="F104" s="53">
        <f t="shared" ref="F104:N104" si="58">F100-F103</f>
        <v>2030.719488</v>
      </c>
      <c r="G104" s="53">
        <f t="shared" si="58"/>
        <v>2507.4112526399917</v>
      </c>
      <c r="H104" s="53">
        <f t="shared" si="58"/>
        <v>2993.5937562192003</v>
      </c>
      <c r="I104" s="53">
        <f t="shared" si="58"/>
        <v>3489.4555206257733</v>
      </c>
      <c r="J104" s="53">
        <f t="shared" si="58"/>
        <v>3995.1887993989512</v>
      </c>
      <c r="K104" s="53">
        <f t="shared" si="58"/>
        <v>4510.989651198408</v>
      </c>
      <c r="L104" s="53">
        <f t="shared" si="58"/>
        <v>5037.0580147081946</v>
      </c>
      <c r="M104" s="53">
        <f t="shared" si="58"/>
        <v>5573.5977850027602</v>
      </c>
      <c r="N104" s="53">
        <f t="shared" si="58"/>
        <v>6120.8168914032231</v>
      </c>
    </row>
    <row r="105" spans="1:16" ht="15" customHeight="1" x14ac:dyDescent="0.3">
      <c r="A105" s="57"/>
      <c r="B105" s="57"/>
      <c r="C105" s="57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</row>
    <row r="106" spans="1:16" ht="15" customHeight="1" x14ac:dyDescent="0.3">
      <c r="A106" s="57" t="s">
        <v>138</v>
      </c>
      <c r="B106" s="57"/>
      <c r="C106" s="57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</row>
    <row r="107" spans="1:16" ht="15" customHeight="1" x14ac:dyDescent="0.3">
      <c r="A107" s="57"/>
      <c r="B107" s="57" t="s">
        <v>139</v>
      </c>
      <c r="C107" s="57"/>
      <c r="D107" s="53">
        <f>-(E65-D65)</f>
        <v>-750</v>
      </c>
      <c r="E107" s="53">
        <f t="shared" ref="E107:N107" si="59">-(F65-E65)</f>
        <v>-15</v>
      </c>
      <c r="F107" s="53">
        <f t="shared" si="59"/>
        <v>-15.299999999999841</v>
      </c>
      <c r="G107" s="53">
        <f t="shared" si="59"/>
        <v>-15.606000000000222</v>
      </c>
      <c r="H107" s="53">
        <f t="shared" si="59"/>
        <v>-15.918119999999931</v>
      </c>
      <c r="I107" s="53">
        <f t="shared" si="59"/>
        <v>-16.236482400000114</v>
      </c>
      <c r="J107" s="53">
        <f t="shared" si="59"/>
        <v>-16.561212048000016</v>
      </c>
      <c r="K107" s="53">
        <f t="shared" si="59"/>
        <v>-16.892436288959857</v>
      </c>
      <c r="L107" s="53">
        <f t="shared" si="59"/>
        <v>-17.230285014739479</v>
      </c>
      <c r="M107" s="53">
        <f t="shared" si="59"/>
        <v>-17.574890715033803</v>
      </c>
      <c r="N107" s="53">
        <f t="shared" si="59"/>
        <v>896.31942646673326</v>
      </c>
      <c r="O107" s="4">
        <f t="shared" ref="O107:O112" si="60">SUM(D107:N107)</f>
        <v>0</v>
      </c>
    </row>
    <row r="108" spans="1:16" ht="15" customHeight="1" x14ac:dyDescent="0.3">
      <c r="A108" s="57"/>
      <c r="B108" s="57" t="s">
        <v>78</v>
      </c>
      <c r="C108" s="57"/>
      <c r="D108" s="53">
        <f>-(E66-D66)</f>
        <v>0</v>
      </c>
      <c r="E108" s="53">
        <f t="shared" ref="E108:N108" si="61">-(F66-E66)</f>
        <v>0</v>
      </c>
      <c r="F108" s="53">
        <f t="shared" si="61"/>
        <v>0</v>
      </c>
      <c r="G108" s="53">
        <f t="shared" si="61"/>
        <v>0</v>
      </c>
      <c r="H108" s="53">
        <f t="shared" si="61"/>
        <v>0</v>
      </c>
      <c r="I108" s="53">
        <f t="shared" si="61"/>
        <v>0</v>
      </c>
      <c r="J108" s="53">
        <f t="shared" si="61"/>
        <v>-4327.9623596279762</v>
      </c>
      <c r="K108" s="53">
        <f t="shared" si="61"/>
        <v>-5309.9279696177273</v>
      </c>
      <c r="L108" s="53">
        <f t="shared" si="61"/>
        <v>-5852.8022663805641</v>
      </c>
      <c r="M108" s="53">
        <f t="shared" si="61"/>
        <v>-6406.4628368109152</v>
      </c>
      <c r="N108" s="53">
        <f t="shared" si="61"/>
        <v>21897.155432437183</v>
      </c>
      <c r="O108" s="4">
        <f t="shared" si="60"/>
        <v>0</v>
      </c>
    </row>
    <row r="109" spans="1:16" ht="15" customHeight="1" x14ac:dyDescent="0.3">
      <c r="A109" s="57"/>
      <c r="B109" s="57" t="s">
        <v>79</v>
      </c>
      <c r="C109" s="57"/>
      <c r="D109" s="53">
        <f>-(E67-D67)</f>
        <v>-821.91780821917803</v>
      </c>
      <c r="E109" s="53">
        <f t="shared" ref="E109:N109" si="62">-(F67-E67)</f>
        <v>-16.438356164383663</v>
      </c>
      <c r="F109" s="53">
        <f t="shared" si="62"/>
        <v>-3063.6438356164381</v>
      </c>
      <c r="G109" s="53">
        <f t="shared" si="62"/>
        <v>3029.7742465753427</v>
      </c>
      <c r="H109" s="53">
        <f t="shared" si="62"/>
        <v>-17.444515068493047</v>
      </c>
      <c r="I109" s="53">
        <f t="shared" si="62"/>
        <v>-17.793405369863194</v>
      </c>
      <c r="J109" s="53">
        <f t="shared" si="62"/>
        <v>-18.149273477260294</v>
      </c>
      <c r="K109" s="53">
        <f t="shared" si="62"/>
        <v>-18.512258946805332</v>
      </c>
      <c r="L109" s="53">
        <f t="shared" si="62"/>
        <v>-18.882504125741889</v>
      </c>
      <c r="M109" s="53">
        <f t="shared" si="62"/>
        <v>-19.260154208256267</v>
      </c>
      <c r="N109" s="53">
        <f t="shared" si="62"/>
        <v>982.26786462107759</v>
      </c>
      <c r="O109" s="4">
        <f t="shared" si="60"/>
        <v>0</v>
      </c>
    </row>
    <row r="110" spans="1:16" ht="15" customHeight="1" x14ac:dyDescent="0.3">
      <c r="A110" s="57"/>
      <c r="B110" s="57" t="s">
        <v>140</v>
      </c>
      <c r="C110" s="57"/>
      <c r="D110" s="53">
        <f>-(E68-D68)</f>
        <v>-410.95890410958901</v>
      </c>
      <c r="E110" s="53">
        <f t="shared" ref="E110:N110" si="63">-(F68-E68)</f>
        <v>-8.2191780821918314</v>
      </c>
      <c r="F110" s="53">
        <f t="shared" si="63"/>
        <v>-8.3835616438355487</v>
      </c>
      <c r="G110" s="53">
        <f t="shared" si="63"/>
        <v>-8.5512328767125041</v>
      </c>
      <c r="H110" s="53">
        <f t="shared" si="63"/>
        <v>-8.7222575342464665</v>
      </c>
      <c r="I110" s="53">
        <f t="shared" si="63"/>
        <v>-8.8967026849314834</v>
      </c>
      <c r="J110" s="53">
        <f t="shared" si="63"/>
        <v>-9.0746367386301472</v>
      </c>
      <c r="K110" s="53">
        <f t="shared" si="63"/>
        <v>-9.2561294734027229</v>
      </c>
      <c r="L110" s="53">
        <f t="shared" si="63"/>
        <v>-9.4412520628710013</v>
      </c>
      <c r="M110" s="53">
        <f t="shared" si="63"/>
        <v>-9.63007710412802</v>
      </c>
      <c r="N110" s="53">
        <f t="shared" si="63"/>
        <v>491.13393231053874</v>
      </c>
      <c r="O110" s="4">
        <f t="shared" si="60"/>
        <v>0</v>
      </c>
    </row>
    <row r="111" spans="1:16" ht="15" customHeight="1" x14ac:dyDescent="0.3">
      <c r="A111" s="57"/>
      <c r="B111" s="57" t="s">
        <v>141</v>
      </c>
      <c r="C111" s="57"/>
      <c r="D111" s="53">
        <f>(E81-D81)</f>
        <v>410.95890410958901</v>
      </c>
      <c r="E111" s="53">
        <f t="shared" ref="E111:N111" si="64">(F81-E81)</f>
        <v>8.2191780821918314</v>
      </c>
      <c r="F111" s="53">
        <f t="shared" si="64"/>
        <v>8.3835616438355487</v>
      </c>
      <c r="G111" s="53">
        <f t="shared" si="64"/>
        <v>8.5512328767125041</v>
      </c>
      <c r="H111" s="53">
        <f t="shared" si="64"/>
        <v>8.7222575342464665</v>
      </c>
      <c r="I111" s="53">
        <f t="shared" si="64"/>
        <v>8.8967026849314834</v>
      </c>
      <c r="J111" s="53">
        <f t="shared" si="64"/>
        <v>9.0746367386301472</v>
      </c>
      <c r="K111" s="53">
        <f t="shared" si="64"/>
        <v>9.2561294734027229</v>
      </c>
      <c r="L111" s="53">
        <f t="shared" si="64"/>
        <v>9.4412520628710013</v>
      </c>
      <c r="M111" s="53">
        <f t="shared" si="64"/>
        <v>9.63007710412802</v>
      </c>
      <c r="N111" s="53">
        <f t="shared" si="64"/>
        <v>-491.13393231053874</v>
      </c>
      <c r="O111" s="4">
        <f t="shared" si="60"/>
        <v>0</v>
      </c>
    </row>
    <row r="112" spans="1:16" ht="15" customHeight="1" x14ac:dyDescent="0.3">
      <c r="A112" s="57"/>
      <c r="B112" s="57" t="s">
        <v>142</v>
      </c>
      <c r="C112" s="57"/>
      <c r="D112" s="53">
        <f>(E103-D103)</f>
        <v>0</v>
      </c>
      <c r="E112" s="53">
        <f t="shared" ref="E112:N112" si="65">(F103-E103)</f>
        <v>112.96051199999994</v>
      </c>
      <c r="F112" s="53">
        <f t="shared" si="65"/>
        <v>357.26863535999394</v>
      </c>
      <c r="G112" s="53">
        <f t="shared" si="65"/>
        <v>364.38170842080609</v>
      </c>
      <c r="H112" s="53">
        <f t="shared" si="65"/>
        <v>371.63607395342183</v>
      </c>
      <c r="I112" s="53">
        <f t="shared" si="65"/>
        <v>379.03452873763013</v>
      </c>
      <c r="J112" s="53">
        <f t="shared" si="65"/>
        <v>386.57992461666822</v>
      </c>
      <c r="K112" s="53">
        <f t="shared" si="65"/>
        <v>394.27516957241505</v>
      </c>
      <c r="L112" s="53">
        <f t="shared" si="65"/>
        <v>402.12322882118951</v>
      </c>
      <c r="M112" s="53">
        <f t="shared" si="65"/>
        <v>410.12712593064771</v>
      </c>
      <c r="N112" s="53">
        <f t="shared" si="65"/>
        <v>-3178.3869074127724</v>
      </c>
      <c r="O112" s="4">
        <f t="shared" si="60"/>
        <v>0</v>
      </c>
    </row>
    <row r="113" spans="1:21" ht="15" customHeight="1" x14ac:dyDescent="0.3">
      <c r="A113" s="57"/>
      <c r="B113" s="57"/>
      <c r="C113" s="57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</row>
    <row r="114" spans="1:21" ht="15" customHeight="1" x14ac:dyDescent="0.3">
      <c r="A114" s="57"/>
      <c r="B114" s="57" t="s">
        <v>16</v>
      </c>
      <c r="C114" s="57"/>
      <c r="D114" s="53">
        <f>-(E71-D71)</f>
        <v>-480</v>
      </c>
      <c r="E114" s="53">
        <f t="shared" ref="E114:N114" si="66">-(F71-E71)</f>
        <v>0</v>
      </c>
      <c r="F114" s="53">
        <f t="shared" si="66"/>
        <v>0</v>
      </c>
      <c r="G114" s="53">
        <f t="shared" si="66"/>
        <v>0</v>
      </c>
      <c r="H114" s="53">
        <f t="shared" si="66"/>
        <v>0</v>
      </c>
      <c r="I114" s="53">
        <f t="shared" si="66"/>
        <v>0</v>
      </c>
      <c r="J114" s="53">
        <f t="shared" si="66"/>
        <v>0</v>
      </c>
      <c r="K114" s="53">
        <f t="shared" si="66"/>
        <v>0</v>
      </c>
      <c r="L114" s="53">
        <f t="shared" si="66"/>
        <v>0</v>
      </c>
      <c r="M114" s="53">
        <f t="shared" si="66"/>
        <v>0</v>
      </c>
      <c r="N114" s="53">
        <f t="shared" si="66"/>
        <v>480</v>
      </c>
    </row>
    <row r="115" spans="1:21" ht="15" customHeight="1" x14ac:dyDescent="0.3">
      <c r="A115" s="57"/>
      <c r="B115" s="57"/>
      <c r="C115" s="57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</row>
    <row r="116" spans="1:21" ht="15" customHeight="1" x14ac:dyDescent="0.3">
      <c r="A116" s="57"/>
      <c r="B116" s="57" t="s">
        <v>30</v>
      </c>
      <c r="C116" s="57"/>
      <c r="D116" s="53">
        <f>-(E74-D74)</f>
        <v>-2400</v>
      </c>
      <c r="E116" s="53">
        <f t="shared" ref="E116:N116" si="67">-(F74-E74)</f>
        <v>0</v>
      </c>
      <c r="F116" s="53">
        <f t="shared" si="67"/>
        <v>0</v>
      </c>
      <c r="G116" s="53">
        <f t="shared" si="67"/>
        <v>0</v>
      </c>
      <c r="H116" s="53">
        <f t="shared" si="67"/>
        <v>0</v>
      </c>
      <c r="I116" s="53">
        <f t="shared" si="67"/>
        <v>0</v>
      </c>
      <c r="J116" s="53">
        <f t="shared" si="67"/>
        <v>0</v>
      </c>
      <c r="K116" s="53">
        <f t="shared" si="67"/>
        <v>0</v>
      </c>
      <c r="L116" s="53">
        <f t="shared" si="67"/>
        <v>0</v>
      </c>
      <c r="M116" s="53">
        <f t="shared" si="67"/>
        <v>0</v>
      </c>
      <c r="N116" s="53">
        <f t="shared" si="67"/>
        <v>2400</v>
      </c>
    </row>
    <row r="117" spans="1:21" ht="15" customHeight="1" x14ac:dyDescent="0.3">
      <c r="A117" s="57"/>
      <c r="B117" s="57"/>
      <c r="C117" s="57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</row>
    <row r="118" spans="1:21" ht="15" customHeight="1" x14ac:dyDescent="0.3">
      <c r="A118" s="57"/>
      <c r="B118" s="57" t="s">
        <v>111</v>
      </c>
      <c r="C118" s="57"/>
      <c r="D118" s="53">
        <f>-(E72-D72)</f>
        <v>-18000</v>
      </c>
      <c r="E118" s="53">
        <f t="shared" ref="E118:N118" si="68">-(F72-E72)</f>
        <v>0</v>
      </c>
      <c r="F118" s="53">
        <f t="shared" si="68"/>
        <v>0</v>
      </c>
      <c r="G118" s="53">
        <f t="shared" si="68"/>
        <v>0</v>
      </c>
      <c r="H118" s="53">
        <f t="shared" si="68"/>
        <v>0</v>
      </c>
      <c r="I118" s="53">
        <f t="shared" si="68"/>
        <v>0</v>
      </c>
      <c r="J118" s="53">
        <f t="shared" si="68"/>
        <v>0</v>
      </c>
      <c r="K118" s="53">
        <f t="shared" si="68"/>
        <v>0</v>
      </c>
      <c r="L118" s="53">
        <f t="shared" si="68"/>
        <v>0</v>
      </c>
      <c r="M118" s="53">
        <f t="shared" si="68"/>
        <v>0</v>
      </c>
      <c r="N118" s="53">
        <f t="shared" si="68"/>
        <v>18000</v>
      </c>
    </row>
    <row r="119" spans="1:21" ht="15" customHeight="1" x14ac:dyDescent="0.3">
      <c r="A119" s="57"/>
      <c r="B119" s="57"/>
      <c r="C119" s="57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</row>
    <row r="120" spans="1:21" ht="15" customHeight="1" x14ac:dyDescent="0.3">
      <c r="A120" s="57" t="s">
        <v>143</v>
      </c>
      <c r="B120" s="57"/>
      <c r="C120" s="57"/>
      <c r="D120" s="59">
        <f>SUM(D104:D118)</f>
        <v>-22451.917808219179</v>
      </c>
      <c r="E120" s="59">
        <f t="shared" ref="E120:N120" si="69">SUM(E104:E118)</f>
        <v>1407.5221558356163</v>
      </c>
      <c r="F120" s="59">
        <f t="shared" si="69"/>
        <v>-690.95571225644414</v>
      </c>
      <c r="G120" s="59">
        <f t="shared" si="69"/>
        <v>5885.96120763614</v>
      </c>
      <c r="H120" s="59">
        <f t="shared" si="69"/>
        <v>3331.8671951041297</v>
      </c>
      <c r="I120" s="59">
        <f t="shared" si="69"/>
        <v>3834.4601615935399</v>
      </c>
      <c r="J120" s="59">
        <f>SUM(J104:J118)</f>
        <v>19.095878862382961</v>
      </c>
      <c r="K120" s="59">
        <f t="shared" si="69"/>
        <v>-440.06784408266981</v>
      </c>
      <c r="L120" s="59">
        <f t="shared" si="69"/>
        <v>-449.7338119916617</v>
      </c>
      <c r="M120" s="59">
        <f t="shared" si="69"/>
        <v>-459.57297080079707</v>
      </c>
      <c r="N120" s="59">
        <f t="shared" si="69"/>
        <v>47598.172707515449</v>
      </c>
    </row>
    <row r="121" spans="1:21" ht="15" customHeight="1" x14ac:dyDescent="0.3">
      <c r="A121" s="57" t="s">
        <v>147</v>
      </c>
      <c r="B121" s="57"/>
      <c r="C121" s="57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9">
        <f>N120*(1+D126)/(D127-D126)</f>
        <v>242790.08048966926</v>
      </c>
    </row>
    <row r="122" spans="1:21" ht="15" customHeight="1" x14ac:dyDescent="0.3">
      <c r="A122" s="57"/>
      <c r="B122" s="57"/>
      <c r="C122" s="57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U122" s="66" t="s">
        <v>152</v>
      </c>
    </row>
    <row r="123" spans="1:21" ht="15" customHeight="1" x14ac:dyDescent="0.3">
      <c r="A123" s="57" t="s">
        <v>161</v>
      </c>
      <c r="B123" s="57"/>
      <c r="C123" s="57"/>
      <c r="D123" s="59">
        <v>831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U123" s="61" t="s">
        <v>150</v>
      </c>
    </row>
    <row r="124" spans="1:21" ht="15" customHeight="1" x14ac:dyDescent="0.3">
      <c r="A124" s="57" t="s">
        <v>146</v>
      </c>
      <c r="B124" s="57"/>
      <c r="C124" s="57"/>
      <c r="D124" s="53">
        <f>SUM(D120:D123)</f>
        <v>-21620.917808219179</v>
      </c>
      <c r="E124" s="53">
        <f t="shared" ref="E124:M124" si="70">SUM(E120:E123)</f>
        <v>1407.5221558356163</v>
      </c>
      <c r="F124" s="53">
        <f t="shared" si="70"/>
        <v>-690.95571225644414</v>
      </c>
      <c r="G124" s="53">
        <f t="shared" si="70"/>
        <v>5885.96120763614</v>
      </c>
      <c r="H124" s="53">
        <f t="shared" si="70"/>
        <v>3331.8671951041297</v>
      </c>
      <c r="I124" s="53">
        <f t="shared" si="70"/>
        <v>3834.4601615935399</v>
      </c>
      <c r="J124" s="53">
        <f t="shared" si="70"/>
        <v>19.095878862382961</v>
      </c>
      <c r="K124" s="53">
        <f t="shared" si="70"/>
        <v>-440.06784408266981</v>
      </c>
      <c r="L124" s="53">
        <f t="shared" si="70"/>
        <v>-449.7338119916617</v>
      </c>
      <c r="M124" s="53">
        <f t="shared" si="70"/>
        <v>-459.57297080079707</v>
      </c>
      <c r="N124" s="53">
        <f>SUM(N120:N123)</f>
        <v>290388.25319718471</v>
      </c>
      <c r="U124" s="61" t="s">
        <v>151</v>
      </c>
    </row>
    <row r="125" spans="1:21" ht="15" customHeight="1" x14ac:dyDescent="0.3">
      <c r="A125" s="57"/>
      <c r="B125" s="57"/>
      <c r="C125" s="57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21" ht="15" customHeight="1" x14ac:dyDescent="0.3">
      <c r="A126" s="57" t="s">
        <v>148</v>
      </c>
      <c r="B126" s="57"/>
      <c r="C126" s="57"/>
      <c r="D126" s="52">
        <v>1.2E-2</v>
      </c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U126" s="66" t="s">
        <v>153</v>
      </c>
    </row>
    <row r="127" spans="1:21" ht="15" customHeight="1" x14ac:dyDescent="0.3">
      <c r="A127" s="57" t="s">
        <v>131</v>
      </c>
      <c r="B127" s="57"/>
      <c r="C127" s="57"/>
      <c r="D127" s="69">
        <f>T92</f>
        <v>0.21039917134528585</v>
      </c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U127" s="61" t="s">
        <v>154</v>
      </c>
    </row>
    <row r="128" spans="1:21" ht="15" customHeight="1" x14ac:dyDescent="0.3">
      <c r="A128" s="57"/>
      <c r="B128" s="57"/>
      <c r="C128" s="57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U128" s="61" t="s">
        <v>162</v>
      </c>
    </row>
    <row r="129" spans="1:14" ht="15" customHeight="1" x14ac:dyDescent="0.3">
      <c r="A129" s="57" t="s">
        <v>145</v>
      </c>
      <c r="B129" s="57"/>
      <c r="C129" s="57"/>
      <c r="D129" s="53">
        <f>NPV(D127,E124:N124)+D124</f>
        <v>28150.361062641517</v>
      </c>
      <c r="E129" s="53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15" customHeight="1" x14ac:dyDescent="0.3">
      <c r="A130" s="57" t="s">
        <v>144</v>
      </c>
      <c r="B130" s="57"/>
      <c r="C130" s="57"/>
      <c r="D130" s="51">
        <f>IRR(D124:N124)</f>
        <v>0.33120008049454719</v>
      </c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15" customHeight="1" x14ac:dyDescent="0.25">
      <c r="A131" s="50" t="s">
        <v>149</v>
      </c>
      <c r="B131" s="50"/>
      <c r="C131" s="50"/>
      <c r="D131" s="53">
        <f>D124+D129</f>
        <v>6529.4432544223382</v>
      </c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40"/>
  <sheetViews>
    <sheetView workbookViewId="0">
      <selection activeCell="I10" sqref="I10"/>
    </sheetView>
  </sheetViews>
  <sheetFormatPr defaultColWidth="11.5703125" defaultRowHeight="15" x14ac:dyDescent="0.25"/>
  <cols>
    <col min="1" max="1" width="22.7109375" customWidth="1"/>
    <col min="2" max="6" width="16.7109375" customWidth="1"/>
    <col min="7" max="7" width="6.28515625" customWidth="1"/>
    <col min="9" max="9" width="17.42578125" customWidth="1"/>
  </cols>
  <sheetData>
    <row r="1" spans="1:9" x14ac:dyDescent="0.25">
      <c r="A1" s="20"/>
      <c r="B1" s="33" t="s">
        <v>35</v>
      </c>
      <c r="C1" s="33" t="s">
        <v>36</v>
      </c>
      <c r="D1" s="33" t="s">
        <v>37</v>
      </c>
      <c r="E1" s="33" t="s">
        <v>38</v>
      </c>
      <c r="F1" s="33" t="s">
        <v>39</v>
      </c>
      <c r="G1" s="20"/>
      <c r="H1" s="32" t="s">
        <v>40</v>
      </c>
      <c r="I1" s="21">
        <f>Forecasts!E23</f>
        <v>4.2299999999999997E-2</v>
      </c>
    </row>
    <row r="2" spans="1:9" x14ac:dyDescent="0.25">
      <c r="A2" s="22" t="s">
        <v>41</v>
      </c>
      <c r="B2" s="23">
        <f>+I7</f>
        <v>2000</v>
      </c>
      <c r="C2" s="23">
        <f t="shared" ref="C2:C13" si="0">+E2-D2</f>
        <v>2.7653948453997499</v>
      </c>
      <c r="D2" s="23">
        <f t="shared" ref="D2:D13" si="1">B2*$I$2</f>
        <v>7.05</v>
      </c>
      <c r="E2" s="23">
        <f t="shared" ref="E2:E13" si="2">-$I$9</f>
        <v>9.8153948453997497</v>
      </c>
      <c r="F2" s="23">
        <f t="shared" ref="F2:F13" si="3">+B2-C2</f>
        <v>1997.2346051546003</v>
      </c>
      <c r="G2" s="20"/>
      <c r="H2" s="32" t="s">
        <v>42</v>
      </c>
      <c r="I2" s="21">
        <f>+I1/12</f>
        <v>3.5249999999999999E-3</v>
      </c>
    </row>
    <row r="3" spans="1:9" x14ac:dyDescent="0.25">
      <c r="A3" s="24" t="s">
        <v>43</v>
      </c>
      <c r="B3" s="23">
        <f t="shared" ref="B3:B13" si="4">+F2</f>
        <v>1997.2346051546003</v>
      </c>
      <c r="C3" s="23">
        <f t="shared" si="0"/>
        <v>2.7751428622297833</v>
      </c>
      <c r="D3" s="23">
        <f t="shared" si="1"/>
        <v>7.0402519831699664</v>
      </c>
      <c r="E3" s="23">
        <f t="shared" si="2"/>
        <v>9.8153948453997497</v>
      </c>
      <c r="F3" s="23">
        <f t="shared" si="3"/>
        <v>1994.4594622923705</v>
      </c>
      <c r="G3" s="20"/>
      <c r="H3" s="32" t="s">
        <v>44</v>
      </c>
      <c r="I3" s="25">
        <v>0</v>
      </c>
    </row>
    <row r="4" spans="1:9" x14ac:dyDescent="0.25">
      <c r="A4" s="24" t="s">
        <v>45</v>
      </c>
      <c r="B4" s="23">
        <f t="shared" si="4"/>
        <v>1994.4594622923705</v>
      </c>
      <c r="C4" s="23">
        <f t="shared" si="0"/>
        <v>2.7849252408191436</v>
      </c>
      <c r="D4" s="23">
        <f t="shared" si="1"/>
        <v>7.0304696045806061</v>
      </c>
      <c r="E4" s="23">
        <f t="shared" si="2"/>
        <v>9.8153948453997497</v>
      </c>
      <c r="F4" s="23">
        <f t="shared" si="3"/>
        <v>1991.6745370515514</v>
      </c>
      <c r="G4" s="20"/>
      <c r="H4" s="32" t="s">
        <v>46</v>
      </c>
      <c r="I4" s="27">
        <f>Forecasts!E24</f>
        <v>30</v>
      </c>
    </row>
    <row r="5" spans="1:9" x14ac:dyDescent="0.25">
      <c r="A5" s="24" t="s">
        <v>47</v>
      </c>
      <c r="B5" s="23">
        <f t="shared" si="4"/>
        <v>1991.6745370515514</v>
      </c>
      <c r="C5" s="23">
        <f t="shared" si="0"/>
        <v>2.7947421022930312</v>
      </c>
      <c r="D5" s="23">
        <f t="shared" si="1"/>
        <v>7.0206527431067185</v>
      </c>
      <c r="E5" s="23">
        <f t="shared" si="2"/>
        <v>9.8153948453997497</v>
      </c>
      <c r="F5" s="23">
        <f t="shared" si="3"/>
        <v>1988.8797949492584</v>
      </c>
      <c r="G5" s="20"/>
      <c r="H5" s="32" t="s">
        <v>48</v>
      </c>
      <c r="I5" s="20">
        <f>I4*12</f>
        <v>360</v>
      </c>
    </row>
    <row r="6" spans="1:9" x14ac:dyDescent="0.25">
      <c r="A6" s="24" t="s">
        <v>49</v>
      </c>
      <c r="B6" s="23">
        <f t="shared" si="4"/>
        <v>1988.8797949492584</v>
      </c>
      <c r="C6" s="23">
        <f t="shared" si="0"/>
        <v>2.8045935682036136</v>
      </c>
      <c r="D6" s="23">
        <f t="shared" si="1"/>
        <v>7.0108012771961361</v>
      </c>
      <c r="E6" s="23">
        <f t="shared" si="2"/>
        <v>9.8153948453997497</v>
      </c>
      <c r="F6" s="23">
        <f t="shared" si="3"/>
        <v>1986.0752013810547</v>
      </c>
      <c r="G6" s="20"/>
      <c r="H6" s="32" t="s">
        <v>50</v>
      </c>
      <c r="I6" s="20">
        <v>0</v>
      </c>
    </row>
    <row r="7" spans="1:9" x14ac:dyDescent="0.25">
      <c r="A7" s="24" t="s">
        <v>51</v>
      </c>
      <c r="B7" s="23">
        <f t="shared" si="4"/>
        <v>1986.0752013810547</v>
      </c>
      <c r="C7" s="23">
        <f t="shared" si="0"/>
        <v>2.8144797605315315</v>
      </c>
      <c r="D7" s="23">
        <f t="shared" si="1"/>
        <v>7.0009150848682182</v>
      </c>
      <c r="E7" s="23">
        <f t="shared" si="2"/>
        <v>9.8153948453997497</v>
      </c>
      <c r="F7" s="23">
        <f t="shared" si="3"/>
        <v>1983.2607216205231</v>
      </c>
      <c r="G7" s="20"/>
      <c r="H7" s="32" t="s">
        <v>52</v>
      </c>
      <c r="I7" s="25">
        <v>2000</v>
      </c>
    </row>
    <row r="8" spans="1:9" x14ac:dyDescent="0.25">
      <c r="A8" s="24" t="s">
        <v>53</v>
      </c>
      <c r="B8" s="23">
        <f t="shared" si="4"/>
        <v>1983.2607216205231</v>
      </c>
      <c r="C8" s="23">
        <f t="shared" si="0"/>
        <v>2.824400801687406</v>
      </c>
      <c r="D8" s="23">
        <f t="shared" si="1"/>
        <v>6.9909940437123437</v>
      </c>
      <c r="E8" s="23">
        <f t="shared" si="2"/>
        <v>9.8153948453997497</v>
      </c>
      <c r="F8" s="23">
        <f t="shared" si="3"/>
        <v>1980.4363208188356</v>
      </c>
      <c r="G8" s="20"/>
      <c r="H8" s="32"/>
      <c r="I8" s="20"/>
    </row>
    <row r="9" spans="1:9" x14ac:dyDescent="0.25">
      <c r="A9" s="24" t="s">
        <v>54</v>
      </c>
      <c r="B9" s="23">
        <f t="shared" si="4"/>
        <v>1980.4363208188356</v>
      </c>
      <c r="C9" s="23">
        <f t="shared" si="0"/>
        <v>2.8343568145133542</v>
      </c>
      <c r="D9" s="23">
        <f t="shared" si="1"/>
        <v>6.9810380308863955</v>
      </c>
      <c r="E9" s="23">
        <f t="shared" si="2"/>
        <v>9.8153948453997497</v>
      </c>
      <c r="F9" s="23">
        <f t="shared" si="3"/>
        <v>1977.6019640043223</v>
      </c>
      <c r="G9" s="20"/>
      <c r="H9" s="32" t="s">
        <v>38</v>
      </c>
      <c r="I9" s="37">
        <f>-PMT(I2,I5,-I7,I3,I6)</f>
        <v>-9.8153948453997497</v>
      </c>
    </row>
    <row r="10" spans="1:9" x14ac:dyDescent="0.25">
      <c r="A10" s="24" t="s">
        <v>55</v>
      </c>
      <c r="B10" s="23">
        <f t="shared" si="4"/>
        <v>1977.6019640043223</v>
      </c>
      <c r="C10" s="23">
        <f t="shared" si="0"/>
        <v>2.8443479222845136</v>
      </c>
      <c r="D10" s="23">
        <f t="shared" si="1"/>
        <v>6.9710469231152361</v>
      </c>
      <c r="E10" s="23">
        <f t="shared" si="2"/>
        <v>9.8153948453997497</v>
      </c>
      <c r="F10" s="23">
        <f t="shared" si="3"/>
        <v>1974.7576160820379</v>
      </c>
      <c r="G10" s="20"/>
      <c r="H10" s="20"/>
      <c r="I10" s="20"/>
    </row>
    <row r="11" spans="1:9" x14ac:dyDescent="0.25">
      <c r="A11" s="24" t="s">
        <v>56</v>
      </c>
      <c r="B11" s="23">
        <f t="shared" si="4"/>
        <v>1974.7576160820379</v>
      </c>
      <c r="C11" s="23">
        <f t="shared" si="0"/>
        <v>2.8543742487105659</v>
      </c>
      <c r="D11" s="23">
        <f t="shared" si="1"/>
        <v>6.9610205966891838</v>
      </c>
      <c r="E11" s="23">
        <f t="shared" si="2"/>
        <v>9.8153948453997497</v>
      </c>
      <c r="F11" s="23">
        <f t="shared" si="3"/>
        <v>1971.9032418333272</v>
      </c>
      <c r="G11" s="20"/>
      <c r="H11" s="20"/>
      <c r="I11" s="20"/>
    </row>
    <row r="12" spans="1:9" x14ac:dyDescent="0.25">
      <c r="A12" s="24" t="s">
        <v>57</v>
      </c>
      <c r="B12" s="23">
        <f t="shared" si="4"/>
        <v>1971.9032418333272</v>
      </c>
      <c r="C12" s="23">
        <f t="shared" si="0"/>
        <v>2.8644359179372714</v>
      </c>
      <c r="D12" s="23">
        <f t="shared" si="1"/>
        <v>6.9509589274624783</v>
      </c>
      <c r="E12" s="23">
        <f t="shared" si="2"/>
        <v>9.8153948453997497</v>
      </c>
      <c r="F12" s="23">
        <f t="shared" si="3"/>
        <v>1969.03880591539</v>
      </c>
      <c r="G12" s="20"/>
      <c r="H12" s="20"/>
      <c r="I12" s="20"/>
    </row>
    <row r="13" spans="1:9" x14ac:dyDescent="0.25">
      <c r="A13" s="24" t="s">
        <v>58</v>
      </c>
      <c r="B13" s="23">
        <f t="shared" si="4"/>
        <v>1969.03880591539</v>
      </c>
      <c r="C13" s="23">
        <f t="shared" si="0"/>
        <v>2.8745330545480003</v>
      </c>
      <c r="D13" s="23">
        <f t="shared" si="1"/>
        <v>6.9408617908517494</v>
      </c>
      <c r="E13" s="23">
        <f t="shared" si="2"/>
        <v>9.8153948453997497</v>
      </c>
      <c r="F13" s="23">
        <f t="shared" si="3"/>
        <v>1966.1642728608419</v>
      </c>
      <c r="G13" s="20">
        <v>1</v>
      </c>
      <c r="H13" s="20"/>
      <c r="I13" s="20"/>
    </row>
    <row r="14" spans="1:9" x14ac:dyDescent="0.25">
      <c r="A14" s="26" t="s">
        <v>59</v>
      </c>
      <c r="B14" s="23"/>
      <c r="C14" s="23">
        <f>SUM(C2:C13)</f>
        <v>33.835727139157967</v>
      </c>
      <c r="D14" s="23">
        <f>SUM(D2:D13)</f>
        <v>83.949011005639036</v>
      </c>
      <c r="E14" s="23"/>
      <c r="F14" s="23"/>
      <c r="G14" s="20"/>
      <c r="H14" s="20"/>
      <c r="I14" s="20"/>
    </row>
    <row r="15" spans="1:9" x14ac:dyDescent="0.25">
      <c r="A15" s="24"/>
      <c r="B15" s="23"/>
      <c r="C15" s="23"/>
      <c r="D15" s="23"/>
      <c r="E15" s="23"/>
      <c r="F15" s="23"/>
      <c r="G15" s="20"/>
      <c r="H15" s="20"/>
      <c r="I15" s="20"/>
    </row>
    <row r="16" spans="1:9" x14ac:dyDescent="0.25">
      <c r="A16" s="22" t="s">
        <v>41</v>
      </c>
      <c r="B16" s="23">
        <f>+F13</f>
        <v>1966.1642728608419</v>
      </c>
      <c r="C16" s="23">
        <f t="shared" ref="C16:C27" si="5">+E16-D16</f>
        <v>2.884665783565282</v>
      </c>
      <c r="D16" s="23">
        <f t="shared" ref="D16:D27" si="6">B16*$I$2</f>
        <v>6.9307290618344677</v>
      </c>
      <c r="E16" s="23">
        <f t="shared" ref="E16:E27" si="7">-$I$9</f>
        <v>9.8153948453997497</v>
      </c>
      <c r="F16" s="23">
        <f t="shared" ref="F16:F27" si="8">+B16-C16</f>
        <v>1963.2796070772768</v>
      </c>
      <c r="G16" s="20"/>
      <c r="H16" s="20"/>
      <c r="I16" s="20"/>
    </row>
    <row r="17" spans="1:9" x14ac:dyDescent="0.25">
      <c r="A17" s="24" t="s">
        <v>43</v>
      </c>
      <c r="B17" s="23">
        <f t="shared" ref="B17:B27" si="9">+F16</f>
        <v>1963.2796070772768</v>
      </c>
      <c r="C17" s="23">
        <f t="shared" si="5"/>
        <v>2.8948342304523491</v>
      </c>
      <c r="D17" s="23">
        <f t="shared" si="6"/>
        <v>6.9205606149474006</v>
      </c>
      <c r="E17" s="23">
        <f t="shared" si="7"/>
        <v>9.8153948453997497</v>
      </c>
      <c r="F17" s="23">
        <f t="shared" si="8"/>
        <v>1960.3847728468245</v>
      </c>
      <c r="G17" s="20"/>
      <c r="H17" s="20"/>
      <c r="I17" s="20"/>
    </row>
    <row r="18" spans="1:9" x14ac:dyDescent="0.25">
      <c r="A18" s="24" t="s">
        <v>45</v>
      </c>
      <c r="B18" s="23">
        <f t="shared" si="9"/>
        <v>1960.3847728468245</v>
      </c>
      <c r="C18" s="23">
        <f t="shared" si="5"/>
        <v>2.9050385211146939</v>
      </c>
      <c r="D18" s="23">
        <f t="shared" si="6"/>
        <v>6.9103563242850559</v>
      </c>
      <c r="E18" s="23">
        <f t="shared" si="7"/>
        <v>9.8153948453997497</v>
      </c>
      <c r="F18" s="23">
        <f t="shared" si="8"/>
        <v>1957.4797343257098</v>
      </c>
      <c r="G18" s="20"/>
      <c r="H18" s="20"/>
      <c r="I18" s="20"/>
    </row>
    <row r="19" spans="1:9" x14ac:dyDescent="0.25">
      <c r="A19" s="24" t="s">
        <v>47</v>
      </c>
      <c r="B19" s="23">
        <f t="shared" si="9"/>
        <v>1957.4797343257098</v>
      </c>
      <c r="C19" s="23">
        <f t="shared" si="5"/>
        <v>2.9152787819016224</v>
      </c>
      <c r="D19" s="23">
        <f t="shared" si="6"/>
        <v>6.9001160634981273</v>
      </c>
      <c r="E19" s="23">
        <f t="shared" si="7"/>
        <v>9.8153948453997497</v>
      </c>
      <c r="F19" s="23">
        <f t="shared" si="8"/>
        <v>1954.5644555438082</v>
      </c>
      <c r="G19" s="20"/>
      <c r="H19" s="20"/>
      <c r="I19" s="20"/>
    </row>
    <row r="20" spans="1:9" x14ac:dyDescent="0.25">
      <c r="A20" s="24" t="s">
        <v>49</v>
      </c>
      <c r="B20" s="23">
        <f t="shared" si="9"/>
        <v>1954.5644555438082</v>
      </c>
      <c r="C20" s="23">
        <f t="shared" si="5"/>
        <v>2.9255551396078259</v>
      </c>
      <c r="D20" s="23">
        <f t="shared" si="6"/>
        <v>6.8898397057919238</v>
      </c>
      <c r="E20" s="23">
        <f t="shared" si="7"/>
        <v>9.8153948453997497</v>
      </c>
      <c r="F20" s="23">
        <f t="shared" si="8"/>
        <v>1951.6389004042003</v>
      </c>
      <c r="G20" s="20"/>
      <c r="H20" s="20"/>
      <c r="I20" s="20"/>
    </row>
    <row r="21" spans="1:9" x14ac:dyDescent="0.25">
      <c r="A21" s="24" t="s">
        <v>51</v>
      </c>
      <c r="B21" s="23">
        <f t="shared" si="9"/>
        <v>1951.6389004042003</v>
      </c>
      <c r="C21" s="23">
        <f t="shared" si="5"/>
        <v>2.9358677214749438</v>
      </c>
      <c r="D21" s="23">
        <f t="shared" si="6"/>
        <v>6.8795271239248059</v>
      </c>
      <c r="E21" s="23">
        <f t="shared" si="7"/>
        <v>9.8153948453997497</v>
      </c>
      <c r="F21" s="23">
        <f t="shared" si="8"/>
        <v>1948.7030326827253</v>
      </c>
      <c r="G21" s="20"/>
      <c r="H21" s="20"/>
      <c r="I21" s="20"/>
    </row>
    <row r="22" spans="1:9" x14ac:dyDescent="0.25">
      <c r="A22" s="24" t="s">
        <v>53</v>
      </c>
      <c r="B22" s="23">
        <f t="shared" si="9"/>
        <v>1948.7030326827253</v>
      </c>
      <c r="C22" s="23">
        <f t="shared" si="5"/>
        <v>2.946216655193143</v>
      </c>
      <c r="D22" s="23">
        <f t="shared" si="6"/>
        <v>6.8691781902066067</v>
      </c>
      <c r="E22" s="23">
        <f t="shared" si="7"/>
        <v>9.8153948453997497</v>
      </c>
      <c r="F22" s="23">
        <f t="shared" si="8"/>
        <v>1945.7568160275321</v>
      </c>
      <c r="G22" s="20"/>
      <c r="H22" s="20"/>
      <c r="I22" s="20"/>
    </row>
    <row r="23" spans="1:9" x14ac:dyDescent="0.25">
      <c r="A23" s="24" t="s">
        <v>54</v>
      </c>
      <c r="B23" s="23">
        <f t="shared" si="9"/>
        <v>1945.7568160275321</v>
      </c>
      <c r="C23" s="23">
        <f t="shared" si="5"/>
        <v>2.9566020689026997</v>
      </c>
      <c r="D23" s="23">
        <f t="shared" si="6"/>
        <v>6.85879277649705</v>
      </c>
      <c r="E23" s="23">
        <f t="shared" si="7"/>
        <v>9.8153948453997497</v>
      </c>
      <c r="F23" s="23">
        <f t="shared" si="8"/>
        <v>1942.8002139586295</v>
      </c>
      <c r="G23" s="20"/>
      <c r="H23" s="20"/>
      <c r="I23" s="20"/>
    </row>
    <row r="24" spans="1:9" x14ac:dyDescent="0.25">
      <c r="A24" s="24" t="s">
        <v>55</v>
      </c>
      <c r="B24" s="23">
        <f t="shared" si="9"/>
        <v>1942.8002139586295</v>
      </c>
      <c r="C24" s="23">
        <f t="shared" si="5"/>
        <v>2.9670240911955812</v>
      </c>
      <c r="D24" s="23">
        <f t="shared" si="6"/>
        <v>6.8483707542041685</v>
      </c>
      <c r="E24" s="23">
        <f t="shared" si="7"/>
        <v>9.8153948453997497</v>
      </c>
      <c r="F24" s="23">
        <f t="shared" si="8"/>
        <v>1939.8331898674339</v>
      </c>
      <c r="G24" s="20"/>
      <c r="H24" s="20"/>
      <c r="I24" s="20"/>
    </row>
    <row r="25" spans="1:9" x14ac:dyDescent="0.25">
      <c r="A25" s="24" t="s">
        <v>56</v>
      </c>
      <c r="B25" s="23">
        <f t="shared" si="9"/>
        <v>1939.8331898674339</v>
      </c>
      <c r="C25" s="23">
        <f t="shared" si="5"/>
        <v>2.9774828511170455</v>
      </c>
      <c r="D25" s="23">
        <f t="shared" si="6"/>
        <v>6.8379119942827042</v>
      </c>
      <c r="E25" s="23">
        <f t="shared" si="7"/>
        <v>9.8153948453997497</v>
      </c>
      <c r="F25" s="23">
        <f t="shared" si="8"/>
        <v>1936.855707016317</v>
      </c>
      <c r="G25" s="20"/>
      <c r="H25" s="20"/>
      <c r="I25" s="20"/>
    </row>
    <row r="26" spans="1:9" x14ac:dyDescent="0.25">
      <c r="A26" s="24" t="s">
        <v>57</v>
      </c>
      <c r="B26" s="23">
        <f t="shared" si="9"/>
        <v>1936.855707016317</v>
      </c>
      <c r="C26" s="23">
        <f t="shared" si="5"/>
        <v>2.9879784781672329</v>
      </c>
      <c r="D26" s="23">
        <f t="shared" si="6"/>
        <v>6.8274163672325168</v>
      </c>
      <c r="E26" s="23">
        <f t="shared" si="7"/>
        <v>9.8153948453997497</v>
      </c>
      <c r="F26" s="23">
        <f t="shared" si="8"/>
        <v>1933.8677285381498</v>
      </c>
      <c r="G26" s="20"/>
      <c r="H26" s="20"/>
      <c r="I26" s="20"/>
    </row>
    <row r="27" spans="1:9" x14ac:dyDescent="0.25">
      <c r="A27" s="24" t="s">
        <v>58</v>
      </c>
      <c r="B27" s="23">
        <f t="shared" si="9"/>
        <v>1933.8677285381498</v>
      </c>
      <c r="C27" s="23">
        <f t="shared" si="5"/>
        <v>2.9985111023027722</v>
      </c>
      <c r="D27" s="23">
        <f t="shared" si="6"/>
        <v>6.8168837430969775</v>
      </c>
      <c r="E27" s="23">
        <f t="shared" si="7"/>
        <v>9.8153948453997497</v>
      </c>
      <c r="F27" s="23">
        <f t="shared" si="8"/>
        <v>1930.8692174358471</v>
      </c>
      <c r="G27" s="20">
        <f>G13+1</f>
        <v>2</v>
      </c>
      <c r="H27" s="20"/>
      <c r="I27" s="20"/>
    </row>
    <row r="28" spans="1:9" x14ac:dyDescent="0.25">
      <c r="A28" s="26" t="s">
        <v>59</v>
      </c>
      <c r="B28" s="23"/>
      <c r="C28" s="23">
        <f>SUM(C16:C27)</f>
        <v>35.295055424995198</v>
      </c>
      <c r="D28" s="23">
        <f>SUM(D16:D27)</f>
        <v>82.489682719801806</v>
      </c>
      <c r="E28" s="23"/>
      <c r="F28" s="23"/>
      <c r="G28" s="20"/>
      <c r="H28" s="20"/>
      <c r="I28" s="20"/>
    </row>
    <row r="29" spans="1:9" x14ac:dyDescent="0.25">
      <c r="A29" s="24"/>
      <c r="B29" s="23"/>
      <c r="C29" s="23"/>
      <c r="D29" s="23"/>
      <c r="E29" s="23"/>
      <c r="F29" s="23"/>
      <c r="G29" s="20"/>
      <c r="H29" s="20"/>
      <c r="I29" s="20"/>
    </row>
    <row r="30" spans="1:9" x14ac:dyDescent="0.25">
      <c r="A30" s="22" t="s">
        <v>41</v>
      </c>
      <c r="B30" s="23">
        <f>+F27</f>
        <v>1930.8692174358471</v>
      </c>
      <c r="C30" s="23">
        <f t="shared" ref="C30:C41" si="10">+E30-D30</f>
        <v>3.0090808539383893</v>
      </c>
      <c r="D30" s="23">
        <f t="shared" ref="D30:D41" si="11">B30*$I$2</f>
        <v>6.8063139914613604</v>
      </c>
      <c r="E30" s="23">
        <f t="shared" ref="E30:E41" si="12">-$I$9</f>
        <v>9.8153948453997497</v>
      </c>
      <c r="F30" s="23">
        <f t="shared" ref="F30:F41" si="13">+B30-C30</f>
        <v>1927.8601365819086</v>
      </c>
      <c r="G30" s="20"/>
      <c r="H30" s="20"/>
      <c r="I30" s="20"/>
    </row>
    <row r="31" spans="1:9" x14ac:dyDescent="0.25">
      <c r="A31" s="24" t="s">
        <v>43</v>
      </c>
      <c r="B31" s="23">
        <f t="shared" ref="B31:B41" si="14">+F30</f>
        <v>1927.8601365819086</v>
      </c>
      <c r="C31" s="23">
        <f t="shared" si="10"/>
        <v>3.0196878639485218</v>
      </c>
      <c r="D31" s="23">
        <f t="shared" si="11"/>
        <v>6.7957069814512279</v>
      </c>
      <c r="E31" s="23">
        <f t="shared" si="12"/>
        <v>9.8153948453997497</v>
      </c>
      <c r="F31" s="23">
        <f t="shared" si="13"/>
        <v>1924.84044871796</v>
      </c>
      <c r="G31" s="20"/>
      <c r="H31" s="20"/>
      <c r="I31" s="20"/>
    </row>
    <row r="32" spans="1:9" x14ac:dyDescent="0.25">
      <c r="A32" s="24" t="s">
        <v>45</v>
      </c>
      <c r="B32" s="23">
        <f t="shared" si="14"/>
        <v>1924.84044871796</v>
      </c>
      <c r="C32" s="23">
        <f t="shared" si="10"/>
        <v>3.0303322636689405</v>
      </c>
      <c r="D32" s="23">
        <f t="shared" si="11"/>
        <v>6.7850625817308092</v>
      </c>
      <c r="E32" s="23">
        <f t="shared" si="12"/>
        <v>9.8153948453997497</v>
      </c>
      <c r="F32" s="23">
        <f t="shared" si="13"/>
        <v>1921.8101164542911</v>
      </c>
      <c r="G32" s="20"/>
      <c r="H32" s="20"/>
      <c r="I32" s="20"/>
    </row>
    <row r="33" spans="1:9" x14ac:dyDescent="0.25">
      <c r="A33" s="24" t="s">
        <v>47</v>
      </c>
      <c r="B33" s="23">
        <f t="shared" si="14"/>
        <v>1921.8101164542911</v>
      </c>
      <c r="C33" s="23">
        <f t="shared" si="10"/>
        <v>3.0410141848983736</v>
      </c>
      <c r="D33" s="23">
        <f t="shared" si="11"/>
        <v>6.7743806605013761</v>
      </c>
      <c r="E33" s="23">
        <f t="shared" si="12"/>
        <v>9.8153948453997497</v>
      </c>
      <c r="F33" s="23">
        <f t="shared" si="13"/>
        <v>1918.7691022693928</v>
      </c>
      <c r="G33" s="20"/>
      <c r="H33" s="20"/>
      <c r="I33" s="20"/>
    </row>
    <row r="34" spans="1:9" x14ac:dyDescent="0.25">
      <c r="A34" s="24" t="s">
        <v>49</v>
      </c>
      <c r="B34" s="23">
        <f t="shared" si="14"/>
        <v>1918.7691022693928</v>
      </c>
      <c r="C34" s="23">
        <f t="shared" si="10"/>
        <v>3.0517337599001406</v>
      </c>
      <c r="D34" s="23">
        <f t="shared" si="11"/>
        <v>6.7636610854996091</v>
      </c>
      <c r="E34" s="23">
        <f t="shared" si="12"/>
        <v>9.8153948453997497</v>
      </c>
      <c r="F34" s="23">
        <f t="shared" si="13"/>
        <v>1915.7173685094926</v>
      </c>
      <c r="G34" s="20"/>
      <c r="H34" s="20"/>
      <c r="I34" s="20"/>
    </row>
    <row r="35" spans="1:9" x14ac:dyDescent="0.25">
      <c r="A35" s="24" t="s">
        <v>51</v>
      </c>
      <c r="B35" s="23">
        <f t="shared" si="14"/>
        <v>1915.7173685094926</v>
      </c>
      <c r="C35" s="23">
        <f t="shared" si="10"/>
        <v>3.062491121403788</v>
      </c>
      <c r="D35" s="23">
        <f t="shared" si="11"/>
        <v>6.7529037239959617</v>
      </c>
      <c r="E35" s="23">
        <f t="shared" si="12"/>
        <v>9.8153948453997497</v>
      </c>
      <c r="F35" s="23">
        <f t="shared" si="13"/>
        <v>1912.6548773880888</v>
      </c>
      <c r="G35" s="20"/>
      <c r="H35" s="20"/>
      <c r="I35" s="20"/>
    </row>
    <row r="36" spans="1:9" x14ac:dyDescent="0.25">
      <c r="A36" s="24" t="s">
        <v>53</v>
      </c>
      <c r="B36" s="23">
        <f t="shared" si="14"/>
        <v>1912.6548773880888</v>
      </c>
      <c r="C36" s="23">
        <f t="shared" si="10"/>
        <v>3.0732864026067368</v>
      </c>
      <c r="D36" s="23">
        <f t="shared" si="11"/>
        <v>6.7421084427930129</v>
      </c>
      <c r="E36" s="23">
        <f t="shared" si="12"/>
        <v>9.8153948453997497</v>
      </c>
      <c r="F36" s="23">
        <f t="shared" si="13"/>
        <v>1909.5815909854821</v>
      </c>
      <c r="G36" s="20"/>
      <c r="H36" s="20"/>
      <c r="I36" s="20"/>
    </row>
    <row r="37" spans="1:9" x14ac:dyDescent="0.25">
      <c r="A37" s="24" t="s">
        <v>54</v>
      </c>
      <c r="B37" s="23">
        <f t="shared" si="14"/>
        <v>1909.5815909854821</v>
      </c>
      <c r="C37" s="23">
        <f t="shared" si="10"/>
        <v>3.0841197371759259</v>
      </c>
      <c r="D37" s="23">
        <f t="shared" si="11"/>
        <v>6.7312751082238238</v>
      </c>
      <c r="E37" s="23">
        <f t="shared" si="12"/>
        <v>9.8153948453997497</v>
      </c>
      <c r="F37" s="23">
        <f t="shared" si="13"/>
        <v>1906.4974712483061</v>
      </c>
      <c r="G37" s="20"/>
      <c r="H37" s="20"/>
      <c r="I37" s="20"/>
    </row>
    <row r="38" spans="1:9" x14ac:dyDescent="0.25">
      <c r="A38" s="24" t="s">
        <v>55</v>
      </c>
      <c r="B38" s="23">
        <f t="shared" si="14"/>
        <v>1906.4974712483061</v>
      </c>
      <c r="C38" s="23">
        <f t="shared" si="10"/>
        <v>3.094991259249471</v>
      </c>
      <c r="D38" s="23">
        <f t="shared" si="11"/>
        <v>6.7204035861502787</v>
      </c>
      <c r="E38" s="23">
        <f t="shared" si="12"/>
        <v>9.8153948453997497</v>
      </c>
      <c r="F38" s="23">
        <f t="shared" si="13"/>
        <v>1903.4024799890565</v>
      </c>
      <c r="G38" s="20"/>
      <c r="H38" s="20"/>
      <c r="I38" s="20"/>
    </row>
    <row r="39" spans="1:9" x14ac:dyDescent="0.25">
      <c r="A39" s="24" t="s">
        <v>56</v>
      </c>
      <c r="B39" s="23">
        <f t="shared" si="14"/>
        <v>1903.4024799890565</v>
      </c>
      <c r="C39" s="23">
        <f t="shared" si="10"/>
        <v>3.1059011034383257</v>
      </c>
      <c r="D39" s="23">
        <f t="shared" si="11"/>
        <v>6.709493741961424</v>
      </c>
      <c r="E39" s="23">
        <f t="shared" si="12"/>
        <v>9.8153948453997497</v>
      </c>
      <c r="F39" s="23">
        <f t="shared" si="13"/>
        <v>1900.2965788856181</v>
      </c>
      <c r="G39" s="20"/>
      <c r="H39" s="20"/>
      <c r="I39" s="20"/>
    </row>
    <row r="40" spans="1:9" x14ac:dyDescent="0.25">
      <c r="A40" s="24" t="s">
        <v>57</v>
      </c>
      <c r="B40" s="23">
        <f t="shared" si="14"/>
        <v>1900.2965788856181</v>
      </c>
      <c r="C40" s="23">
        <f t="shared" si="10"/>
        <v>3.1168494048279456</v>
      </c>
      <c r="D40" s="23">
        <f t="shared" si="11"/>
        <v>6.6985454405718041</v>
      </c>
      <c r="E40" s="23">
        <f t="shared" si="12"/>
        <v>9.8153948453997497</v>
      </c>
      <c r="F40" s="23">
        <f t="shared" si="13"/>
        <v>1897.1797294807902</v>
      </c>
      <c r="G40" s="20"/>
      <c r="H40" s="20"/>
      <c r="I40" s="20"/>
    </row>
    <row r="41" spans="1:9" x14ac:dyDescent="0.25">
      <c r="A41" s="24" t="s">
        <v>58</v>
      </c>
      <c r="B41" s="23">
        <f t="shared" si="14"/>
        <v>1897.1797294807902</v>
      </c>
      <c r="C41" s="23">
        <f t="shared" si="10"/>
        <v>3.1278362989799646</v>
      </c>
      <c r="D41" s="23">
        <f t="shared" si="11"/>
        <v>6.6875585464197851</v>
      </c>
      <c r="E41" s="23">
        <f t="shared" si="12"/>
        <v>9.8153948453997497</v>
      </c>
      <c r="F41" s="23">
        <f t="shared" si="13"/>
        <v>1894.0518931818103</v>
      </c>
      <c r="G41" s="20">
        <f>G27+1</f>
        <v>3</v>
      </c>
      <c r="H41" s="20"/>
      <c r="I41" s="20"/>
    </row>
    <row r="42" spans="1:9" x14ac:dyDescent="0.25">
      <c r="A42" s="26" t="s">
        <v>59</v>
      </c>
      <c r="B42" s="23"/>
      <c r="C42" s="23">
        <f>SUM(C30:C41)</f>
        <v>36.817324254036521</v>
      </c>
      <c r="D42" s="23">
        <f>SUM(D30:D41)</f>
        <v>80.967413890760469</v>
      </c>
      <c r="E42" s="23"/>
      <c r="F42" s="23"/>
      <c r="G42" s="20"/>
      <c r="H42" s="20"/>
      <c r="I42" s="20"/>
    </row>
    <row r="43" spans="1:9" x14ac:dyDescent="0.25">
      <c r="A43" s="24"/>
      <c r="B43" s="23"/>
      <c r="C43" s="23"/>
      <c r="D43" s="23"/>
      <c r="E43" s="23"/>
      <c r="F43" s="23"/>
      <c r="G43" s="20"/>
      <c r="H43" s="20"/>
      <c r="I43" s="20"/>
    </row>
    <row r="44" spans="1:9" x14ac:dyDescent="0.25">
      <c r="A44" s="22" t="s">
        <v>41</v>
      </c>
      <c r="B44" s="23">
        <f>+F41</f>
        <v>1894.0518931818103</v>
      </c>
      <c r="C44" s="23">
        <f>+E44-D44</f>
        <v>3.1388619219338683</v>
      </c>
      <c r="D44" s="23">
        <f>B44*$I$2</f>
        <v>6.6765329234658815</v>
      </c>
      <c r="E44" s="23">
        <f t="shared" ref="E44:E55" si="15">-$I$9</f>
        <v>9.8153948453997497</v>
      </c>
      <c r="F44" s="23">
        <f>+B44-C44</f>
        <v>1890.9130312598766</v>
      </c>
      <c r="G44" s="20"/>
      <c r="H44" s="20"/>
      <c r="I44" s="20"/>
    </row>
    <row r="45" spans="1:9" x14ac:dyDescent="0.25">
      <c r="A45" s="24" t="s">
        <v>43</v>
      </c>
      <c r="B45" s="23">
        <f>+F44</f>
        <v>1890.9130312598766</v>
      </c>
      <c r="C45" s="23">
        <f>+E45-D45</f>
        <v>3.1499264102086846</v>
      </c>
      <c r="D45" s="23">
        <f>B45*$I$2</f>
        <v>6.6654684351910651</v>
      </c>
      <c r="E45" s="23">
        <f t="shared" si="15"/>
        <v>9.8153948453997497</v>
      </c>
      <c r="F45" s="23">
        <f>+B45-C45</f>
        <v>1887.7631048496678</v>
      </c>
      <c r="G45" s="20"/>
      <c r="H45" s="20"/>
      <c r="I45" s="20"/>
    </row>
    <row r="46" spans="1:9" x14ac:dyDescent="0.25">
      <c r="A46" s="24" t="s">
        <v>45</v>
      </c>
      <c r="B46" s="23">
        <f>+F45</f>
        <v>1887.7631048496678</v>
      </c>
      <c r="C46" s="23">
        <f>+E46-D46</f>
        <v>3.1610299008046709</v>
      </c>
      <c r="D46" s="23">
        <f>B46*$I$2</f>
        <v>6.6543649445950788</v>
      </c>
      <c r="E46" s="23">
        <f t="shared" si="15"/>
        <v>9.8153948453997497</v>
      </c>
      <c r="F46" s="23">
        <f>+B46-C46</f>
        <v>1884.6020749488632</v>
      </c>
      <c r="G46" s="20"/>
      <c r="H46" s="20"/>
      <c r="I46" s="20"/>
    </row>
    <row r="47" spans="1:9" x14ac:dyDescent="0.25">
      <c r="A47" s="24" t="s">
        <v>47</v>
      </c>
      <c r="B47" s="23">
        <f>+F46</f>
        <v>1884.6020749488632</v>
      </c>
      <c r="C47" s="23">
        <f>+E47-D47</f>
        <v>3.1721725312050069</v>
      </c>
      <c r="D47" s="23">
        <f>B47*$I$2</f>
        <v>6.6432223141947429</v>
      </c>
      <c r="E47" s="23">
        <f t="shared" si="15"/>
        <v>9.8153948453997497</v>
      </c>
      <c r="F47" s="23">
        <f>+B47-C47</f>
        <v>1881.4299024176582</v>
      </c>
      <c r="G47" s="20"/>
      <c r="H47" s="20"/>
      <c r="I47" s="20"/>
    </row>
    <row r="48" spans="1:9" x14ac:dyDescent="0.25">
      <c r="A48" s="24" t="s">
        <v>49</v>
      </c>
      <c r="B48" s="23">
        <f t="shared" ref="B48:B55" si="16">+F47</f>
        <v>1881.4299024176582</v>
      </c>
      <c r="C48" s="23">
        <f t="shared" ref="C48:C55" si="17">+E48-D48</f>
        <v>3.1833544393775046</v>
      </c>
      <c r="D48" s="23">
        <f t="shared" ref="D48:D55" si="18">B48*$I$2</f>
        <v>6.6320404060222451</v>
      </c>
      <c r="E48" s="23">
        <f t="shared" si="15"/>
        <v>9.8153948453997497</v>
      </c>
      <c r="F48" s="23">
        <f t="shared" ref="F48:F55" si="19">+B48-C48</f>
        <v>1878.2465479782807</v>
      </c>
      <c r="G48" s="20"/>
      <c r="H48" s="20"/>
      <c r="I48" s="20"/>
    </row>
    <row r="49" spans="1:9" x14ac:dyDescent="0.25">
      <c r="A49" s="24" t="s">
        <v>51</v>
      </c>
      <c r="B49" s="23">
        <f t="shared" si="16"/>
        <v>1878.2465479782807</v>
      </c>
      <c r="C49" s="23">
        <f t="shared" si="17"/>
        <v>3.1945757637763101</v>
      </c>
      <c r="D49" s="23">
        <f t="shared" si="18"/>
        <v>6.6208190816234396</v>
      </c>
      <c r="E49" s="23">
        <f t="shared" si="15"/>
        <v>9.8153948453997497</v>
      </c>
      <c r="F49" s="23">
        <f t="shared" si="19"/>
        <v>1875.0519722145043</v>
      </c>
      <c r="G49" s="20"/>
      <c r="H49" s="20"/>
      <c r="I49" s="20"/>
    </row>
    <row r="50" spans="1:9" x14ac:dyDescent="0.25">
      <c r="A50" s="24" t="s">
        <v>53</v>
      </c>
      <c r="B50" s="23">
        <f t="shared" si="16"/>
        <v>1875.0519722145043</v>
      </c>
      <c r="C50" s="23">
        <f t="shared" si="17"/>
        <v>3.2058366433436225</v>
      </c>
      <c r="D50" s="23">
        <f t="shared" si="18"/>
        <v>6.6095582020561272</v>
      </c>
      <c r="E50" s="23">
        <f t="shared" si="15"/>
        <v>9.8153948453997497</v>
      </c>
      <c r="F50" s="23">
        <f t="shared" si="19"/>
        <v>1871.8461355711606</v>
      </c>
      <c r="G50" s="20"/>
      <c r="H50" s="20"/>
      <c r="I50" s="20"/>
    </row>
    <row r="51" spans="1:9" x14ac:dyDescent="0.25">
      <c r="A51" s="24" t="s">
        <v>54</v>
      </c>
      <c r="B51" s="23">
        <f t="shared" si="16"/>
        <v>1871.8461355711606</v>
      </c>
      <c r="C51" s="23">
        <f t="shared" si="17"/>
        <v>3.217137217511409</v>
      </c>
      <c r="D51" s="23">
        <f t="shared" si="18"/>
        <v>6.5982576278883407</v>
      </c>
      <c r="E51" s="23">
        <f t="shared" si="15"/>
        <v>9.8153948453997497</v>
      </c>
      <c r="F51" s="23">
        <f t="shared" si="19"/>
        <v>1868.6289983536492</v>
      </c>
      <c r="G51" s="20"/>
      <c r="H51" s="20"/>
      <c r="I51" s="20"/>
    </row>
    <row r="52" spans="1:9" x14ac:dyDescent="0.25">
      <c r="A52" s="24" t="s">
        <v>55</v>
      </c>
      <c r="B52" s="23">
        <f t="shared" si="16"/>
        <v>1868.6289983536492</v>
      </c>
      <c r="C52" s="23">
        <f t="shared" si="17"/>
        <v>3.2284776262031363</v>
      </c>
      <c r="D52" s="23">
        <f t="shared" si="18"/>
        <v>6.5869172191966134</v>
      </c>
      <c r="E52" s="23">
        <f t="shared" si="15"/>
        <v>9.8153948453997497</v>
      </c>
      <c r="F52" s="23">
        <f t="shared" si="19"/>
        <v>1865.4005207274461</v>
      </c>
      <c r="G52" s="20"/>
      <c r="H52" s="20"/>
      <c r="I52" s="20"/>
    </row>
    <row r="53" spans="1:9" x14ac:dyDescent="0.25">
      <c r="A53" s="24" t="s">
        <v>56</v>
      </c>
      <c r="B53" s="23">
        <f t="shared" si="16"/>
        <v>1865.4005207274461</v>
      </c>
      <c r="C53" s="23">
        <f t="shared" si="17"/>
        <v>3.2398580098355021</v>
      </c>
      <c r="D53" s="23">
        <f t="shared" si="18"/>
        <v>6.5755368355642476</v>
      </c>
      <c r="E53" s="23">
        <f t="shared" si="15"/>
        <v>9.8153948453997497</v>
      </c>
      <c r="F53" s="23">
        <f t="shared" si="19"/>
        <v>1862.1606627176106</v>
      </c>
      <c r="G53" s="20"/>
      <c r="H53" s="20"/>
      <c r="I53" s="20"/>
    </row>
    <row r="54" spans="1:9" x14ac:dyDescent="0.25">
      <c r="A54" s="24" t="s">
        <v>57</v>
      </c>
      <c r="B54" s="23">
        <f t="shared" si="16"/>
        <v>1862.1606627176106</v>
      </c>
      <c r="C54" s="23">
        <f t="shared" si="17"/>
        <v>3.2512785093201719</v>
      </c>
      <c r="D54" s="23">
        <f t="shared" si="18"/>
        <v>6.5641163360795778</v>
      </c>
      <c r="E54" s="23">
        <f t="shared" si="15"/>
        <v>9.8153948453997497</v>
      </c>
      <c r="F54" s="23">
        <f t="shared" si="19"/>
        <v>1858.9093842082905</v>
      </c>
      <c r="G54" s="20"/>
      <c r="H54" s="20"/>
      <c r="I54" s="20"/>
    </row>
    <row r="55" spans="1:9" x14ac:dyDescent="0.25">
      <c r="A55" s="24" t="s">
        <v>58</v>
      </c>
      <c r="B55" s="23">
        <f t="shared" si="16"/>
        <v>1858.9093842082905</v>
      </c>
      <c r="C55" s="23">
        <f t="shared" si="17"/>
        <v>3.2627392660655259</v>
      </c>
      <c r="D55" s="23">
        <f t="shared" si="18"/>
        <v>6.5526555793342238</v>
      </c>
      <c r="E55" s="23">
        <f t="shared" si="15"/>
        <v>9.8153948453997497</v>
      </c>
      <c r="F55" s="23">
        <f t="shared" si="19"/>
        <v>1855.6466449422248</v>
      </c>
      <c r="G55" s="20">
        <f>G41+1</f>
        <v>4</v>
      </c>
      <c r="H55" s="20"/>
      <c r="I55" s="20"/>
    </row>
    <row r="56" spans="1:9" x14ac:dyDescent="0.25">
      <c r="A56" s="26" t="s">
        <v>59</v>
      </c>
      <c r="B56" s="23"/>
      <c r="C56" s="23">
        <f>SUM(C44:C55)</f>
        <v>38.405248239585411</v>
      </c>
      <c r="D56" s="23">
        <f>SUM(D44:D55)</f>
        <v>79.379489905211585</v>
      </c>
      <c r="E56" s="23"/>
      <c r="F56" s="23"/>
      <c r="G56" s="20"/>
      <c r="H56" s="20"/>
      <c r="I56" s="20"/>
    </row>
    <row r="57" spans="1:9" x14ac:dyDescent="0.25">
      <c r="A57" s="20"/>
      <c r="B57" s="23"/>
      <c r="C57" s="23"/>
      <c r="D57" s="23"/>
      <c r="E57" s="23"/>
      <c r="F57" s="23"/>
      <c r="G57" s="20"/>
      <c r="H57" s="20"/>
      <c r="I57" s="20"/>
    </row>
    <row r="58" spans="1:9" x14ac:dyDescent="0.25">
      <c r="A58" s="22" t="s">
        <v>41</v>
      </c>
      <c r="B58" s="23">
        <f>+F55</f>
        <v>1855.6466449422248</v>
      </c>
      <c r="C58" s="23">
        <f t="shared" ref="C58:C69" si="20">+E58-D58</f>
        <v>3.2742404219784076</v>
      </c>
      <c r="D58" s="23">
        <f t="shared" ref="D58:D69" si="21">B58*$I$2</f>
        <v>6.5411544234213421</v>
      </c>
      <c r="E58" s="23">
        <f t="shared" ref="E58:E69" si="22">-$I$9</f>
        <v>9.8153948453997497</v>
      </c>
      <c r="F58" s="23">
        <f t="shared" ref="F58:F69" si="23">+B58-C58</f>
        <v>1852.3724045202464</v>
      </c>
      <c r="G58" s="20"/>
      <c r="H58" s="20"/>
      <c r="I58" s="20"/>
    </row>
    <row r="59" spans="1:9" x14ac:dyDescent="0.25">
      <c r="A59" s="24" t="s">
        <v>43</v>
      </c>
      <c r="B59" s="23">
        <f t="shared" ref="B59:B69" si="24">+F58</f>
        <v>1852.3724045202464</v>
      </c>
      <c r="C59" s="23">
        <f t="shared" si="20"/>
        <v>3.2857821194658809</v>
      </c>
      <c r="D59" s="23">
        <f t="shared" si="21"/>
        <v>6.5296127259338688</v>
      </c>
      <c r="E59" s="23">
        <f t="shared" si="22"/>
        <v>9.8153948453997497</v>
      </c>
      <c r="F59" s="23">
        <f t="shared" si="23"/>
        <v>1849.0866224007805</v>
      </c>
      <c r="G59" s="20"/>
      <c r="H59" s="20"/>
      <c r="I59" s="20"/>
    </row>
    <row r="60" spans="1:9" x14ac:dyDescent="0.25">
      <c r="A60" s="24" t="s">
        <v>45</v>
      </c>
      <c r="B60" s="23">
        <f t="shared" si="24"/>
        <v>1849.0866224007805</v>
      </c>
      <c r="C60" s="23">
        <f t="shared" si="20"/>
        <v>3.2973645014369986</v>
      </c>
      <c r="D60" s="23">
        <f t="shared" si="21"/>
        <v>6.5180303439627512</v>
      </c>
      <c r="E60" s="23">
        <f t="shared" si="22"/>
        <v>9.8153948453997497</v>
      </c>
      <c r="F60" s="23">
        <f t="shared" si="23"/>
        <v>1845.7892578993435</v>
      </c>
      <c r="G60" s="20"/>
      <c r="H60" s="20"/>
      <c r="I60" s="20"/>
    </row>
    <row r="61" spans="1:9" x14ac:dyDescent="0.25">
      <c r="A61" s="24" t="s">
        <v>47</v>
      </c>
      <c r="B61" s="23">
        <f t="shared" si="24"/>
        <v>1845.7892578993435</v>
      </c>
      <c r="C61" s="23">
        <f t="shared" si="20"/>
        <v>3.3089877113045638</v>
      </c>
      <c r="D61" s="23">
        <f t="shared" si="21"/>
        <v>6.5064071340951859</v>
      </c>
      <c r="E61" s="23">
        <f t="shared" si="22"/>
        <v>9.8153948453997497</v>
      </c>
      <c r="F61" s="23">
        <f t="shared" si="23"/>
        <v>1842.480270188039</v>
      </c>
      <c r="G61" s="20"/>
      <c r="H61" s="20"/>
      <c r="I61" s="20"/>
    </row>
    <row r="62" spans="1:9" x14ac:dyDescent="0.25">
      <c r="A62" s="24" t="s">
        <v>49</v>
      </c>
      <c r="B62" s="23">
        <f t="shared" si="24"/>
        <v>1842.480270188039</v>
      </c>
      <c r="C62" s="23">
        <f t="shared" si="20"/>
        <v>3.3206518929869127</v>
      </c>
      <c r="D62" s="23">
        <f t="shared" si="21"/>
        <v>6.4947429524128371</v>
      </c>
      <c r="E62" s="23">
        <f t="shared" si="22"/>
        <v>9.8153948453997497</v>
      </c>
      <c r="F62" s="23">
        <f t="shared" si="23"/>
        <v>1839.159618295052</v>
      </c>
      <c r="G62" s="20"/>
      <c r="H62" s="20"/>
      <c r="I62" s="20"/>
    </row>
    <row r="63" spans="1:9" x14ac:dyDescent="0.25">
      <c r="A63" s="24" t="s">
        <v>51</v>
      </c>
      <c r="B63" s="23">
        <f t="shared" si="24"/>
        <v>1839.159618295052</v>
      </c>
      <c r="C63" s="23">
        <f t="shared" si="20"/>
        <v>3.3323571909096916</v>
      </c>
      <c r="D63" s="23">
        <f t="shared" si="21"/>
        <v>6.4830376544900581</v>
      </c>
      <c r="E63" s="23">
        <f t="shared" si="22"/>
        <v>9.8153948453997497</v>
      </c>
      <c r="F63" s="23">
        <f t="shared" si="23"/>
        <v>1835.8272611041423</v>
      </c>
      <c r="G63" s="20"/>
      <c r="H63" s="20"/>
      <c r="I63" s="20"/>
    </row>
    <row r="64" spans="1:9" x14ac:dyDescent="0.25">
      <c r="A64" s="24" t="s">
        <v>53</v>
      </c>
      <c r="B64" s="23">
        <f t="shared" si="24"/>
        <v>1835.8272611041423</v>
      </c>
      <c r="C64" s="23">
        <f t="shared" si="20"/>
        <v>3.3441037500076485</v>
      </c>
      <c r="D64" s="23">
        <f t="shared" si="21"/>
        <v>6.4712910953921012</v>
      </c>
      <c r="E64" s="23">
        <f t="shared" si="22"/>
        <v>9.8153948453997497</v>
      </c>
      <c r="F64" s="23">
        <f t="shared" si="23"/>
        <v>1832.4831573541346</v>
      </c>
      <c r="G64" s="20"/>
      <c r="H64" s="20"/>
      <c r="I64" s="20"/>
    </row>
    <row r="65" spans="1:9" x14ac:dyDescent="0.25">
      <c r="A65" s="24" t="s">
        <v>54</v>
      </c>
      <c r="B65" s="23">
        <f t="shared" si="24"/>
        <v>1832.4831573541346</v>
      </c>
      <c r="C65" s="23">
        <f t="shared" si="20"/>
        <v>3.3558917157264254</v>
      </c>
      <c r="D65" s="23">
        <f t="shared" si="21"/>
        <v>6.4595031296733243</v>
      </c>
      <c r="E65" s="23">
        <f t="shared" si="22"/>
        <v>9.8153948453997497</v>
      </c>
      <c r="F65" s="23">
        <f t="shared" si="23"/>
        <v>1829.1272656384083</v>
      </c>
      <c r="G65" s="20"/>
      <c r="H65" s="20"/>
      <c r="I65" s="20"/>
    </row>
    <row r="66" spans="1:9" x14ac:dyDescent="0.25">
      <c r="A66" s="24" t="s">
        <v>55</v>
      </c>
      <c r="B66" s="23">
        <f t="shared" si="24"/>
        <v>1829.1272656384083</v>
      </c>
      <c r="C66" s="23">
        <f t="shared" si="20"/>
        <v>3.3677212340243603</v>
      </c>
      <c r="D66" s="23">
        <f t="shared" si="21"/>
        <v>6.4476736113753894</v>
      </c>
      <c r="E66" s="23">
        <f t="shared" si="22"/>
        <v>9.8153948453997497</v>
      </c>
      <c r="F66" s="23">
        <f t="shared" si="23"/>
        <v>1825.7595444043839</v>
      </c>
      <c r="G66" s="20"/>
      <c r="H66" s="20"/>
      <c r="I66" s="20"/>
    </row>
    <row r="67" spans="1:9" x14ac:dyDescent="0.25">
      <c r="A67" s="24" t="s">
        <v>56</v>
      </c>
      <c r="B67" s="23">
        <f t="shared" si="24"/>
        <v>1825.7595444043839</v>
      </c>
      <c r="C67" s="23">
        <f t="shared" si="20"/>
        <v>3.3795924513742968</v>
      </c>
      <c r="D67" s="23">
        <f t="shared" si="21"/>
        <v>6.435802394025453</v>
      </c>
      <c r="E67" s="23">
        <f t="shared" si="22"/>
        <v>9.8153948453997497</v>
      </c>
      <c r="F67" s="23">
        <f t="shared" si="23"/>
        <v>1822.3799519530096</v>
      </c>
      <c r="G67" s="20"/>
      <c r="H67" s="20"/>
      <c r="I67" s="20"/>
    </row>
    <row r="68" spans="1:9" x14ac:dyDescent="0.25">
      <c r="A68" s="24" t="s">
        <v>57</v>
      </c>
      <c r="B68" s="23">
        <f t="shared" si="24"/>
        <v>1822.3799519530096</v>
      </c>
      <c r="C68" s="23">
        <f t="shared" si="20"/>
        <v>3.3915055147653907</v>
      </c>
      <c r="D68" s="23">
        <f t="shared" si="21"/>
        <v>6.423889330634359</v>
      </c>
      <c r="E68" s="23">
        <f t="shared" si="22"/>
        <v>9.8153948453997497</v>
      </c>
      <c r="F68" s="23">
        <f t="shared" si="23"/>
        <v>1818.9884464382442</v>
      </c>
      <c r="G68" s="20"/>
      <c r="H68" s="20"/>
      <c r="I68" s="20"/>
    </row>
    <row r="69" spans="1:9" x14ac:dyDescent="0.25">
      <c r="A69" s="24" t="s">
        <v>58</v>
      </c>
      <c r="B69" s="23">
        <f t="shared" si="24"/>
        <v>1818.9884464382442</v>
      </c>
      <c r="C69" s="23">
        <f t="shared" si="20"/>
        <v>3.4034605717049393</v>
      </c>
      <c r="D69" s="23">
        <f t="shared" si="21"/>
        <v>6.4119342736948104</v>
      </c>
      <c r="E69" s="23">
        <f t="shared" si="22"/>
        <v>9.8153948453997497</v>
      </c>
      <c r="F69" s="23">
        <f t="shared" si="23"/>
        <v>1815.5849858665392</v>
      </c>
      <c r="G69" s="20">
        <f>G55+1</f>
        <v>5</v>
      </c>
      <c r="H69" s="20"/>
      <c r="I69" s="20"/>
    </row>
    <row r="70" spans="1:9" x14ac:dyDescent="0.25">
      <c r="A70" s="26" t="s">
        <v>59</v>
      </c>
      <c r="B70" s="23"/>
      <c r="C70" s="23">
        <f>SUM(C58:C69)</f>
        <v>40.061659075685519</v>
      </c>
      <c r="D70" s="23">
        <f>SUM(D58:D69)</f>
        <v>77.723079069111478</v>
      </c>
      <c r="E70" s="23"/>
      <c r="F70" s="23"/>
      <c r="G70" s="20"/>
      <c r="H70" s="20"/>
      <c r="I70" s="20"/>
    </row>
    <row r="71" spans="1:9" x14ac:dyDescent="0.25">
      <c r="A71" s="24"/>
      <c r="B71" s="23"/>
      <c r="C71" s="23"/>
      <c r="D71" s="23"/>
      <c r="E71" s="23"/>
      <c r="F71" s="23"/>
      <c r="G71" s="20"/>
      <c r="H71" s="20"/>
      <c r="I71" s="20"/>
    </row>
    <row r="72" spans="1:9" x14ac:dyDescent="0.25">
      <c r="A72" s="22" t="s">
        <v>41</v>
      </c>
      <c r="B72" s="23">
        <f>+F69</f>
        <v>1815.5849858665392</v>
      </c>
      <c r="C72" s="23">
        <f t="shared" ref="C72:C83" si="25">+E72-D72</f>
        <v>3.4154577702201987</v>
      </c>
      <c r="D72" s="23">
        <f t="shared" ref="D72:D83" si="26">B72*$I$2</f>
        <v>6.399937075179551</v>
      </c>
      <c r="E72" s="23">
        <f t="shared" ref="E72:E83" si="27">-$I$9</f>
        <v>9.8153948453997497</v>
      </c>
      <c r="F72" s="23">
        <f t="shared" ref="F72:F83" si="28">+B72-C72</f>
        <v>1812.169528096319</v>
      </c>
      <c r="G72" s="20"/>
      <c r="H72" s="20"/>
      <c r="I72" s="20"/>
    </row>
    <row r="73" spans="1:9" x14ac:dyDescent="0.25">
      <c r="A73" s="24" t="s">
        <v>43</v>
      </c>
      <c r="B73" s="23">
        <f t="shared" ref="B73:B83" si="29">+F72</f>
        <v>1812.169528096319</v>
      </c>
      <c r="C73" s="23">
        <f t="shared" si="25"/>
        <v>3.4274972588602255</v>
      </c>
      <c r="D73" s="23">
        <f t="shared" si="26"/>
        <v>6.3878975865395242</v>
      </c>
      <c r="E73" s="23">
        <f t="shared" si="27"/>
        <v>9.8153948453997497</v>
      </c>
      <c r="F73" s="23">
        <f t="shared" si="28"/>
        <v>1808.7420308374587</v>
      </c>
      <c r="G73" s="20"/>
      <c r="H73" s="20"/>
      <c r="I73" s="20"/>
    </row>
    <row r="74" spans="1:9" x14ac:dyDescent="0.25">
      <c r="A74" s="24" t="s">
        <v>45</v>
      </c>
      <c r="B74" s="23">
        <f t="shared" si="29"/>
        <v>1808.7420308374587</v>
      </c>
      <c r="C74" s="23">
        <f t="shared" si="25"/>
        <v>3.4395791866977081</v>
      </c>
      <c r="D74" s="23">
        <f t="shared" si="26"/>
        <v>6.3758156587020416</v>
      </c>
      <c r="E74" s="23">
        <f t="shared" si="27"/>
        <v>9.8153948453997497</v>
      </c>
      <c r="F74" s="23">
        <f t="shared" si="28"/>
        <v>1805.302451650761</v>
      </c>
      <c r="G74" s="20"/>
      <c r="H74" s="20"/>
      <c r="I74" s="20"/>
    </row>
    <row r="75" spans="1:9" x14ac:dyDescent="0.25">
      <c r="A75" s="24" t="s">
        <v>47</v>
      </c>
      <c r="B75" s="23">
        <f t="shared" si="29"/>
        <v>1805.302451650761</v>
      </c>
      <c r="C75" s="23">
        <f t="shared" si="25"/>
        <v>3.4517037033308178</v>
      </c>
      <c r="D75" s="23">
        <f t="shared" si="26"/>
        <v>6.3636911420689319</v>
      </c>
      <c r="E75" s="23">
        <f t="shared" si="27"/>
        <v>9.8153948453997497</v>
      </c>
      <c r="F75" s="23">
        <f t="shared" si="28"/>
        <v>1801.8507479474301</v>
      </c>
      <c r="G75" s="20"/>
      <c r="H75" s="20"/>
      <c r="I75" s="20"/>
    </row>
    <row r="76" spans="1:9" x14ac:dyDescent="0.25">
      <c r="A76" s="24" t="s">
        <v>49</v>
      </c>
      <c r="B76" s="23">
        <f t="shared" si="29"/>
        <v>1801.8507479474301</v>
      </c>
      <c r="C76" s="23">
        <f t="shared" si="25"/>
        <v>3.4638709588850585</v>
      </c>
      <c r="D76" s="23">
        <f t="shared" si="26"/>
        <v>6.3515238865146912</v>
      </c>
      <c r="E76" s="23">
        <f t="shared" si="27"/>
        <v>9.8153948453997497</v>
      </c>
      <c r="F76" s="23">
        <f t="shared" si="28"/>
        <v>1798.3868769885451</v>
      </c>
      <c r="G76" s="20"/>
      <c r="H76" s="20"/>
      <c r="I76" s="20"/>
    </row>
    <row r="77" spans="1:9" x14ac:dyDescent="0.25">
      <c r="A77" s="24" t="s">
        <v>51</v>
      </c>
      <c r="B77" s="23">
        <f t="shared" si="29"/>
        <v>1798.3868769885451</v>
      </c>
      <c r="C77" s="23">
        <f t="shared" si="25"/>
        <v>3.4760811040151287</v>
      </c>
      <c r="D77" s="23">
        <f t="shared" si="26"/>
        <v>6.339313741384621</v>
      </c>
      <c r="E77" s="23">
        <f t="shared" si="27"/>
        <v>9.8153948453997497</v>
      </c>
      <c r="F77" s="23">
        <f t="shared" si="28"/>
        <v>1794.91079588453</v>
      </c>
      <c r="G77" s="20"/>
      <c r="H77" s="20"/>
      <c r="I77" s="20"/>
    </row>
    <row r="78" spans="1:9" x14ac:dyDescent="0.25">
      <c r="A78" s="24" t="s">
        <v>53</v>
      </c>
      <c r="B78" s="23">
        <f t="shared" si="29"/>
        <v>1794.91079588453</v>
      </c>
      <c r="C78" s="23">
        <f t="shared" si="25"/>
        <v>3.4883342899067813</v>
      </c>
      <c r="D78" s="23">
        <f t="shared" si="26"/>
        <v>6.3270605554929684</v>
      </c>
      <c r="E78" s="23">
        <f t="shared" si="27"/>
        <v>9.8153948453997497</v>
      </c>
      <c r="F78" s="23">
        <f t="shared" si="28"/>
        <v>1791.4224615946232</v>
      </c>
      <c r="G78" s="20"/>
      <c r="H78" s="20"/>
      <c r="I78" s="20"/>
    </row>
    <row r="79" spans="1:9" x14ac:dyDescent="0.25">
      <c r="A79" s="24" t="s">
        <v>54</v>
      </c>
      <c r="B79" s="23">
        <f t="shared" si="29"/>
        <v>1791.4224615946232</v>
      </c>
      <c r="C79" s="23">
        <f t="shared" si="25"/>
        <v>3.5006306682787027</v>
      </c>
      <c r="D79" s="23">
        <f t="shared" si="26"/>
        <v>6.314764177121047</v>
      </c>
      <c r="E79" s="23">
        <f t="shared" si="27"/>
        <v>9.8153948453997497</v>
      </c>
      <c r="F79" s="23">
        <f t="shared" si="28"/>
        <v>1787.9218309263445</v>
      </c>
      <c r="G79" s="20"/>
      <c r="H79" s="20"/>
      <c r="I79" s="20"/>
    </row>
    <row r="80" spans="1:9" x14ac:dyDescent="0.25">
      <c r="A80" s="24" t="s">
        <v>55</v>
      </c>
      <c r="B80" s="23">
        <f t="shared" si="29"/>
        <v>1787.9218309263445</v>
      </c>
      <c r="C80" s="23">
        <f t="shared" si="25"/>
        <v>3.5129703913843855</v>
      </c>
      <c r="D80" s="23">
        <f t="shared" si="26"/>
        <v>6.3024244540153642</v>
      </c>
      <c r="E80" s="23">
        <f t="shared" si="27"/>
        <v>9.8153948453997497</v>
      </c>
      <c r="F80" s="23">
        <f t="shared" si="28"/>
        <v>1784.40886053496</v>
      </c>
      <c r="G80" s="20"/>
      <c r="H80" s="20"/>
      <c r="I80" s="20"/>
    </row>
    <row r="81" spans="1:9" x14ac:dyDescent="0.25">
      <c r="A81" s="24" t="s">
        <v>56</v>
      </c>
      <c r="B81" s="23">
        <f t="shared" si="29"/>
        <v>1784.40886053496</v>
      </c>
      <c r="C81" s="23">
        <f t="shared" si="25"/>
        <v>3.5253536120140154</v>
      </c>
      <c r="D81" s="23">
        <f t="shared" si="26"/>
        <v>6.2900412333857343</v>
      </c>
      <c r="E81" s="23">
        <f t="shared" si="27"/>
        <v>9.8153948453997497</v>
      </c>
      <c r="F81" s="23">
        <f t="shared" si="28"/>
        <v>1780.883506922946</v>
      </c>
      <c r="G81" s="20"/>
      <c r="H81" s="20"/>
      <c r="I81" s="20"/>
    </row>
    <row r="82" spans="1:9" x14ac:dyDescent="0.25">
      <c r="A82" s="24" t="s">
        <v>57</v>
      </c>
      <c r="B82" s="23">
        <f t="shared" si="29"/>
        <v>1780.883506922946</v>
      </c>
      <c r="C82" s="23">
        <f t="shared" si="25"/>
        <v>3.5377804834963653</v>
      </c>
      <c r="D82" s="23">
        <f t="shared" si="26"/>
        <v>6.2776143619033844</v>
      </c>
      <c r="E82" s="23">
        <f t="shared" si="27"/>
        <v>9.8153948453997497</v>
      </c>
      <c r="F82" s="23">
        <f t="shared" si="28"/>
        <v>1777.3457264394497</v>
      </c>
      <c r="G82" s="20"/>
      <c r="H82" s="20"/>
      <c r="I82" s="20"/>
    </row>
    <row r="83" spans="1:9" x14ac:dyDescent="0.25">
      <c r="A83" s="24" t="s">
        <v>58</v>
      </c>
      <c r="B83" s="23">
        <f t="shared" si="29"/>
        <v>1777.3457264394497</v>
      </c>
      <c r="C83" s="23">
        <f t="shared" si="25"/>
        <v>3.5502511597006894</v>
      </c>
      <c r="D83" s="23">
        <f t="shared" si="26"/>
        <v>6.2651436856990603</v>
      </c>
      <c r="E83" s="23">
        <f t="shared" si="27"/>
        <v>9.8153948453997497</v>
      </c>
      <c r="F83" s="23">
        <f t="shared" si="28"/>
        <v>1773.7954752797489</v>
      </c>
      <c r="G83" s="20">
        <f>G69+1</f>
        <v>6</v>
      </c>
      <c r="H83" s="20"/>
      <c r="I83" s="20"/>
    </row>
    <row r="84" spans="1:9" x14ac:dyDescent="0.25">
      <c r="A84" s="26" t="s">
        <v>59</v>
      </c>
      <c r="B84" s="23"/>
      <c r="C84" s="23">
        <f>SUM(C72:C83)</f>
        <v>41.789510586790072</v>
      </c>
      <c r="D84" s="23">
        <f>SUM(D72:D83)</f>
        <v>75.995227558006931</v>
      </c>
      <c r="E84" s="23"/>
      <c r="F84" s="23"/>
      <c r="G84" s="20"/>
      <c r="H84" s="20"/>
      <c r="I84" s="20"/>
    </row>
    <row r="85" spans="1:9" x14ac:dyDescent="0.25">
      <c r="A85" s="24"/>
      <c r="B85" s="23"/>
      <c r="C85" s="23"/>
      <c r="D85" s="23"/>
      <c r="E85" s="23"/>
      <c r="F85" s="23"/>
      <c r="G85" s="20"/>
      <c r="H85" s="20"/>
      <c r="I85" s="20"/>
    </row>
    <row r="86" spans="1:9" x14ac:dyDescent="0.25">
      <c r="A86" s="22" t="s">
        <v>41</v>
      </c>
      <c r="B86" s="23">
        <f>+F83</f>
        <v>1773.7954752797489</v>
      </c>
      <c r="C86" s="23">
        <f>+E86-D86</f>
        <v>3.5627657950386347</v>
      </c>
      <c r="D86" s="23">
        <f>B86*$I$2</f>
        <v>6.252629050361115</v>
      </c>
      <c r="E86" s="23">
        <f t="shared" ref="E86:E97" si="30">-$I$9</f>
        <v>9.8153948453997497</v>
      </c>
      <c r="F86" s="23">
        <f>+B86-C86</f>
        <v>1770.2327094847103</v>
      </c>
    </row>
    <row r="87" spans="1:9" x14ac:dyDescent="0.25">
      <c r="A87" s="24" t="s">
        <v>43</v>
      </c>
      <c r="B87" s="23">
        <f>+F86</f>
        <v>1770.2327094847103</v>
      </c>
      <c r="C87" s="23">
        <f>+E87-D87</f>
        <v>3.5753245444661461</v>
      </c>
      <c r="D87" s="23">
        <f>B87*$I$2</f>
        <v>6.2400703009336036</v>
      </c>
      <c r="E87" s="23">
        <f t="shared" si="30"/>
        <v>9.8153948453997497</v>
      </c>
      <c r="F87" s="23">
        <f>+B87-C87</f>
        <v>1766.6573849402441</v>
      </c>
    </row>
    <row r="88" spans="1:9" x14ac:dyDescent="0.25">
      <c r="A88" s="24" t="s">
        <v>45</v>
      </c>
      <c r="B88" s="23">
        <f>+F87</f>
        <v>1766.6573849402441</v>
      </c>
      <c r="C88" s="23">
        <f>+E88-D88</f>
        <v>3.5879275634853895</v>
      </c>
      <c r="D88" s="23">
        <f>B88*$I$2</f>
        <v>6.2274672819143602</v>
      </c>
      <c r="E88" s="23">
        <f t="shared" si="30"/>
        <v>9.8153948453997497</v>
      </c>
      <c r="F88" s="23">
        <f>+B88-C88</f>
        <v>1763.0694573767587</v>
      </c>
    </row>
    <row r="89" spans="1:9" x14ac:dyDescent="0.25">
      <c r="A89" s="24" t="s">
        <v>47</v>
      </c>
      <c r="B89" s="23">
        <f>+F88</f>
        <v>1763.0694573767587</v>
      </c>
      <c r="C89" s="23">
        <f>+E89-D89</f>
        <v>3.6005750081466754</v>
      </c>
      <c r="D89" s="23">
        <f>B89*$I$2</f>
        <v>6.2148198372530743</v>
      </c>
      <c r="E89" s="23">
        <f t="shared" si="30"/>
        <v>9.8153948453997497</v>
      </c>
      <c r="F89" s="23">
        <f>+B89-C89</f>
        <v>1759.468882368612</v>
      </c>
    </row>
    <row r="90" spans="1:9" x14ac:dyDescent="0.25">
      <c r="A90" s="24" t="s">
        <v>49</v>
      </c>
      <c r="B90" s="23">
        <f t="shared" ref="B90:B97" si="31">+F89</f>
        <v>1759.468882368612</v>
      </c>
      <c r="C90" s="23">
        <f t="shared" ref="C90:C97" si="32">+E90-D90</f>
        <v>3.6132670350503924</v>
      </c>
      <c r="D90" s="23">
        <f t="shared" ref="D90:D97" si="33">B90*$I$2</f>
        <v>6.2021278103493573</v>
      </c>
      <c r="E90" s="23">
        <f t="shared" si="30"/>
        <v>9.8153948453997497</v>
      </c>
      <c r="F90" s="23">
        <f t="shared" ref="F90:F97" si="34">+B90-C90</f>
        <v>1755.8556153335617</v>
      </c>
    </row>
    <row r="91" spans="1:9" x14ac:dyDescent="0.25">
      <c r="A91" s="24" t="s">
        <v>51</v>
      </c>
      <c r="B91" s="23">
        <f t="shared" si="31"/>
        <v>1755.8556153335617</v>
      </c>
      <c r="C91" s="23">
        <f t="shared" si="32"/>
        <v>3.6260038013489453</v>
      </c>
      <c r="D91" s="23">
        <f t="shared" si="33"/>
        <v>6.1893910440508044</v>
      </c>
      <c r="E91" s="23">
        <f t="shared" si="30"/>
        <v>9.8153948453997497</v>
      </c>
      <c r="F91" s="23">
        <f t="shared" si="34"/>
        <v>1752.2296115322126</v>
      </c>
    </row>
    <row r="92" spans="1:9" x14ac:dyDescent="0.25">
      <c r="A92" s="24" t="s">
        <v>53</v>
      </c>
      <c r="B92" s="23">
        <f t="shared" si="31"/>
        <v>1752.2296115322126</v>
      </c>
      <c r="C92" s="23">
        <f t="shared" si="32"/>
        <v>3.6387854647487003</v>
      </c>
      <c r="D92" s="23">
        <f t="shared" si="33"/>
        <v>6.1766093806510494</v>
      </c>
      <c r="E92" s="23">
        <f t="shared" si="30"/>
        <v>9.8153948453997497</v>
      </c>
      <c r="F92" s="23">
        <f t="shared" si="34"/>
        <v>1748.5908260674639</v>
      </c>
    </row>
    <row r="93" spans="1:9" x14ac:dyDescent="0.25">
      <c r="A93" s="24" t="s">
        <v>54</v>
      </c>
      <c r="B93" s="23">
        <f t="shared" si="31"/>
        <v>1748.5908260674639</v>
      </c>
      <c r="C93" s="23">
        <f t="shared" si="32"/>
        <v>3.6516121835119399</v>
      </c>
      <c r="D93" s="23">
        <f t="shared" si="33"/>
        <v>6.1637826618878098</v>
      </c>
      <c r="E93" s="23">
        <f t="shared" si="30"/>
        <v>9.8153948453997497</v>
      </c>
      <c r="F93" s="23">
        <f t="shared" si="34"/>
        <v>1744.9392138839519</v>
      </c>
    </row>
    <row r="94" spans="1:9" x14ac:dyDescent="0.25">
      <c r="A94" s="24" t="s">
        <v>55</v>
      </c>
      <c r="B94" s="23">
        <f t="shared" si="31"/>
        <v>1744.9392138839519</v>
      </c>
      <c r="C94" s="23">
        <f t="shared" si="32"/>
        <v>3.6644841164588193</v>
      </c>
      <c r="D94" s="23">
        <f t="shared" si="33"/>
        <v>6.1509107289409304</v>
      </c>
      <c r="E94" s="23">
        <f t="shared" si="30"/>
        <v>9.8153948453997497</v>
      </c>
      <c r="F94" s="23">
        <f t="shared" si="34"/>
        <v>1741.274729767493</v>
      </c>
    </row>
    <row r="95" spans="1:9" x14ac:dyDescent="0.25">
      <c r="A95" s="24" t="s">
        <v>56</v>
      </c>
      <c r="B95" s="23">
        <f t="shared" si="31"/>
        <v>1741.274729767493</v>
      </c>
      <c r="C95" s="23">
        <f t="shared" si="32"/>
        <v>3.6774014229693366</v>
      </c>
      <c r="D95" s="23">
        <f t="shared" si="33"/>
        <v>6.1379934224304131</v>
      </c>
      <c r="E95" s="23">
        <f t="shared" si="30"/>
        <v>9.8153948453997497</v>
      </c>
      <c r="F95" s="23">
        <f t="shared" si="34"/>
        <v>1737.5973283445237</v>
      </c>
    </row>
    <row r="96" spans="1:9" x14ac:dyDescent="0.25">
      <c r="A96" s="24" t="s">
        <v>57</v>
      </c>
      <c r="B96" s="23">
        <f t="shared" si="31"/>
        <v>1737.5973283445237</v>
      </c>
      <c r="C96" s="23">
        <f t="shared" si="32"/>
        <v>3.6903642629853035</v>
      </c>
      <c r="D96" s="23">
        <f t="shared" si="33"/>
        <v>6.1250305824144462</v>
      </c>
      <c r="E96" s="23">
        <f t="shared" si="30"/>
        <v>9.8153948453997497</v>
      </c>
      <c r="F96" s="23">
        <f t="shared" si="34"/>
        <v>1733.9069640815385</v>
      </c>
    </row>
    <row r="97" spans="1:7" x14ac:dyDescent="0.25">
      <c r="A97" s="24" t="s">
        <v>58</v>
      </c>
      <c r="B97" s="23">
        <f t="shared" si="31"/>
        <v>1733.9069640815385</v>
      </c>
      <c r="C97" s="23">
        <f t="shared" si="32"/>
        <v>3.7033727970123262</v>
      </c>
      <c r="D97" s="23">
        <f t="shared" si="33"/>
        <v>6.1120220483874235</v>
      </c>
      <c r="E97" s="23">
        <f t="shared" si="30"/>
        <v>9.8153948453997497</v>
      </c>
      <c r="F97" s="23">
        <f t="shared" si="34"/>
        <v>1730.2035912845261</v>
      </c>
      <c r="G97" s="20">
        <f>G83+1</f>
        <v>7</v>
      </c>
    </row>
    <row r="98" spans="1:7" x14ac:dyDescent="0.25">
      <c r="A98" s="26" t="s">
        <v>59</v>
      </c>
      <c r="B98" s="23"/>
      <c r="C98" s="23">
        <f>SUM(C86:C97)</f>
        <v>43.591883995222616</v>
      </c>
      <c r="D98" s="23">
        <f>SUM(D86:D97)</f>
        <v>74.192854149574373</v>
      </c>
      <c r="E98" s="23"/>
      <c r="F98" s="23"/>
    </row>
    <row r="100" spans="1:7" x14ac:dyDescent="0.25">
      <c r="A100" s="22" t="s">
        <v>41</v>
      </c>
      <c r="B100" s="23">
        <f>+F97</f>
        <v>1730.2035912845261</v>
      </c>
      <c r="C100" s="23">
        <f t="shared" ref="C100:C111" si="35">+E100-D100</f>
        <v>3.7164271861217957</v>
      </c>
      <c r="D100" s="23">
        <f t="shared" ref="D100:D111" si="36">B100*$I$2</f>
        <v>6.098967659277954</v>
      </c>
      <c r="E100" s="23">
        <f t="shared" ref="E100:E111" si="37">-$I$9</f>
        <v>9.8153948453997497</v>
      </c>
      <c r="F100" s="23">
        <f t="shared" ref="F100:F111" si="38">+B100-C100</f>
        <v>1726.4871640984043</v>
      </c>
    </row>
    <row r="101" spans="1:7" x14ac:dyDescent="0.25">
      <c r="A101" s="24" t="s">
        <v>43</v>
      </c>
      <c r="B101" s="23">
        <f t="shared" ref="B101:B111" si="39">+F100</f>
        <v>1726.4871640984043</v>
      </c>
      <c r="C101" s="23">
        <f t="shared" si="35"/>
        <v>3.7295275919528752</v>
      </c>
      <c r="D101" s="23">
        <f t="shared" si="36"/>
        <v>6.0858672534468745</v>
      </c>
      <c r="E101" s="23">
        <f t="shared" si="37"/>
        <v>9.8153948453997497</v>
      </c>
      <c r="F101" s="23">
        <f t="shared" si="38"/>
        <v>1722.7576365064515</v>
      </c>
    </row>
    <row r="102" spans="1:7" x14ac:dyDescent="0.25">
      <c r="A102" s="24" t="s">
        <v>45</v>
      </c>
      <c r="B102" s="23">
        <f t="shared" si="39"/>
        <v>1722.7576365064515</v>
      </c>
      <c r="C102" s="23">
        <f t="shared" si="35"/>
        <v>3.742674176714508</v>
      </c>
      <c r="D102" s="23">
        <f t="shared" si="36"/>
        <v>6.0727206686852417</v>
      </c>
      <c r="E102" s="23">
        <f t="shared" si="37"/>
        <v>9.8153948453997497</v>
      </c>
      <c r="F102" s="23">
        <f t="shared" si="38"/>
        <v>1719.014962329737</v>
      </c>
    </row>
    <row r="103" spans="1:7" x14ac:dyDescent="0.25">
      <c r="A103" s="24" t="s">
        <v>47</v>
      </c>
      <c r="B103" s="23">
        <f t="shared" si="39"/>
        <v>1719.014962329737</v>
      </c>
      <c r="C103" s="23">
        <f t="shared" si="35"/>
        <v>3.7558671031874269</v>
      </c>
      <c r="D103" s="23">
        <f t="shared" si="36"/>
        <v>6.0595277422123228</v>
      </c>
      <c r="E103" s="23">
        <f t="shared" si="37"/>
        <v>9.8153948453997497</v>
      </c>
      <c r="F103" s="23">
        <f t="shared" si="38"/>
        <v>1715.2590952265496</v>
      </c>
    </row>
    <row r="104" spans="1:7" x14ac:dyDescent="0.25">
      <c r="A104" s="24" t="s">
        <v>49</v>
      </c>
      <c r="B104" s="23">
        <f t="shared" si="39"/>
        <v>1715.2590952265496</v>
      </c>
      <c r="C104" s="23">
        <f t="shared" si="35"/>
        <v>3.7691065347261627</v>
      </c>
      <c r="D104" s="23">
        <f t="shared" si="36"/>
        <v>6.046288310673587</v>
      </c>
      <c r="E104" s="23">
        <f t="shared" si="37"/>
        <v>9.8153948453997497</v>
      </c>
      <c r="F104" s="23">
        <f t="shared" si="38"/>
        <v>1711.4899886918233</v>
      </c>
    </row>
    <row r="105" spans="1:7" x14ac:dyDescent="0.25">
      <c r="A105" s="24" t="s">
        <v>51</v>
      </c>
      <c r="B105" s="23">
        <f t="shared" si="39"/>
        <v>1711.4899886918233</v>
      </c>
      <c r="C105" s="23">
        <f t="shared" si="35"/>
        <v>3.7823926352610728</v>
      </c>
      <c r="D105" s="23">
        <f t="shared" si="36"/>
        <v>6.0330022101386769</v>
      </c>
      <c r="E105" s="23">
        <f t="shared" si="37"/>
        <v>9.8153948453997497</v>
      </c>
      <c r="F105" s="23">
        <f t="shared" si="38"/>
        <v>1707.7075960565624</v>
      </c>
    </row>
    <row r="106" spans="1:7" x14ac:dyDescent="0.25">
      <c r="A106" s="24" t="s">
        <v>53</v>
      </c>
      <c r="B106" s="23">
        <f t="shared" si="39"/>
        <v>1707.7075960565624</v>
      </c>
      <c r="C106" s="23">
        <f t="shared" si="35"/>
        <v>3.7957255693003678</v>
      </c>
      <c r="D106" s="23">
        <f t="shared" si="36"/>
        <v>6.019669276099382</v>
      </c>
      <c r="E106" s="23">
        <f t="shared" si="37"/>
        <v>9.8153948453997497</v>
      </c>
      <c r="F106" s="23">
        <f t="shared" si="38"/>
        <v>1703.9118704872619</v>
      </c>
    </row>
    <row r="107" spans="1:7" x14ac:dyDescent="0.25">
      <c r="A107" s="24" t="s">
        <v>54</v>
      </c>
      <c r="B107" s="23">
        <f t="shared" si="39"/>
        <v>1703.9118704872619</v>
      </c>
      <c r="C107" s="23">
        <f t="shared" si="35"/>
        <v>3.8091055019321516</v>
      </c>
      <c r="D107" s="23">
        <f t="shared" si="36"/>
        <v>6.0062893434675981</v>
      </c>
      <c r="E107" s="23">
        <f t="shared" si="37"/>
        <v>9.8153948453997497</v>
      </c>
      <c r="F107" s="23">
        <f t="shared" si="38"/>
        <v>1700.1027649853297</v>
      </c>
    </row>
    <row r="108" spans="1:7" x14ac:dyDescent="0.25">
      <c r="A108" s="24" t="s">
        <v>55</v>
      </c>
      <c r="B108" s="23">
        <f t="shared" si="39"/>
        <v>1700.1027649853297</v>
      </c>
      <c r="C108" s="23">
        <f t="shared" si="35"/>
        <v>3.8225325988264629</v>
      </c>
      <c r="D108" s="23">
        <f t="shared" si="36"/>
        <v>5.9928622465732868</v>
      </c>
      <c r="E108" s="23">
        <f t="shared" si="37"/>
        <v>9.8153948453997497</v>
      </c>
      <c r="F108" s="23">
        <f t="shared" si="38"/>
        <v>1696.2802323865033</v>
      </c>
    </row>
    <row r="109" spans="1:7" x14ac:dyDescent="0.25">
      <c r="A109" s="24" t="s">
        <v>56</v>
      </c>
      <c r="B109" s="23">
        <f t="shared" si="39"/>
        <v>1696.2802323865033</v>
      </c>
      <c r="C109" s="23">
        <f t="shared" si="35"/>
        <v>3.8360070262373256</v>
      </c>
      <c r="D109" s="23">
        <f t="shared" si="36"/>
        <v>5.9793878191624241</v>
      </c>
      <c r="E109" s="23">
        <f t="shared" si="37"/>
        <v>9.8153948453997497</v>
      </c>
      <c r="F109" s="23">
        <f t="shared" si="38"/>
        <v>1692.444225360266</v>
      </c>
    </row>
    <row r="110" spans="1:7" x14ac:dyDescent="0.25">
      <c r="A110" s="24" t="s">
        <v>57</v>
      </c>
      <c r="B110" s="23">
        <f t="shared" si="39"/>
        <v>1692.444225360266</v>
      </c>
      <c r="C110" s="23">
        <f t="shared" si="35"/>
        <v>3.8495289510048121</v>
      </c>
      <c r="D110" s="23">
        <f t="shared" si="36"/>
        <v>5.9658658943949376</v>
      </c>
      <c r="E110" s="23">
        <f t="shared" si="37"/>
        <v>9.8153948453997497</v>
      </c>
      <c r="F110" s="23">
        <f t="shared" si="38"/>
        <v>1688.5946964092611</v>
      </c>
    </row>
    <row r="111" spans="1:7" x14ac:dyDescent="0.25">
      <c r="A111" s="24" t="s">
        <v>58</v>
      </c>
      <c r="B111" s="23">
        <f t="shared" si="39"/>
        <v>1688.5946964092611</v>
      </c>
      <c r="C111" s="23">
        <f t="shared" si="35"/>
        <v>3.8630985405571048</v>
      </c>
      <c r="D111" s="23">
        <f t="shared" si="36"/>
        <v>5.9522963048426449</v>
      </c>
      <c r="E111" s="23">
        <f t="shared" si="37"/>
        <v>9.8153948453997497</v>
      </c>
      <c r="F111" s="23">
        <f t="shared" si="38"/>
        <v>1684.7315978687041</v>
      </c>
      <c r="G111" s="20">
        <f>G97+1</f>
        <v>8</v>
      </c>
    </row>
    <row r="112" spans="1:7" x14ac:dyDescent="0.25">
      <c r="A112" s="26" t="s">
        <v>59</v>
      </c>
      <c r="B112" s="23"/>
      <c r="C112" s="23">
        <f>SUM(C100:C111)</f>
        <v>45.47199341582207</v>
      </c>
      <c r="D112" s="23">
        <f>SUM(D100:D111)</f>
        <v>72.312744728974948</v>
      </c>
      <c r="E112" s="23"/>
      <c r="F112" s="23"/>
    </row>
    <row r="113" spans="1:7" x14ac:dyDescent="0.25">
      <c r="A113" s="24"/>
      <c r="B113" s="23"/>
      <c r="C113" s="23"/>
      <c r="D113" s="23"/>
      <c r="E113" s="23"/>
      <c r="F113" s="23"/>
    </row>
    <row r="114" spans="1:7" x14ac:dyDescent="0.25">
      <c r="A114" s="22" t="s">
        <v>41</v>
      </c>
      <c r="B114" s="23">
        <f>+F111</f>
        <v>1684.7315978687041</v>
      </c>
      <c r="C114" s="23">
        <f t="shared" ref="C114:C125" si="40">+E114-D114</f>
        <v>3.8767159629125683</v>
      </c>
      <c r="D114" s="23">
        <f t="shared" ref="D114:D125" si="41">B114*$I$2</f>
        <v>5.9386788824871815</v>
      </c>
      <c r="E114" s="23">
        <f t="shared" ref="E114:E125" si="42">-$I$9</f>
        <v>9.8153948453997497</v>
      </c>
      <c r="F114" s="23">
        <f t="shared" ref="F114:F125" si="43">+B114-C114</f>
        <v>1680.8548819057914</v>
      </c>
    </row>
    <row r="115" spans="1:7" x14ac:dyDescent="0.25">
      <c r="A115" s="24" t="s">
        <v>43</v>
      </c>
      <c r="B115" s="23">
        <f t="shared" ref="B115:B125" si="44">+F114</f>
        <v>1680.8548819057914</v>
      </c>
      <c r="C115" s="23">
        <f t="shared" si="40"/>
        <v>3.8903813866818346</v>
      </c>
      <c r="D115" s="23">
        <f t="shared" si="41"/>
        <v>5.9250134587179151</v>
      </c>
      <c r="E115" s="23">
        <f t="shared" si="42"/>
        <v>9.8153948453997497</v>
      </c>
      <c r="F115" s="23">
        <f t="shared" si="43"/>
        <v>1676.9645005191096</v>
      </c>
    </row>
    <row r="116" spans="1:7" x14ac:dyDescent="0.25">
      <c r="A116" s="24" t="s">
        <v>45</v>
      </c>
      <c r="B116" s="23">
        <f t="shared" si="44"/>
        <v>1676.9645005191096</v>
      </c>
      <c r="C116" s="23">
        <f t="shared" si="40"/>
        <v>3.9040949810698882</v>
      </c>
      <c r="D116" s="23">
        <f t="shared" si="41"/>
        <v>5.9112998643298615</v>
      </c>
      <c r="E116" s="23">
        <f t="shared" si="42"/>
        <v>9.8153948453997497</v>
      </c>
      <c r="F116" s="23">
        <f t="shared" si="43"/>
        <v>1673.0604055380397</v>
      </c>
    </row>
    <row r="117" spans="1:7" x14ac:dyDescent="0.25">
      <c r="A117" s="24" t="s">
        <v>47</v>
      </c>
      <c r="B117" s="23">
        <f t="shared" si="44"/>
        <v>1673.0604055380397</v>
      </c>
      <c r="C117" s="23">
        <f t="shared" si="40"/>
        <v>3.9178569158781595</v>
      </c>
      <c r="D117" s="23">
        <f t="shared" si="41"/>
        <v>5.8975379295215902</v>
      </c>
      <c r="E117" s="23">
        <f t="shared" si="42"/>
        <v>9.8153948453997497</v>
      </c>
      <c r="F117" s="23">
        <f t="shared" si="43"/>
        <v>1669.1425486221615</v>
      </c>
    </row>
    <row r="118" spans="1:7" x14ac:dyDescent="0.25">
      <c r="A118" s="24" t="s">
        <v>49</v>
      </c>
      <c r="B118" s="23">
        <f t="shared" si="44"/>
        <v>1669.1425486221615</v>
      </c>
      <c r="C118" s="23">
        <f t="shared" si="40"/>
        <v>3.9316673615066309</v>
      </c>
      <c r="D118" s="23">
        <f t="shared" si="41"/>
        <v>5.8837274838931188</v>
      </c>
      <c r="E118" s="23">
        <f t="shared" si="42"/>
        <v>9.8153948453997497</v>
      </c>
      <c r="F118" s="23">
        <f t="shared" si="43"/>
        <v>1665.2108812606548</v>
      </c>
    </row>
    <row r="119" spans="1:7" x14ac:dyDescent="0.25">
      <c r="A119" s="24" t="s">
        <v>51</v>
      </c>
      <c r="B119" s="23">
        <f t="shared" si="44"/>
        <v>1665.2108812606548</v>
      </c>
      <c r="C119" s="23">
        <f t="shared" si="40"/>
        <v>3.9455264889559416</v>
      </c>
      <c r="D119" s="23">
        <f t="shared" si="41"/>
        <v>5.8698683564438081</v>
      </c>
      <c r="E119" s="23">
        <f t="shared" si="42"/>
        <v>9.8153948453997497</v>
      </c>
      <c r="F119" s="23">
        <f t="shared" si="43"/>
        <v>1661.2653547716989</v>
      </c>
    </row>
    <row r="120" spans="1:7" x14ac:dyDescent="0.25">
      <c r="A120" s="24" t="s">
        <v>53</v>
      </c>
      <c r="B120" s="23">
        <f t="shared" si="44"/>
        <v>1661.2653547716989</v>
      </c>
      <c r="C120" s="23">
        <f t="shared" si="40"/>
        <v>3.9594344698295112</v>
      </c>
      <c r="D120" s="23">
        <f t="shared" si="41"/>
        <v>5.8559603755702385</v>
      </c>
      <c r="E120" s="23">
        <f t="shared" si="42"/>
        <v>9.8153948453997497</v>
      </c>
      <c r="F120" s="23">
        <f t="shared" si="43"/>
        <v>1657.3059203018693</v>
      </c>
    </row>
    <row r="121" spans="1:7" x14ac:dyDescent="0.25">
      <c r="A121" s="24" t="s">
        <v>54</v>
      </c>
      <c r="B121" s="23">
        <f t="shared" si="44"/>
        <v>1657.3059203018693</v>
      </c>
      <c r="C121" s="23">
        <f t="shared" si="40"/>
        <v>3.973391476335661</v>
      </c>
      <c r="D121" s="23">
        <f t="shared" si="41"/>
        <v>5.8420033690640887</v>
      </c>
      <c r="E121" s="23">
        <f t="shared" si="42"/>
        <v>9.8153948453997497</v>
      </c>
      <c r="F121" s="23">
        <f t="shared" si="43"/>
        <v>1653.3325288255337</v>
      </c>
    </row>
    <row r="122" spans="1:7" x14ac:dyDescent="0.25">
      <c r="A122" s="24" t="s">
        <v>55</v>
      </c>
      <c r="B122" s="23">
        <f t="shared" si="44"/>
        <v>1653.3325288255337</v>
      </c>
      <c r="C122" s="23">
        <f t="shared" si="40"/>
        <v>3.9873976812897434</v>
      </c>
      <c r="D122" s="23">
        <f t="shared" si="41"/>
        <v>5.8279971641100063</v>
      </c>
      <c r="E122" s="23">
        <f t="shared" si="42"/>
        <v>9.8153948453997497</v>
      </c>
      <c r="F122" s="23">
        <f t="shared" si="43"/>
        <v>1649.3451311442439</v>
      </c>
    </row>
    <row r="123" spans="1:7" x14ac:dyDescent="0.25">
      <c r="A123" s="24" t="s">
        <v>56</v>
      </c>
      <c r="B123" s="23">
        <f t="shared" si="44"/>
        <v>1649.3451311442439</v>
      </c>
      <c r="C123" s="23">
        <f t="shared" si="40"/>
        <v>4.0014532581162898</v>
      </c>
      <c r="D123" s="23">
        <f t="shared" si="41"/>
        <v>5.8139415872834599</v>
      </c>
      <c r="E123" s="23">
        <f t="shared" si="42"/>
        <v>9.8153948453997497</v>
      </c>
      <c r="F123" s="23">
        <f t="shared" si="43"/>
        <v>1645.3436778861276</v>
      </c>
    </row>
    <row r="124" spans="1:7" x14ac:dyDescent="0.25">
      <c r="A124" s="24" t="s">
        <v>57</v>
      </c>
      <c r="B124" s="23">
        <f t="shared" si="44"/>
        <v>1645.3436778861276</v>
      </c>
      <c r="C124" s="23">
        <f t="shared" si="40"/>
        <v>4.0155583808511501</v>
      </c>
      <c r="D124" s="23">
        <f t="shared" si="41"/>
        <v>5.7998364645485996</v>
      </c>
      <c r="E124" s="23">
        <f t="shared" si="42"/>
        <v>9.8153948453997497</v>
      </c>
      <c r="F124" s="23">
        <f t="shared" si="43"/>
        <v>1641.3281195052764</v>
      </c>
    </row>
    <row r="125" spans="1:7" x14ac:dyDescent="0.25">
      <c r="A125" s="24" t="s">
        <v>58</v>
      </c>
      <c r="B125" s="23">
        <f t="shared" si="44"/>
        <v>1641.3281195052764</v>
      </c>
      <c r="C125" s="23">
        <f t="shared" si="40"/>
        <v>4.0297132241436504</v>
      </c>
      <c r="D125" s="23">
        <f t="shared" si="41"/>
        <v>5.7856816212560993</v>
      </c>
      <c r="E125" s="23">
        <f t="shared" si="42"/>
        <v>9.8153948453997497</v>
      </c>
      <c r="F125" s="23">
        <f t="shared" si="43"/>
        <v>1637.2984062811327</v>
      </c>
      <c r="G125" s="20">
        <f>G111+1</f>
        <v>9</v>
      </c>
    </row>
    <row r="126" spans="1:7" x14ac:dyDescent="0.25">
      <c r="A126" s="26" t="s">
        <v>59</v>
      </c>
      <c r="B126" s="23"/>
      <c r="C126" s="23">
        <f>SUM(C114:C125)</f>
        <v>47.433191587571031</v>
      </c>
      <c r="D126" s="23">
        <f>SUM(D114:D125)</f>
        <v>70.351546557225973</v>
      </c>
      <c r="E126" s="23"/>
      <c r="F126" s="23"/>
    </row>
    <row r="127" spans="1:7" x14ac:dyDescent="0.25">
      <c r="A127" s="24"/>
      <c r="B127" s="23"/>
      <c r="C127" s="23"/>
      <c r="D127" s="23"/>
      <c r="E127" s="23"/>
      <c r="F127" s="23"/>
    </row>
    <row r="128" spans="1:7" x14ac:dyDescent="0.25">
      <c r="A128" s="22" t="s">
        <v>41</v>
      </c>
      <c r="B128" s="23">
        <f>+F125</f>
        <v>1637.2984062811327</v>
      </c>
      <c r="C128" s="23">
        <f>+E128-D128</f>
        <v>4.0439179632587576</v>
      </c>
      <c r="D128" s="23">
        <f>B128*$I$2</f>
        <v>5.7714768821409921</v>
      </c>
      <c r="E128" s="23">
        <f t="shared" ref="E128:E139" si="45">-$I$9</f>
        <v>9.8153948453997497</v>
      </c>
      <c r="F128" s="23">
        <f>+B128-C128</f>
        <v>1633.2544883178739</v>
      </c>
    </row>
    <row r="129" spans="1:7" x14ac:dyDescent="0.25">
      <c r="A129" s="24" t="s">
        <v>43</v>
      </c>
      <c r="B129" s="23">
        <f>+F128</f>
        <v>1633.2544883178739</v>
      </c>
      <c r="C129" s="23">
        <f>+E129-D129</f>
        <v>4.0581727740792441</v>
      </c>
      <c r="D129" s="23">
        <f>B129*$I$2</f>
        <v>5.7572220713205056</v>
      </c>
      <c r="E129" s="23">
        <f t="shared" si="45"/>
        <v>9.8153948453997497</v>
      </c>
      <c r="F129" s="23">
        <f>+B129-C129</f>
        <v>1629.1963155437948</v>
      </c>
    </row>
    <row r="130" spans="1:7" x14ac:dyDescent="0.25">
      <c r="A130" s="24" t="s">
        <v>45</v>
      </c>
      <c r="B130" s="23">
        <f>+F129</f>
        <v>1629.1963155437948</v>
      </c>
      <c r="C130" s="23">
        <f>+E130-D130</f>
        <v>4.0724778331078735</v>
      </c>
      <c r="D130" s="23">
        <f>B130*$I$2</f>
        <v>5.7429170122918762</v>
      </c>
      <c r="E130" s="23">
        <f t="shared" si="45"/>
        <v>9.8153948453997497</v>
      </c>
      <c r="F130" s="23">
        <f>+B130-C130</f>
        <v>1625.123837710687</v>
      </c>
    </row>
    <row r="131" spans="1:7" x14ac:dyDescent="0.25">
      <c r="A131" s="24" t="s">
        <v>47</v>
      </c>
      <c r="B131" s="23">
        <f>+F130</f>
        <v>1625.123837710687</v>
      </c>
      <c r="C131" s="23">
        <f>+E131-D131</f>
        <v>4.0868333174695781</v>
      </c>
      <c r="D131" s="23">
        <f>B131*$I$2</f>
        <v>5.7285615279301716</v>
      </c>
      <c r="E131" s="23">
        <f t="shared" si="45"/>
        <v>9.8153948453997497</v>
      </c>
      <c r="F131" s="23">
        <f>+B131-C131</f>
        <v>1621.0370043932173</v>
      </c>
    </row>
    <row r="132" spans="1:7" x14ac:dyDescent="0.25">
      <c r="A132" s="24" t="s">
        <v>49</v>
      </c>
      <c r="B132" s="23">
        <f t="shared" ref="B132:B139" si="46">+F131</f>
        <v>1621.0370043932173</v>
      </c>
      <c r="C132" s="23">
        <f t="shared" ref="C132:C139" si="47">+E132-D132</f>
        <v>4.1012394049136587</v>
      </c>
      <c r="D132" s="23">
        <f t="shared" ref="D132:D139" si="48">B132*$I$2</f>
        <v>5.714155440486091</v>
      </c>
      <c r="E132" s="23">
        <f t="shared" si="45"/>
        <v>9.8153948453997497</v>
      </c>
      <c r="F132" s="23">
        <f t="shared" ref="F132:F139" si="49">+B132-C132</f>
        <v>1616.9357649883036</v>
      </c>
    </row>
    <row r="133" spans="1:7" x14ac:dyDescent="0.25">
      <c r="A133" s="24" t="s">
        <v>51</v>
      </c>
      <c r="B133" s="23">
        <f t="shared" si="46"/>
        <v>1616.9357649883036</v>
      </c>
      <c r="C133" s="23">
        <f t="shared" si="47"/>
        <v>4.1156962738159795</v>
      </c>
      <c r="D133" s="23">
        <f t="shared" si="48"/>
        <v>5.6996985715837702</v>
      </c>
      <c r="E133" s="23">
        <f t="shared" si="45"/>
        <v>9.8153948453997497</v>
      </c>
      <c r="F133" s="23">
        <f t="shared" si="49"/>
        <v>1612.8200687144877</v>
      </c>
    </row>
    <row r="134" spans="1:7" x14ac:dyDescent="0.25">
      <c r="A134" s="24" t="s">
        <v>53</v>
      </c>
      <c r="B134" s="23">
        <f t="shared" si="46"/>
        <v>1612.8200687144877</v>
      </c>
      <c r="C134" s="23">
        <f t="shared" si="47"/>
        <v>4.1302041031811809</v>
      </c>
      <c r="D134" s="23">
        <f t="shared" si="48"/>
        <v>5.6851907422185688</v>
      </c>
      <c r="E134" s="23">
        <f t="shared" si="45"/>
        <v>9.8153948453997497</v>
      </c>
      <c r="F134" s="23">
        <f t="shared" si="49"/>
        <v>1608.6898646113066</v>
      </c>
    </row>
    <row r="135" spans="1:7" x14ac:dyDescent="0.25">
      <c r="A135" s="24" t="s">
        <v>54</v>
      </c>
      <c r="B135" s="23">
        <f t="shared" si="46"/>
        <v>1608.6898646113066</v>
      </c>
      <c r="C135" s="23">
        <f t="shared" si="47"/>
        <v>4.1447630726448939</v>
      </c>
      <c r="D135" s="23">
        <f t="shared" si="48"/>
        <v>5.6706317727548559</v>
      </c>
      <c r="E135" s="23">
        <f t="shared" si="45"/>
        <v>9.8153948453997497</v>
      </c>
      <c r="F135" s="23">
        <f t="shared" si="49"/>
        <v>1604.5451015386616</v>
      </c>
    </row>
    <row r="136" spans="1:7" x14ac:dyDescent="0.25">
      <c r="A136" s="24" t="s">
        <v>55</v>
      </c>
      <c r="B136" s="23">
        <f t="shared" si="46"/>
        <v>1604.5451015386616</v>
      </c>
      <c r="C136" s="23">
        <f t="shared" si="47"/>
        <v>4.1593733624759679</v>
      </c>
      <c r="D136" s="23">
        <f t="shared" si="48"/>
        <v>5.6560214829237818</v>
      </c>
      <c r="E136" s="23">
        <f t="shared" si="45"/>
        <v>9.8153948453997497</v>
      </c>
      <c r="F136" s="23">
        <f t="shared" si="49"/>
        <v>1600.3857281761857</v>
      </c>
    </row>
    <row r="137" spans="1:7" x14ac:dyDescent="0.25">
      <c r="A137" s="24" t="s">
        <v>56</v>
      </c>
      <c r="B137" s="23">
        <f t="shared" si="46"/>
        <v>1600.3857281761857</v>
      </c>
      <c r="C137" s="23">
        <f t="shared" si="47"/>
        <v>4.1740351535786955</v>
      </c>
      <c r="D137" s="23">
        <f t="shared" si="48"/>
        <v>5.6413596918210542</v>
      </c>
      <c r="E137" s="23">
        <f t="shared" si="45"/>
        <v>9.8153948453997497</v>
      </c>
      <c r="F137" s="23">
        <f t="shared" si="49"/>
        <v>1596.2116930226071</v>
      </c>
    </row>
    <row r="138" spans="1:7" x14ac:dyDescent="0.25">
      <c r="A138" s="24" t="s">
        <v>57</v>
      </c>
      <c r="B138" s="23">
        <f t="shared" si="46"/>
        <v>1596.2116930226071</v>
      </c>
      <c r="C138" s="23">
        <f t="shared" si="47"/>
        <v>4.1887486274950598</v>
      </c>
      <c r="D138" s="23">
        <f t="shared" si="48"/>
        <v>5.6266462179046899</v>
      </c>
      <c r="E138" s="23">
        <f t="shared" si="45"/>
        <v>9.8153948453997497</v>
      </c>
      <c r="F138" s="23">
        <f t="shared" si="49"/>
        <v>1592.0229443951121</v>
      </c>
    </row>
    <row r="139" spans="1:7" x14ac:dyDescent="0.25">
      <c r="A139" s="24" t="s">
        <v>58</v>
      </c>
      <c r="B139" s="23">
        <f t="shared" si="46"/>
        <v>1592.0229443951121</v>
      </c>
      <c r="C139" s="23">
        <f t="shared" si="47"/>
        <v>4.2035139664069794</v>
      </c>
      <c r="D139" s="23">
        <f t="shared" si="48"/>
        <v>5.6118808789927703</v>
      </c>
      <c r="E139" s="23">
        <f t="shared" si="45"/>
        <v>9.8153948453997497</v>
      </c>
      <c r="F139" s="23">
        <f t="shared" si="49"/>
        <v>1587.8194304287051</v>
      </c>
      <c r="G139" s="20">
        <f>G125+1</f>
        <v>10</v>
      </c>
    </row>
    <row r="140" spans="1:7" x14ac:dyDescent="0.25">
      <c r="A140" s="26" t="s">
        <v>59</v>
      </c>
      <c r="B140" s="23"/>
      <c r="C140" s="23">
        <f>SUM(C128:C139)</f>
        <v>49.478975852427872</v>
      </c>
      <c r="D140" s="23">
        <f>SUM(D128:D139)</f>
        <v>68.305762292369124</v>
      </c>
      <c r="E140" s="23"/>
      <c r="F140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F625-2630-4C1A-92E2-5ABAB927FC2F}">
  <dimension ref="A1:Q35"/>
  <sheetViews>
    <sheetView zoomScale="60" zoomScaleNormal="60" workbookViewId="0">
      <selection activeCell="C36" sqref="C36"/>
    </sheetView>
  </sheetViews>
  <sheetFormatPr defaultColWidth="9.140625" defaultRowHeight="15.75" x14ac:dyDescent="0.25"/>
  <cols>
    <col min="1" max="1" width="19" style="71" customWidth="1"/>
    <col min="2" max="2" width="27.85546875" style="71" customWidth="1"/>
    <col min="3" max="3" width="14.42578125" style="71" customWidth="1"/>
    <col min="4" max="4" width="15.7109375" style="71" customWidth="1"/>
    <col min="5" max="5" width="16.7109375" style="71" customWidth="1"/>
    <col min="6" max="6" width="17.85546875" style="71" customWidth="1"/>
    <col min="7" max="7" width="14.7109375" style="71" customWidth="1"/>
    <col min="8" max="8" width="13.85546875" style="71" customWidth="1"/>
    <col min="9" max="9" width="13.42578125" style="71" customWidth="1"/>
    <col min="10" max="10" width="13.7109375" style="71" customWidth="1"/>
    <col min="11" max="11" width="12.42578125" style="71" customWidth="1"/>
    <col min="12" max="12" width="13.28515625" style="71" customWidth="1"/>
    <col min="13" max="13" width="12.5703125" style="71" customWidth="1"/>
    <col min="14" max="15" width="15.140625" style="71" bestFit="1" customWidth="1"/>
    <col min="16" max="16" width="16.28515625" style="71" bestFit="1" customWidth="1"/>
    <col min="17" max="17" width="19.28515625" style="71" bestFit="1" customWidth="1"/>
    <col min="18" max="16384" width="9.140625" style="71"/>
  </cols>
  <sheetData>
    <row r="1" spans="1:17" x14ac:dyDescent="0.25">
      <c r="A1" s="70" t="s">
        <v>169</v>
      </c>
    </row>
    <row r="2" spans="1:17" s="73" customFormat="1" x14ac:dyDescent="0.25">
      <c r="A2" s="72"/>
    </row>
    <row r="3" spans="1:17" x14ac:dyDescent="0.25">
      <c r="A3" s="70"/>
      <c r="C3" s="74">
        <v>0</v>
      </c>
      <c r="D3" s="74">
        <v>1</v>
      </c>
      <c r="E3" s="74">
        <v>2</v>
      </c>
      <c r="F3" s="74">
        <v>3</v>
      </c>
      <c r="G3" s="74">
        <v>4</v>
      </c>
      <c r="H3" s="74">
        <v>5</v>
      </c>
      <c r="I3" s="74">
        <v>6</v>
      </c>
      <c r="J3" s="74">
        <v>7</v>
      </c>
      <c r="K3" s="74">
        <v>8</v>
      </c>
      <c r="L3" s="74">
        <v>9</v>
      </c>
      <c r="M3" s="74">
        <v>10</v>
      </c>
      <c r="N3" s="74"/>
      <c r="O3" s="74"/>
      <c r="P3" s="74"/>
      <c r="Q3" s="74"/>
    </row>
    <row r="4" spans="1:17" x14ac:dyDescent="0.25">
      <c r="A4" s="70" t="s">
        <v>170</v>
      </c>
      <c r="C4" s="75">
        <v>-22233.486544533993</v>
      </c>
      <c r="D4" s="75">
        <v>1923.7379705409121</v>
      </c>
      <c r="E4" s="75">
        <v>-705.96916664033915</v>
      </c>
      <c r="F4" s="75">
        <v>6018.9960488976794</v>
      </c>
      <c r="G4" s="75">
        <v>3411.5279639745172</v>
      </c>
      <c r="H4" s="75">
        <v>3928.0654447376692</v>
      </c>
      <c r="I4" s="75">
        <v>29.710742862082498</v>
      </c>
      <c r="J4" s="75">
        <v>-439.26240520688441</v>
      </c>
      <c r="K4" s="75">
        <v>-448.89363469488069</v>
      </c>
      <c r="L4" s="75">
        <v>-458.6965568217322</v>
      </c>
      <c r="M4" s="75">
        <v>290566.77676939504</v>
      </c>
    </row>
    <row r="5" spans="1:17" x14ac:dyDescent="0.25">
      <c r="A5" s="70" t="s">
        <v>144</v>
      </c>
      <c r="C5" s="76">
        <f>IRR(C4:M4)</f>
        <v>0.33035175629867419</v>
      </c>
    </row>
    <row r="6" spans="1:17" x14ac:dyDescent="0.25">
      <c r="A6" s="77" t="s">
        <v>171</v>
      </c>
      <c r="C6" s="78">
        <v>0.21</v>
      </c>
    </row>
    <row r="7" spans="1:17" x14ac:dyDescent="0.25">
      <c r="A7" s="77" t="s">
        <v>172</v>
      </c>
      <c r="C7" s="79">
        <f>NPV(C6,D4:M4)+C4</f>
        <v>28282.203886296807</v>
      </c>
    </row>
    <row r="8" spans="1:17" x14ac:dyDescent="0.25">
      <c r="A8" s="77"/>
      <c r="C8" s="79"/>
    </row>
    <row r="9" spans="1:17" x14ac:dyDescent="0.25">
      <c r="A9" s="71" t="s">
        <v>173</v>
      </c>
      <c r="C9" s="79"/>
    </row>
    <row r="10" spans="1:17" x14ac:dyDescent="0.25">
      <c r="A10" s="77"/>
      <c r="C10" s="79"/>
    </row>
    <row r="11" spans="1:17" x14ac:dyDescent="0.25">
      <c r="A11" s="77"/>
      <c r="C11" s="78"/>
    </row>
    <row r="12" spans="1:17" x14ac:dyDescent="0.25">
      <c r="A12" s="77" t="s">
        <v>174</v>
      </c>
      <c r="C12" s="80">
        <v>2.9399999999999999E-2</v>
      </c>
    </row>
    <row r="13" spans="1:17" x14ac:dyDescent="0.25">
      <c r="A13" s="77" t="s">
        <v>175</v>
      </c>
      <c r="C13" s="81">
        <v>1.3839999999999999</v>
      </c>
    </row>
    <row r="14" spans="1:17" x14ac:dyDescent="0.25">
      <c r="A14" s="77"/>
      <c r="C14" s="80"/>
    </row>
    <row r="15" spans="1:17" s="73" customFormat="1" x14ac:dyDescent="0.25">
      <c r="B15" s="82"/>
      <c r="E15" s="83"/>
    </row>
    <row r="16" spans="1:17" x14ac:dyDescent="0.25">
      <c r="A16" s="77" t="s">
        <v>176</v>
      </c>
    </row>
    <row r="18" spans="1:17" x14ac:dyDescent="0.25">
      <c r="C18" s="74">
        <v>0</v>
      </c>
      <c r="D18" s="74">
        <v>1</v>
      </c>
      <c r="E18" s="74">
        <v>2</v>
      </c>
      <c r="F18" s="74">
        <v>3</v>
      </c>
      <c r="G18" s="74">
        <v>4</v>
      </c>
      <c r="H18" s="74">
        <v>5</v>
      </c>
      <c r="I18" s="74">
        <v>6</v>
      </c>
      <c r="J18" s="74">
        <v>7</v>
      </c>
      <c r="K18" s="74">
        <v>8</v>
      </c>
      <c r="L18" s="74">
        <v>9</v>
      </c>
      <c r="M18" s="74">
        <v>10</v>
      </c>
      <c r="N18" s="71">
        <v>11</v>
      </c>
      <c r="O18" s="71">
        <v>12</v>
      </c>
    </row>
    <row r="19" spans="1:17" x14ac:dyDescent="0.25">
      <c r="B19" s="7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 x14ac:dyDescent="0.25">
      <c r="A20" s="84" t="s">
        <v>177</v>
      </c>
      <c r="E20" s="85">
        <f>C4</f>
        <v>-22233.486544533993</v>
      </c>
    </row>
    <row r="21" spans="1:17" x14ac:dyDescent="0.25">
      <c r="A21" s="86"/>
      <c r="C21" s="87"/>
      <c r="E21" s="87"/>
      <c r="F21" s="87"/>
      <c r="G21" s="87"/>
      <c r="H21" s="88"/>
      <c r="I21" s="88"/>
      <c r="J21" s="88"/>
      <c r="K21" s="88"/>
      <c r="L21" s="88"/>
      <c r="M21" s="88"/>
      <c r="N21" s="88"/>
    </row>
    <row r="22" spans="1:17" x14ac:dyDescent="0.25">
      <c r="A22" s="71" t="s">
        <v>178</v>
      </c>
      <c r="C22" s="87">
        <v>0</v>
      </c>
      <c r="D22" s="79">
        <v>0</v>
      </c>
      <c r="E22" s="88">
        <v>0</v>
      </c>
      <c r="F22" s="88">
        <f t="shared" ref="F22:O22" si="0">D4</f>
        <v>1923.7379705409121</v>
      </c>
      <c r="G22" s="88">
        <f t="shared" si="0"/>
        <v>-705.96916664033915</v>
      </c>
      <c r="H22" s="88">
        <f t="shared" si="0"/>
        <v>6018.9960488976794</v>
      </c>
      <c r="I22" s="88">
        <f t="shared" si="0"/>
        <v>3411.5279639745172</v>
      </c>
      <c r="J22" s="88">
        <f t="shared" si="0"/>
        <v>3928.0654447376692</v>
      </c>
      <c r="K22" s="88">
        <f t="shared" si="0"/>
        <v>29.710742862082498</v>
      </c>
      <c r="L22" s="88">
        <f t="shared" si="0"/>
        <v>-439.26240520688441</v>
      </c>
      <c r="M22" s="88">
        <f t="shared" si="0"/>
        <v>-448.89363469488069</v>
      </c>
      <c r="N22" s="88">
        <f t="shared" si="0"/>
        <v>-458.6965568217322</v>
      </c>
      <c r="O22" s="88">
        <f t="shared" si="0"/>
        <v>290566.77676939504</v>
      </c>
    </row>
    <row r="23" spans="1:17" x14ac:dyDescent="0.25">
      <c r="A23" s="84" t="s">
        <v>145</v>
      </c>
      <c r="C23" s="88">
        <f>NPV(C6,D22:O22)</f>
        <v>34502.896271313984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7" x14ac:dyDescent="0.25">
      <c r="A24" s="89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6" spans="1:17" x14ac:dyDescent="0.25">
      <c r="A26" s="71" t="s">
        <v>179</v>
      </c>
    </row>
    <row r="27" spans="1:17" x14ac:dyDescent="0.25">
      <c r="A27" s="90" t="s">
        <v>180</v>
      </c>
      <c r="B27" s="90" t="s">
        <v>181</v>
      </c>
      <c r="C27" s="90" t="s">
        <v>182</v>
      </c>
      <c r="D27" s="90" t="s">
        <v>183</v>
      </c>
      <c r="E27" s="90" t="s">
        <v>184</v>
      </c>
      <c r="F27" s="90" t="s">
        <v>185</v>
      </c>
    </row>
    <row r="28" spans="1:17" x14ac:dyDescent="0.25">
      <c r="A28" s="91">
        <f>C23</f>
        <v>34502.896271313984</v>
      </c>
      <c r="B28" s="91">
        <f>-E20</f>
        <v>22233.486544533993</v>
      </c>
      <c r="C28" s="90">
        <v>2</v>
      </c>
      <c r="D28" s="92">
        <v>0.35</v>
      </c>
      <c r="E28" s="92">
        <v>3.5000000000000003E-2</v>
      </c>
      <c r="F28" s="93">
        <f>(A28*_xlfn.NORM.DIST((LN(A28/B28)+(E28+((D28^2)/2))*C28)/(D28*SQRT(C28)),0,1,TRUE))-((B28*EXP(-E28*C28))*_xlfn.NORM.DIST((LN(A28/B28)+(E28+((D28^2)/2))*C28)/(D28*SQRT(C28))-(D28*(SQRT(C28))),0,1,TRUE))</f>
        <v>14795.159796566038</v>
      </c>
    </row>
    <row r="30" spans="1:17" x14ac:dyDescent="0.25">
      <c r="A30" s="71" t="s">
        <v>186</v>
      </c>
      <c r="B30" s="85"/>
      <c r="C30" s="94"/>
    </row>
    <row r="31" spans="1:17" x14ac:dyDescent="0.25">
      <c r="B31" s="85"/>
      <c r="C31" s="75"/>
    </row>
    <row r="32" spans="1:17" x14ac:dyDescent="0.25">
      <c r="B32" s="77"/>
      <c r="C32" s="95"/>
      <c r="D32" s="77"/>
    </row>
    <row r="33" spans="1:3" x14ac:dyDescent="0.25">
      <c r="A33" s="71" t="s">
        <v>187</v>
      </c>
      <c r="B33" s="85">
        <f>C7</f>
        <v>28282.203886296807</v>
      </c>
      <c r="C33" s="75"/>
    </row>
    <row r="34" spans="1:3" x14ac:dyDescent="0.25">
      <c r="A34" s="71" t="s">
        <v>188</v>
      </c>
      <c r="B34" s="94">
        <f>F28</f>
        <v>14795.159796566038</v>
      </c>
      <c r="C34" s="75"/>
    </row>
    <row r="35" spans="1:3" x14ac:dyDescent="0.25">
      <c r="B35" s="85">
        <f>B33+B34</f>
        <v>43077.363682862844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FAE8-6A5E-4A03-8B83-B557DF3E7756}">
  <dimension ref="A1:Q48"/>
  <sheetViews>
    <sheetView zoomScale="70" zoomScaleNormal="70" workbookViewId="0">
      <selection activeCell="B32" sqref="B32"/>
    </sheetView>
  </sheetViews>
  <sheetFormatPr defaultColWidth="9.140625" defaultRowHeight="15.75" x14ac:dyDescent="0.25"/>
  <cols>
    <col min="1" max="1" width="19" style="71" customWidth="1"/>
    <col min="2" max="2" width="32.7109375" style="71" customWidth="1"/>
    <col min="3" max="3" width="14.42578125" style="71" customWidth="1"/>
    <col min="4" max="4" width="15.7109375" style="71" customWidth="1"/>
    <col min="5" max="5" width="17.5703125" style="71" customWidth="1"/>
    <col min="6" max="6" width="17.85546875" style="71" customWidth="1"/>
    <col min="7" max="7" width="14.7109375" style="71" customWidth="1"/>
    <col min="8" max="8" width="13.85546875" style="71" customWidth="1"/>
    <col min="9" max="9" width="13.42578125" style="71" customWidth="1"/>
    <col min="10" max="10" width="13.7109375" style="71" customWidth="1"/>
    <col min="11" max="11" width="12.42578125" style="71" customWidth="1"/>
    <col min="12" max="12" width="13.28515625" style="71" customWidth="1"/>
    <col min="13" max="13" width="12.5703125" style="71" customWidth="1"/>
    <col min="14" max="15" width="15.140625" style="71" bestFit="1" customWidth="1"/>
    <col min="16" max="16" width="16.28515625" style="71" bestFit="1" customWidth="1"/>
    <col min="17" max="17" width="19.28515625" style="71" bestFit="1" customWidth="1"/>
    <col min="18" max="16384" width="9.140625" style="71"/>
  </cols>
  <sheetData>
    <row r="1" spans="1:17" x14ac:dyDescent="0.25">
      <c r="A1" s="70" t="s">
        <v>189</v>
      </c>
    </row>
    <row r="2" spans="1:17" s="73" customFormat="1" x14ac:dyDescent="0.25">
      <c r="A2" s="72"/>
    </row>
    <row r="3" spans="1:17" x14ac:dyDescent="0.25">
      <c r="A3" s="70"/>
      <c r="C3" s="74">
        <v>0</v>
      </c>
      <c r="D3" s="74">
        <v>1</v>
      </c>
      <c r="E3" s="74">
        <v>2</v>
      </c>
      <c r="F3" s="74">
        <v>3</v>
      </c>
      <c r="G3" s="74">
        <v>4</v>
      </c>
      <c r="H3" s="74">
        <v>5</v>
      </c>
      <c r="I3" s="74">
        <v>6</v>
      </c>
      <c r="J3" s="74">
        <v>7</v>
      </c>
      <c r="K3" s="74">
        <v>8</v>
      </c>
      <c r="L3" s="74">
        <v>9</v>
      </c>
      <c r="M3" s="74">
        <v>10</v>
      </c>
      <c r="N3" s="74">
        <v>11</v>
      </c>
      <c r="O3" s="74">
        <v>12</v>
      </c>
      <c r="P3" s="74">
        <v>13</v>
      </c>
      <c r="Q3" s="74">
        <v>14</v>
      </c>
    </row>
    <row r="4" spans="1:17" x14ac:dyDescent="0.25">
      <c r="A4" s="70" t="s">
        <v>170</v>
      </c>
      <c r="C4" s="75">
        <f>'[1]Real Option 1'!C4</f>
        <v>-22233.486544533993</v>
      </c>
      <c r="D4" s="75">
        <f>'[1]Real Option 1'!D4</f>
        <v>1923.7379705409121</v>
      </c>
      <c r="E4" s="75">
        <f>'[1]Real Option 1'!E4</f>
        <v>-705.96916664033915</v>
      </c>
      <c r="F4" s="75">
        <f>'[1]Real Option 1'!F4</f>
        <v>6018.9960488976794</v>
      </c>
      <c r="G4" s="75">
        <f>'[1]Real Option 1'!G4</f>
        <v>3411.5279639745172</v>
      </c>
      <c r="H4" s="75">
        <f>'[1]Real Option 1'!H4</f>
        <v>3928.0654447376692</v>
      </c>
      <c r="I4" s="75">
        <f>'[1]Real Option 1'!I4</f>
        <v>29.710742862082498</v>
      </c>
      <c r="J4" s="75">
        <f>'[1]Real Option 1'!J4</f>
        <v>-439.26240520688441</v>
      </c>
      <c r="K4" s="75">
        <f>'[1]Real Option 1'!K4</f>
        <v>-448.89363469488069</v>
      </c>
      <c r="L4" s="75">
        <f>'[1]Real Option 1'!L4</f>
        <v>-458.6965568217322</v>
      </c>
      <c r="M4" s="75">
        <f>'[1]Real Option 1'!M4</f>
        <v>290566.77676939504</v>
      </c>
    </row>
    <row r="5" spans="1:17" x14ac:dyDescent="0.25">
      <c r="A5" s="70"/>
      <c r="C5" s="76"/>
    </row>
    <row r="6" spans="1:17" x14ac:dyDescent="0.25">
      <c r="A6" s="77" t="s">
        <v>171</v>
      </c>
      <c r="C6" s="78">
        <f>'[1]Real Option 1'!C6</f>
        <v>0.21</v>
      </c>
    </row>
    <row r="7" spans="1:17" x14ac:dyDescent="0.25">
      <c r="A7" s="77"/>
      <c r="C7" s="79"/>
    </row>
    <row r="8" spans="1:17" x14ac:dyDescent="0.25">
      <c r="A8" s="77"/>
      <c r="C8" s="79"/>
    </row>
    <row r="9" spans="1:17" x14ac:dyDescent="0.25">
      <c r="A9" s="71" t="s">
        <v>173</v>
      </c>
      <c r="C9" s="79"/>
    </row>
    <row r="10" spans="1:17" s="73" customFormat="1" x14ac:dyDescent="0.25">
      <c r="B10" s="82"/>
      <c r="E10" s="83"/>
    </row>
    <row r="11" spans="1:17" x14ac:dyDescent="0.25">
      <c r="A11" s="77" t="s">
        <v>190</v>
      </c>
    </row>
    <row r="13" spans="1:17" x14ac:dyDescent="0.25">
      <c r="C13" s="74">
        <v>0</v>
      </c>
      <c r="D13" s="74">
        <v>1</v>
      </c>
      <c r="E13" s="74">
        <v>2</v>
      </c>
      <c r="F13" s="74">
        <v>3</v>
      </c>
      <c r="G13" s="74">
        <v>4</v>
      </c>
      <c r="H13" s="74">
        <v>5</v>
      </c>
      <c r="I13" s="74">
        <v>6</v>
      </c>
      <c r="J13" s="74">
        <v>7</v>
      </c>
      <c r="K13" s="74">
        <v>8</v>
      </c>
      <c r="L13" s="74">
        <v>9</v>
      </c>
      <c r="M13" s="74">
        <v>10</v>
      </c>
    </row>
    <row r="14" spans="1:17" x14ac:dyDescent="0.25">
      <c r="A14" s="77" t="s">
        <v>191</v>
      </c>
    </row>
    <row r="15" spans="1:17" x14ac:dyDescent="0.25">
      <c r="A15" s="71" t="s">
        <v>192</v>
      </c>
      <c r="C15" s="75">
        <f t="shared" ref="C15:M15" si="0">C4</f>
        <v>-22233.486544533993</v>
      </c>
      <c r="D15" s="75">
        <f t="shared" si="0"/>
        <v>1923.7379705409121</v>
      </c>
      <c r="E15" s="75">
        <f t="shared" si="0"/>
        <v>-705.96916664033915</v>
      </c>
      <c r="F15" s="75">
        <f t="shared" si="0"/>
        <v>6018.9960488976794</v>
      </c>
      <c r="G15" s="75">
        <f t="shared" si="0"/>
        <v>3411.5279639745172</v>
      </c>
      <c r="H15" s="75">
        <f t="shared" si="0"/>
        <v>3928.0654447376692</v>
      </c>
      <c r="I15" s="75">
        <f t="shared" si="0"/>
        <v>29.710742862082498</v>
      </c>
      <c r="J15" s="75">
        <f t="shared" si="0"/>
        <v>-439.26240520688441</v>
      </c>
      <c r="K15" s="75">
        <f t="shared" si="0"/>
        <v>-448.89363469488069</v>
      </c>
      <c r="L15" s="75">
        <f t="shared" si="0"/>
        <v>-458.6965568217322</v>
      </c>
      <c r="M15" s="75">
        <f t="shared" si="0"/>
        <v>290566.77676939504</v>
      </c>
      <c r="N15" s="75"/>
      <c r="O15" s="75"/>
    </row>
    <row r="16" spans="1:17" x14ac:dyDescent="0.25">
      <c r="A16" s="71" t="s">
        <v>193</v>
      </c>
      <c r="C16" s="75"/>
      <c r="D16" s="75"/>
      <c r="E16" s="75"/>
      <c r="F16" s="75"/>
      <c r="G16" s="96">
        <v>-25000</v>
      </c>
      <c r="H16" s="97"/>
      <c r="I16" s="97"/>
      <c r="J16" s="97"/>
      <c r="K16" s="96"/>
      <c r="L16" s="96"/>
      <c r="M16" s="96"/>
      <c r="N16" s="75"/>
      <c r="O16" s="75"/>
    </row>
    <row r="17" spans="1:15" x14ac:dyDescent="0.25">
      <c r="A17" s="71" t="s">
        <v>194</v>
      </c>
      <c r="C17" s="75"/>
      <c r="D17" s="75"/>
      <c r="E17" s="75"/>
      <c r="F17" s="75"/>
      <c r="G17" s="96"/>
      <c r="H17" s="98">
        <v>3000</v>
      </c>
      <c r="I17" s="98">
        <v>2000</v>
      </c>
      <c r="J17" s="98">
        <v>1800</v>
      </c>
      <c r="K17" s="96">
        <v>2000</v>
      </c>
      <c r="L17" s="96">
        <v>2000</v>
      </c>
      <c r="M17" s="96">
        <v>2000</v>
      </c>
      <c r="N17" s="75"/>
      <c r="O17" s="75"/>
    </row>
    <row r="18" spans="1:15" x14ac:dyDescent="0.25">
      <c r="A18" s="71" t="s">
        <v>195</v>
      </c>
      <c r="C18" s="75"/>
      <c r="D18" s="75"/>
      <c r="E18" s="75"/>
      <c r="F18" s="75"/>
      <c r="G18" s="96"/>
      <c r="H18" s="97"/>
      <c r="I18" s="97"/>
      <c r="J18" s="97"/>
      <c r="K18" s="96"/>
      <c r="L18" s="96"/>
      <c r="M18" s="96">
        <v>40000</v>
      </c>
      <c r="N18" s="75"/>
      <c r="O18" s="75"/>
    </row>
    <row r="19" spans="1:15" x14ac:dyDescent="0.25">
      <c r="A19" s="71" t="s">
        <v>196</v>
      </c>
      <c r="C19" s="75">
        <f>SUM(C15:C18)</f>
        <v>-22233.486544533993</v>
      </c>
      <c r="D19" s="75">
        <f t="shared" ref="D19:M19" si="1">SUM(D15:D18)</f>
        <v>1923.7379705409121</v>
      </c>
      <c r="E19" s="75">
        <f t="shared" si="1"/>
        <v>-705.96916664033915</v>
      </c>
      <c r="F19" s="75">
        <f t="shared" si="1"/>
        <v>6018.9960488976794</v>
      </c>
      <c r="G19" s="75">
        <f t="shared" si="1"/>
        <v>-21588.472036025483</v>
      </c>
      <c r="H19" s="75">
        <f t="shared" si="1"/>
        <v>6928.0654447376692</v>
      </c>
      <c r="I19" s="75">
        <f t="shared" si="1"/>
        <v>2029.7107428620825</v>
      </c>
      <c r="J19" s="75">
        <f t="shared" si="1"/>
        <v>1360.7375947931155</v>
      </c>
      <c r="K19" s="75">
        <f t="shared" si="1"/>
        <v>1551.1063653051192</v>
      </c>
      <c r="L19" s="75">
        <f t="shared" si="1"/>
        <v>1541.3034431782678</v>
      </c>
      <c r="M19" s="75">
        <f t="shared" si="1"/>
        <v>332566.77676939504</v>
      </c>
      <c r="N19" s="75"/>
      <c r="O19" s="75"/>
    </row>
    <row r="20" spans="1:15" x14ac:dyDescent="0.25">
      <c r="A20" s="71" t="s">
        <v>145</v>
      </c>
      <c r="C20" s="75">
        <f>NPV($C$6,D19:M19)+C19</f>
        <v>25925.415370926483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5" x14ac:dyDescent="0.25">
      <c r="A21" s="71" t="s">
        <v>197</v>
      </c>
      <c r="C21" s="99">
        <v>0.4</v>
      </c>
      <c r="D21" s="99"/>
      <c r="E21" s="99"/>
      <c r="F21" s="99"/>
      <c r="G21" s="75"/>
      <c r="H21" s="75"/>
      <c r="I21" s="75"/>
      <c r="J21" s="75"/>
      <c r="K21" s="75"/>
      <c r="L21" s="75"/>
      <c r="M21" s="75"/>
      <c r="N21" s="75"/>
      <c r="O21" s="75"/>
    </row>
    <row r="22" spans="1:15" x14ac:dyDescent="0.25"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15" x14ac:dyDescent="0.25">
      <c r="A23" s="77" t="s">
        <v>198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5" x14ac:dyDescent="0.25">
      <c r="A24" s="71" t="s">
        <v>192</v>
      </c>
      <c r="C24" s="75">
        <f>C4</f>
        <v>-22233.486544533993</v>
      </c>
      <c r="D24" s="75">
        <f t="shared" ref="D24:M24" si="2">D4</f>
        <v>1923.7379705409121</v>
      </c>
      <c r="E24" s="75">
        <f t="shared" si="2"/>
        <v>-705.96916664033915</v>
      </c>
      <c r="F24" s="75">
        <f t="shared" si="2"/>
        <v>6018.9960488976794</v>
      </c>
      <c r="G24" s="75">
        <f t="shared" si="2"/>
        <v>3411.5279639745172</v>
      </c>
      <c r="H24" s="75">
        <f t="shared" si="2"/>
        <v>3928.0654447376692</v>
      </c>
      <c r="I24" s="75">
        <f t="shared" si="2"/>
        <v>29.710742862082498</v>
      </c>
      <c r="J24" s="75">
        <f t="shared" si="2"/>
        <v>-439.26240520688441</v>
      </c>
      <c r="K24" s="75">
        <f t="shared" si="2"/>
        <v>-448.89363469488069</v>
      </c>
      <c r="L24" s="75">
        <f t="shared" si="2"/>
        <v>-458.6965568217322</v>
      </c>
      <c r="M24" s="75">
        <f t="shared" si="2"/>
        <v>290566.77676939504</v>
      </c>
      <c r="N24" s="75"/>
      <c r="O24" s="75"/>
    </row>
    <row r="25" spans="1:15" x14ac:dyDescent="0.25">
      <c r="A25" s="71" t="s">
        <v>193</v>
      </c>
      <c r="C25" s="75"/>
      <c r="D25" s="75"/>
      <c r="E25" s="75"/>
      <c r="F25" s="75"/>
      <c r="G25" s="96">
        <f>G16</f>
        <v>-25000</v>
      </c>
      <c r="H25" s="96"/>
      <c r="I25" s="96"/>
      <c r="J25" s="96"/>
      <c r="K25" s="96"/>
      <c r="L25" s="96"/>
      <c r="M25" s="96"/>
      <c r="N25" s="75"/>
      <c r="O25" s="75"/>
    </row>
    <row r="26" spans="1:15" x14ac:dyDescent="0.25">
      <c r="A26" s="71" t="s">
        <v>194</v>
      </c>
      <c r="C26" s="75"/>
      <c r="D26" s="75"/>
      <c r="E26" s="75"/>
      <c r="F26" s="75"/>
      <c r="G26" s="96"/>
      <c r="H26" s="96">
        <v>600</v>
      </c>
      <c r="I26" s="96">
        <v>500</v>
      </c>
      <c r="J26" s="96">
        <v>400</v>
      </c>
      <c r="K26" s="96">
        <v>800</v>
      </c>
      <c r="L26" s="96">
        <v>1200</v>
      </c>
      <c r="M26" s="96">
        <v>1000</v>
      </c>
      <c r="N26" s="75"/>
      <c r="O26" s="75"/>
    </row>
    <row r="27" spans="1:15" x14ac:dyDescent="0.25">
      <c r="A27" s="71" t="s">
        <v>195</v>
      </c>
      <c r="C27" s="75"/>
      <c r="D27" s="75"/>
      <c r="E27" s="75"/>
      <c r="F27" s="75"/>
      <c r="G27" s="96"/>
      <c r="H27" s="96"/>
      <c r="I27" s="96"/>
      <c r="J27" s="96"/>
      <c r="K27" s="96"/>
      <c r="L27" s="96"/>
      <c r="M27" s="96">
        <v>20000</v>
      </c>
      <c r="N27" s="75"/>
      <c r="O27" s="75"/>
    </row>
    <row r="28" spans="1:15" x14ac:dyDescent="0.25">
      <c r="A28" s="71" t="s">
        <v>196</v>
      </c>
      <c r="C28" s="75">
        <f>SUM(C24:C27)</f>
        <v>-22233.486544533993</v>
      </c>
      <c r="D28" s="75">
        <f t="shared" ref="D28:M28" si="3">SUM(D24:D27)</f>
        <v>1923.7379705409121</v>
      </c>
      <c r="E28" s="75">
        <f t="shared" si="3"/>
        <v>-705.96916664033915</v>
      </c>
      <c r="F28" s="75">
        <f t="shared" si="3"/>
        <v>6018.9960488976794</v>
      </c>
      <c r="G28" s="75">
        <f t="shared" si="3"/>
        <v>-21588.472036025483</v>
      </c>
      <c r="H28" s="75">
        <f t="shared" si="3"/>
        <v>4528.0654447376692</v>
      </c>
      <c r="I28" s="75">
        <f t="shared" si="3"/>
        <v>529.7107428620825</v>
      </c>
      <c r="J28" s="75">
        <f t="shared" si="3"/>
        <v>-39.262405206884409</v>
      </c>
      <c r="K28" s="75">
        <f t="shared" si="3"/>
        <v>351.10636530511931</v>
      </c>
      <c r="L28" s="75">
        <f t="shared" si="3"/>
        <v>741.3034431782678</v>
      </c>
      <c r="M28" s="75">
        <f t="shared" si="3"/>
        <v>311566.77676939504</v>
      </c>
      <c r="N28" s="75"/>
      <c r="O28" s="75"/>
    </row>
    <row r="29" spans="1:15" x14ac:dyDescent="0.25">
      <c r="A29" s="71" t="s">
        <v>145</v>
      </c>
      <c r="C29" s="75">
        <f>NPV($C$6,D28:M28)+C28</f>
        <v>20626.943310318999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5" x14ac:dyDescent="0.25">
      <c r="A30" s="71" t="s">
        <v>197</v>
      </c>
      <c r="C30" s="99">
        <f>F44</f>
        <v>0.4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 x14ac:dyDescent="0.25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 x14ac:dyDescent="0.25">
      <c r="A32" s="77" t="s">
        <v>199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x14ac:dyDescent="0.25">
      <c r="A33" s="71" t="s">
        <v>200</v>
      </c>
      <c r="C33" s="75">
        <f>C4</f>
        <v>-22233.486544533993</v>
      </c>
      <c r="D33" s="75">
        <f>0.8*D4</f>
        <v>1538.9903764327298</v>
      </c>
      <c r="E33" s="75">
        <f>0.8*E4</f>
        <v>-564.7753333122713</v>
      </c>
      <c r="F33" s="75">
        <f>0.8*F4</f>
        <v>4815.1968391181435</v>
      </c>
      <c r="G33" s="75">
        <f>0.4*G4</f>
        <v>1364.6111855898071</v>
      </c>
      <c r="H33" s="75"/>
      <c r="I33" s="75"/>
      <c r="J33" s="75"/>
      <c r="K33" s="75"/>
      <c r="L33" s="75"/>
      <c r="M33" s="75"/>
      <c r="N33" s="75"/>
      <c r="O33" s="75"/>
    </row>
    <row r="34" spans="1:15" x14ac:dyDescent="0.25">
      <c r="A34" s="71" t="s">
        <v>145</v>
      </c>
      <c r="C34" s="75">
        <f>NPV($C$6,D33:G33)+C33</f>
        <v>-17992.688550405721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 x14ac:dyDescent="0.25">
      <c r="A35" s="71" t="s">
        <v>197</v>
      </c>
      <c r="C35" s="99">
        <f>F46</f>
        <v>0.2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x14ac:dyDescent="0.25"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15" x14ac:dyDescent="0.25">
      <c r="A37" s="71" t="s">
        <v>201</v>
      </c>
      <c r="C37" s="75">
        <f>C21*C20+C30*C29+C35*C34</f>
        <v>15022.405762417047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</row>
    <row r="38" spans="1:15" x14ac:dyDescent="0.25">
      <c r="E38" s="75"/>
      <c r="F38" s="75"/>
      <c r="G38" s="75"/>
      <c r="H38" s="75"/>
      <c r="I38" s="75"/>
      <c r="J38" s="75"/>
      <c r="K38" s="75"/>
      <c r="L38" s="75"/>
      <c r="M38" s="75"/>
    </row>
    <row r="39" spans="1:15" x14ac:dyDescent="0.25">
      <c r="D39" s="75"/>
      <c r="E39" s="75"/>
      <c r="G39" s="75"/>
      <c r="H39" s="75"/>
      <c r="I39" s="75"/>
      <c r="J39" s="75"/>
      <c r="K39" s="75"/>
      <c r="L39" s="75"/>
      <c r="M39" s="75"/>
    </row>
    <row r="40" spans="1:15" x14ac:dyDescent="0.25">
      <c r="D40" s="99">
        <v>0.5</v>
      </c>
      <c r="E40" s="75" t="s">
        <v>202</v>
      </c>
      <c r="F40" s="86">
        <f>D40*C42</f>
        <v>0.4</v>
      </c>
      <c r="G40" s="75"/>
      <c r="H40" s="75"/>
      <c r="I40" s="75"/>
      <c r="J40" s="75"/>
      <c r="K40" s="75"/>
      <c r="L40" s="75"/>
      <c r="M40" s="75"/>
    </row>
    <row r="41" spans="1:15" x14ac:dyDescent="0.25">
      <c r="B41" s="75"/>
      <c r="C41" s="75" t="s">
        <v>203</v>
      </c>
      <c r="D41" s="100"/>
      <c r="E41" s="75"/>
      <c r="F41" s="86"/>
      <c r="G41" s="75"/>
      <c r="H41" s="75"/>
      <c r="I41" s="75"/>
      <c r="J41" s="75"/>
      <c r="K41" s="75"/>
      <c r="L41" s="75"/>
      <c r="M41" s="75"/>
    </row>
    <row r="42" spans="1:15" x14ac:dyDescent="0.25">
      <c r="B42" s="75"/>
      <c r="C42" s="99">
        <v>0.8</v>
      </c>
      <c r="D42" s="101"/>
      <c r="F42" s="86"/>
    </row>
    <row r="43" spans="1:15" x14ac:dyDescent="0.25">
      <c r="A43" s="71" t="s">
        <v>204</v>
      </c>
      <c r="B43" s="75"/>
      <c r="C43" s="100"/>
      <c r="D43" s="102"/>
      <c r="F43" s="86"/>
    </row>
    <row r="44" spans="1:15" x14ac:dyDescent="0.25">
      <c r="B44" s="75"/>
      <c r="C44" s="103"/>
      <c r="D44" s="86">
        <v>0.5</v>
      </c>
      <c r="E44" s="71" t="s">
        <v>205</v>
      </c>
      <c r="F44" s="86">
        <f>D44*C42</f>
        <v>0.4</v>
      </c>
    </row>
    <row r="45" spans="1:15" x14ac:dyDescent="0.25">
      <c r="C45" s="102"/>
      <c r="F45" s="86"/>
    </row>
    <row r="46" spans="1:15" x14ac:dyDescent="0.25">
      <c r="C46" s="86">
        <v>0.2</v>
      </c>
      <c r="F46" s="86">
        <f>C46</f>
        <v>0.2</v>
      </c>
    </row>
    <row r="47" spans="1:15" x14ac:dyDescent="0.25">
      <c r="C47" s="71" t="s">
        <v>206</v>
      </c>
      <c r="F47" s="104"/>
    </row>
    <row r="48" spans="1:15" x14ac:dyDescent="0.25">
      <c r="F48" s="86">
        <f>SUM(F40:F46)</f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9"/>
  <sheetViews>
    <sheetView workbookViewId="0">
      <selection activeCell="B9" sqref="B9"/>
    </sheetView>
  </sheetViews>
  <sheetFormatPr defaultColWidth="15.140625" defaultRowHeight="15" customHeight="1" x14ac:dyDescent="0.25"/>
  <cols>
    <col min="1" max="1" width="43.28515625" customWidth="1"/>
    <col min="2" max="2" width="77.28515625" customWidth="1"/>
  </cols>
  <sheetData>
    <row r="1" spans="1:2" x14ac:dyDescent="0.25">
      <c r="A1" s="34" t="s">
        <v>89</v>
      </c>
      <c r="B1" s="34" t="s">
        <v>0</v>
      </c>
    </row>
    <row r="2" spans="1:2" x14ac:dyDescent="0.25">
      <c r="A2" s="1" t="s">
        <v>95</v>
      </c>
      <c r="B2" t="s">
        <v>96</v>
      </c>
    </row>
    <row r="3" spans="1:2" x14ac:dyDescent="0.25">
      <c r="A3" s="1" t="s">
        <v>97</v>
      </c>
      <c r="B3" s="35" t="s">
        <v>98</v>
      </c>
    </row>
    <row r="4" spans="1:2" x14ac:dyDescent="0.25">
      <c r="A4" s="1" t="s">
        <v>99</v>
      </c>
      <c r="B4" s="2" t="s">
        <v>100</v>
      </c>
    </row>
    <row r="5" spans="1:2" x14ac:dyDescent="0.25">
      <c r="A5" s="1" t="s">
        <v>101</v>
      </c>
      <c r="B5" s="2" t="s">
        <v>102</v>
      </c>
    </row>
    <row r="6" spans="1:2" x14ac:dyDescent="0.25">
      <c r="A6" s="1" t="s">
        <v>103</v>
      </c>
      <c r="B6" s="2" t="s">
        <v>104</v>
      </c>
    </row>
    <row r="7" spans="1:2" ht="15" customHeight="1" x14ac:dyDescent="0.25">
      <c r="A7" s="1" t="s">
        <v>105</v>
      </c>
      <c r="B7" s="2" t="s">
        <v>106</v>
      </c>
    </row>
    <row r="8" spans="1:2" ht="15" customHeight="1" x14ac:dyDescent="0.25">
      <c r="A8" s="1" t="s">
        <v>108</v>
      </c>
      <c r="B8" t="s">
        <v>107</v>
      </c>
    </row>
    <row r="9" spans="1:2" ht="15" customHeight="1" x14ac:dyDescent="0.25">
      <c r="A9" s="1" t="s">
        <v>109</v>
      </c>
      <c r="B9" t="s">
        <v>110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Forecasts</vt:lpstr>
      <vt:lpstr>Amortization Table</vt:lpstr>
      <vt:lpstr>Black Scholes</vt:lpstr>
      <vt:lpstr>Tree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2023-09-15T17:05:45Z</dcterms:created>
  <dcterms:modified xsi:type="dcterms:W3CDTF">2023-09-15T17:06:12Z</dcterms:modified>
</cp:coreProperties>
</file>