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66925"/>
  <xr:revisionPtr revIDLastSave="1" documentId="11_DA4E71636531E43F8007390EAB1C93DD87A55E17" xr6:coauthVersionLast="47" xr6:coauthVersionMax="47" xr10:uidLastSave="{7156A424-D3B2-40AA-AADE-1A38ECA63ABA}"/>
  <bookViews>
    <workbookView xWindow="-120" yWindow="-120" windowWidth="23280" windowHeight="15000" xr2:uid="{00000000-000D-0000-FFFF-FFFF00000000}"/>
  </bookViews>
  <sheets>
    <sheet name="Forecast" sheetId="1" r:id="rId1"/>
    <sheet name="Real Options" sheetId="2" r:id="rId2"/>
    <sheet name="Real Options 2" sheetId="3" r:id="rId3"/>
    <sheet name="Ammoitization Table" sheetId="4" r:id="rId4"/>
    <sheet name="Data" sheetId="5" state="hidden" r:id="rId5"/>
    <sheet name="Sources" sheetId="6" r:id="rId6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6" i="1" l="1"/>
  <c r="I7" i="4"/>
  <c r="B2" i="4"/>
  <c r="D103" i="1"/>
  <c r="I1" i="4"/>
  <c r="I2" i="4"/>
  <c r="I4" i="4"/>
  <c r="I5" i="4"/>
  <c r="I9" i="4"/>
  <c r="C2" i="4"/>
  <c r="D2" i="4"/>
  <c r="E2" i="4"/>
  <c r="F2" i="4"/>
  <c r="B3" i="4"/>
  <c r="C3" i="4"/>
  <c r="D3" i="4"/>
  <c r="E3" i="4"/>
  <c r="F3" i="4"/>
  <c r="B4" i="4"/>
  <c r="C4" i="4"/>
  <c r="D4" i="4"/>
  <c r="E4" i="4"/>
  <c r="F4" i="4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D85" i="1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E85" i="1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B41" i="4"/>
  <c r="C41" i="4"/>
  <c r="D41" i="4"/>
  <c r="E41" i="4"/>
  <c r="F41" i="4"/>
  <c r="F85" i="1"/>
  <c r="B44" i="4"/>
  <c r="C44" i="4"/>
  <c r="D44" i="4"/>
  <c r="E44" i="4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B49" i="4"/>
  <c r="C49" i="4"/>
  <c r="D49" i="4"/>
  <c r="E49" i="4"/>
  <c r="F49" i="4"/>
  <c r="B50" i="4"/>
  <c r="C50" i="4"/>
  <c r="D50" i="4"/>
  <c r="E50" i="4"/>
  <c r="F50" i="4"/>
  <c r="B51" i="4"/>
  <c r="C51" i="4"/>
  <c r="D51" i="4"/>
  <c r="E51" i="4"/>
  <c r="F51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G85" i="1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H85" i="1"/>
  <c r="B72" i="4"/>
  <c r="C72" i="4"/>
  <c r="D72" i="4"/>
  <c r="E72" i="4"/>
  <c r="F72" i="4"/>
  <c r="B73" i="4"/>
  <c r="C73" i="4"/>
  <c r="D73" i="4"/>
  <c r="E73" i="4"/>
  <c r="F73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I85" i="1"/>
  <c r="B86" i="4"/>
  <c r="C86" i="4"/>
  <c r="D86" i="4"/>
  <c r="E86" i="4"/>
  <c r="F86" i="4"/>
  <c r="B87" i="4"/>
  <c r="C87" i="4"/>
  <c r="D87" i="4"/>
  <c r="E87" i="4"/>
  <c r="F87" i="4"/>
  <c r="B88" i="4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B94" i="4"/>
  <c r="C94" i="4"/>
  <c r="D94" i="4"/>
  <c r="E94" i="4"/>
  <c r="F94" i="4"/>
  <c r="B95" i="4"/>
  <c r="C95" i="4"/>
  <c r="D95" i="4"/>
  <c r="E95" i="4"/>
  <c r="F95" i="4"/>
  <c r="B96" i="4"/>
  <c r="C96" i="4"/>
  <c r="D96" i="4"/>
  <c r="E96" i="4"/>
  <c r="F96" i="4"/>
  <c r="B97" i="4"/>
  <c r="C97" i="4"/>
  <c r="D97" i="4"/>
  <c r="E97" i="4"/>
  <c r="F97" i="4"/>
  <c r="J85" i="1"/>
  <c r="B99" i="4"/>
  <c r="C100" i="4"/>
  <c r="D100" i="4"/>
  <c r="E100" i="4"/>
  <c r="F100" i="4"/>
  <c r="B101" i="4"/>
  <c r="C101" i="4"/>
  <c r="D101" i="4"/>
  <c r="E101" i="4"/>
  <c r="F101" i="4"/>
  <c r="B102" i="4"/>
  <c r="C102" i="4"/>
  <c r="D102" i="4"/>
  <c r="E102" i="4"/>
  <c r="F102" i="4"/>
  <c r="B103" i="4"/>
  <c r="C103" i="4"/>
  <c r="D103" i="4"/>
  <c r="E103" i="4"/>
  <c r="F103" i="4"/>
  <c r="B104" i="4"/>
  <c r="C104" i="4"/>
  <c r="D104" i="4"/>
  <c r="E104" i="4"/>
  <c r="F104" i="4"/>
  <c r="B105" i="4"/>
  <c r="C105" i="4"/>
  <c r="D105" i="4"/>
  <c r="E105" i="4"/>
  <c r="F105" i="4"/>
  <c r="B106" i="4"/>
  <c r="C106" i="4"/>
  <c r="D106" i="4"/>
  <c r="E106" i="4"/>
  <c r="F106" i="4"/>
  <c r="B107" i="4"/>
  <c r="C107" i="4"/>
  <c r="D107" i="4"/>
  <c r="E107" i="4"/>
  <c r="F107" i="4"/>
  <c r="B108" i="4"/>
  <c r="C108" i="4"/>
  <c r="D108" i="4"/>
  <c r="E108" i="4"/>
  <c r="F108" i="4"/>
  <c r="B109" i="4"/>
  <c r="C109" i="4"/>
  <c r="D109" i="4"/>
  <c r="E109" i="4"/>
  <c r="F109" i="4"/>
  <c r="B110" i="4"/>
  <c r="C110" i="4"/>
  <c r="D110" i="4"/>
  <c r="E110" i="4"/>
  <c r="F110" i="4"/>
  <c r="B111" i="4"/>
  <c r="C111" i="4"/>
  <c r="D111" i="4"/>
  <c r="E111" i="4"/>
  <c r="F111" i="4"/>
  <c r="K85" i="1"/>
  <c r="B114" i="4"/>
  <c r="C114" i="4"/>
  <c r="D114" i="4"/>
  <c r="E114" i="4"/>
  <c r="F114" i="4"/>
  <c r="B115" i="4"/>
  <c r="C115" i="4"/>
  <c r="D115" i="4"/>
  <c r="E115" i="4"/>
  <c r="F115" i="4"/>
  <c r="B116" i="4"/>
  <c r="C116" i="4"/>
  <c r="D116" i="4"/>
  <c r="E116" i="4"/>
  <c r="F116" i="4"/>
  <c r="B117" i="4"/>
  <c r="C117" i="4"/>
  <c r="D117" i="4"/>
  <c r="E117" i="4"/>
  <c r="F117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B121" i="4"/>
  <c r="C121" i="4"/>
  <c r="D121" i="4"/>
  <c r="E121" i="4"/>
  <c r="F121" i="4"/>
  <c r="B122" i="4"/>
  <c r="C122" i="4"/>
  <c r="D122" i="4"/>
  <c r="E122" i="4"/>
  <c r="F122" i="4"/>
  <c r="B123" i="4"/>
  <c r="C123" i="4"/>
  <c r="D123" i="4"/>
  <c r="E123" i="4"/>
  <c r="F123" i="4"/>
  <c r="B124" i="4"/>
  <c r="C124" i="4"/>
  <c r="D124" i="4"/>
  <c r="E124" i="4"/>
  <c r="F124" i="4"/>
  <c r="B125" i="4"/>
  <c r="C125" i="4"/>
  <c r="D125" i="4"/>
  <c r="E125" i="4"/>
  <c r="F125" i="4"/>
  <c r="L85" i="1"/>
  <c r="B128" i="4"/>
  <c r="C128" i="4"/>
  <c r="D128" i="4"/>
  <c r="E128" i="4"/>
  <c r="F128" i="4"/>
  <c r="B129" i="4"/>
  <c r="C129" i="4"/>
  <c r="D129" i="4"/>
  <c r="E129" i="4"/>
  <c r="F129" i="4"/>
  <c r="B130" i="4"/>
  <c r="C130" i="4"/>
  <c r="D130" i="4"/>
  <c r="E130" i="4"/>
  <c r="F130" i="4"/>
  <c r="B131" i="4"/>
  <c r="C131" i="4"/>
  <c r="D131" i="4"/>
  <c r="E131" i="4"/>
  <c r="F131" i="4"/>
  <c r="B132" i="4"/>
  <c r="C132" i="4"/>
  <c r="D132" i="4"/>
  <c r="E132" i="4"/>
  <c r="F132" i="4"/>
  <c r="B133" i="4"/>
  <c r="C133" i="4"/>
  <c r="D133" i="4"/>
  <c r="E133" i="4"/>
  <c r="F133" i="4"/>
  <c r="B134" i="4"/>
  <c r="C134" i="4"/>
  <c r="D134" i="4"/>
  <c r="E134" i="4"/>
  <c r="F134" i="4"/>
  <c r="B135" i="4"/>
  <c r="C135" i="4"/>
  <c r="D135" i="4"/>
  <c r="E135" i="4"/>
  <c r="F135" i="4"/>
  <c r="B136" i="4"/>
  <c r="C136" i="4"/>
  <c r="D136" i="4"/>
  <c r="E136" i="4"/>
  <c r="F136" i="4"/>
  <c r="B137" i="4"/>
  <c r="C137" i="4"/>
  <c r="D137" i="4"/>
  <c r="E137" i="4"/>
  <c r="F137" i="4"/>
  <c r="B138" i="4"/>
  <c r="C138" i="4"/>
  <c r="D138" i="4"/>
  <c r="E138" i="4"/>
  <c r="F138" i="4"/>
  <c r="B139" i="4"/>
  <c r="C139" i="4"/>
  <c r="D139" i="4"/>
  <c r="E139" i="4"/>
  <c r="F139" i="4"/>
  <c r="M85" i="1"/>
  <c r="P97" i="1"/>
  <c r="P98" i="1"/>
  <c r="D90" i="1"/>
  <c r="E90" i="1"/>
  <c r="F90" i="1"/>
  <c r="G90" i="1"/>
  <c r="H90" i="1"/>
  <c r="I90" i="1"/>
  <c r="J90" i="1"/>
  <c r="K90" i="1"/>
  <c r="L90" i="1"/>
  <c r="M90" i="1"/>
  <c r="D40" i="1"/>
  <c r="D41" i="1"/>
  <c r="D42" i="1"/>
  <c r="D45" i="1"/>
  <c r="D46" i="1"/>
  <c r="D72" i="1"/>
  <c r="D47" i="1"/>
  <c r="D48" i="1"/>
  <c r="D49" i="1"/>
  <c r="D51" i="1"/>
  <c r="D53" i="1"/>
  <c r="D14" i="4"/>
  <c r="D55" i="1"/>
  <c r="D56" i="1"/>
  <c r="D58" i="1"/>
  <c r="D59" i="1"/>
  <c r="D60" i="1"/>
  <c r="D91" i="1"/>
  <c r="E5" i="1"/>
  <c r="E6" i="1"/>
  <c r="E7" i="1"/>
  <c r="E40" i="1"/>
  <c r="E8" i="1"/>
  <c r="E41" i="1"/>
  <c r="E42" i="1"/>
  <c r="E11" i="1"/>
  <c r="E12" i="1"/>
  <c r="E45" i="1"/>
  <c r="E9" i="1"/>
  <c r="E46" i="1"/>
  <c r="E72" i="1"/>
  <c r="E20" i="1"/>
  <c r="E47" i="1"/>
  <c r="E48" i="1"/>
  <c r="E36" i="1"/>
  <c r="E49" i="1"/>
  <c r="E51" i="1"/>
  <c r="E53" i="1"/>
  <c r="D28" i="4"/>
  <c r="E55" i="1"/>
  <c r="E27" i="1"/>
  <c r="E56" i="1"/>
  <c r="E58" i="1"/>
  <c r="E35" i="1"/>
  <c r="E59" i="1"/>
  <c r="E60" i="1"/>
  <c r="E91" i="1"/>
  <c r="F5" i="1"/>
  <c r="F6" i="1"/>
  <c r="F7" i="1"/>
  <c r="F40" i="1"/>
  <c r="F8" i="1"/>
  <c r="F41" i="1"/>
  <c r="F42" i="1"/>
  <c r="F11" i="1"/>
  <c r="F12" i="1"/>
  <c r="F45" i="1"/>
  <c r="F9" i="1"/>
  <c r="F46" i="1"/>
  <c r="F72" i="1"/>
  <c r="F20" i="1"/>
  <c r="F47" i="1"/>
  <c r="F48" i="1"/>
  <c r="F36" i="1"/>
  <c r="F49" i="1"/>
  <c r="F51" i="1"/>
  <c r="F53" i="1"/>
  <c r="D42" i="4"/>
  <c r="F55" i="1"/>
  <c r="F27" i="1"/>
  <c r="F56" i="1"/>
  <c r="F58" i="1"/>
  <c r="F35" i="1"/>
  <c r="F59" i="1"/>
  <c r="F60" i="1"/>
  <c r="F91" i="1"/>
  <c r="G5" i="1"/>
  <c r="G6" i="1"/>
  <c r="G7" i="1"/>
  <c r="G40" i="1"/>
  <c r="G8" i="1"/>
  <c r="G41" i="1"/>
  <c r="G42" i="1"/>
  <c r="G11" i="1"/>
  <c r="G12" i="1"/>
  <c r="G45" i="1"/>
  <c r="G9" i="1"/>
  <c r="G46" i="1"/>
  <c r="G72" i="1"/>
  <c r="G20" i="1"/>
  <c r="G47" i="1"/>
  <c r="G48" i="1"/>
  <c r="G36" i="1"/>
  <c r="G49" i="1"/>
  <c r="G51" i="1"/>
  <c r="G53" i="1"/>
  <c r="D56" i="4"/>
  <c r="G55" i="1"/>
  <c r="G27" i="1"/>
  <c r="G56" i="1"/>
  <c r="G58" i="1"/>
  <c r="G35" i="1"/>
  <c r="G59" i="1"/>
  <c r="G60" i="1"/>
  <c r="G91" i="1"/>
  <c r="H5" i="1"/>
  <c r="H6" i="1"/>
  <c r="H7" i="1"/>
  <c r="H40" i="1"/>
  <c r="H8" i="1"/>
  <c r="H41" i="1"/>
  <c r="H42" i="1"/>
  <c r="H11" i="1"/>
  <c r="H12" i="1"/>
  <c r="H45" i="1"/>
  <c r="H9" i="1"/>
  <c r="H46" i="1"/>
  <c r="H72" i="1"/>
  <c r="H20" i="1"/>
  <c r="H47" i="1"/>
  <c r="H48" i="1"/>
  <c r="H36" i="1"/>
  <c r="H49" i="1"/>
  <c r="H51" i="1"/>
  <c r="H53" i="1"/>
  <c r="D70" i="4"/>
  <c r="H55" i="1"/>
  <c r="H27" i="1"/>
  <c r="H56" i="1"/>
  <c r="H58" i="1"/>
  <c r="H35" i="1"/>
  <c r="H59" i="1"/>
  <c r="H60" i="1"/>
  <c r="H91" i="1"/>
  <c r="I5" i="1"/>
  <c r="I6" i="1"/>
  <c r="I7" i="1"/>
  <c r="I40" i="1"/>
  <c r="I8" i="1"/>
  <c r="I41" i="1"/>
  <c r="I42" i="1"/>
  <c r="I11" i="1"/>
  <c r="I12" i="1"/>
  <c r="I45" i="1"/>
  <c r="I9" i="1"/>
  <c r="I46" i="1"/>
  <c r="I72" i="1"/>
  <c r="I20" i="1"/>
  <c r="I47" i="1"/>
  <c r="I48" i="1"/>
  <c r="I36" i="1"/>
  <c r="I49" i="1"/>
  <c r="I51" i="1"/>
  <c r="I53" i="1"/>
  <c r="D84" i="4"/>
  <c r="I55" i="1"/>
  <c r="I27" i="1"/>
  <c r="I56" i="1"/>
  <c r="I58" i="1"/>
  <c r="I35" i="1"/>
  <c r="I59" i="1"/>
  <c r="I60" i="1"/>
  <c r="I91" i="1"/>
  <c r="J5" i="1"/>
  <c r="J6" i="1"/>
  <c r="J7" i="1"/>
  <c r="J40" i="1"/>
  <c r="J8" i="1"/>
  <c r="J41" i="1"/>
  <c r="J42" i="1"/>
  <c r="J11" i="1"/>
  <c r="J12" i="1"/>
  <c r="J45" i="1"/>
  <c r="J9" i="1"/>
  <c r="J46" i="1"/>
  <c r="J72" i="1"/>
  <c r="J20" i="1"/>
  <c r="J47" i="1"/>
  <c r="J48" i="1"/>
  <c r="J36" i="1"/>
  <c r="J49" i="1"/>
  <c r="J51" i="1"/>
  <c r="J53" i="1"/>
  <c r="D98" i="4"/>
  <c r="J55" i="1"/>
  <c r="J27" i="1"/>
  <c r="J56" i="1"/>
  <c r="J58" i="1"/>
  <c r="J35" i="1"/>
  <c r="J59" i="1"/>
  <c r="J60" i="1"/>
  <c r="J91" i="1"/>
  <c r="K5" i="1"/>
  <c r="K6" i="1"/>
  <c r="K7" i="1"/>
  <c r="K40" i="1"/>
  <c r="K8" i="1"/>
  <c r="K41" i="1"/>
  <c r="K42" i="1"/>
  <c r="K11" i="1"/>
  <c r="K12" i="1"/>
  <c r="K45" i="1"/>
  <c r="K9" i="1"/>
  <c r="K46" i="1"/>
  <c r="K72" i="1"/>
  <c r="K20" i="1"/>
  <c r="K47" i="1"/>
  <c r="K48" i="1"/>
  <c r="K36" i="1"/>
  <c r="K49" i="1"/>
  <c r="K51" i="1"/>
  <c r="K53" i="1"/>
  <c r="D112" i="4"/>
  <c r="K55" i="1"/>
  <c r="K27" i="1"/>
  <c r="K56" i="1"/>
  <c r="K58" i="1"/>
  <c r="K35" i="1"/>
  <c r="K59" i="1"/>
  <c r="K60" i="1"/>
  <c r="K91" i="1"/>
  <c r="L5" i="1"/>
  <c r="L6" i="1"/>
  <c r="L7" i="1"/>
  <c r="L40" i="1"/>
  <c r="L8" i="1"/>
  <c r="L41" i="1"/>
  <c r="L42" i="1"/>
  <c r="L11" i="1"/>
  <c r="L12" i="1"/>
  <c r="L45" i="1"/>
  <c r="L9" i="1"/>
  <c r="L46" i="1"/>
  <c r="L72" i="1"/>
  <c r="L20" i="1"/>
  <c r="L47" i="1"/>
  <c r="L48" i="1"/>
  <c r="L36" i="1"/>
  <c r="L49" i="1"/>
  <c r="L51" i="1"/>
  <c r="L53" i="1"/>
  <c r="D126" i="4"/>
  <c r="L55" i="1"/>
  <c r="L27" i="1"/>
  <c r="L56" i="1"/>
  <c r="L58" i="1"/>
  <c r="L35" i="1"/>
  <c r="L59" i="1"/>
  <c r="L60" i="1"/>
  <c r="L91" i="1"/>
  <c r="M5" i="1"/>
  <c r="M6" i="1"/>
  <c r="M7" i="1"/>
  <c r="M40" i="1"/>
  <c r="M8" i="1"/>
  <c r="M41" i="1"/>
  <c r="M42" i="1"/>
  <c r="M11" i="1"/>
  <c r="M12" i="1"/>
  <c r="M45" i="1"/>
  <c r="M9" i="1"/>
  <c r="M46" i="1"/>
  <c r="M72" i="1"/>
  <c r="M20" i="1"/>
  <c r="M47" i="1"/>
  <c r="M48" i="1"/>
  <c r="M36" i="1"/>
  <c r="M49" i="1"/>
  <c r="M51" i="1"/>
  <c r="M53" i="1"/>
  <c r="D140" i="4"/>
  <c r="M55" i="1"/>
  <c r="M27" i="1"/>
  <c r="M56" i="1"/>
  <c r="M58" i="1"/>
  <c r="M35" i="1"/>
  <c r="M59" i="1"/>
  <c r="M60" i="1"/>
  <c r="M91" i="1"/>
  <c r="P100" i="1"/>
  <c r="P101" i="1"/>
  <c r="Q97" i="1"/>
  <c r="Q98" i="1"/>
  <c r="Q99" i="1"/>
  <c r="O40" i="1"/>
  <c r="R97" i="1"/>
  <c r="D110" i="1"/>
  <c r="S97" i="1"/>
  <c r="T97" i="1"/>
  <c r="D104" i="1"/>
  <c r="R98" i="1"/>
  <c r="S98" i="1"/>
  <c r="T98" i="1"/>
  <c r="Q100" i="1"/>
  <c r="D108" i="1"/>
  <c r="D109" i="1"/>
  <c r="D106" i="1"/>
  <c r="R100" i="1"/>
  <c r="S100" i="1"/>
  <c r="T100" i="1"/>
  <c r="T101" i="1"/>
  <c r="C147" i="1"/>
  <c r="C2" i="2"/>
  <c r="D115" i="1"/>
  <c r="D116" i="1"/>
  <c r="D117" i="1"/>
  <c r="D118" i="1"/>
  <c r="D119" i="1"/>
  <c r="E37" i="1"/>
  <c r="E65" i="1"/>
  <c r="D65" i="1"/>
  <c r="D123" i="1"/>
  <c r="D124" i="1"/>
  <c r="E33" i="1"/>
  <c r="E67" i="1"/>
  <c r="D67" i="1"/>
  <c r="D125" i="1"/>
  <c r="E31" i="1"/>
  <c r="E68" i="1"/>
  <c r="D68" i="1"/>
  <c r="D126" i="1"/>
  <c r="E32" i="1"/>
  <c r="E80" i="1"/>
  <c r="D80" i="1"/>
  <c r="D127" i="1"/>
  <c r="E115" i="1"/>
  <c r="E116" i="1"/>
  <c r="E117" i="1"/>
  <c r="E118" i="1"/>
  <c r="D128" i="1"/>
  <c r="D71" i="1"/>
  <c r="E71" i="1"/>
  <c r="D131" i="1"/>
  <c r="D132" i="1"/>
  <c r="D134" i="1"/>
  <c r="D138" i="1"/>
  <c r="D144" i="1"/>
  <c r="D7" i="2"/>
  <c r="F12" i="2"/>
  <c r="E119" i="1"/>
  <c r="F37" i="1"/>
  <c r="F65" i="1"/>
  <c r="E123" i="1"/>
  <c r="E124" i="1"/>
  <c r="F33" i="1"/>
  <c r="F67" i="1"/>
  <c r="E125" i="1"/>
  <c r="F31" i="1"/>
  <c r="F68" i="1"/>
  <c r="E126" i="1"/>
  <c r="F32" i="1"/>
  <c r="F80" i="1"/>
  <c r="E127" i="1"/>
  <c r="F115" i="1"/>
  <c r="F116" i="1"/>
  <c r="F117" i="1"/>
  <c r="F118" i="1"/>
  <c r="E128" i="1"/>
  <c r="F71" i="1"/>
  <c r="E131" i="1"/>
  <c r="E132" i="1"/>
  <c r="E134" i="1"/>
  <c r="E138" i="1"/>
  <c r="E144" i="1"/>
  <c r="E7" i="2"/>
  <c r="G12" i="2"/>
  <c r="F119" i="1"/>
  <c r="G37" i="1"/>
  <c r="G65" i="1"/>
  <c r="F123" i="1"/>
  <c r="F124" i="1"/>
  <c r="G33" i="1"/>
  <c r="G67" i="1"/>
  <c r="F125" i="1"/>
  <c r="G31" i="1"/>
  <c r="G68" i="1"/>
  <c r="F126" i="1"/>
  <c r="G32" i="1"/>
  <c r="G80" i="1"/>
  <c r="F127" i="1"/>
  <c r="G115" i="1"/>
  <c r="G116" i="1"/>
  <c r="G117" i="1"/>
  <c r="G118" i="1"/>
  <c r="F128" i="1"/>
  <c r="G71" i="1"/>
  <c r="F131" i="1"/>
  <c r="F132" i="1"/>
  <c r="F134" i="1"/>
  <c r="F138" i="1"/>
  <c r="F144" i="1"/>
  <c r="F7" i="2"/>
  <c r="H12" i="2"/>
  <c r="G119" i="1"/>
  <c r="H37" i="1"/>
  <c r="H65" i="1"/>
  <c r="G123" i="1"/>
  <c r="G124" i="1"/>
  <c r="H33" i="1"/>
  <c r="H67" i="1"/>
  <c r="G125" i="1"/>
  <c r="H31" i="1"/>
  <c r="H68" i="1"/>
  <c r="G126" i="1"/>
  <c r="H32" i="1"/>
  <c r="H80" i="1"/>
  <c r="G127" i="1"/>
  <c r="H115" i="1"/>
  <c r="H116" i="1"/>
  <c r="H117" i="1"/>
  <c r="H118" i="1"/>
  <c r="G128" i="1"/>
  <c r="H71" i="1"/>
  <c r="G131" i="1"/>
  <c r="G132" i="1"/>
  <c r="G134" i="1"/>
  <c r="G138" i="1"/>
  <c r="G144" i="1"/>
  <c r="G7" i="2"/>
  <c r="I12" i="2"/>
  <c r="H119" i="1"/>
  <c r="I37" i="1"/>
  <c r="I65" i="1"/>
  <c r="H123" i="1"/>
  <c r="H124" i="1"/>
  <c r="I33" i="1"/>
  <c r="I67" i="1"/>
  <c r="H125" i="1"/>
  <c r="I31" i="1"/>
  <c r="I68" i="1"/>
  <c r="H126" i="1"/>
  <c r="I32" i="1"/>
  <c r="I80" i="1"/>
  <c r="H127" i="1"/>
  <c r="I115" i="1"/>
  <c r="I116" i="1"/>
  <c r="I117" i="1"/>
  <c r="I118" i="1"/>
  <c r="H128" i="1"/>
  <c r="I71" i="1"/>
  <c r="H131" i="1"/>
  <c r="H132" i="1"/>
  <c r="H134" i="1"/>
  <c r="H138" i="1"/>
  <c r="H144" i="1"/>
  <c r="H7" i="2"/>
  <c r="J12" i="2"/>
  <c r="I119" i="1"/>
  <c r="J37" i="1"/>
  <c r="J65" i="1"/>
  <c r="I123" i="1"/>
  <c r="I124" i="1"/>
  <c r="J33" i="1"/>
  <c r="J67" i="1"/>
  <c r="I125" i="1"/>
  <c r="J31" i="1"/>
  <c r="J68" i="1"/>
  <c r="I126" i="1"/>
  <c r="J32" i="1"/>
  <c r="J80" i="1"/>
  <c r="I127" i="1"/>
  <c r="J115" i="1"/>
  <c r="J116" i="1"/>
  <c r="J117" i="1"/>
  <c r="J118" i="1"/>
  <c r="I128" i="1"/>
  <c r="J71" i="1"/>
  <c r="I131" i="1"/>
  <c r="I132" i="1"/>
  <c r="I134" i="1"/>
  <c r="I138" i="1"/>
  <c r="I144" i="1"/>
  <c r="I7" i="2"/>
  <c r="K12" i="2"/>
  <c r="J119" i="1"/>
  <c r="K37" i="1"/>
  <c r="K65" i="1"/>
  <c r="J123" i="1"/>
  <c r="J124" i="1"/>
  <c r="K33" i="1"/>
  <c r="K67" i="1"/>
  <c r="J125" i="1"/>
  <c r="K31" i="1"/>
  <c r="K68" i="1"/>
  <c r="J126" i="1"/>
  <c r="K32" i="1"/>
  <c r="K80" i="1"/>
  <c r="J127" i="1"/>
  <c r="K115" i="1"/>
  <c r="K116" i="1"/>
  <c r="K117" i="1"/>
  <c r="K118" i="1"/>
  <c r="J128" i="1"/>
  <c r="K71" i="1"/>
  <c r="J131" i="1"/>
  <c r="J132" i="1"/>
  <c r="J134" i="1"/>
  <c r="J138" i="1"/>
  <c r="J144" i="1"/>
  <c r="J7" i="2"/>
  <c r="L12" i="2"/>
  <c r="K119" i="1"/>
  <c r="L37" i="1"/>
  <c r="L65" i="1"/>
  <c r="K123" i="1"/>
  <c r="K124" i="1"/>
  <c r="L33" i="1"/>
  <c r="L67" i="1"/>
  <c r="K125" i="1"/>
  <c r="L31" i="1"/>
  <c r="L68" i="1"/>
  <c r="K126" i="1"/>
  <c r="L32" i="1"/>
  <c r="L80" i="1"/>
  <c r="K127" i="1"/>
  <c r="L115" i="1"/>
  <c r="L116" i="1"/>
  <c r="L117" i="1"/>
  <c r="L118" i="1"/>
  <c r="K128" i="1"/>
  <c r="L71" i="1"/>
  <c r="K131" i="1"/>
  <c r="K132" i="1"/>
  <c r="K134" i="1"/>
  <c r="K138" i="1"/>
  <c r="K144" i="1"/>
  <c r="K7" i="2"/>
  <c r="M12" i="2"/>
  <c r="C13" i="2" a="1"/>
  <c r="C13" i="2"/>
  <c r="C18" i="2"/>
  <c r="C119" i="1"/>
  <c r="C123" i="1"/>
  <c r="C124" i="1"/>
  <c r="C125" i="1"/>
  <c r="C126" i="1"/>
  <c r="C127" i="1"/>
  <c r="C128" i="1"/>
  <c r="C131" i="1"/>
  <c r="C132" i="1"/>
  <c r="C134" i="1"/>
  <c r="C138" i="1"/>
  <c r="C144" i="1"/>
  <c r="C7" i="2"/>
  <c r="E11" i="2"/>
  <c r="D18" i="2"/>
  <c r="H18" i="2"/>
  <c r="L119" i="1"/>
  <c r="M37" i="1"/>
  <c r="M65" i="1"/>
  <c r="L123" i="1"/>
  <c r="L124" i="1"/>
  <c r="M33" i="1"/>
  <c r="M67" i="1"/>
  <c r="L125" i="1"/>
  <c r="M31" i="1"/>
  <c r="M68" i="1"/>
  <c r="L126" i="1"/>
  <c r="M32" i="1"/>
  <c r="M80" i="1"/>
  <c r="L127" i="1"/>
  <c r="M115" i="1"/>
  <c r="M116" i="1"/>
  <c r="M117" i="1"/>
  <c r="M118" i="1"/>
  <c r="L128" i="1"/>
  <c r="M71" i="1"/>
  <c r="L131" i="1"/>
  <c r="L132" i="1"/>
  <c r="L134" i="1"/>
  <c r="L138" i="1"/>
  <c r="L144" i="1"/>
  <c r="L7" i="2"/>
  <c r="N12" i="2"/>
  <c r="M119" i="1"/>
  <c r="M123" i="1"/>
  <c r="M124" i="1"/>
  <c r="M125" i="1"/>
  <c r="M126" i="1"/>
  <c r="M127" i="1"/>
  <c r="M128" i="1"/>
  <c r="M131" i="1"/>
  <c r="M132" i="1"/>
  <c r="M134" i="1"/>
  <c r="M135" i="1"/>
  <c r="P135" i="1"/>
  <c r="P136" i="1"/>
  <c r="P137" i="1"/>
  <c r="M136" i="1"/>
  <c r="M138" i="1"/>
  <c r="M139" i="1"/>
  <c r="P139" i="1"/>
  <c r="D74" i="1"/>
  <c r="E74" i="1"/>
  <c r="F74" i="1"/>
  <c r="G74" i="1"/>
  <c r="H74" i="1"/>
  <c r="I74" i="1"/>
  <c r="J74" i="1"/>
  <c r="K74" i="1"/>
  <c r="L74" i="1"/>
  <c r="M74" i="1"/>
  <c r="P140" i="1"/>
  <c r="P141" i="1"/>
  <c r="M140" i="1"/>
  <c r="M144" i="1"/>
  <c r="M7" i="2"/>
  <c r="O12" i="2"/>
  <c r="D27" i="5"/>
  <c r="D26" i="5"/>
  <c r="D14" i="5"/>
  <c r="D6" i="5"/>
  <c r="D5" i="5"/>
  <c r="D4" i="5"/>
  <c r="E28" i="3"/>
  <c r="E23" i="3"/>
  <c r="E14" i="3"/>
  <c r="C116" i="1"/>
  <c r="C117" i="1"/>
  <c r="E21" i="1"/>
  <c r="F21" i="1"/>
  <c r="G21" i="1"/>
  <c r="H21" i="1"/>
  <c r="I21" i="1"/>
  <c r="J21" i="1"/>
  <c r="K21" i="1"/>
  <c r="L21" i="1"/>
  <c r="M21" i="1"/>
  <c r="D69" i="1"/>
  <c r="D97" i="1"/>
  <c r="D76" i="1"/>
  <c r="E26" i="3"/>
  <c r="E17" i="3"/>
  <c r="E21" i="3"/>
  <c r="E8" i="3"/>
  <c r="E12" i="3"/>
  <c r="E69" i="1"/>
  <c r="E76" i="1"/>
  <c r="E97" i="1"/>
  <c r="F17" i="3"/>
  <c r="F21" i="3"/>
  <c r="F8" i="3"/>
  <c r="F12" i="3"/>
  <c r="F97" i="1"/>
  <c r="F69" i="1"/>
  <c r="F76" i="1"/>
  <c r="G69" i="1"/>
  <c r="G76" i="1"/>
  <c r="G8" i="3"/>
  <c r="G12" i="3"/>
  <c r="G17" i="3"/>
  <c r="G21" i="3"/>
  <c r="G97" i="1"/>
  <c r="H69" i="1"/>
  <c r="H76" i="1"/>
  <c r="H17" i="3"/>
  <c r="H21" i="3"/>
  <c r="H8" i="3"/>
  <c r="H12" i="3"/>
  <c r="H97" i="1"/>
  <c r="I69" i="1"/>
  <c r="I76" i="1"/>
  <c r="I97" i="1"/>
  <c r="J69" i="1"/>
  <c r="J76" i="1"/>
  <c r="J8" i="3"/>
  <c r="J12" i="3"/>
  <c r="J17" i="3"/>
  <c r="J21" i="3"/>
  <c r="I17" i="3"/>
  <c r="I21" i="3"/>
  <c r="I8" i="3"/>
  <c r="I12" i="3"/>
  <c r="K69" i="1"/>
  <c r="K76" i="1"/>
  <c r="K97" i="1"/>
  <c r="J97" i="1"/>
  <c r="K17" i="3"/>
  <c r="K21" i="3"/>
  <c r="K8" i="3"/>
  <c r="K12" i="3"/>
  <c r="M97" i="1"/>
  <c r="L97" i="1"/>
  <c r="L69" i="1"/>
  <c r="L76" i="1"/>
  <c r="M69" i="1"/>
  <c r="L17" i="3"/>
  <c r="L21" i="3"/>
  <c r="L8" i="3"/>
  <c r="L12" i="3"/>
  <c r="M17" i="3"/>
  <c r="M21" i="3"/>
  <c r="M8" i="3"/>
  <c r="M12" i="3"/>
  <c r="M76" i="1"/>
  <c r="N17" i="3"/>
  <c r="N21" i="3"/>
  <c r="N8" i="3"/>
  <c r="N12" i="3"/>
  <c r="O8" i="3"/>
  <c r="O12" i="3"/>
  <c r="O17" i="3"/>
  <c r="O21" i="3"/>
  <c r="C145" i="1"/>
  <c r="D98" i="1"/>
  <c r="D99" i="1"/>
  <c r="D25" i="1"/>
  <c r="D81" i="1"/>
  <c r="D82" i="1"/>
  <c r="D88" i="1"/>
  <c r="D93" i="1"/>
  <c r="D95" i="1"/>
  <c r="E98" i="1"/>
  <c r="E99" i="1"/>
  <c r="E81" i="1"/>
  <c r="E82" i="1"/>
  <c r="E88" i="1"/>
  <c r="E93" i="1"/>
  <c r="E95" i="1"/>
  <c r="F98" i="1"/>
  <c r="F99" i="1"/>
  <c r="F81" i="1"/>
  <c r="F82" i="1"/>
  <c r="F88" i="1"/>
  <c r="F93" i="1"/>
  <c r="F95" i="1"/>
  <c r="G98" i="1"/>
  <c r="G99" i="1"/>
  <c r="G81" i="1"/>
  <c r="G82" i="1"/>
  <c r="G88" i="1"/>
  <c r="G93" i="1"/>
  <c r="G95" i="1"/>
  <c r="H98" i="1"/>
  <c r="H99" i="1"/>
  <c r="H81" i="1"/>
  <c r="H82" i="1"/>
  <c r="H88" i="1"/>
  <c r="H93" i="1"/>
  <c r="H95" i="1"/>
  <c r="I98" i="1"/>
  <c r="I99" i="1"/>
  <c r="I81" i="1"/>
  <c r="I82" i="1"/>
  <c r="I88" i="1"/>
  <c r="I93" i="1"/>
  <c r="I95" i="1"/>
  <c r="J98" i="1"/>
  <c r="J99" i="1"/>
  <c r="J81" i="1"/>
  <c r="J82" i="1"/>
  <c r="J88" i="1"/>
  <c r="J93" i="1"/>
  <c r="J95" i="1"/>
  <c r="K98" i="1"/>
  <c r="K99" i="1"/>
  <c r="K81" i="1"/>
  <c r="K82" i="1"/>
  <c r="K88" i="1"/>
  <c r="K93" i="1"/>
  <c r="K95" i="1"/>
  <c r="L98" i="1"/>
  <c r="L99" i="1"/>
  <c r="L81" i="1"/>
  <c r="L82" i="1"/>
  <c r="L88" i="1"/>
  <c r="L93" i="1"/>
  <c r="L95" i="1"/>
  <c r="M98" i="1"/>
  <c r="M99" i="1"/>
  <c r="D100" i="1"/>
  <c r="M81" i="1"/>
  <c r="M82" i="1"/>
  <c r="M88" i="1"/>
  <c r="M93" i="1"/>
  <c r="M95" i="1"/>
  <c r="Q101" i="1"/>
  <c r="D4" i="3"/>
  <c r="C148" i="1" a="1"/>
  <c r="C148" i="1"/>
  <c r="C151" i="1"/>
  <c r="E22" i="3" a="1"/>
  <c r="E22" i="3"/>
  <c r="E13" i="3" a="1"/>
  <c r="E13" i="3"/>
  <c r="E27" i="3" a="1"/>
  <c r="E27" i="3"/>
</calcChain>
</file>

<file path=xl/sharedStrings.xml><?xml version="1.0" encoding="utf-8"?>
<sst xmlns="http://schemas.openxmlformats.org/spreadsheetml/2006/main" count="527" uniqueCount="293">
  <si>
    <t>Black-Scholes</t>
  </si>
  <si>
    <t>Decision Tree</t>
  </si>
  <si>
    <t xml:space="preserve"> </t>
  </si>
  <si>
    <t>WACC</t>
  </si>
  <si>
    <t>Free Cash Flows from Forecast</t>
  </si>
  <si>
    <t>WACC from Forecast</t>
  </si>
  <si>
    <t>Wendy's Forecast</t>
  </si>
  <si>
    <t>Yearly Change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</si>
  <si>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</si>
  <si>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</si>
  <si>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</si>
  <si>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</si>
  <si>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</si>
  <si>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</si>
  <si>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</si>
  <si>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</si>
  <si>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</si>
  <si>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</si>
  <si>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ASSUMPTIONS</t>
  </si>
  <si>
    <t>Sucess-Success</t>
  </si>
  <si>
    <t>Wendy's Total Free Cash Flows</t>
  </si>
  <si>
    <t>Normal Forecasted Operations</t>
  </si>
  <si>
    <t>Popluation of city</t>
  </si>
  <si>
    <t>Based on population projections</t>
  </si>
  <si>
    <t>Average spent per person per year on fastfood (nationwide)</t>
  </si>
  <si>
    <t>Option 1</t>
  </si>
  <si>
    <t>Purchase New Land and Building Location</t>
  </si>
  <si>
    <t>Based on a statistical study</t>
  </si>
  <si>
    <t>Number of competing stores in city</t>
  </si>
  <si>
    <t>Additional Revenues From New Location</t>
  </si>
  <si>
    <t>Sell New Location</t>
  </si>
  <si>
    <t>TOTAL</t>
  </si>
  <si>
    <t>NPV</t>
  </si>
  <si>
    <t>Based on a search and rough estimate of fast food locations in Nampa</t>
  </si>
  <si>
    <t>COGS as percent of sales</t>
  </si>
  <si>
    <t>Black-Sholes:</t>
  </si>
  <si>
    <t>S</t>
  </si>
  <si>
    <t>Increasing minimum wage</t>
  </si>
  <si>
    <t>General and Administrative as percent of sales</t>
  </si>
  <si>
    <t>X</t>
  </si>
  <si>
    <t>t</t>
  </si>
  <si>
    <t>STDEV(%)</t>
  </si>
  <si>
    <t>r</t>
  </si>
  <si>
    <t>VALUE</t>
  </si>
  <si>
    <t>Constant as Rev Increases</t>
  </si>
  <si>
    <t>Average number of labor hours per year needed</t>
  </si>
  <si>
    <t>Probability</t>
  </si>
  <si>
    <t>Average total cost per labor hour (wage + withholdings)</t>
  </si>
  <si>
    <t>Sucess-Failure</t>
  </si>
  <si>
    <t>Inflation causes minimum wage to increase</t>
  </si>
  <si>
    <t>Cost per acre for land</t>
  </si>
  <si>
    <t>Avg. Cost for Nampa Commercial Property</t>
  </si>
  <si>
    <t>Acres of land</t>
  </si>
  <si>
    <t>Actual Acreage</t>
  </si>
  <si>
    <t>Cost per square foot for store building</t>
  </si>
  <si>
    <t>Industry Estimate</t>
  </si>
  <si>
    <t>Square footage of building</t>
  </si>
  <si>
    <t>Actual Building Sq. Footage</t>
  </si>
  <si>
    <t>Equipment in Building</t>
  </si>
  <si>
    <t>Estimate of Equipment</t>
  </si>
  <si>
    <t>Average cost of insurance and property tax, % of building value</t>
  </si>
  <si>
    <t>Average maintenance cost per year, per square foot of buildings</t>
  </si>
  <si>
    <t>Mortgage loan interest rate</t>
  </si>
  <si>
    <t>Mortgage loan length (in years)</t>
  </si>
  <si>
    <t>Mortgage loan starting balance, % of total land and buildings</t>
  </si>
  <si>
    <t>Mortgage loan starting balance (PV)</t>
  </si>
  <si>
    <t>Extra bank loan interest rate</t>
  </si>
  <si>
    <t>Failure</t>
  </si>
  <si>
    <t>Adjusted Forecasted Operations</t>
  </si>
  <si>
    <t>Common stock starting balance, percent of total assets first year</t>
  </si>
  <si>
    <t>Common stock starting balance minimum, if at least as above</t>
  </si>
  <si>
    <t>Expansion is Good</t>
  </si>
  <si>
    <t>Good-Expand</t>
  </si>
  <si>
    <t>Days of inventory</t>
  </si>
  <si>
    <t>Beg Balance</t>
  </si>
  <si>
    <t>Days of accounts payable (COGS expense)</t>
  </si>
  <si>
    <t>Payment</t>
  </si>
  <si>
    <t>Interest</t>
  </si>
  <si>
    <t>Principle</t>
  </si>
  <si>
    <t>End Balance</t>
  </si>
  <si>
    <t>Rate</t>
  </si>
  <si>
    <t>Expansion is Bad</t>
  </si>
  <si>
    <t>Bad-Stop</t>
  </si>
  <si>
    <t>Days of receivables (credit card use assumed for all revenue)</t>
  </si>
  <si>
    <t>Jan</t>
  </si>
  <si>
    <t>Income tax rate (state plus federal)</t>
  </si>
  <si>
    <t>Depriciation years</t>
  </si>
  <si>
    <t>Per Rate</t>
  </si>
  <si>
    <t>Feb</t>
  </si>
  <si>
    <t>Minimum cash as % of sales</t>
  </si>
  <si>
    <t>FV</t>
  </si>
  <si>
    <t>Mar</t>
  </si>
  <si>
    <t>INCOME STATEMENT</t>
  </si>
  <si>
    <t>Sales Revenue</t>
  </si>
  <si>
    <t>Years</t>
  </si>
  <si>
    <t>Apr</t>
  </si>
  <si>
    <t>Cost of Good Sold</t>
  </si>
  <si>
    <t>Per</t>
  </si>
  <si>
    <t>Gross Profit</t>
  </si>
  <si>
    <t>May</t>
  </si>
  <si>
    <t>Type</t>
  </si>
  <si>
    <t>Jun</t>
  </si>
  <si>
    <t>Expenses</t>
  </si>
  <si>
    <t>Salaries and Wages</t>
  </si>
  <si>
    <t>PV</t>
  </si>
  <si>
    <t>Jul</t>
  </si>
  <si>
    <t>General and Administrative</t>
  </si>
  <si>
    <t>Aug</t>
  </si>
  <si>
    <t>Sep</t>
  </si>
  <si>
    <t>Building Insurance and Property Taxes</t>
  </si>
  <si>
    <t>Oct</t>
  </si>
  <si>
    <t>Nov</t>
  </si>
  <si>
    <t>Building Maintenance</t>
  </si>
  <si>
    <t>Dec</t>
  </si>
  <si>
    <t>Depeciation Expense (Buildings)</t>
  </si>
  <si>
    <t>Depeciation Expense (Equipment)</t>
  </si>
  <si>
    <t>Total Expenses</t>
  </si>
  <si>
    <t>Income Statement</t>
  </si>
  <si>
    <t>TOTALS</t>
  </si>
  <si>
    <t>Income Before Interest and Taxes</t>
  </si>
  <si>
    <t>All numbers in thousands</t>
  </si>
  <si>
    <t>Totals</t>
  </si>
  <si>
    <t>Revenue</t>
  </si>
  <si>
    <t>Mortgage Interest Expense</t>
  </si>
  <si>
    <t>Total Revenue</t>
  </si>
  <si>
    <t>Extra Bank Loan Interest Expense</t>
  </si>
  <si>
    <t>Taxable Income</t>
  </si>
  <si>
    <t>Cost of Revenue</t>
  </si>
  <si>
    <t>NOI as a percent of sales</t>
  </si>
  <si>
    <t>Operating Expenses</t>
  </si>
  <si>
    <t>Income Tax Expense</t>
  </si>
  <si>
    <t>Research Development</t>
  </si>
  <si>
    <t>-</t>
  </si>
  <si>
    <t>Selling General and Administrative</t>
  </si>
  <si>
    <t>Non Recurring</t>
  </si>
  <si>
    <t>Sales to square foot of building</t>
  </si>
  <si>
    <t>Net Income</t>
  </si>
  <si>
    <t>Others</t>
  </si>
  <si>
    <t>Total Operating Expenses</t>
  </si>
  <si>
    <t>Operating Income or Loss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</si>
  <si>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</si>
  <si>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</si>
  <si>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</si>
  <si>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</si>
  <si>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</si>
  <si>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BALANCE SHEET</t>
  </si>
  <si>
    <t>Minority Interest</t>
  </si>
  <si>
    <t>ASSETS</t>
  </si>
  <si>
    <t>Current Assets</t>
  </si>
  <si>
    <t>Minimum Cash Balance</t>
  </si>
  <si>
    <t>Net Income From Continuing Ops</t>
  </si>
  <si>
    <t>Non-recurring Events</t>
  </si>
  <si>
    <t>Discontinued Operations</t>
  </si>
  <si>
    <t>Extra Cash</t>
  </si>
  <si>
    <t>Accounts Receivable</t>
  </si>
  <si>
    <t>Extraordinary Items</t>
  </si>
  <si>
    <t>Effect Of Accounting Changes</t>
  </si>
  <si>
    <t>Federal</t>
  </si>
  <si>
    <t>State</t>
  </si>
  <si>
    <t>Other Items</t>
  </si>
  <si>
    <t>Preferred Stock And Other Adjustments</t>
  </si>
  <si>
    <t>Net Income Applicable To Common Shares</t>
  </si>
  <si>
    <t>Balance Sheet</t>
  </si>
  <si>
    <t>Period Ending</t>
  </si>
  <si>
    <t>Inventory</t>
  </si>
  <si>
    <t>Cash And Cash Equivalents</t>
  </si>
  <si>
    <t>Short Term Investments</t>
  </si>
  <si>
    <t>Net Receivables</t>
  </si>
  <si>
    <t>Other 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</si>
  <si>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</si>
  <si>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</si>
  <si>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</si>
  <si>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</si>
  <si>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</si>
  <si>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</si>
  <si>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</si>
  <si>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</si>
  <si>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</si>
  <si>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</si>
  <si>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</si>
  <si>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</si>
  <si>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</si>
  <si>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</si>
  <si>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</si>
  <si>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</si>
  <si>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</si>
  <si>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Negative Goodwill</t>
  </si>
  <si>
    <t>Total Liabilities</t>
  </si>
  <si>
    <t>Stockholders' Equity</t>
  </si>
  <si>
    <t>Land</t>
  </si>
  <si>
    <t>Misc.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</si>
  <si>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</si>
  <si>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</si>
  <si>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</si>
  <si>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</si>
  <si>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</si>
  <si>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</si>
  <si>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</si>
  <si>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</si>
  <si>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Buildings</t>
  </si>
  <si>
    <t>Net Tangible Assets</t>
  </si>
  <si>
    <t>Cash Flow</t>
  </si>
  <si>
    <t>Operating Activities, Cash Flows Provided By or Used In</t>
  </si>
  <si>
    <t>Depreciation</t>
  </si>
  <si>
    <t>Adjustments To Net Income</t>
  </si>
  <si>
    <t>Changes In Accounts Receivables</t>
  </si>
  <si>
    <t>Changes In Liabilities</t>
  </si>
  <si>
    <t>Changes In Inventories</t>
  </si>
  <si>
    <t>Changes In Other Operating Activities</t>
  </si>
  <si>
    <t>Total Cash Flow From Operating Activities</t>
  </si>
  <si>
    <t>Equipment</t>
  </si>
  <si>
    <t>Investing Activities, Cash Flows Provided By or Used In</t>
  </si>
  <si>
    <t>Less Accumulated Depreciation</t>
  </si>
  <si>
    <t>Capital Expenditures</t>
  </si>
  <si>
    <t>Investments</t>
  </si>
  <si>
    <t>Other Cash flows from Investing Activities</t>
  </si>
  <si>
    <t>Total Cash Flows From Investing Activities</t>
  </si>
  <si>
    <t>Financing Activities, Cash Flows Provided By or Used In</t>
  </si>
  <si>
    <t>Dividends Paid</t>
  </si>
  <si>
    <t>Sale Purchase of Stock</t>
  </si>
  <si>
    <t>Net Borrowings</t>
  </si>
  <si>
    <t>Other Cash Flows from Financing Activities</t>
  </si>
  <si>
    <t>Total Cash Flows From Financing Activities</t>
  </si>
  <si>
    <t>Effect Of Exchange Rate Changes</t>
  </si>
  <si>
    <t>Change In Cash and Cash Equivalents</t>
  </si>
  <si>
    <t>LIABILITIES</t>
  </si>
  <si>
    <t>Accounts Payable (COGS Expense)</t>
  </si>
  <si>
    <t>Income Taxes Payable</t>
  </si>
  <si>
    <t>Long-Term Liabilities</t>
  </si>
  <si>
    <t>Mortgage Loan</t>
  </si>
  <si>
    <t>Extra Bank Loan</t>
  </si>
  <si>
    <t>Population</t>
  </si>
  <si>
    <t>Total Liabilities and Shareholders Equity</t>
  </si>
  <si>
    <t>http://worldpopulationreview.com/us-cities/nampa-id-population/</t>
  </si>
  <si>
    <t>https://www.netleaseadvisor.com/tenant/wendys/</t>
  </si>
  <si>
    <t>State Tax Rate</t>
  </si>
  <si>
    <t>https://www.tax-brackets.org/idahotaxtable</t>
  </si>
  <si>
    <t>Fed Tax Rate</t>
  </si>
  <si>
    <t>https://www.bankrate.com/finance/taxes/tax-brackets.aspx</t>
  </si>
  <si>
    <t>DFN</t>
  </si>
  <si>
    <t>Growth Rate of Nampa</t>
  </si>
  <si>
    <t>Avg. Spent on FF</t>
  </si>
  <si>
    <t>http://www.dailymail.co.uk/news/article-2617493/Average-American-spends-1-200-year-fast-food.html</t>
  </si>
  <si>
    <t>% Increase in Wage</t>
  </si>
  <si>
    <t>http://work.chron.com/average-salary-raise-percentage-17983.html</t>
  </si>
  <si>
    <t>Avg.</t>
  </si>
  <si>
    <t>Proportion</t>
  </si>
  <si>
    <t>Tax Adjusted</t>
  </si>
  <si>
    <t>Weighted</t>
  </si>
  <si>
    <t>Debt</t>
  </si>
  <si>
    <t>EBIT</t>
  </si>
  <si>
    <t>Mortgage</t>
  </si>
  <si>
    <t>Total Loan Interest Expence</t>
  </si>
  <si>
    <t>Extra bank Loan</t>
  </si>
  <si>
    <t>Interest Coverage Ratio</t>
  </si>
  <si>
    <t>Equity</t>
  </si>
  <si>
    <t>Avg. Interest Coverage Ratio</t>
  </si>
  <si>
    <t xml:space="preserve">Credit Rating </t>
  </si>
  <si>
    <t>A3/A-</t>
  </si>
  <si>
    <t>Total</t>
  </si>
  <si>
    <t>T-Bill Rate</t>
  </si>
  <si>
    <t>Mortgage Loan Interest Rate</t>
  </si>
  <si>
    <t>Extra Bank Loan Interest Rate</t>
  </si>
  <si>
    <t>CAPM</t>
  </si>
  <si>
    <t>Unlevered Beta</t>
  </si>
  <si>
    <t>Releverd Beta</t>
  </si>
  <si>
    <t>EMRP</t>
  </si>
  <si>
    <t>Tax Rate</t>
  </si>
  <si>
    <t>FREE CASH FLOWS</t>
  </si>
  <si>
    <t>Cash Flow From Operations (Income Stat)</t>
  </si>
  <si>
    <t>Operating Profit</t>
  </si>
  <si>
    <t>Less: Depreciation</t>
  </si>
  <si>
    <t>Taxable Operating Profit</t>
  </si>
  <si>
    <t>Taxes on Operations ONLY =Taxes Payable</t>
  </si>
  <si>
    <t>Cash From Operation TOTAL</t>
  </si>
  <si>
    <t>Cash Flow From Balance Sheet Changes</t>
  </si>
  <si>
    <t>Working Capital</t>
  </si>
  <si>
    <t>Minimum Cash Inventory</t>
  </si>
  <si>
    <t xml:space="preserve"> +</t>
  </si>
  <si>
    <t>Income Tax Payable (ON OP ONLY)</t>
  </si>
  <si>
    <t>Fixed Capital</t>
  </si>
  <si>
    <t>(-)</t>
  </si>
  <si>
    <t>Adjustment on Sale</t>
  </si>
  <si>
    <t>Sale</t>
  </si>
  <si>
    <t>Tax on Sale</t>
  </si>
  <si>
    <t>Book</t>
  </si>
  <si>
    <t>Gain</t>
  </si>
  <si>
    <t>Goodwilll</t>
  </si>
  <si>
    <t>TOTAL FREE CASH FLOWS</t>
  </si>
  <si>
    <t>IRR</t>
  </si>
  <si>
    <t>DCF Valuation</t>
  </si>
  <si>
    <t>The option being sold is:  the option to buy this company two years from today, at a fixed price today of $4,411,270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</si>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</sst>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\$* #,##0.00_);_(\$* \(#,##0.00\);_(\$* \-??_);_(@_)"/>
  </numFmts>
  <fonts count="2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24"/>
      <name val="Arial"/>
    </font>
    <font>
      <b/>
      <sz val="11"/>
      <name val="Arial"/>
    </font>
    <font>
      <b/>
      <sz val="14"/>
      <color rgb="FF000000"/>
      <name val="Calibri"/>
    </font>
    <font>
      <sz val="11"/>
      <color rgb="FF000000"/>
      <name val="Calibri"/>
    </font>
    <font>
      <b/>
      <i/>
      <sz val="10"/>
      <name val="Arial"/>
    </font>
    <font>
      <b/>
      <sz val="15"/>
      <color rgb="FF000000"/>
      <name val="&quot;Helvetica Neue&quot;"/>
    </font>
    <font>
      <sz val="8"/>
      <color rgb="FF787D82"/>
      <name val="&quot;Helvetica Neue&quot;"/>
    </font>
    <font>
      <b/>
      <sz val="11"/>
      <color rgb="FF000000"/>
      <name val="&quot;Helvetica Neue&quot;"/>
    </font>
    <font>
      <sz val="10"/>
      <color rgb="FF787D82"/>
      <name val="&quot;Helvetica Neue&quot;"/>
    </font>
    <font>
      <sz val="10"/>
      <color rgb="FF000000"/>
      <name val="&quot;Helvetica Neue&quot;"/>
    </font>
    <font>
      <b/>
      <sz val="10"/>
      <color rgb="FF000000"/>
      <name val="&quot;Helvetica Neue&quot;"/>
    </font>
    <font>
      <u/>
      <sz val="10"/>
      <color rgb="FF0000FF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sz val="10"/>
      <color rgb="FF000000"/>
      <name val="Arial"/>
    </font>
    <font>
      <sz val="10"/>
      <color indexed="20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166" fontId="17" fillId="0" borderId="0"/>
    <xf numFmtId="0" fontId="17" fillId="0" borderId="0"/>
    <xf numFmtId="9" fontId="17" fillId="0" borderId="0"/>
    <xf numFmtId="43" fontId="1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0" fontId="6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9" fontId="2" fillId="0" borderId="2" xfId="0" applyNumberFormat="1" applyFont="1" applyBorder="1"/>
    <xf numFmtId="9" fontId="2" fillId="0" borderId="0" xfId="0" applyNumberFormat="1" applyFont="1"/>
    <xf numFmtId="0" fontId="2" fillId="0" borderId="3" xfId="0" applyFont="1" applyBorder="1"/>
    <xf numFmtId="2" fontId="2" fillId="0" borderId="0" xfId="0" applyNumberFormat="1" applyFont="1"/>
    <xf numFmtId="0" fontId="2" fillId="0" borderId="4" xfId="0" applyFont="1" applyBorder="1"/>
    <xf numFmtId="0" fontId="7" fillId="0" borderId="0" xfId="0" applyFont="1"/>
    <xf numFmtId="0" fontId="2" fillId="0" borderId="5" xfId="0" applyFont="1" applyBorder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14" fontId="11" fillId="3" borderId="0" xfId="0" applyNumberFormat="1" applyFont="1" applyFill="1" applyAlignment="1">
      <alignment horizontal="right"/>
    </xf>
    <xf numFmtId="0" fontId="12" fillId="3" borderId="0" xfId="0" applyFont="1" applyFill="1"/>
    <xf numFmtId="3" fontId="12" fillId="3" borderId="0" xfId="0" applyNumberFormat="1" applyFont="1" applyFill="1" applyAlignment="1">
      <alignment horizontal="right"/>
    </xf>
    <xf numFmtId="0" fontId="13" fillId="3" borderId="0" xfId="0" applyFont="1" applyFill="1"/>
    <xf numFmtId="3" fontId="13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4" fillId="0" borderId="0" xfId="0" applyFont="1"/>
    <xf numFmtId="0" fontId="2" fillId="0" borderId="1" xfId="0" applyFont="1" applyBorder="1"/>
    <xf numFmtId="0" fontId="2" fillId="4" borderId="0" xfId="0" applyFont="1" applyFill="1"/>
    <xf numFmtId="0" fontId="1" fillId="0" borderId="1" xfId="0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0" fontId="2" fillId="0" borderId="1" xfId="0" applyNumberFormat="1" applyFont="1" applyBorder="1"/>
    <xf numFmtId="10" fontId="2" fillId="0" borderId="0" xfId="0" applyNumberFormat="1" applyFont="1" applyAlignment="1">
      <alignment horizontal="center"/>
    </xf>
    <xf numFmtId="10" fontId="2" fillId="0" borderId="6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3" borderId="0" xfId="0" applyFont="1" applyFill="1"/>
    <xf numFmtId="9" fontId="2" fillId="3" borderId="0" xfId="0" applyNumberFormat="1" applyFont="1" applyFill="1"/>
    <xf numFmtId="0" fontId="2" fillId="2" borderId="2" xfId="0" applyFont="1" applyFill="1" applyBorder="1"/>
    <xf numFmtId="0" fontId="0" fillId="0" borderId="8" xfId="0" applyBorder="1"/>
    <xf numFmtId="0" fontId="18" fillId="0" borderId="0" xfId="4" applyFont="1"/>
    <xf numFmtId="44" fontId="2" fillId="0" borderId="0" xfId="9" applyFont="1" applyFill="1"/>
    <xf numFmtId="44" fontId="2" fillId="0" borderId="0" xfId="9" applyFont="1" applyAlignment="1"/>
    <xf numFmtId="2" fontId="2" fillId="0" borderId="2" xfId="0" applyNumberFormat="1" applyFont="1" applyBorder="1"/>
    <xf numFmtId="164" fontId="0" fillId="0" borderId="0" xfId="0" applyNumberFormat="1"/>
    <xf numFmtId="0" fontId="20" fillId="0" borderId="0" xfId="0" applyFont="1"/>
    <xf numFmtId="0" fontId="2" fillId="0" borderId="0" xfId="0" applyFont="1"/>
    <xf numFmtId="0" fontId="0" fillId="0" borderId="0" xfId="0"/>
    <xf numFmtId="0" fontId="10" fillId="3" borderId="0" xfId="0" applyFont="1" applyFill="1"/>
  </cellXfs>
  <cellStyles count="10">
    <cellStyle name="Comma 2" xfId="8" xr:uid="{00000000-0005-0000-0000-000000000000}"/>
    <cellStyle name="Currency" xfId="9" builtinId="4"/>
    <cellStyle name="Currency 2" xfId="2" xr:uid="{00000000-0005-0000-0000-000002000000}"/>
    <cellStyle name="Currency 3" xfId="5" xr:uid="{00000000-0005-0000-0000-000003000000}"/>
    <cellStyle name="Excel Built-in Normal" xfId="6" xr:uid="{00000000-0005-0000-0000-000004000000}"/>
    <cellStyle name="Normal" xfId="0" builtinId="0"/>
    <cellStyle name="Normal 2" xfId="1" xr:uid="{00000000-0005-0000-0000-000006000000}"/>
    <cellStyle name="Normal 3" xfId="4" xr:uid="{00000000-0005-0000-0000-000007000000}"/>
    <cellStyle name="Percent 2" xfId="3" xr:uid="{00000000-0005-0000-0000-000008000000}"/>
    <cellStyle name="Percent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tax-brackets.org/idahotaxtable" TargetMode="External"/><Relationship Id="rId7" Type="http://schemas.openxmlformats.org/officeDocument/2006/relationships/hyperlink" Target="http://work.chron.com/average-salary-raise-percentage-17983.html" TargetMode="External"/><Relationship Id="rId2" Type="http://schemas.openxmlformats.org/officeDocument/2006/relationships/hyperlink" Target="https://www.netleaseadvisor.com/tenant/wendys/" TargetMode="External"/><Relationship Id="rId1" Type="http://schemas.openxmlformats.org/officeDocument/2006/relationships/hyperlink" Target="http://worldpopulationreview.com/us-cities/nampa-id-population/" TargetMode="External"/><Relationship Id="rId6" Type="http://schemas.openxmlformats.org/officeDocument/2006/relationships/hyperlink" Target="http://www.dailymail.co.uk/news/article-2617493/Average-American-spends-1-200-year-fast-food.html" TargetMode="External"/><Relationship Id="rId5" Type="http://schemas.openxmlformats.org/officeDocument/2006/relationships/hyperlink" Target="http://worldpopulationreview.com/us-cities/nampa-id-population/" TargetMode="External"/><Relationship Id="rId4" Type="http://schemas.openxmlformats.org/officeDocument/2006/relationships/hyperlink" Target="https://www.bankrate.com/finance/taxes/tax-bracke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52"/>
  <sheetViews>
    <sheetView tabSelected="1" zoomScale="110" zoomScaleNormal="110" workbookViewId="0">
      <selection activeCell="Q107" sqref="Q107"/>
    </sheetView>
  </sheetViews>
  <sheetFormatPr defaultColWidth="14.42578125" defaultRowHeight="15.75" customHeight="1"/>
  <cols>
    <col min="1" max="1" width="1.42578125" customWidth="1"/>
    <col min="2" max="2" width="55" customWidth="1"/>
    <col min="3" max="3" width="14.7109375" customWidth="1"/>
    <col min="4" max="4" width="17" customWidth="1"/>
    <col min="14" max="14" width="6.140625" customWidth="1"/>
    <col min="15" max="15" width="15.7109375" customWidth="1"/>
  </cols>
  <sheetData>
    <row r="1" spans="1:15" ht="11.25" customHeight="1">
      <c r="A1" s="2" t="s">
        <v>2</v>
      </c>
    </row>
    <row r="2" spans="1:15" ht="30">
      <c r="B2" s="3" t="s">
        <v>6</v>
      </c>
      <c r="C2" s="3"/>
      <c r="D2" s="3"/>
      <c r="E2" s="3"/>
      <c r="F2" s="3"/>
      <c r="N2" s="4" t="s">
        <v>7</v>
      </c>
    </row>
    <row r="3" spans="1:15" ht="30">
      <c r="B3" s="3"/>
      <c r="C3" s="3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/>
    </row>
    <row r="4" spans="1:15" ht="18.75">
      <c r="B4" s="7" t="s">
        <v>18</v>
      </c>
      <c r="C4" s="7"/>
      <c r="D4" s="9"/>
    </row>
    <row r="5" spans="1:15" ht="15">
      <c r="B5" s="10" t="s">
        <v>22</v>
      </c>
      <c r="C5" s="10"/>
      <c r="D5" s="9">
        <v>91382</v>
      </c>
      <c r="E5" s="12">
        <f t="shared" ref="E5:M5" si="0">D5*(1+$N5)</f>
        <v>93026.876000000004</v>
      </c>
      <c r="F5" s="12">
        <f t="shared" si="0"/>
        <v>94701.359768000009</v>
      </c>
      <c r="G5" s="12">
        <f t="shared" si="0"/>
        <v>96405.984243824016</v>
      </c>
      <c r="H5" s="12">
        <f t="shared" si="0"/>
        <v>98141.291960212853</v>
      </c>
      <c r="I5" s="12">
        <f t="shared" si="0"/>
        <v>99907.835215496685</v>
      </c>
      <c r="J5" s="12">
        <f t="shared" si="0"/>
        <v>101706.17624937563</v>
      </c>
      <c r="K5" s="12">
        <f t="shared" si="0"/>
        <v>103536.88742186439</v>
      </c>
      <c r="L5" s="12">
        <f t="shared" si="0"/>
        <v>105400.55139545795</v>
      </c>
      <c r="M5" s="12">
        <f t="shared" si="0"/>
        <v>107297.7613205762</v>
      </c>
      <c r="N5" s="5">
        <v>1.7999999999999999E-2</v>
      </c>
      <c r="O5" s="2" t="s">
        <v>23</v>
      </c>
    </row>
    <row r="6" spans="1:15" ht="15">
      <c r="B6" s="10" t="s">
        <v>24</v>
      </c>
      <c r="C6" s="10"/>
      <c r="D6" s="2">
        <v>800</v>
      </c>
      <c r="E6" s="12">
        <f t="shared" ref="E6:M6" si="1">D6*(1+$N6)</f>
        <v>800</v>
      </c>
      <c r="F6" s="12">
        <f t="shared" si="1"/>
        <v>800</v>
      </c>
      <c r="G6" s="12">
        <f t="shared" si="1"/>
        <v>800</v>
      </c>
      <c r="H6" s="12">
        <f t="shared" si="1"/>
        <v>800</v>
      </c>
      <c r="I6" s="12">
        <f t="shared" si="1"/>
        <v>800</v>
      </c>
      <c r="J6" s="12">
        <f t="shared" si="1"/>
        <v>800</v>
      </c>
      <c r="K6" s="12">
        <f t="shared" si="1"/>
        <v>800</v>
      </c>
      <c r="L6" s="12">
        <f t="shared" si="1"/>
        <v>800</v>
      </c>
      <c r="M6" s="12">
        <f t="shared" si="1"/>
        <v>800</v>
      </c>
      <c r="N6" s="5">
        <v>0</v>
      </c>
      <c r="O6" s="2" t="s">
        <v>27</v>
      </c>
    </row>
    <row r="7" spans="1:15" ht="15">
      <c r="B7" s="10" t="s">
        <v>28</v>
      </c>
      <c r="C7" s="10"/>
      <c r="D7" s="2">
        <v>40</v>
      </c>
      <c r="E7" s="12">
        <f t="shared" ref="E7:M7" si="2">D7*(1+$N7)</f>
        <v>40</v>
      </c>
      <c r="F7" s="12">
        <f t="shared" si="2"/>
        <v>40</v>
      </c>
      <c r="G7" s="12">
        <f t="shared" si="2"/>
        <v>40</v>
      </c>
      <c r="H7" s="12">
        <f t="shared" si="2"/>
        <v>40</v>
      </c>
      <c r="I7" s="12">
        <f t="shared" si="2"/>
        <v>40</v>
      </c>
      <c r="J7" s="12">
        <f t="shared" si="2"/>
        <v>40</v>
      </c>
      <c r="K7" s="12">
        <f t="shared" si="2"/>
        <v>40</v>
      </c>
      <c r="L7" s="12">
        <f t="shared" si="2"/>
        <v>40</v>
      </c>
      <c r="M7" s="12">
        <f t="shared" si="2"/>
        <v>40</v>
      </c>
      <c r="N7" s="5">
        <v>0</v>
      </c>
      <c r="O7" s="2" t="s">
        <v>33</v>
      </c>
    </row>
    <row r="8" spans="1:15" ht="15">
      <c r="B8" s="10" t="s">
        <v>34</v>
      </c>
      <c r="C8" s="10"/>
      <c r="D8" s="5">
        <v>0.49</v>
      </c>
      <c r="E8" s="5">
        <f t="shared" ref="E8:M8" si="3">D8*(1+$N8)</f>
        <v>0.49734999999999996</v>
      </c>
      <c r="F8" s="5">
        <f t="shared" si="3"/>
        <v>0.5048102499999999</v>
      </c>
      <c r="G8" s="5">
        <f t="shared" si="3"/>
        <v>0.51238240374999988</v>
      </c>
      <c r="H8" s="5">
        <f t="shared" si="3"/>
        <v>0.52006813980624989</v>
      </c>
      <c r="I8" s="5">
        <f t="shared" si="3"/>
        <v>0.52786916190334354</v>
      </c>
      <c r="J8" s="5">
        <f t="shared" si="3"/>
        <v>0.53578719933189367</v>
      </c>
      <c r="K8" s="5">
        <f t="shared" si="3"/>
        <v>0.54382400732187197</v>
      </c>
      <c r="L8" s="5">
        <f t="shared" si="3"/>
        <v>0.55198136743170001</v>
      </c>
      <c r="M8" s="5">
        <f t="shared" si="3"/>
        <v>0.56026108794317542</v>
      </c>
      <c r="N8" s="5">
        <v>1.4999999999999999E-2</v>
      </c>
      <c r="O8" s="2" t="s">
        <v>37</v>
      </c>
    </row>
    <row r="9" spans="1:15" ht="15">
      <c r="B9" s="10" t="s">
        <v>38</v>
      </c>
      <c r="C9" s="10"/>
      <c r="D9" s="5">
        <v>0.03</v>
      </c>
      <c r="E9" s="5">
        <f t="shared" ref="E9:M9" si="4">D9*(1+$N9)</f>
        <v>0.03</v>
      </c>
      <c r="F9" s="5">
        <f t="shared" si="4"/>
        <v>0.03</v>
      </c>
      <c r="G9" s="5">
        <f t="shared" si="4"/>
        <v>0.03</v>
      </c>
      <c r="H9" s="5">
        <f t="shared" si="4"/>
        <v>0.03</v>
      </c>
      <c r="I9" s="5">
        <f t="shared" si="4"/>
        <v>0.03</v>
      </c>
      <c r="J9" s="5">
        <f t="shared" si="4"/>
        <v>0.03</v>
      </c>
      <c r="K9" s="5">
        <f t="shared" si="4"/>
        <v>0.03</v>
      </c>
      <c r="L9" s="5">
        <f t="shared" si="4"/>
        <v>0.03</v>
      </c>
      <c r="M9" s="5">
        <f t="shared" si="4"/>
        <v>0.03</v>
      </c>
      <c r="N9" s="5">
        <v>0</v>
      </c>
      <c r="O9" s="2" t="s">
        <v>44</v>
      </c>
    </row>
    <row r="10" spans="1:15" ht="15">
      <c r="B10" s="10"/>
      <c r="C10" s="10"/>
    </row>
    <row r="11" spans="1:15" ht="15">
      <c r="B11" s="10" t="s">
        <v>45</v>
      </c>
      <c r="C11" s="10"/>
      <c r="D11" s="12">
        <v>60000</v>
      </c>
      <c r="E11">
        <f t="shared" ref="E11:M11" si="5">D11*(1+$N11)</f>
        <v>60000</v>
      </c>
      <c r="F11">
        <f t="shared" si="5"/>
        <v>60000</v>
      </c>
      <c r="G11">
        <f t="shared" si="5"/>
        <v>60000</v>
      </c>
      <c r="H11">
        <f t="shared" si="5"/>
        <v>60000</v>
      </c>
      <c r="I11">
        <f t="shared" si="5"/>
        <v>60000</v>
      </c>
      <c r="J11">
        <f t="shared" si="5"/>
        <v>60000</v>
      </c>
      <c r="K11">
        <f t="shared" si="5"/>
        <v>60000</v>
      </c>
      <c r="L11">
        <f t="shared" si="5"/>
        <v>60000</v>
      </c>
      <c r="M11">
        <f t="shared" si="5"/>
        <v>60000</v>
      </c>
      <c r="N11" s="5">
        <v>0</v>
      </c>
    </row>
    <row r="12" spans="1:15" ht="15">
      <c r="B12" s="10" t="s">
        <v>47</v>
      </c>
      <c r="C12" s="10"/>
      <c r="D12" s="14">
        <v>7.25</v>
      </c>
      <c r="E12" s="14">
        <f t="shared" ref="E12:M12" si="6">D12*(1+$N12)</f>
        <v>7.3950000000000005</v>
      </c>
      <c r="F12" s="14">
        <f t="shared" si="6"/>
        <v>7.5429000000000004</v>
      </c>
      <c r="G12" s="14">
        <f t="shared" si="6"/>
        <v>7.6937580000000008</v>
      </c>
      <c r="H12" s="14">
        <f t="shared" si="6"/>
        <v>7.8476331600000009</v>
      </c>
      <c r="I12" s="14">
        <f t="shared" si="6"/>
        <v>8.0045858232000011</v>
      </c>
      <c r="J12" s="14">
        <f t="shared" si="6"/>
        <v>8.1646775396640017</v>
      </c>
      <c r="K12" s="14">
        <f t="shared" si="6"/>
        <v>8.3279710904572823</v>
      </c>
      <c r="L12" s="14">
        <f t="shared" si="6"/>
        <v>8.4945305122664276</v>
      </c>
      <c r="M12" s="14">
        <f t="shared" si="6"/>
        <v>8.6644211225117562</v>
      </c>
      <c r="N12" s="5">
        <v>0.02</v>
      </c>
      <c r="O12" s="2" t="s">
        <v>49</v>
      </c>
    </row>
    <row r="13" spans="1:15" ht="15">
      <c r="B13" s="10"/>
      <c r="C13" s="10"/>
    </row>
    <row r="14" spans="1:15" ht="15">
      <c r="B14" s="10" t="s">
        <v>50</v>
      </c>
      <c r="C14" s="10"/>
      <c r="D14" s="52">
        <v>75000</v>
      </c>
      <c r="E14" s="2" t="s">
        <v>51</v>
      </c>
    </row>
    <row r="15" spans="1:15" ht="15">
      <c r="B15" s="10" t="s">
        <v>52</v>
      </c>
      <c r="C15" s="10"/>
      <c r="D15" s="2">
        <v>0.85</v>
      </c>
      <c r="E15" s="2" t="s">
        <v>53</v>
      </c>
    </row>
    <row r="16" spans="1:15" ht="15">
      <c r="B16" s="10" t="s">
        <v>54</v>
      </c>
      <c r="C16" s="10"/>
      <c r="D16" s="52">
        <v>735</v>
      </c>
      <c r="E16" s="2" t="s">
        <v>55</v>
      </c>
    </row>
    <row r="17" spans="2:14" ht="15">
      <c r="B17" s="10" t="s">
        <v>56</v>
      </c>
      <c r="C17" s="10"/>
      <c r="D17" s="2">
        <v>3000</v>
      </c>
      <c r="E17" s="2" t="s">
        <v>57</v>
      </c>
    </row>
    <row r="18" spans="2:14" ht="15">
      <c r="B18" s="10" t="s">
        <v>58</v>
      </c>
      <c r="C18" s="10"/>
      <c r="D18" s="51">
        <v>50000</v>
      </c>
      <c r="E18" s="2" t="s">
        <v>59</v>
      </c>
    </row>
    <row r="19" spans="2:14" ht="15">
      <c r="B19" s="10"/>
      <c r="C19" s="10"/>
    </row>
    <row r="20" spans="2:14" ht="15">
      <c r="B20" s="10" t="s">
        <v>60</v>
      </c>
      <c r="C20" s="10"/>
      <c r="D20" s="5">
        <v>2.5000000000000001E-2</v>
      </c>
      <c r="E20" s="5">
        <f t="shared" ref="E20:M20" si="7">D20*(1+$N20)</f>
        <v>2.5750000000000002E-2</v>
      </c>
      <c r="F20" s="5">
        <f t="shared" si="7"/>
        <v>2.6522500000000004E-2</v>
      </c>
      <c r="G20" s="5">
        <f t="shared" si="7"/>
        <v>2.7318175000000004E-2</v>
      </c>
      <c r="H20" s="5">
        <f t="shared" si="7"/>
        <v>2.8137720250000005E-2</v>
      </c>
      <c r="I20" s="5">
        <f t="shared" si="7"/>
        <v>2.8981851857500004E-2</v>
      </c>
      <c r="J20" s="5">
        <f t="shared" si="7"/>
        <v>2.9851307413225007E-2</v>
      </c>
      <c r="K20" s="5">
        <f t="shared" si="7"/>
        <v>3.0746846635621758E-2</v>
      </c>
      <c r="L20" s="5">
        <f t="shared" si="7"/>
        <v>3.1669252034690412E-2</v>
      </c>
      <c r="M20" s="5">
        <f t="shared" si="7"/>
        <v>3.2619329595731127E-2</v>
      </c>
      <c r="N20" s="5">
        <v>0.03</v>
      </c>
    </row>
    <row r="21" spans="2:14" ht="15">
      <c r="B21" s="10" t="s">
        <v>61</v>
      </c>
      <c r="C21" s="10"/>
      <c r="D21" s="14">
        <v>0.35</v>
      </c>
      <c r="E21" s="14">
        <f t="shared" ref="E21:M21" si="8">D21*(1+$N21)</f>
        <v>0.35174999999999995</v>
      </c>
      <c r="F21" s="14">
        <f t="shared" si="8"/>
        <v>0.35350874999999993</v>
      </c>
      <c r="G21" s="14">
        <f t="shared" si="8"/>
        <v>0.35527629374999992</v>
      </c>
      <c r="H21" s="14">
        <f t="shared" si="8"/>
        <v>0.35705267521874989</v>
      </c>
      <c r="I21" s="14">
        <f t="shared" si="8"/>
        <v>0.35883793859484359</v>
      </c>
      <c r="J21" s="14">
        <f t="shared" si="8"/>
        <v>0.36063212828781777</v>
      </c>
      <c r="K21" s="14">
        <f t="shared" si="8"/>
        <v>0.3624352889292568</v>
      </c>
      <c r="L21" s="14">
        <f t="shared" si="8"/>
        <v>0.36424746537390307</v>
      </c>
      <c r="M21" s="14">
        <f t="shared" si="8"/>
        <v>0.36606870270077252</v>
      </c>
      <c r="N21" s="5">
        <v>5.0000000000000001E-3</v>
      </c>
    </row>
    <row r="22" spans="2:14" ht="15">
      <c r="B22" s="10"/>
      <c r="C22" s="10"/>
    </row>
    <row r="23" spans="2:14" ht="15">
      <c r="B23" s="10" t="s">
        <v>62</v>
      </c>
      <c r="C23" s="10"/>
      <c r="D23" s="5">
        <v>0.04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ht="15">
      <c r="B24" s="10" t="s">
        <v>63</v>
      </c>
      <c r="C24" s="10"/>
      <c r="D24" s="2">
        <v>30</v>
      </c>
      <c r="E24" s="2"/>
      <c r="F24" s="2"/>
      <c r="G24" s="2"/>
      <c r="H24" s="2"/>
      <c r="I24" s="2"/>
      <c r="J24" s="2"/>
      <c r="K24" s="2"/>
      <c r="L24" s="2"/>
      <c r="M24" s="2"/>
      <c r="N24" s="5"/>
    </row>
    <row r="25" spans="2:14" ht="15">
      <c r="B25" s="10" t="s">
        <v>64</v>
      </c>
      <c r="C25" s="10"/>
      <c r="D25" s="5">
        <f>D85/(D72+D71)</f>
        <v>0.51981947930670913</v>
      </c>
      <c r="E25" s="5"/>
    </row>
    <row r="26" spans="2:14" ht="15">
      <c r="B26" s="10" t="s">
        <v>65</v>
      </c>
      <c r="C26" s="10"/>
      <c r="D26" s="14">
        <v>1200000</v>
      </c>
    </row>
    <row r="27" spans="2:14" ht="15">
      <c r="B27" s="10" t="s">
        <v>66</v>
      </c>
      <c r="C27" s="10"/>
      <c r="D27" s="5">
        <v>7.1300000000000002E-2</v>
      </c>
      <c r="E27" s="5">
        <f t="shared" ref="E27:M27" si="9">D27</f>
        <v>7.1300000000000002E-2</v>
      </c>
      <c r="F27" s="5">
        <f t="shared" si="9"/>
        <v>7.1300000000000002E-2</v>
      </c>
      <c r="G27" s="5">
        <f t="shared" si="9"/>
        <v>7.1300000000000002E-2</v>
      </c>
      <c r="H27" s="5">
        <f t="shared" si="9"/>
        <v>7.1300000000000002E-2</v>
      </c>
      <c r="I27" s="5">
        <f t="shared" si="9"/>
        <v>7.1300000000000002E-2</v>
      </c>
      <c r="J27" s="5">
        <f t="shared" si="9"/>
        <v>7.1300000000000002E-2</v>
      </c>
      <c r="K27" s="5">
        <f t="shared" si="9"/>
        <v>7.1300000000000002E-2</v>
      </c>
      <c r="L27" s="5">
        <f t="shared" si="9"/>
        <v>7.1300000000000002E-2</v>
      </c>
      <c r="M27" s="5">
        <f t="shared" si="9"/>
        <v>7.1300000000000002E-2</v>
      </c>
      <c r="N27" s="5">
        <v>0</v>
      </c>
    </row>
    <row r="28" spans="2:14" ht="15">
      <c r="B28" s="10" t="s">
        <v>69</v>
      </c>
      <c r="C28" s="10"/>
      <c r="D28" s="19">
        <v>0.25</v>
      </c>
    </row>
    <row r="29" spans="2:14" ht="15">
      <c r="B29" s="10" t="s">
        <v>70</v>
      </c>
      <c r="C29" s="10"/>
      <c r="D29" s="14">
        <v>400000</v>
      </c>
    </row>
    <row r="30" spans="2:14" ht="15">
      <c r="B30" s="10"/>
      <c r="C30" s="10"/>
    </row>
    <row r="31" spans="2:14" ht="15">
      <c r="B31" s="10" t="s">
        <v>73</v>
      </c>
      <c r="C31" s="10"/>
      <c r="D31" s="21">
        <v>2</v>
      </c>
      <c r="E31" s="21">
        <f t="shared" ref="E31:M31" si="10">D31*(1+$N31)</f>
        <v>2</v>
      </c>
      <c r="F31" s="21">
        <f t="shared" si="10"/>
        <v>2</v>
      </c>
      <c r="G31" s="21">
        <f t="shared" si="10"/>
        <v>2</v>
      </c>
      <c r="H31" s="21">
        <f t="shared" si="10"/>
        <v>2</v>
      </c>
      <c r="I31" s="21">
        <f t="shared" si="10"/>
        <v>2</v>
      </c>
      <c r="J31" s="21">
        <f t="shared" si="10"/>
        <v>2</v>
      </c>
      <c r="K31" s="21">
        <f t="shared" si="10"/>
        <v>2</v>
      </c>
      <c r="L31" s="21">
        <f t="shared" si="10"/>
        <v>2</v>
      </c>
      <c r="M31" s="21">
        <f t="shared" si="10"/>
        <v>2</v>
      </c>
      <c r="N31" s="5">
        <v>0</v>
      </c>
    </row>
    <row r="32" spans="2:14" ht="15">
      <c r="B32" s="10" t="s">
        <v>75</v>
      </c>
      <c r="C32" s="10"/>
      <c r="D32" s="21">
        <v>13</v>
      </c>
      <c r="E32" s="21">
        <f t="shared" ref="E32:M32" si="11">D32*(1+$N32)</f>
        <v>13</v>
      </c>
      <c r="F32" s="21">
        <f t="shared" si="11"/>
        <v>13</v>
      </c>
      <c r="G32" s="21">
        <f t="shared" si="11"/>
        <v>13</v>
      </c>
      <c r="H32" s="21">
        <f t="shared" si="11"/>
        <v>13</v>
      </c>
      <c r="I32" s="21">
        <f t="shared" si="11"/>
        <v>13</v>
      </c>
      <c r="J32" s="21">
        <f t="shared" si="11"/>
        <v>13</v>
      </c>
      <c r="K32" s="21">
        <f t="shared" si="11"/>
        <v>13</v>
      </c>
      <c r="L32" s="21">
        <f t="shared" si="11"/>
        <v>13</v>
      </c>
      <c r="M32" s="21">
        <f t="shared" si="11"/>
        <v>13</v>
      </c>
      <c r="N32" s="5">
        <v>0</v>
      </c>
    </row>
    <row r="33" spans="2:21" ht="15">
      <c r="B33" s="10" t="s">
        <v>83</v>
      </c>
      <c r="C33" s="10"/>
      <c r="D33" s="21">
        <v>3</v>
      </c>
      <c r="E33" s="21">
        <f t="shared" ref="E33:M33" si="12">D33*(1+$N33)</f>
        <v>3</v>
      </c>
      <c r="F33" s="21">
        <f t="shared" si="12"/>
        <v>3</v>
      </c>
      <c r="G33" s="21">
        <f t="shared" si="12"/>
        <v>3</v>
      </c>
      <c r="H33" s="21">
        <f t="shared" si="12"/>
        <v>3</v>
      </c>
      <c r="I33" s="21">
        <f t="shared" si="12"/>
        <v>3</v>
      </c>
      <c r="J33" s="21">
        <f t="shared" si="12"/>
        <v>3</v>
      </c>
      <c r="K33" s="21">
        <f t="shared" si="12"/>
        <v>3</v>
      </c>
      <c r="L33" s="21">
        <f t="shared" si="12"/>
        <v>3</v>
      </c>
      <c r="M33" s="21">
        <f t="shared" si="12"/>
        <v>3</v>
      </c>
      <c r="N33" s="5">
        <v>0</v>
      </c>
    </row>
    <row r="34" spans="2:21" ht="15">
      <c r="B34" s="10"/>
      <c r="C34" s="10"/>
    </row>
    <row r="35" spans="2:21" ht="15">
      <c r="B35" s="10" t="s">
        <v>85</v>
      </c>
      <c r="C35" s="10"/>
      <c r="D35" s="5">
        <v>0.42399999999999999</v>
      </c>
      <c r="E35" s="5">
        <f t="shared" ref="E35:M35" si="13">D35*(1+$N35)</f>
        <v>0.42399999999999999</v>
      </c>
      <c r="F35" s="5">
        <f t="shared" si="13"/>
        <v>0.42399999999999999</v>
      </c>
      <c r="G35" s="5">
        <f t="shared" si="13"/>
        <v>0.42399999999999999</v>
      </c>
      <c r="H35" s="5">
        <f t="shared" si="13"/>
        <v>0.42399999999999999</v>
      </c>
      <c r="I35" s="5">
        <f t="shared" si="13"/>
        <v>0.42399999999999999</v>
      </c>
      <c r="J35" s="5">
        <f t="shared" si="13"/>
        <v>0.42399999999999999</v>
      </c>
      <c r="K35" s="5">
        <f t="shared" si="13"/>
        <v>0.42399999999999999</v>
      </c>
      <c r="L35" s="5">
        <f t="shared" si="13"/>
        <v>0.42399999999999999</v>
      </c>
      <c r="M35" s="5">
        <f t="shared" si="13"/>
        <v>0.42399999999999999</v>
      </c>
      <c r="N35" s="5">
        <v>0</v>
      </c>
    </row>
    <row r="36" spans="2:21" ht="15">
      <c r="B36" s="10" t="s">
        <v>86</v>
      </c>
      <c r="C36" s="10"/>
      <c r="D36" s="2">
        <v>30</v>
      </c>
      <c r="E36">
        <f t="shared" ref="E36:M36" si="14">D36*(1+$N36)</f>
        <v>30</v>
      </c>
      <c r="F36">
        <f t="shared" si="14"/>
        <v>30</v>
      </c>
      <c r="G36">
        <f t="shared" si="14"/>
        <v>30</v>
      </c>
      <c r="H36">
        <f t="shared" si="14"/>
        <v>30</v>
      </c>
      <c r="I36">
        <f t="shared" si="14"/>
        <v>30</v>
      </c>
      <c r="J36">
        <f t="shared" si="14"/>
        <v>30</v>
      </c>
      <c r="K36">
        <f t="shared" si="14"/>
        <v>30</v>
      </c>
      <c r="L36">
        <f t="shared" si="14"/>
        <v>30</v>
      </c>
      <c r="M36">
        <f t="shared" si="14"/>
        <v>30</v>
      </c>
      <c r="N36" s="5">
        <v>0</v>
      </c>
    </row>
    <row r="37" spans="2:21" ht="15">
      <c r="B37" s="10" t="s">
        <v>89</v>
      </c>
      <c r="C37" s="10"/>
      <c r="D37" s="5">
        <v>0.01</v>
      </c>
      <c r="E37" s="5">
        <f t="shared" ref="E37:M37" si="15">D37*(1+$N37)</f>
        <v>0.01</v>
      </c>
      <c r="F37" s="5">
        <f t="shared" si="15"/>
        <v>0.01</v>
      </c>
      <c r="G37" s="5">
        <f t="shared" si="15"/>
        <v>0.01</v>
      </c>
      <c r="H37" s="5">
        <f t="shared" si="15"/>
        <v>0.01</v>
      </c>
      <c r="I37" s="5">
        <f t="shared" si="15"/>
        <v>0.01</v>
      </c>
      <c r="J37" s="5">
        <f t="shared" si="15"/>
        <v>0.01</v>
      </c>
      <c r="K37" s="5">
        <f t="shared" si="15"/>
        <v>0.01</v>
      </c>
      <c r="L37" s="5">
        <f t="shared" si="15"/>
        <v>0.01</v>
      </c>
      <c r="M37" s="5">
        <f t="shared" si="15"/>
        <v>0.01</v>
      </c>
      <c r="N37" s="5">
        <v>0</v>
      </c>
    </row>
    <row r="39" spans="2:21" ht="18.75">
      <c r="B39" s="7" t="s">
        <v>92</v>
      </c>
      <c r="C39" s="7"/>
      <c r="D39" s="6" t="s">
        <v>8</v>
      </c>
      <c r="E39" s="6" t="s">
        <v>9</v>
      </c>
      <c r="F39" s="6" t="s">
        <v>10</v>
      </c>
      <c r="G39" s="6" t="s">
        <v>11</v>
      </c>
      <c r="H39" s="6" t="s">
        <v>12</v>
      </c>
      <c r="I39" s="6" t="s">
        <v>13</v>
      </c>
      <c r="J39" s="6" t="s">
        <v>14</v>
      </c>
      <c r="K39" s="6" t="s">
        <v>15</v>
      </c>
      <c r="L39" s="6" t="s">
        <v>16</v>
      </c>
      <c r="M39" s="6" t="s">
        <v>17</v>
      </c>
    </row>
    <row r="40" spans="2:21" ht="15">
      <c r="B40" s="10" t="s">
        <v>93</v>
      </c>
      <c r="C40" s="10"/>
      <c r="D40" s="11">
        <f t="shared" ref="D40:M40" si="16">D5*D6/D7</f>
        <v>1827640</v>
      </c>
      <c r="E40" s="11">
        <f t="shared" si="16"/>
        <v>1860537.52</v>
      </c>
      <c r="F40" s="11">
        <f t="shared" si="16"/>
        <v>1894027.19536</v>
      </c>
      <c r="G40" s="11">
        <f t="shared" si="16"/>
        <v>1928119.6848764804</v>
      </c>
      <c r="H40" s="11">
        <f t="shared" si="16"/>
        <v>1962825.8392042569</v>
      </c>
      <c r="I40" s="11">
        <f t="shared" si="16"/>
        <v>1998156.7043099336</v>
      </c>
      <c r="J40" s="11">
        <f t="shared" si="16"/>
        <v>2034123.5249875125</v>
      </c>
      <c r="K40" s="11">
        <f t="shared" si="16"/>
        <v>2070737.7484372878</v>
      </c>
      <c r="L40" s="11">
        <f t="shared" si="16"/>
        <v>2108011.0279091587</v>
      </c>
      <c r="M40" s="11">
        <f t="shared" si="16"/>
        <v>2145955.2264115242</v>
      </c>
      <c r="O40" s="54">
        <f>AVERAGE(D40:M40)</f>
        <v>1983013.4471496153</v>
      </c>
    </row>
    <row r="41" spans="2:21" ht="15">
      <c r="B41" s="10" t="s">
        <v>96</v>
      </c>
      <c r="C41" s="10"/>
      <c r="D41" s="11">
        <f t="shared" ref="D41:M41" si="17">D40*D8</f>
        <v>895543.6</v>
      </c>
      <c r="E41" s="11">
        <f t="shared" si="17"/>
        <v>925338.33557199989</v>
      </c>
      <c r="F41" s="11">
        <f t="shared" si="17"/>
        <v>956124.34199648025</v>
      </c>
      <c r="G41" s="11">
        <f t="shared" si="17"/>
        <v>987934.59885470336</v>
      </c>
      <c r="H41" s="11">
        <f t="shared" si="17"/>
        <v>1020803.1829585992</v>
      </c>
      <c r="I41" s="11">
        <f t="shared" si="17"/>
        <v>1054765.3048556317</v>
      </c>
      <c r="J41" s="11">
        <f t="shared" si="17"/>
        <v>1089857.3465481785</v>
      </c>
      <c r="K41" s="11">
        <f t="shared" si="17"/>
        <v>1126116.9004678363</v>
      </c>
      <c r="L41" s="11">
        <f t="shared" si="17"/>
        <v>1163582.8097464009</v>
      </c>
      <c r="M41" s="11">
        <f t="shared" si="17"/>
        <v>1202295.2098266638</v>
      </c>
      <c r="N41" s="5"/>
      <c r="O41" s="5"/>
      <c r="P41" s="5"/>
      <c r="Q41" s="5"/>
      <c r="R41" s="5"/>
      <c r="S41" s="5"/>
      <c r="T41" s="5"/>
      <c r="U41" s="5"/>
    </row>
    <row r="42" spans="2:21" ht="15">
      <c r="B42" s="10" t="s">
        <v>98</v>
      </c>
      <c r="C42" s="10"/>
      <c r="D42" s="11">
        <f t="shared" ref="D42:M42" si="18">D40-D41</f>
        <v>932096.4</v>
      </c>
      <c r="E42" s="11">
        <f t="shared" si="18"/>
        <v>935199.18442800012</v>
      </c>
      <c r="F42" s="11">
        <f t="shared" si="18"/>
        <v>937902.85336351977</v>
      </c>
      <c r="G42" s="11">
        <f t="shared" si="18"/>
        <v>940185.08602177701</v>
      </c>
      <c r="H42" s="11">
        <f t="shared" si="18"/>
        <v>942022.65624565771</v>
      </c>
      <c r="I42" s="11">
        <f t="shared" si="18"/>
        <v>943391.39945430192</v>
      </c>
      <c r="J42" s="11">
        <f t="shared" si="18"/>
        <v>944266.17843933403</v>
      </c>
      <c r="K42" s="11">
        <f t="shared" si="18"/>
        <v>944620.84796945145</v>
      </c>
      <c r="L42" s="11">
        <f t="shared" si="18"/>
        <v>944428.21816275781</v>
      </c>
      <c r="M42" s="11">
        <f t="shared" si="18"/>
        <v>943660.01658486039</v>
      </c>
      <c r="O42" s="55" t="s">
        <v>292</v>
      </c>
    </row>
    <row r="43" spans="2:21" ht="15">
      <c r="B43" s="10"/>
      <c r="C43" s="10"/>
    </row>
    <row r="44" spans="2:21" ht="15">
      <c r="B44" s="10" t="s">
        <v>102</v>
      </c>
      <c r="C44" s="10"/>
    </row>
    <row r="45" spans="2:21" ht="15">
      <c r="B45" s="10" t="s">
        <v>103</v>
      </c>
      <c r="C45" s="10"/>
      <c r="D45" s="11">
        <f t="shared" ref="D45:M45" si="19">D11*D12</f>
        <v>435000</v>
      </c>
      <c r="E45" s="11">
        <f t="shared" si="19"/>
        <v>443700</v>
      </c>
      <c r="F45" s="11">
        <f t="shared" si="19"/>
        <v>452574</v>
      </c>
      <c r="G45" s="11">
        <f t="shared" si="19"/>
        <v>461625.48000000004</v>
      </c>
      <c r="H45" s="11">
        <f t="shared" si="19"/>
        <v>470857.98960000003</v>
      </c>
      <c r="I45" s="11">
        <f t="shared" si="19"/>
        <v>480275.14939200005</v>
      </c>
      <c r="J45" s="11">
        <f t="shared" si="19"/>
        <v>489880.65237984009</v>
      </c>
      <c r="K45" s="11">
        <f t="shared" si="19"/>
        <v>499678.26542743691</v>
      </c>
      <c r="L45" s="11">
        <f t="shared" si="19"/>
        <v>509671.83073598566</v>
      </c>
      <c r="M45" s="11">
        <f t="shared" si="19"/>
        <v>519865.2673507054</v>
      </c>
    </row>
    <row r="46" spans="2:21" ht="15">
      <c r="B46" s="10" t="s">
        <v>106</v>
      </c>
      <c r="C46" s="10"/>
      <c r="D46" s="11">
        <f t="shared" ref="D46:M46" si="20">D9*D40</f>
        <v>54829.2</v>
      </c>
      <c r="E46" s="11">
        <f t="shared" si="20"/>
        <v>55816.125599999999</v>
      </c>
      <c r="F46" s="11">
        <f t="shared" si="20"/>
        <v>56820.815860800001</v>
      </c>
      <c r="G46" s="11">
        <f t="shared" si="20"/>
        <v>57843.590546294407</v>
      </c>
      <c r="H46" s="11">
        <f t="shared" si="20"/>
        <v>58884.775176127703</v>
      </c>
      <c r="I46" s="11">
        <f t="shared" si="20"/>
        <v>59944.701129298002</v>
      </c>
      <c r="J46" s="11">
        <f t="shared" si="20"/>
        <v>61023.705749625369</v>
      </c>
      <c r="K46" s="11">
        <f t="shared" si="20"/>
        <v>62122.132453118633</v>
      </c>
      <c r="L46" s="11">
        <f t="shared" si="20"/>
        <v>63240.330837274756</v>
      </c>
      <c r="M46" s="11">
        <f t="shared" si="20"/>
        <v>64378.656792345726</v>
      </c>
    </row>
    <row r="47" spans="2:21" ht="15">
      <c r="B47" s="10" t="s">
        <v>109</v>
      </c>
      <c r="C47" s="10"/>
      <c r="D47" s="11">
        <f t="shared" ref="D47:M47" si="21">D72*D20</f>
        <v>55125</v>
      </c>
      <c r="E47" s="11">
        <f t="shared" si="21"/>
        <v>56778.750000000007</v>
      </c>
      <c r="F47" s="11">
        <f t="shared" si="21"/>
        <v>58482.11250000001</v>
      </c>
      <c r="G47" s="11">
        <f t="shared" si="21"/>
        <v>60236.57587500001</v>
      </c>
      <c r="H47" s="11">
        <f t="shared" si="21"/>
        <v>62043.673151250012</v>
      </c>
      <c r="I47" s="11">
        <f t="shared" si="21"/>
        <v>63904.983345787507</v>
      </c>
      <c r="J47" s="11">
        <f t="shared" si="21"/>
        <v>65822.132846161141</v>
      </c>
      <c r="K47" s="11">
        <f t="shared" si="21"/>
        <v>67796.796831545973</v>
      </c>
      <c r="L47" s="11">
        <f t="shared" si="21"/>
        <v>69830.700736492363</v>
      </c>
      <c r="M47" s="11">
        <f t="shared" si="21"/>
        <v>71925.621758587135</v>
      </c>
    </row>
    <row r="48" spans="2:21" ht="15">
      <c r="B48" s="10" t="s">
        <v>112</v>
      </c>
      <c r="C48" s="10"/>
      <c r="D48" s="11">
        <f t="shared" ref="D48:M48" si="22">$D21*$D17</f>
        <v>1050</v>
      </c>
      <c r="E48" s="11">
        <f t="shared" si="22"/>
        <v>1050</v>
      </c>
      <c r="F48" s="11">
        <f t="shared" si="22"/>
        <v>1050</v>
      </c>
      <c r="G48" s="11">
        <f t="shared" si="22"/>
        <v>1050</v>
      </c>
      <c r="H48" s="11">
        <f t="shared" si="22"/>
        <v>1050</v>
      </c>
      <c r="I48" s="11">
        <f t="shared" si="22"/>
        <v>1050</v>
      </c>
      <c r="J48" s="11">
        <f t="shared" si="22"/>
        <v>1050</v>
      </c>
      <c r="K48" s="11">
        <f t="shared" si="22"/>
        <v>1050</v>
      </c>
      <c r="L48" s="11">
        <f t="shared" si="22"/>
        <v>1050</v>
      </c>
      <c r="M48" s="11">
        <f t="shared" si="22"/>
        <v>1050</v>
      </c>
    </row>
    <row r="49" spans="2:15" ht="15">
      <c r="B49" s="10" t="s">
        <v>114</v>
      </c>
      <c r="C49" s="10"/>
      <c r="D49" s="11">
        <f t="shared" ref="D49:M49" si="23">D72/D36</f>
        <v>73500</v>
      </c>
      <c r="E49" s="11">
        <f t="shared" si="23"/>
        <v>73500</v>
      </c>
      <c r="F49" s="11">
        <f t="shared" si="23"/>
        <v>73500</v>
      </c>
      <c r="G49" s="11">
        <f t="shared" si="23"/>
        <v>73500</v>
      </c>
      <c r="H49" s="11">
        <f t="shared" si="23"/>
        <v>73500</v>
      </c>
      <c r="I49" s="11">
        <f t="shared" si="23"/>
        <v>73500</v>
      </c>
      <c r="J49" s="11">
        <f t="shared" si="23"/>
        <v>73500</v>
      </c>
      <c r="K49" s="11">
        <f t="shared" si="23"/>
        <v>73500</v>
      </c>
      <c r="L49" s="11">
        <f t="shared" si="23"/>
        <v>73500</v>
      </c>
      <c r="M49" s="11">
        <f t="shared" si="23"/>
        <v>73500</v>
      </c>
    </row>
    <row r="50" spans="2:15" ht="15">
      <c r="B50" s="10" t="s">
        <v>115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5" ht="15">
      <c r="B51" s="10" t="s">
        <v>116</v>
      </c>
      <c r="C51" s="10"/>
      <c r="D51" s="11">
        <f t="shared" ref="D51:M51" si="24">SUM(D45:D50)</f>
        <v>619504.19999999995</v>
      </c>
      <c r="E51" s="11">
        <f t="shared" si="24"/>
        <v>630844.87560000003</v>
      </c>
      <c r="F51" s="11">
        <f t="shared" si="24"/>
        <v>642426.92836080003</v>
      </c>
      <c r="G51" s="11">
        <f t="shared" si="24"/>
        <v>654255.64642129443</v>
      </c>
      <c r="H51" s="11">
        <f t="shared" si="24"/>
        <v>666336.43792737776</v>
      </c>
      <c r="I51" s="11">
        <f t="shared" si="24"/>
        <v>678674.83386708552</v>
      </c>
      <c r="J51" s="11">
        <f t="shared" si="24"/>
        <v>691276.49097562663</v>
      </c>
      <c r="K51" s="11">
        <f t="shared" si="24"/>
        <v>704147.1947121016</v>
      </c>
      <c r="L51" s="11">
        <f t="shared" si="24"/>
        <v>717292.86230975285</v>
      </c>
      <c r="M51" s="11">
        <f t="shared" si="24"/>
        <v>730719.54590163822</v>
      </c>
    </row>
    <row r="52" spans="2:15" ht="15">
      <c r="B52" s="10"/>
      <c r="C52" s="10"/>
    </row>
    <row r="53" spans="2:15" ht="15">
      <c r="B53" s="10" t="s">
        <v>119</v>
      </c>
      <c r="C53" s="10"/>
      <c r="D53" s="11">
        <f t="shared" ref="D53:M53" si="25">D42-D51</f>
        <v>312592.20000000007</v>
      </c>
      <c r="E53" s="11">
        <f t="shared" si="25"/>
        <v>304354.3088280001</v>
      </c>
      <c r="F53" s="11">
        <f t="shared" si="25"/>
        <v>295475.92500271974</v>
      </c>
      <c r="G53" s="11">
        <f t="shared" si="25"/>
        <v>285929.43960048258</v>
      </c>
      <c r="H53" s="11">
        <f t="shared" si="25"/>
        <v>275686.21831827995</v>
      </c>
      <c r="I53" s="11">
        <f t="shared" si="25"/>
        <v>264716.56558721641</v>
      </c>
      <c r="J53" s="11">
        <f t="shared" si="25"/>
        <v>252989.68746370741</v>
      </c>
      <c r="K53" s="11">
        <f t="shared" si="25"/>
        <v>240473.65325734986</v>
      </c>
      <c r="L53" s="11">
        <f t="shared" si="25"/>
        <v>227135.35585300496</v>
      </c>
      <c r="M53" s="11">
        <f t="shared" si="25"/>
        <v>212940.47068322217</v>
      </c>
    </row>
    <row r="54" spans="2:15" ht="15">
      <c r="B54" s="10"/>
      <c r="C54" s="10"/>
    </row>
    <row r="55" spans="2:15" ht="15">
      <c r="B55" s="10" t="s">
        <v>123</v>
      </c>
      <c r="C55" s="10"/>
      <c r="D55" s="11">
        <f>'Ammoitization Table'!D14</f>
        <v>49171.842899024021</v>
      </c>
      <c r="E55" s="11">
        <f>'Ammoitization Table'!D28</f>
        <v>48302.265374893468</v>
      </c>
      <c r="F55" s="11">
        <f>'Ammoitization Table'!D42</f>
        <v>47396.086625709737</v>
      </c>
      <c r="G55" s="11">
        <f>'Ammoitization Table'!D56</f>
        <v>46451.766076149535</v>
      </c>
      <c r="H55" s="11">
        <f>'Ammoitization Table'!D70</f>
        <v>45467.698306821505</v>
      </c>
      <c r="I55" s="11">
        <f>'Ammoitization Table'!D84</f>
        <v>44442.21032492676</v>
      </c>
      <c r="J55" s="11">
        <f>'Ammoitization Table'!D98</f>
        <v>43373.558720039153</v>
      </c>
      <c r="K55" s="11">
        <f>'Ammoitization Table'!D112</f>
        <v>42259.926700170108</v>
      </c>
      <c r="L55" s="11">
        <f>'Ammoitization Table'!D126</f>
        <v>41099.421003079027</v>
      </c>
      <c r="M55" s="11">
        <f>'Ammoitization Table'!D140</f>
        <v>39890.068677578172</v>
      </c>
    </row>
    <row r="56" spans="2:15" ht="15">
      <c r="B56" s="10" t="s">
        <v>125</v>
      </c>
      <c r="C56" s="10"/>
      <c r="D56" s="11">
        <f t="shared" ref="D56:M56" si="26">D86*D27</f>
        <v>27546.376323572262</v>
      </c>
      <c r="E56" s="11">
        <f t="shared" si="26"/>
        <v>13668.363505841407</v>
      </c>
      <c r="F56" s="11">
        <f t="shared" si="26"/>
        <v>0</v>
      </c>
      <c r="G56" s="11">
        <f t="shared" si="26"/>
        <v>0</v>
      </c>
      <c r="H56" s="11">
        <f t="shared" si="26"/>
        <v>0</v>
      </c>
      <c r="I56" s="11">
        <f t="shared" si="26"/>
        <v>0</v>
      </c>
      <c r="J56" s="11">
        <f t="shared" si="26"/>
        <v>0</v>
      </c>
      <c r="K56" s="11">
        <f t="shared" si="26"/>
        <v>0</v>
      </c>
      <c r="L56" s="11">
        <f t="shared" si="26"/>
        <v>0</v>
      </c>
      <c r="M56" s="11">
        <f t="shared" si="26"/>
        <v>0</v>
      </c>
    </row>
    <row r="57" spans="2:15" ht="15">
      <c r="B57" s="10"/>
      <c r="C57" s="10"/>
    </row>
    <row r="58" spans="2:15" ht="15">
      <c r="B58" s="10" t="s">
        <v>126</v>
      </c>
      <c r="C58" s="10"/>
      <c r="D58" s="11">
        <f t="shared" ref="D58:M58" si="27">D53-D55-D56</f>
        <v>235873.98077740378</v>
      </c>
      <c r="E58" s="11">
        <f t="shared" si="27"/>
        <v>242383.67994726522</v>
      </c>
      <c r="F58" s="11">
        <f t="shared" si="27"/>
        <v>248079.83837701002</v>
      </c>
      <c r="G58" s="11">
        <f t="shared" si="27"/>
        <v>239477.67352433305</v>
      </c>
      <c r="H58" s="11">
        <f t="shared" si="27"/>
        <v>230218.52001145843</v>
      </c>
      <c r="I58" s="11">
        <f t="shared" si="27"/>
        <v>220274.35526228964</v>
      </c>
      <c r="J58" s="11">
        <f t="shared" si="27"/>
        <v>209616.12874366826</v>
      </c>
      <c r="K58" s="11">
        <f t="shared" si="27"/>
        <v>198213.72655717976</v>
      </c>
      <c r="L58" s="11">
        <f t="shared" si="27"/>
        <v>186035.93484992592</v>
      </c>
      <c r="M58" s="11">
        <f t="shared" si="27"/>
        <v>173050.40200564399</v>
      </c>
    </row>
    <row r="59" spans="2:15" ht="15">
      <c r="B59" s="10" t="s">
        <v>130</v>
      </c>
      <c r="C59" s="10"/>
      <c r="D59" s="11">
        <f t="shared" ref="D59:M59" si="28">D58*D35</f>
        <v>100010.5678496192</v>
      </c>
      <c r="E59" s="11">
        <f t="shared" si="28"/>
        <v>102770.68029764044</v>
      </c>
      <c r="F59" s="11">
        <f t="shared" si="28"/>
        <v>105185.85147185225</v>
      </c>
      <c r="G59" s="11">
        <f t="shared" si="28"/>
        <v>101538.5335743172</v>
      </c>
      <c r="H59" s="11">
        <f t="shared" si="28"/>
        <v>97612.652484858365</v>
      </c>
      <c r="I59" s="11">
        <f t="shared" si="28"/>
        <v>93396.326631210803</v>
      </c>
      <c r="J59" s="11">
        <f t="shared" si="28"/>
        <v>88877.23858731534</v>
      </c>
      <c r="K59" s="11">
        <f t="shared" si="28"/>
        <v>84042.620060244211</v>
      </c>
      <c r="L59" s="11">
        <f t="shared" si="28"/>
        <v>78879.236376368586</v>
      </c>
      <c r="M59" s="11">
        <f t="shared" si="28"/>
        <v>73373.370450393049</v>
      </c>
    </row>
    <row r="60" spans="2:15" ht="15">
      <c r="B60" s="10" t="s">
        <v>136</v>
      </c>
      <c r="C60" s="10"/>
      <c r="D60" s="11">
        <f t="shared" ref="D60:M60" si="29">D58-D59</f>
        <v>135863.41292778458</v>
      </c>
      <c r="E60" s="11">
        <f t="shared" si="29"/>
        <v>139612.99964962478</v>
      </c>
      <c r="F60" s="11">
        <f t="shared" si="29"/>
        <v>142893.98690515777</v>
      </c>
      <c r="G60" s="11">
        <f t="shared" si="29"/>
        <v>137939.13995001584</v>
      </c>
      <c r="H60" s="11">
        <f t="shared" si="29"/>
        <v>132605.86752660008</v>
      </c>
      <c r="I60" s="11">
        <f t="shared" si="29"/>
        <v>126878.02863107884</v>
      </c>
      <c r="J60" s="11">
        <f t="shared" si="29"/>
        <v>120738.89015635292</v>
      </c>
      <c r="K60" s="11">
        <f t="shared" si="29"/>
        <v>114171.10649693555</v>
      </c>
      <c r="L60" s="11">
        <f t="shared" si="29"/>
        <v>107156.69847355734</v>
      </c>
      <c r="M60" s="11">
        <f t="shared" si="29"/>
        <v>99677.031555250942</v>
      </c>
      <c r="O60" s="54"/>
    </row>
    <row r="61" spans="2:15" ht="15">
      <c r="B61" s="10"/>
      <c r="C61" s="10"/>
    </row>
    <row r="62" spans="2:15" ht="18.75">
      <c r="B62" s="7" t="s">
        <v>145</v>
      </c>
      <c r="C62" s="7"/>
    </row>
    <row r="63" spans="2:15" ht="15">
      <c r="B63" s="10" t="s">
        <v>147</v>
      </c>
      <c r="C63" s="10"/>
    </row>
    <row r="64" spans="2:15" ht="15">
      <c r="B64" s="10" t="s">
        <v>148</v>
      </c>
      <c r="C64" s="10"/>
    </row>
    <row r="65" spans="2:13" ht="15">
      <c r="B65" s="10" t="s">
        <v>149</v>
      </c>
      <c r="C65" s="10"/>
      <c r="D65" s="11">
        <f t="shared" ref="D65:M65" si="30">D40*D37</f>
        <v>18276.400000000001</v>
      </c>
      <c r="E65" s="11">
        <f t="shared" si="30"/>
        <v>18605.375200000002</v>
      </c>
      <c r="F65" s="11">
        <f t="shared" si="30"/>
        <v>18940.2719536</v>
      </c>
      <c r="G65" s="11">
        <f t="shared" si="30"/>
        <v>19281.196848764805</v>
      </c>
      <c r="H65" s="11">
        <f t="shared" si="30"/>
        <v>19628.258392042568</v>
      </c>
      <c r="I65" s="11">
        <f t="shared" si="30"/>
        <v>19981.567043099338</v>
      </c>
      <c r="J65" s="11">
        <f t="shared" si="30"/>
        <v>20341.235249875124</v>
      </c>
      <c r="K65" s="11">
        <f t="shared" si="30"/>
        <v>20707.377484372879</v>
      </c>
      <c r="L65" s="11">
        <f t="shared" si="30"/>
        <v>21080.110279091587</v>
      </c>
      <c r="M65" s="11">
        <f t="shared" si="30"/>
        <v>21459.552264115242</v>
      </c>
    </row>
    <row r="66" spans="2:13" ht="15">
      <c r="B66" s="10" t="s">
        <v>153</v>
      </c>
      <c r="C66" s="10"/>
      <c r="D66" s="11"/>
      <c r="E66" s="11"/>
      <c r="F66" s="11">
        <v>4989</v>
      </c>
      <c r="G66" s="11">
        <v>189739</v>
      </c>
      <c r="H66" s="11">
        <v>367914</v>
      </c>
      <c r="I66" s="11">
        <v>539066</v>
      </c>
      <c r="J66" s="11">
        <v>702730</v>
      </c>
      <c r="K66" s="11">
        <v>858421</v>
      </c>
      <c r="L66" s="11">
        <v>1005632</v>
      </c>
      <c r="M66" s="11"/>
    </row>
    <row r="67" spans="2:13" ht="15">
      <c r="B67" s="10" t="s">
        <v>154</v>
      </c>
      <c r="C67" s="10"/>
      <c r="D67" s="11">
        <f t="shared" ref="D67:M67" si="31">(D40/365)*D33</f>
        <v>15021.698630136987</v>
      </c>
      <c r="E67" s="11">
        <f t="shared" si="31"/>
        <v>15292.089205479451</v>
      </c>
      <c r="F67" s="11">
        <f t="shared" si="31"/>
        <v>15567.346811178082</v>
      </c>
      <c r="G67" s="11">
        <f t="shared" si="31"/>
        <v>15847.55905377929</v>
      </c>
      <c r="H67" s="11">
        <f t="shared" si="31"/>
        <v>16132.815116747319</v>
      </c>
      <c r="I67" s="11">
        <f t="shared" si="31"/>
        <v>16423.205788848769</v>
      </c>
      <c r="J67" s="11">
        <f t="shared" si="31"/>
        <v>16718.823493048047</v>
      </c>
      <c r="K67" s="11">
        <f t="shared" si="31"/>
        <v>17019.762315922912</v>
      </c>
      <c r="L67" s="11">
        <f t="shared" si="31"/>
        <v>17326.118037609525</v>
      </c>
      <c r="M67" s="11">
        <f t="shared" si="31"/>
        <v>17637.9881622865</v>
      </c>
    </row>
    <row r="68" spans="2:13" ht="15">
      <c r="B68" s="10" t="s">
        <v>164</v>
      </c>
      <c r="C68" s="10"/>
      <c r="D68" s="11">
        <f t="shared" ref="D68:M68" si="32">(D41/365)*D31</f>
        <v>4907.088219178082</v>
      </c>
      <c r="E68" s="11">
        <f t="shared" si="32"/>
        <v>5070.3470442301368</v>
      </c>
      <c r="F68" s="11">
        <f t="shared" si="32"/>
        <v>5239.0374903916727</v>
      </c>
      <c r="G68" s="11">
        <f t="shared" si="32"/>
        <v>5413.3402676970045</v>
      </c>
      <c r="H68" s="11">
        <f t="shared" si="32"/>
        <v>5593.4420984032831</v>
      </c>
      <c r="I68" s="11">
        <f t="shared" si="32"/>
        <v>5779.5359170171596</v>
      </c>
      <c r="J68" s="11">
        <f t="shared" si="32"/>
        <v>5971.82107697632</v>
      </c>
      <c r="K68" s="11">
        <f t="shared" si="32"/>
        <v>6170.5035642073226</v>
      </c>
      <c r="L68" s="11">
        <f t="shared" si="32"/>
        <v>6375.7962177884983</v>
      </c>
      <c r="M68" s="11">
        <f t="shared" si="32"/>
        <v>6587.9189579543227</v>
      </c>
    </row>
    <row r="69" spans="2:13" ht="15">
      <c r="B69" s="10" t="s">
        <v>169</v>
      </c>
      <c r="C69" s="10"/>
      <c r="D69" s="11">
        <f t="shared" ref="D69:M69" si="33">SUM(D65:D68)</f>
        <v>38205.186849315069</v>
      </c>
      <c r="E69" s="11">
        <f t="shared" si="33"/>
        <v>38967.811449709596</v>
      </c>
      <c r="F69" s="11">
        <f t="shared" si="33"/>
        <v>44735.656255169757</v>
      </c>
      <c r="G69" s="11">
        <f t="shared" si="33"/>
        <v>230281.0961702411</v>
      </c>
      <c r="H69" s="11">
        <f t="shared" si="33"/>
        <v>409268.51560719323</v>
      </c>
      <c r="I69" s="11">
        <f t="shared" si="33"/>
        <v>581250.30874896527</v>
      </c>
      <c r="J69" s="11">
        <f t="shared" si="33"/>
        <v>745761.87981989956</v>
      </c>
      <c r="K69" s="11">
        <f t="shared" si="33"/>
        <v>902318.64336450316</v>
      </c>
      <c r="L69" s="11">
        <f t="shared" si="33"/>
        <v>1050414.0245344897</v>
      </c>
      <c r="M69" s="11">
        <f t="shared" si="33"/>
        <v>45685.459384356065</v>
      </c>
    </row>
    <row r="70" spans="2:13" ht="15">
      <c r="B70" s="10"/>
      <c r="C70" s="10"/>
    </row>
    <row r="71" spans="2:13" ht="15">
      <c r="B71" s="10" t="s">
        <v>189</v>
      </c>
      <c r="C71" s="10"/>
      <c r="D71" s="11">
        <f>D14*D15</f>
        <v>63750</v>
      </c>
      <c r="E71" s="11">
        <f t="shared" ref="E71:M71" si="34">D71</f>
        <v>63750</v>
      </c>
      <c r="F71" s="11">
        <f t="shared" si="34"/>
        <v>63750</v>
      </c>
      <c r="G71" s="11">
        <f t="shared" si="34"/>
        <v>63750</v>
      </c>
      <c r="H71" s="11">
        <f t="shared" si="34"/>
        <v>63750</v>
      </c>
      <c r="I71" s="11">
        <f t="shared" si="34"/>
        <v>63750</v>
      </c>
      <c r="J71" s="11">
        <f t="shared" si="34"/>
        <v>63750</v>
      </c>
      <c r="K71" s="11">
        <f t="shared" si="34"/>
        <v>63750</v>
      </c>
      <c r="L71" s="11">
        <f t="shared" si="34"/>
        <v>63750</v>
      </c>
      <c r="M71" s="11">
        <f t="shared" si="34"/>
        <v>63750</v>
      </c>
    </row>
    <row r="72" spans="2:13" ht="15">
      <c r="B72" s="10" t="s">
        <v>199</v>
      </c>
      <c r="C72" s="10"/>
      <c r="D72" s="11">
        <f>D16*D17</f>
        <v>2205000</v>
      </c>
      <c r="E72" s="11">
        <f t="shared" ref="E72:M72" si="35">D72</f>
        <v>2205000</v>
      </c>
      <c r="F72" s="11">
        <f t="shared" si="35"/>
        <v>2205000</v>
      </c>
      <c r="G72" s="11">
        <f t="shared" si="35"/>
        <v>2205000</v>
      </c>
      <c r="H72" s="11">
        <f t="shared" si="35"/>
        <v>2205000</v>
      </c>
      <c r="I72" s="11">
        <f t="shared" si="35"/>
        <v>2205000</v>
      </c>
      <c r="J72" s="11">
        <f t="shared" si="35"/>
        <v>2205000</v>
      </c>
      <c r="K72" s="11">
        <f t="shared" si="35"/>
        <v>2205000</v>
      </c>
      <c r="L72" s="11">
        <f t="shared" si="35"/>
        <v>2205000</v>
      </c>
      <c r="M72" s="11">
        <f t="shared" si="35"/>
        <v>2205000</v>
      </c>
    </row>
    <row r="73" spans="2:13" ht="15">
      <c r="B73" s="10" t="s">
        <v>210</v>
      </c>
      <c r="C73" s="10"/>
    </row>
    <row r="74" spans="2:13" ht="15">
      <c r="B74" s="10" t="s">
        <v>212</v>
      </c>
      <c r="C74" s="10"/>
      <c r="D74" s="11">
        <f>D49</f>
        <v>73500</v>
      </c>
      <c r="E74" s="11">
        <f t="shared" ref="E74:M74" si="36">D74+E49</f>
        <v>147000</v>
      </c>
      <c r="F74" s="11">
        <f t="shared" si="36"/>
        <v>220500</v>
      </c>
      <c r="G74" s="11">
        <f t="shared" si="36"/>
        <v>294000</v>
      </c>
      <c r="H74" s="11">
        <f t="shared" si="36"/>
        <v>367500</v>
      </c>
      <c r="I74" s="11">
        <f t="shared" si="36"/>
        <v>441000</v>
      </c>
      <c r="J74" s="11">
        <f t="shared" si="36"/>
        <v>514500</v>
      </c>
      <c r="K74" s="11">
        <f t="shared" si="36"/>
        <v>588000</v>
      </c>
      <c r="L74" s="11">
        <f t="shared" si="36"/>
        <v>661500</v>
      </c>
      <c r="M74" s="11">
        <f t="shared" si="36"/>
        <v>735000</v>
      </c>
    </row>
    <row r="75" spans="2:13" ht="15">
      <c r="B75" s="10"/>
      <c r="C75" s="10"/>
    </row>
    <row r="76" spans="2:13" ht="15">
      <c r="B76" s="10" t="s">
        <v>177</v>
      </c>
      <c r="C76" s="10"/>
      <c r="D76" s="11">
        <f>D69+D71+D72+D73-D74</f>
        <v>2233455.1868493152</v>
      </c>
      <c r="E76" s="11">
        <f t="shared" ref="E76:M76" si="37">E69+E71+E72-E74</f>
        <v>2160717.8114497098</v>
      </c>
      <c r="F76" s="11">
        <f t="shared" si="37"/>
        <v>2092985.6562551698</v>
      </c>
      <c r="G76" s="11">
        <f t="shared" si="37"/>
        <v>2205031.096170241</v>
      </c>
      <c r="H76" s="11">
        <f t="shared" si="37"/>
        <v>2310518.5156071931</v>
      </c>
      <c r="I76" s="11">
        <f t="shared" si="37"/>
        <v>2409000.3087489652</v>
      </c>
      <c r="J76" s="11">
        <f t="shared" si="37"/>
        <v>2500011.8798198998</v>
      </c>
      <c r="K76" s="11">
        <f t="shared" si="37"/>
        <v>2583068.643364503</v>
      </c>
      <c r="L76" s="11">
        <f t="shared" si="37"/>
        <v>2657664.02453449</v>
      </c>
      <c r="M76" s="11">
        <f t="shared" si="37"/>
        <v>1579435.4593843562</v>
      </c>
    </row>
    <row r="77" spans="2:13" ht="15">
      <c r="B77" s="10"/>
      <c r="C77" s="10"/>
    </row>
    <row r="78" spans="2:13" ht="15">
      <c r="B78" s="10" t="s">
        <v>225</v>
      </c>
      <c r="C78" s="10"/>
    </row>
    <row r="79" spans="2:13" ht="15">
      <c r="B79" s="10" t="s">
        <v>178</v>
      </c>
      <c r="C79" s="10"/>
    </row>
    <row r="80" spans="2:13" ht="15">
      <c r="B80" s="10" t="s">
        <v>226</v>
      </c>
      <c r="C80" s="10"/>
      <c r="D80" s="11">
        <f t="shared" ref="D80:M80" si="38">(D41/365)*D32</f>
        <v>31896.073424657534</v>
      </c>
      <c r="E80" s="11">
        <f t="shared" si="38"/>
        <v>32957.255787495887</v>
      </c>
      <c r="F80" s="11">
        <f t="shared" si="38"/>
        <v>34053.743687545873</v>
      </c>
      <c r="G80" s="11">
        <f t="shared" si="38"/>
        <v>35186.711740030529</v>
      </c>
      <c r="H80" s="11">
        <f t="shared" si="38"/>
        <v>36357.373639621343</v>
      </c>
      <c r="I80" s="11">
        <f t="shared" si="38"/>
        <v>37566.98346061154</v>
      </c>
      <c r="J80" s="11">
        <f t="shared" si="38"/>
        <v>38816.83700034608</v>
      </c>
      <c r="K80" s="11">
        <f t="shared" si="38"/>
        <v>40108.273167347594</v>
      </c>
      <c r="L80" s="11">
        <f t="shared" si="38"/>
        <v>41442.675415625243</v>
      </c>
      <c r="M80" s="11">
        <f t="shared" si="38"/>
        <v>42821.473226703099</v>
      </c>
    </row>
    <row r="81" spans="2:20" ht="15">
      <c r="B81" s="10" t="s">
        <v>227</v>
      </c>
      <c r="C81" s="10"/>
      <c r="D81" s="11">
        <f t="shared" ref="D81:M81" si="39">D59</f>
        <v>100010.5678496192</v>
      </c>
      <c r="E81" s="11">
        <f t="shared" si="39"/>
        <v>102770.68029764044</v>
      </c>
      <c r="F81" s="11">
        <f t="shared" si="39"/>
        <v>105185.85147185225</v>
      </c>
      <c r="G81" s="11">
        <f t="shared" si="39"/>
        <v>101538.5335743172</v>
      </c>
      <c r="H81" s="11">
        <f t="shared" si="39"/>
        <v>97612.652484858365</v>
      </c>
      <c r="I81" s="11">
        <f t="shared" si="39"/>
        <v>93396.326631210803</v>
      </c>
      <c r="J81" s="11">
        <f t="shared" si="39"/>
        <v>88877.23858731534</v>
      </c>
      <c r="K81" s="11">
        <f t="shared" si="39"/>
        <v>84042.620060244211</v>
      </c>
      <c r="L81" s="11">
        <f t="shared" si="39"/>
        <v>78879.236376368586</v>
      </c>
      <c r="M81" s="11">
        <f t="shared" si="39"/>
        <v>73373.370450393049</v>
      </c>
    </row>
    <row r="82" spans="2:20" ht="15">
      <c r="B82" s="10" t="s">
        <v>182</v>
      </c>
      <c r="C82" s="10"/>
      <c r="D82" s="11">
        <f t="shared" ref="D82:M82" si="40">SUM(D80:D81)</f>
        <v>131906.64127427674</v>
      </c>
      <c r="E82" s="11">
        <f t="shared" si="40"/>
        <v>135727.93608513632</v>
      </c>
      <c r="F82" s="11">
        <f t="shared" si="40"/>
        <v>139239.59515939813</v>
      </c>
      <c r="G82" s="11">
        <f t="shared" si="40"/>
        <v>136725.24531434773</v>
      </c>
      <c r="H82" s="11">
        <f t="shared" si="40"/>
        <v>133970.02612447971</v>
      </c>
      <c r="I82" s="11">
        <f t="shared" si="40"/>
        <v>130963.31009182235</v>
      </c>
      <c r="J82" s="11">
        <f t="shared" si="40"/>
        <v>127694.07558766141</v>
      </c>
      <c r="K82" s="11">
        <f t="shared" si="40"/>
        <v>124150.89322759181</v>
      </c>
      <c r="L82" s="11">
        <f t="shared" si="40"/>
        <v>120321.91179199383</v>
      </c>
      <c r="M82" s="11">
        <f t="shared" si="40"/>
        <v>116194.84367709616</v>
      </c>
    </row>
    <row r="83" spans="2:20" ht="15">
      <c r="B83" s="10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2:20" ht="15">
      <c r="B84" s="10" t="s">
        <v>228</v>
      </c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2:20" ht="15">
      <c r="B85" s="10" t="s">
        <v>229</v>
      </c>
      <c r="C85" s="10"/>
      <c r="D85" s="11">
        <f>'Ammoitization Table'!F13</f>
        <v>1179340.4436770964</v>
      </c>
      <c r="E85" s="11">
        <f>'Ammoitization Table'!F27</f>
        <v>1157811.3098300621</v>
      </c>
      <c r="F85" s="11">
        <f>'Ammoitization Table'!F41</f>
        <v>1135375.9972338444</v>
      </c>
      <c r="G85" s="11">
        <f>'Ammoitization Table'!F55</f>
        <v>1111996.3640880662</v>
      </c>
      <c r="H85" s="11">
        <f>'Ammoitization Table'!F69</f>
        <v>1087632.6631729603</v>
      </c>
      <c r="I85" s="11">
        <f>'Ammoitization Table'!F83</f>
        <v>1062243.4742759599</v>
      </c>
      <c r="J85" s="11">
        <f>'Ammoitization Table'!F97</f>
        <v>1035785.6337740715</v>
      </c>
      <c r="K85" s="11">
        <f>'Ammoitization Table'!F111</f>
        <v>1008214.1612523141</v>
      </c>
      <c r="L85" s="11">
        <f>'Ammoitization Table'!F125</f>
        <v>979482.18303346564</v>
      </c>
      <c r="M85" s="11">
        <f>'Ammoitization Table'!F139</f>
        <v>949540.85248911625</v>
      </c>
    </row>
    <row r="86" spans="2:20" ht="15">
      <c r="B86" s="10" t="s">
        <v>230</v>
      </c>
      <c r="C86" s="10"/>
      <c r="D86" s="11">
        <v>386344.68897015793</v>
      </c>
      <c r="E86" s="11">
        <v>191702.15295710249</v>
      </c>
      <c r="F86" s="11"/>
      <c r="G86" s="11"/>
      <c r="H86" s="11"/>
      <c r="I86" s="11"/>
      <c r="J86" s="11"/>
      <c r="K86" s="11"/>
      <c r="L86" s="11"/>
      <c r="M86" s="11"/>
    </row>
    <row r="87" spans="2:20" ht="15">
      <c r="B87" s="10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2:20" ht="15">
      <c r="B88" s="10" t="s">
        <v>187</v>
      </c>
      <c r="C88" s="10"/>
      <c r="D88" s="11">
        <f t="shared" ref="D88:M88" si="41">D82+D85+D86</f>
        <v>1697591.7739215309</v>
      </c>
      <c r="E88" s="11">
        <f t="shared" si="41"/>
        <v>1485241.398872301</v>
      </c>
      <c r="F88" s="11">
        <f t="shared" si="41"/>
        <v>1274615.5923932425</v>
      </c>
      <c r="G88" s="11">
        <f t="shared" si="41"/>
        <v>1248721.6094024139</v>
      </c>
      <c r="H88" s="11">
        <f t="shared" si="41"/>
        <v>1221602.68929744</v>
      </c>
      <c r="I88" s="11">
        <f t="shared" si="41"/>
        <v>1193206.7843677823</v>
      </c>
      <c r="J88" s="11">
        <f t="shared" si="41"/>
        <v>1163479.7093617329</v>
      </c>
      <c r="K88" s="11">
        <f t="shared" si="41"/>
        <v>1132365.0544799059</v>
      </c>
      <c r="L88" s="11">
        <f t="shared" si="41"/>
        <v>1099804.0948254594</v>
      </c>
      <c r="M88" s="11">
        <f t="shared" si="41"/>
        <v>1065735.6961662124</v>
      </c>
    </row>
    <row r="89" spans="2:20" ht="15">
      <c r="B89" s="10"/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2:20" ht="15">
      <c r="B90" s="10" t="s">
        <v>193</v>
      </c>
      <c r="C90" s="10"/>
      <c r="D90" s="11">
        <f>D29</f>
        <v>400000</v>
      </c>
      <c r="E90" s="11">
        <f t="shared" ref="E90:M90" si="42">D90</f>
        <v>400000</v>
      </c>
      <c r="F90" s="11">
        <f t="shared" si="42"/>
        <v>400000</v>
      </c>
      <c r="G90" s="11">
        <f t="shared" si="42"/>
        <v>400000</v>
      </c>
      <c r="H90" s="11">
        <f t="shared" si="42"/>
        <v>400000</v>
      </c>
      <c r="I90" s="11">
        <f t="shared" si="42"/>
        <v>400000</v>
      </c>
      <c r="J90" s="11">
        <f t="shared" si="42"/>
        <v>400000</v>
      </c>
      <c r="K90" s="11">
        <f t="shared" si="42"/>
        <v>400000</v>
      </c>
      <c r="L90" s="11">
        <f t="shared" si="42"/>
        <v>400000</v>
      </c>
      <c r="M90" s="11">
        <f t="shared" si="42"/>
        <v>400000</v>
      </c>
    </row>
    <row r="91" spans="2:20" ht="15">
      <c r="B91" s="10" t="s">
        <v>194</v>
      </c>
      <c r="C91" s="10"/>
      <c r="D91" s="11">
        <f>D60</f>
        <v>135863.41292778458</v>
      </c>
      <c r="E91" s="11">
        <f t="shared" ref="E91:M91" si="43">D91+E60</f>
        <v>275476.41257740936</v>
      </c>
      <c r="F91" s="11">
        <f t="shared" si="43"/>
        <v>418370.3994825671</v>
      </c>
      <c r="G91" s="11">
        <f t="shared" si="43"/>
        <v>556309.53943258291</v>
      </c>
      <c r="H91" s="11">
        <f t="shared" si="43"/>
        <v>688915.40695918305</v>
      </c>
      <c r="I91" s="11">
        <f t="shared" si="43"/>
        <v>815793.43559026183</v>
      </c>
      <c r="J91" s="11">
        <f t="shared" si="43"/>
        <v>936532.32574661472</v>
      </c>
      <c r="K91" s="11">
        <f t="shared" si="43"/>
        <v>1050703.4322435502</v>
      </c>
      <c r="L91" s="11">
        <f t="shared" si="43"/>
        <v>1157860.1307171076</v>
      </c>
      <c r="M91" s="11">
        <f t="shared" si="43"/>
        <v>1257537.1622723585</v>
      </c>
    </row>
    <row r="92" spans="2:20" ht="15">
      <c r="B92" s="10"/>
      <c r="C92" s="10"/>
      <c r="D92" s="5"/>
      <c r="E92" s="11"/>
      <c r="F92" s="11"/>
      <c r="G92" s="11"/>
      <c r="H92" s="11"/>
      <c r="I92" s="11"/>
      <c r="J92" s="11"/>
      <c r="K92" s="11"/>
      <c r="L92" s="11"/>
      <c r="M92" s="11"/>
    </row>
    <row r="93" spans="2:20" ht="15">
      <c r="B93" s="10" t="s">
        <v>232</v>
      </c>
      <c r="C93" s="10"/>
      <c r="D93" s="11">
        <f t="shared" ref="D93:M93" si="44">D88+D90+D91</f>
        <v>2233455.1868493152</v>
      </c>
      <c r="E93" s="11">
        <f t="shared" si="44"/>
        <v>2160717.8114497103</v>
      </c>
      <c r="F93" s="11">
        <f t="shared" si="44"/>
        <v>2092985.9918758096</v>
      </c>
      <c r="G93" s="11">
        <f t="shared" si="44"/>
        <v>2205031.1488349969</v>
      </c>
      <c r="H93" s="11">
        <f t="shared" si="44"/>
        <v>2310518.096256623</v>
      </c>
      <c r="I93" s="11">
        <f t="shared" si="44"/>
        <v>2409000.2199580441</v>
      </c>
      <c r="J93" s="11">
        <f t="shared" si="44"/>
        <v>2500012.0351083474</v>
      </c>
      <c r="K93" s="11">
        <f t="shared" si="44"/>
        <v>2583068.4867234561</v>
      </c>
      <c r="L93" s="11">
        <f t="shared" si="44"/>
        <v>2657664.2255425667</v>
      </c>
      <c r="M93" s="11">
        <f t="shared" si="44"/>
        <v>2723272.858438571</v>
      </c>
    </row>
    <row r="94" spans="2:20" ht="15">
      <c r="B94" s="10"/>
      <c r="C94" s="10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2:20" ht="15">
      <c r="B95" s="10" t="s">
        <v>239</v>
      </c>
      <c r="C95" s="10"/>
      <c r="D95" s="11">
        <f t="shared" ref="D95:M95" si="45">D76-D93</f>
        <v>0</v>
      </c>
      <c r="E95" s="11">
        <f t="shared" si="45"/>
        <v>0</v>
      </c>
      <c r="F95" s="11">
        <f t="shared" si="45"/>
        <v>-0.33562063984572887</v>
      </c>
      <c r="G95" s="11">
        <f t="shared" si="45"/>
        <v>-5.2664755843579769E-2</v>
      </c>
      <c r="H95" s="11">
        <f t="shared" si="45"/>
        <v>0.41935057006776333</v>
      </c>
      <c r="I95" s="11">
        <f t="shared" si="45"/>
        <v>8.8790921028703451E-2</v>
      </c>
      <c r="J95" s="11">
        <f t="shared" si="45"/>
        <v>-0.15528844762593508</v>
      </c>
      <c r="K95" s="11">
        <f t="shared" si="45"/>
        <v>0.15664104698225856</v>
      </c>
      <c r="L95" s="11">
        <f t="shared" si="45"/>
        <v>-0.20100807677954435</v>
      </c>
      <c r="M95" s="11">
        <f t="shared" si="45"/>
        <v>-1143837.3990542148</v>
      </c>
      <c r="O95" s="35"/>
      <c r="P95" s="35" t="s">
        <v>245</v>
      </c>
      <c r="Q95" s="35" t="s">
        <v>246</v>
      </c>
      <c r="R95" s="35" t="s">
        <v>80</v>
      </c>
      <c r="S95" s="35" t="s">
        <v>247</v>
      </c>
      <c r="T95" s="35" t="s">
        <v>248</v>
      </c>
    </row>
    <row r="96" spans="2:20" ht="12.7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"/>
      <c r="O96" s="37" t="s">
        <v>249</v>
      </c>
    </row>
    <row r="97" spans="2:21" ht="12.75">
      <c r="B97" s="2" t="s">
        <v>250</v>
      </c>
      <c r="C97" s="2"/>
      <c r="D97" s="11">
        <f t="shared" ref="D97:M97" si="46">D53</f>
        <v>312592.20000000007</v>
      </c>
      <c r="E97" s="11">
        <f t="shared" si="46"/>
        <v>304354.3088280001</v>
      </c>
      <c r="F97" s="11">
        <f t="shared" si="46"/>
        <v>295475.92500271974</v>
      </c>
      <c r="G97" s="11">
        <f t="shared" si="46"/>
        <v>285929.43960048258</v>
      </c>
      <c r="H97" s="11">
        <f t="shared" si="46"/>
        <v>275686.21831827995</v>
      </c>
      <c r="I97" s="11">
        <f t="shared" si="46"/>
        <v>264716.56558721641</v>
      </c>
      <c r="J97" s="11">
        <f t="shared" si="46"/>
        <v>252989.68746370741</v>
      </c>
      <c r="K97" s="11">
        <f t="shared" si="46"/>
        <v>240473.65325734986</v>
      </c>
      <c r="L97" s="11">
        <f t="shared" si="46"/>
        <v>227135.35585300496</v>
      </c>
      <c r="M97" s="11">
        <f t="shared" si="46"/>
        <v>212940.47068322217</v>
      </c>
      <c r="O97" s="2" t="s">
        <v>251</v>
      </c>
      <c r="P97" s="11">
        <f t="shared" ref="P97:P98" si="47">AVERAGE(D85:M85)</f>
        <v>1070742.3082826957</v>
      </c>
      <c r="Q97" s="5">
        <f>P97/P101</f>
        <v>0.43017214779989688</v>
      </c>
      <c r="R97" s="5">
        <f t="shared" ref="R97:R98" si="48">D103</f>
        <v>4.1299999999999996E-2</v>
      </c>
      <c r="S97" s="5">
        <f t="shared" ref="S97:S98" si="49">R97*(1-$D$110)</f>
        <v>2.3788800000000002E-2</v>
      </c>
      <c r="T97" s="5">
        <f t="shared" ref="T97:T98" si="50">Q97*S97</f>
        <v>1.0233279189582188E-2</v>
      </c>
      <c r="U97" s="2"/>
    </row>
    <row r="98" spans="2:21" ht="12.75">
      <c r="B98" s="2" t="s">
        <v>252</v>
      </c>
      <c r="C98" s="2"/>
      <c r="D98" s="11">
        <f t="shared" ref="D98:M98" si="51">D55+D56</f>
        <v>76718.219222596279</v>
      </c>
      <c r="E98" s="11">
        <f t="shared" si="51"/>
        <v>61970.628880734876</v>
      </c>
      <c r="F98" s="11">
        <f t="shared" si="51"/>
        <v>47396.086625709737</v>
      </c>
      <c r="G98" s="11">
        <f t="shared" si="51"/>
        <v>46451.766076149535</v>
      </c>
      <c r="H98" s="11">
        <f t="shared" si="51"/>
        <v>45467.698306821505</v>
      </c>
      <c r="I98" s="11">
        <f t="shared" si="51"/>
        <v>44442.21032492676</v>
      </c>
      <c r="J98" s="11">
        <f t="shared" si="51"/>
        <v>43373.558720039153</v>
      </c>
      <c r="K98" s="11">
        <f t="shared" si="51"/>
        <v>42259.926700170108</v>
      </c>
      <c r="L98" s="11">
        <f t="shared" si="51"/>
        <v>41099.421003079027</v>
      </c>
      <c r="M98" s="11">
        <f t="shared" si="51"/>
        <v>39890.068677578172</v>
      </c>
      <c r="O98" s="2" t="s">
        <v>253</v>
      </c>
      <c r="P98" s="11">
        <f t="shared" si="47"/>
        <v>289023.4209636302</v>
      </c>
      <c r="Q98" s="5">
        <f>P98/P101</f>
        <v>0.11611554414040505</v>
      </c>
      <c r="R98" s="5">
        <f t="shared" si="48"/>
        <v>7.1300000000000002E-2</v>
      </c>
      <c r="S98" s="5">
        <f t="shared" si="49"/>
        <v>4.1068800000000009E-2</v>
      </c>
      <c r="T98" s="5">
        <f t="shared" si="50"/>
        <v>4.7687260591934679E-3</v>
      </c>
      <c r="U98" s="2"/>
    </row>
    <row r="99" spans="2:21" ht="12.75">
      <c r="B99" s="2" t="s">
        <v>254</v>
      </c>
      <c r="C99" s="2"/>
      <c r="D99" s="38">
        <f t="shared" ref="D99:M99" si="52">D97/D98</f>
        <v>4.0745497375665156</v>
      </c>
      <c r="E99" s="38">
        <f t="shared" si="52"/>
        <v>4.911267068367871</v>
      </c>
      <c r="F99" s="38">
        <f t="shared" si="52"/>
        <v>6.2341840020699202</v>
      </c>
      <c r="G99" s="38">
        <f t="shared" si="52"/>
        <v>6.1554051385635447</v>
      </c>
      <c r="H99" s="38">
        <f t="shared" si="52"/>
        <v>6.0633422976002906</v>
      </c>
      <c r="I99" s="38">
        <f t="shared" si="52"/>
        <v>5.9564221412890008</v>
      </c>
      <c r="J99" s="38">
        <f t="shared" si="52"/>
        <v>5.8328090875979441</v>
      </c>
      <c r="K99" s="38">
        <f t="shared" si="52"/>
        <v>5.6903471452633134</v>
      </c>
      <c r="L99" s="38">
        <f t="shared" si="52"/>
        <v>5.5264855394432137</v>
      </c>
      <c r="M99" s="38">
        <f t="shared" si="52"/>
        <v>5.3381826039049658</v>
      </c>
      <c r="O99" s="37" t="s">
        <v>255</v>
      </c>
      <c r="Q99" s="5">
        <f>SUM(Q97:Q98)</f>
        <v>0.54628769194030191</v>
      </c>
      <c r="T99" s="5"/>
      <c r="U99" s="2"/>
    </row>
    <row r="100" spans="2:21" ht="12.75">
      <c r="B100" s="13" t="s">
        <v>256</v>
      </c>
      <c r="D100" s="39">
        <f>AVERAGE(D99:M99)</f>
        <v>5.5782994761666584</v>
      </c>
      <c r="P100" s="40">
        <f>AVERAGE(D90:M90)+AVERAGE(D91:M91)</f>
        <v>1129336.1657949421</v>
      </c>
      <c r="Q100" s="41">
        <f>P100/P101</f>
        <v>0.45371230805969809</v>
      </c>
      <c r="R100" s="41">
        <f>D106</f>
        <v>0.1836978958416898</v>
      </c>
      <c r="S100" s="41">
        <f>R100</f>
        <v>0.1836978958416898</v>
      </c>
      <c r="T100" s="5">
        <f>Q100*S100</f>
        <v>8.3345996308043097E-2</v>
      </c>
      <c r="U100" s="2"/>
    </row>
    <row r="101" spans="2:21" ht="12.75">
      <c r="B101" s="13" t="s">
        <v>257</v>
      </c>
      <c r="C101" s="13"/>
      <c r="D101" s="42">
        <v>1.1299999999999999E-2</v>
      </c>
      <c r="E101" s="2" t="s">
        <v>258</v>
      </c>
      <c r="F101" s="5"/>
      <c r="O101" s="2" t="s">
        <v>259</v>
      </c>
      <c r="P101" s="11">
        <f>P97+P98+P100</f>
        <v>2489101.8950412679</v>
      </c>
      <c r="Q101" s="5">
        <f>SUM(Q96:Q100)</f>
        <v>1.5462876919403019</v>
      </c>
      <c r="S101" s="2" t="s">
        <v>3</v>
      </c>
      <c r="T101" s="43">
        <f>SUM(T97:T100)</f>
        <v>9.8348001556818748E-2</v>
      </c>
    </row>
    <row r="102" spans="2:21" ht="12.75">
      <c r="B102" s="13" t="s">
        <v>260</v>
      </c>
      <c r="C102" s="13"/>
      <c r="D102" s="42">
        <v>0.03</v>
      </c>
    </row>
    <row r="103" spans="2:21" ht="12.75">
      <c r="B103" s="13" t="s">
        <v>261</v>
      </c>
      <c r="C103" s="13"/>
      <c r="D103" s="42">
        <f>D101+D102</f>
        <v>4.1299999999999996E-2</v>
      </c>
    </row>
    <row r="104" spans="2:21" ht="12.75">
      <c r="B104" s="13" t="s">
        <v>262</v>
      </c>
      <c r="C104" s="13"/>
      <c r="D104" s="42">
        <f>D103+0.03</f>
        <v>7.1300000000000002E-2</v>
      </c>
    </row>
    <row r="106" spans="2:21" ht="12.75">
      <c r="B106" s="13" t="s">
        <v>263</v>
      </c>
      <c r="C106" s="13"/>
      <c r="D106" s="5">
        <f>D102+D108*D109</f>
        <v>0.1836978958416898</v>
      </c>
      <c r="Q106">
        <f>45.37+54.63</f>
        <v>100</v>
      </c>
    </row>
    <row r="107" spans="2:21" ht="12.75">
      <c r="B107" s="13" t="s">
        <v>264</v>
      </c>
      <c r="C107" s="2"/>
      <c r="D107" s="2">
        <v>0.68</v>
      </c>
    </row>
    <row r="108" spans="2:21" ht="12.75">
      <c r="B108" s="13" t="s">
        <v>265</v>
      </c>
      <c r="C108" s="2"/>
      <c r="D108" s="21">
        <f>(D107)*(1+(1-D110)/(Q97+Q98)/Q100)</f>
        <v>2.260263174142497</v>
      </c>
    </row>
    <row r="109" spans="2:21" ht="12.75">
      <c r="B109" s="13" t="s">
        <v>266</v>
      </c>
      <c r="C109" s="2"/>
      <c r="D109" s="5">
        <f>9.8%-D102</f>
        <v>6.8000000000000005E-2</v>
      </c>
    </row>
    <row r="110" spans="2:21" ht="12.75">
      <c r="B110" s="13" t="s">
        <v>267</v>
      </c>
      <c r="C110" s="2"/>
      <c r="D110" s="5">
        <f>D35</f>
        <v>0.42399999999999999</v>
      </c>
    </row>
    <row r="112" spans="2:21" ht="12.75">
      <c r="B112" s="56" t="s">
        <v>268</v>
      </c>
      <c r="C112" s="57"/>
      <c r="D112" s="57"/>
    </row>
    <row r="113" spans="1:13" ht="12.75">
      <c r="C113" s="44">
        <v>0</v>
      </c>
      <c r="D113" s="44">
        <v>1</v>
      </c>
      <c r="E113" s="45">
        <v>2</v>
      </c>
      <c r="F113" s="44">
        <v>3</v>
      </c>
      <c r="G113" s="44">
        <v>4</v>
      </c>
      <c r="H113" s="45">
        <v>5</v>
      </c>
      <c r="I113" s="44">
        <v>6</v>
      </c>
      <c r="J113" s="44">
        <v>7</v>
      </c>
      <c r="K113" s="44">
        <v>8</v>
      </c>
      <c r="L113" s="45">
        <v>9</v>
      </c>
      <c r="M113" s="44">
        <v>10</v>
      </c>
    </row>
    <row r="114" spans="1:13" ht="12.75">
      <c r="B114" s="1" t="s">
        <v>269</v>
      </c>
      <c r="C114" s="2"/>
      <c r="D114" s="2"/>
    </row>
    <row r="115" spans="1:13" ht="12.75">
      <c r="B115" s="2" t="s">
        <v>270</v>
      </c>
      <c r="C115" s="2"/>
      <c r="D115" s="11">
        <f t="shared" ref="D115:M115" si="53">D40-D41-D45-D46-D47-D48</f>
        <v>386092.2</v>
      </c>
      <c r="E115" s="11">
        <f t="shared" si="53"/>
        <v>377854.3088280001</v>
      </c>
      <c r="F115" s="11">
        <f t="shared" si="53"/>
        <v>368975.9250027198</v>
      </c>
      <c r="G115" s="11">
        <f t="shared" si="53"/>
        <v>359429.43960048258</v>
      </c>
      <c r="H115" s="11">
        <f t="shared" si="53"/>
        <v>349186.21831827995</v>
      </c>
      <c r="I115" s="11">
        <f t="shared" si="53"/>
        <v>338216.56558721635</v>
      </c>
      <c r="J115" s="11">
        <f t="shared" si="53"/>
        <v>326489.68746370741</v>
      </c>
      <c r="K115" s="11">
        <f t="shared" si="53"/>
        <v>313973.65325734997</v>
      </c>
      <c r="L115" s="11">
        <f t="shared" si="53"/>
        <v>300635.35585300502</v>
      </c>
      <c r="M115" s="11">
        <f t="shared" si="53"/>
        <v>286440.47068322211</v>
      </c>
    </row>
    <row r="116" spans="1:13" ht="12.75">
      <c r="B116" s="2" t="s">
        <v>271</v>
      </c>
      <c r="C116" s="2">
        <f t="shared" ref="C116:M116" si="54">C49+C50</f>
        <v>0</v>
      </c>
      <c r="D116" s="11">
        <f t="shared" si="54"/>
        <v>73500</v>
      </c>
      <c r="E116" s="11">
        <f t="shared" si="54"/>
        <v>73500</v>
      </c>
      <c r="F116" s="11">
        <f t="shared" si="54"/>
        <v>73500</v>
      </c>
      <c r="G116" s="11">
        <f t="shared" si="54"/>
        <v>73500</v>
      </c>
      <c r="H116" s="11">
        <f t="shared" si="54"/>
        <v>73500</v>
      </c>
      <c r="I116" s="11">
        <f t="shared" si="54"/>
        <v>73500</v>
      </c>
      <c r="J116" s="11">
        <f t="shared" si="54"/>
        <v>73500</v>
      </c>
      <c r="K116" s="11">
        <f t="shared" si="54"/>
        <v>73500</v>
      </c>
      <c r="L116" s="11">
        <f t="shared" si="54"/>
        <v>73500</v>
      </c>
      <c r="M116" s="11">
        <f t="shared" si="54"/>
        <v>73500</v>
      </c>
    </row>
    <row r="117" spans="1:13" ht="12.75">
      <c r="B117" s="2" t="s">
        <v>272</v>
      </c>
      <c r="C117" s="2">
        <f t="shared" ref="C117:M117" si="55">C115-C116</f>
        <v>0</v>
      </c>
      <c r="D117" s="11">
        <f t="shared" si="55"/>
        <v>312592.2</v>
      </c>
      <c r="E117" s="11">
        <f t="shared" si="55"/>
        <v>304354.3088280001</v>
      </c>
      <c r="F117" s="11">
        <f t="shared" si="55"/>
        <v>295475.9250027198</v>
      </c>
      <c r="G117" s="11">
        <f t="shared" si="55"/>
        <v>285929.43960048258</v>
      </c>
      <c r="H117" s="11">
        <f t="shared" si="55"/>
        <v>275686.21831827995</v>
      </c>
      <c r="I117" s="11">
        <f t="shared" si="55"/>
        <v>264716.56558721635</v>
      </c>
      <c r="J117" s="11">
        <f t="shared" si="55"/>
        <v>252989.68746370741</v>
      </c>
      <c r="K117" s="11">
        <f t="shared" si="55"/>
        <v>240473.65325734997</v>
      </c>
      <c r="L117" s="11">
        <f t="shared" si="55"/>
        <v>227135.35585300502</v>
      </c>
      <c r="M117" s="11">
        <f t="shared" si="55"/>
        <v>212940.47068322211</v>
      </c>
    </row>
    <row r="118" spans="1:13" ht="12.75">
      <c r="B118" s="2" t="s">
        <v>273</v>
      </c>
      <c r="C118" s="35"/>
      <c r="D118" s="40">
        <f t="shared" ref="D118:M118" si="56">D117*D35</f>
        <v>132539.09280000001</v>
      </c>
      <c r="E118" s="40">
        <f t="shared" si="56"/>
        <v>129046.22694307203</v>
      </c>
      <c r="F118" s="40">
        <f t="shared" si="56"/>
        <v>125281.79220115319</v>
      </c>
      <c r="G118" s="40">
        <f t="shared" si="56"/>
        <v>121234.08239060461</v>
      </c>
      <c r="H118" s="40">
        <f t="shared" si="56"/>
        <v>116890.9565669507</v>
      </c>
      <c r="I118" s="40">
        <f t="shared" si="56"/>
        <v>112239.82380897972</v>
      </c>
      <c r="J118" s="40">
        <f t="shared" si="56"/>
        <v>107267.62748461193</v>
      </c>
      <c r="K118" s="40">
        <f t="shared" si="56"/>
        <v>101960.82898111638</v>
      </c>
      <c r="L118" s="40">
        <f t="shared" si="56"/>
        <v>96305.390881674131</v>
      </c>
      <c r="M118" s="40">
        <f t="shared" si="56"/>
        <v>90286.759569686168</v>
      </c>
    </row>
    <row r="119" spans="1:13" ht="12.75">
      <c r="B119" s="2" t="s">
        <v>274</v>
      </c>
      <c r="C119" s="2">
        <f t="shared" ref="C119:M119" si="57">C115-C118</f>
        <v>0</v>
      </c>
      <c r="D119" s="11">
        <f t="shared" si="57"/>
        <v>253553.1072</v>
      </c>
      <c r="E119" s="11">
        <f t="shared" si="57"/>
        <v>248808.08188492805</v>
      </c>
      <c r="F119" s="11">
        <f t="shared" si="57"/>
        <v>243694.13280156662</v>
      </c>
      <c r="G119" s="11">
        <f t="shared" si="57"/>
        <v>238195.35720987798</v>
      </c>
      <c r="H119" s="11">
        <f t="shared" si="57"/>
        <v>232295.26175132924</v>
      </c>
      <c r="I119" s="11">
        <f t="shared" si="57"/>
        <v>225976.74177823664</v>
      </c>
      <c r="J119" s="11">
        <f t="shared" si="57"/>
        <v>219222.05997909547</v>
      </c>
      <c r="K119" s="11">
        <f t="shared" si="57"/>
        <v>212012.82427623359</v>
      </c>
      <c r="L119" s="11">
        <f t="shared" si="57"/>
        <v>204329.96497133089</v>
      </c>
      <c r="M119" s="11">
        <f t="shared" si="57"/>
        <v>196153.71111353594</v>
      </c>
    </row>
    <row r="120" spans="1:13" ht="12.75">
      <c r="E120" s="5"/>
    </row>
    <row r="121" spans="1:13" ht="12.75">
      <c r="B121" s="1" t="s">
        <v>275</v>
      </c>
      <c r="C121" s="2"/>
      <c r="D121" s="2"/>
    </row>
    <row r="122" spans="1:13" ht="12.75">
      <c r="B122" s="2" t="s">
        <v>276</v>
      </c>
      <c r="C122" s="2"/>
      <c r="D122" s="2"/>
    </row>
    <row r="123" spans="1:13" ht="12.75">
      <c r="A123" s="2" t="s">
        <v>132</v>
      </c>
      <c r="B123" s="2" t="s">
        <v>277</v>
      </c>
      <c r="C123" s="11">
        <f t="shared" ref="C123:M123" si="58">-(D65-C65)</f>
        <v>-18276.400000000001</v>
      </c>
      <c r="D123" s="11">
        <f t="shared" si="58"/>
        <v>-328.97520000000077</v>
      </c>
      <c r="E123" s="11">
        <f t="shared" si="58"/>
        <v>-334.89675359999819</v>
      </c>
      <c r="F123" s="11">
        <f t="shared" si="58"/>
        <v>-340.92489516480418</v>
      </c>
      <c r="G123" s="11">
        <f t="shared" si="58"/>
        <v>-347.06154327776312</v>
      </c>
      <c r="H123" s="11">
        <f t="shared" si="58"/>
        <v>-353.30865105677003</v>
      </c>
      <c r="I123" s="11">
        <f t="shared" si="58"/>
        <v>-359.66820677578653</v>
      </c>
      <c r="J123" s="11">
        <f t="shared" si="58"/>
        <v>-366.14223449775454</v>
      </c>
      <c r="K123" s="11">
        <f t="shared" si="58"/>
        <v>-372.73279471870774</v>
      </c>
      <c r="L123" s="11">
        <f t="shared" si="58"/>
        <v>-379.44198502365543</v>
      </c>
      <c r="M123" s="11">
        <f t="shared" si="58"/>
        <v>21459.552264115242</v>
      </c>
    </row>
    <row r="124" spans="1:13" ht="12.75">
      <c r="A124" s="2" t="s">
        <v>132</v>
      </c>
      <c r="B124" s="2" t="s">
        <v>153</v>
      </c>
      <c r="C124" s="11">
        <f t="shared" ref="C124:M124" si="59">-(D66-C66)</f>
        <v>0</v>
      </c>
      <c r="D124" s="11">
        <f t="shared" si="59"/>
        <v>0</v>
      </c>
      <c r="E124" s="11">
        <f t="shared" si="59"/>
        <v>-4989</v>
      </c>
      <c r="F124" s="11">
        <f t="shared" si="59"/>
        <v>-184750</v>
      </c>
      <c r="G124" s="11">
        <f t="shared" si="59"/>
        <v>-178175</v>
      </c>
      <c r="H124" s="11">
        <f t="shared" si="59"/>
        <v>-171152</v>
      </c>
      <c r="I124" s="11">
        <f t="shared" si="59"/>
        <v>-163664</v>
      </c>
      <c r="J124" s="11">
        <f t="shared" si="59"/>
        <v>-155691</v>
      </c>
      <c r="K124" s="11">
        <f t="shared" si="59"/>
        <v>-147211</v>
      </c>
      <c r="L124" s="11">
        <f t="shared" si="59"/>
        <v>1005632</v>
      </c>
      <c r="M124" s="11">
        <f t="shared" si="59"/>
        <v>0</v>
      </c>
    </row>
    <row r="125" spans="1:13" ht="12.75">
      <c r="A125" s="2" t="s">
        <v>132</v>
      </c>
      <c r="B125" s="2" t="s">
        <v>154</v>
      </c>
      <c r="C125" s="11">
        <f t="shared" ref="C125:M125" si="60">-(D67-C67)</f>
        <v>-15021.698630136987</v>
      </c>
      <c r="D125" s="11">
        <f t="shared" si="60"/>
        <v>-270.39057534246422</v>
      </c>
      <c r="E125" s="11">
        <f t="shared" si="60"/>
        <v>-275.25760569863087</v>
      </c>
      <c r="F125" s="11">
        <f t="shared" si="60"/>
        <v>-280.21224260120835</v>
      </c>
      <c r="G125" s="11">
        <f t="shared" si="60"/>
        <v>-285.25606296802835</v>
      </c>
      <c r="H125" s="11">
        <f t="shared" si="60"/>
        <v>-290.39067210145004</v>
      </c>
      <c r="I125" s="11">
        <f t="shared" si="60"/>
        <v>-295.6177041992778</v>
      </c>
      <c r="J125" s="11">
        <f t="shared" si="60"/>
        <v>-300.93882287486485</v>
      </c>
      <c r="K125" s="11">
        <f t="shared" si="60"/>
        <v>-306.35572168661383</v>
      </c>
      <c r="L125" s="11">
        <f t="shared" si="60"/>
        <v>-311.87012467697423</v>
      </c>
      <c r="M125" s="11">
        <f t="shared" si="60"/>
        <v>17637.9881622865</v>
      </c>
    </row>
    <row r="126" spans="1:13" ht="12.75">
      <c r="A126" s="2" t="s">
        <v>132</v>
      </c>
      <c r="B126" s="2" t="s">
        <v>164</v>
      </c>
      <c r="C126" s="11">
        <f t="shared" ref="C126:M126" si="61">-(D68-C68)</f>
        <v>-4907.088219178082</v>
      </c>
      <c r="D126" s="11">
        <f t="shared" si="61"/>
        <v>-163.25882505205482</v>
      </c>
      <c r="E126" s="11">
        <f t="shared" si="61"/>
        <v>-168.69044616153587</v>
      </c>
      <c r="F126" s="11">
        <f t="shared" si="61"/>
        <v>-174.3027773053318</v>
      </c>
      <c r="G126" s="11">
        <f t="shared" si="61"/>
        <v>-180.10183070627863</v>
      </c>
      <c r="H126" s="11">
        <f t="shared" si="61"/>
        <v>-186.09381861387646</v>
      </c>
      <c r="I126" s="11">
        <f t="shared" si="61"/>
        <v>-192.28515995916041</v>
      </c>
      <c r="J126" s="11">
        <f t="shared" si="61"/>
        <v>-198.6824872310026</v>
      </c>
      <c r="K126" s="11">
        <f t="shared" si="61"/>
        <v>-205.29265358117573</v>
      </c>
      <c r="L126" s="11">
        <f t="shared" si="61"/>
        <v>-212.12274016582433</v>
      </c>
      <c r="M126" s="11">
        <f t="shared" si="61"/>
        <v>6587.9189579543227</v>
      </c>
    </row>
    <row r="127" spans="1:13" ht="12.75">
      <c r="A127" s="2" t="s">
        <v>278</v>
      </c>
      <c r="B127" s="2" t="s">
        <v>179</v>
      </c>
      <c r="C127" s="11">
        <f t="shared" ref="C127:M127" si="62">(D80-C80)</f>
        <v>31896.073424657534</v>
      </c>
      <c r="D127" s="11">
        <f t="shared" si="62"/>
        <v>1061.1823628383536</v>
      </c>
      <c r="E127" s="11">
        <f t="shared" si="62"/>
        <v>1096.4879000499859</v>
      </c>
      <c r="F127" s="11">
        <f t="shared" si="62"/>
        <v>1132.9680524846553</v>
      </c>
      <c r="G127" s="11">
        <f t="shared" si="62"/>
        <v>1170.6618995908138</v>
      </c>
      <c r="H127" s="11">
        <f t="shared" si="62"/>
        <v>1209.6098209901975</v>
      </c>
      <c r="I127" s="11">
        <f t="shared" si="62"/>
        <v>1249.8535397345404</v>
      </c>
      <c r="J127" s="11">
        <f t="shared" si="62"/>
        <v>1291.4361670015132</v>
      </c>
      <c r="K127" s="11">
        <f t="shared" si="62"/>
        <v>1334.4022482776491</v>
      </c>
      <c r="L127" s="11">
        <f t="shared" si="62"/>
        <v>1378.7978110778567</v>
      </c>
      <c r="M127" s="11">
        <f t="shared" si="62"/>
        <v>-42821.473226703099</v>
      </c>
    </row>
    <row r="128" spans="1:13" ht="12.75">
      <c r="A128" s="2" t="s">
        <v>278</v>
      </c>
      <c r="B128" s="2" t="s">
        <v>279</v>
      </c>
      <c r="C128" s="11">
        <f t="shared" ref="C128:M128" si="63">(D118-C118)</f>
        <v>132539.09280000001</v>
      </c>
      <c r="D128" s="11">
        <f t="shared" si="63"/>
        <v>-3492.8658569279796</v>
      </c>
      <c r="E128" s="11">
        <f t="shared" si="63"/>
        <v>-3764.4347419188416</v>
      </c>
      <c r="F128" s="11">
        <f t="shared" si="63"/>
        <v>-4047.7098105485784</v>
      </c>
      <c r="G128" s="11">
        <f t="shared" si="63"/>
        <v>-4343.1258236539143</v>
      </c>
      <c r="H128" s="11">
        <f t="shared" si="63"/>
        <v>-4651.1327579709759</v>
      </c>
      <c r="I128" s="11">
        <f t="shared" si="63"/>
        <v>-4972.1963243677892</v>
      </c>
      <c r="J128" s="11">
        <f t="shared" si="63"/>
        <v>-5306.7985034955491</v>
      </c>
      <c r="K128" s="11">
        <f t="shared" si="63"/>
        <v>-5655.4380994422536</v>
      </c>
      <c r="L128" s="11">
        <f t="shared" si="63"/>
        <v>-6018.6313119879633</v>
      </c>
      <c r="M128" s="11">
        <f t="shared" si="63"/>
        <v>-90286.759569686168</v>
      </c>
    </row>
    <row r="129" spans="1:16" ht="7.35" customHeight="1"/>
    <row r="130" spans="1:16" ht="12.75">
      <c r="B130" s="2" t="s">
        <v>280</v>
      </c>
      <c r="C130" s="2"/>
      <c r="D130" s="2"/>
    </row>
    <row r="131" spans="1:16" ht="12.75">
      <c r="A131" s="2" t="s">
        <v>132</v>
      </c>
      <c r="B131" s="2" t="s">
        <v>189</v>
      </c>
      <c r="C131" s="11">
        <f t="shared" ref="C131:M131" si="64">-(D71-C71)</f>
        <v>-63750</v>
      </c>
      <c r="D131" s="11">
        <f t="shared" si="64"/>
        <v>0</v>
      </c>
      <c r="E131" s="11">
        <f t="shared" si="64"/>
        <v>0</v>
      </c>
      <c r="F131" s="11">
        <f t="shared" si="64"/>
        <v>0</v>
      </c>
      <c r="G131" s="11">
        <f t="shared" si="64"/>
        <v>0</v>
      </c>
      <c r="H131" s="11">
        <f t="shared" si="64"/>
        <v>0</v>
      </c>
      <c r="I131" s="11">
        <f t="shared" si="64"/>
        <v>0</v>
      </c>
      <c r="J131" s="11">
        <f t="shared" si="64"/>
        <v>0</v>
      </c>
      <c r="K131" s="11">
        <f t="shared" si="64"/>
        <v>0</v>
      </c>
      <c r="L131" s="11">
        <f t="shared" si="64"/>
        <v>0</v>
      </c>
      <c r="M131" s="11">
        <f t="shared" si="64"/>
        <v>63750</v>
      </c>
    </row>
    <row r="132" spans="1:16" ht="12.75">
      <c r="A132" s="2" t="s">
        <v>132</v>
      </c>
      <c r="B132" s="2" t="s">
        <v>199</v>
      </c>
      <c r="C132" s="11">
        <f t="shared" ref="C132:M132" si="65">-(D72-C72)</f>
        <v>-2205000</v>
      </c>
      <c r="D132" s="11">
        <f t="shared" si="65"/>
        <v>0</v>
      </c>
      <c r="E132" s="11">
        <f t="shared" si="65"/>
        <v>0</v>
      </c>
      <c r="F132" s="11">
        <f t="shared" si="65"/>
        <v>0</v>
      </c>
      <c r="G132" s="11">
        <f t="shared" si="65"/>
        <v>0</v>
      </c>
      <c r="H132" s="11">
        <f t="shared" si="65"/>
        <v>0</v>
      </c>
      <c r="I132" s="11">
        <f t="shared" si="65"/>
        <v>0</v>
      </c>
      <c r="J132" s="11">
        <f t="shared" si="65"/>
        <v>0</v>
      </c>
      <c r="K132" s="11">
        <f t="shared" si="65"/>
        <v>0</v>
      </c>
      <c r="L132" s="11">
        <f t="shared" si="65"/>
        <v>0</v>
      </c>
      <c r="M132" s="11">
        <f t="shared" si="65"/>
        <v>2205000</v>
      </c>
    </row>
    <row r="134" spans="1:16" ht="12.75">
      <c r="A134" s="2" t="s">
        <v>281</v>
      </c>
      <c r="B134" s="2" t="s">
        <v>189</v>
      </c>
      <c r="C134" s="11">
        <f t="shared" ref="C134:M134" si="66">-(D71-C71)</f>
        <v>-63750</v>
      </c>
      <c r="D134" s="11">
        <f t="shared" si="66"/>
        <v>0</v>
      </c>
      <c r="E134" s="11">
        <f t="shared" si="66"/>
        <v>0</v>
      </c>
      <c r="F134" s="11">
        <f t="shared" si="66"/>
        <v>0</v>
      </c>
      <c r="G134" s="11">
        <f t="shared" si="66"/>
        <v>0</v>
      </c>
      <c r="H134" s="11">
        <f t="shared" si="66"/>
        <v>0</v>
      </c>
      <c r="I134" s="11">
        <f t="shared" si="66"/>
        <v>0</v>
      </c>
      <c r="J134" s="11">
        <f t="shared" si="66"/>
        <v>0</v>
      </c>
      <c r="K134" s="11">
        <f t="shared" si="66"/>
        <v>0</v>
      </c>
      <c r="L134" s="11">
        <f t="shared" si="66"/>
        <v>0</v>
      </c>
      <c r="M134" s="11">
        <f t="shared" si="66"/>
        <v>63750</v>
      </c>
      <c r="N134" s="46"/>
    </row>
    <row r="135" spans="1:16" ht="12.75">
      <c r="B135" s="2" t="s">
        <v>282</v>
      </c>
      <c r="C135" s="2"/>
      <c r="D135" s="2"/>
      <c r="J135" s="11"/>
      <c r="M135" s="14">
        <f>M134*N135</f>
        <v>6375</v>
      </c>
      <c r="N135" s="47">
        <v>0.1</v>
      </c>
      <c r="O135" s="2" t="s">
        <v>283</v>
      </c>
      <c r="P135" s="11">
        <f>M134+M135</f>
        <v>70125</v>
      </c>
    </row>
    <row r="136" spans="1:16" ht="12.75">
      <c r="B136" s="2" t="s">
        <v>284</v>
      </c>
      <c r="C136" s="2"/>
      <c r="D136" s="2"/>
      <c r="J136" s="11"/>
      <c r="M136" s="14">
        <f>-D110*P137</f>
        <v>-2703</v>
      </c>
      <c r="O136" s="46" t="s">
        <v>285</v>
      </c>
      <c r="P136" s="11">
        <f>M71</f>
        <v>63750</v>
      </c>
    </row>
    <row r="137" spans="1:16" ht="12.75">
      <c r="C137" s="2"/>
      <c r="D137" s="2"/>
      <c r="J137" s="11"/>
      <c r="M137" s="14"/>
      <c r="O137" s="46" t="s">
        <v>286</v>
      </c>
      <c r="P137" s="11">
        <f>P135-P136</f>
        <v>6375</v>
      </c>
    </row>
    <row r="138" spans="1:16" ht="12.75">
      <c r="A138" s="2" t="s">
        <v>281</v>
      </c>
      <c r="B138" s="2" t="s">
        <v>199</v>
      </c>
      <c r="C138" s="11">
        <f t="shared" ref="C138:M138" si="67">-(D72-C72)</f>
        <v>-2205000</v>
      </c>
      <c r="D138" s="11">
        <f t="shared" si="67"/>
        <v>0</v>
      </c>
      <c r="E138" s="11">
        <f t="shared" si="67"/>
        <v>0</v>
      </c>
      <c r="F138" s="11">
        <f t="shared" si="67"/>
        <v>0</v>
      </c>
      <c r="G138" s="11">
        <f t="shared" si="67"/>
        <v>0</v>
      </c>
      <c r="H138" s="11">
        <f t="shared" si="67"/>
        <v>0</v>
      </c>
      <c r="I138" s="11">
        <f t="shared" si="67"/>
        <v>0</v>
      </c>
      <c r="J138" s="11">
        <f t="shared" si="67"/>
        <v>0</v>
      </c>
      <c r="K138" s="11">
        <f t="shared" si="67"/>
        <v>0</v>
      </c>
      <c r="L138" s="11">
        <f t="shared" si="67"/>
        <v>0</v>
      </c>
      <c r="M138" s="11">
        <f t="shared" si="67"/>
        <v>2205000</v>
      </c>
      <c r="N138" s="46"/>
    </row>
    <row r="139" spans="1:16" ht="12.75">
      <c r="B139" s="2" t="s">
        <v>282</v>
      </c>
      <c r="M139" s="11">
        <f>M138*N139</f>
        <v>220500</v>
      </c>
      <c r="N139" s="19">
        <v>0.1</v>
      </c>
      <c r="O139" s="2" t="s">
        <v>283</v>
      </c>
      <c r="P139" s="11">
        <f>M138+M139</f>
        <v>2425500</v>
      </c>
    </row>
    <row r="140" spans="1:16" ht="12.75">
      <c r="B140" s="2" t="s">
        <v>284</v>
      </c>
      <c r="E140" s="11"/>
      <c r="M140" s="11">
        <f>-D110*P141</f>
        <v>-405132</v>
      </c>
      <c r="O140" s="46" t="s">
        <v>285</v>
      </c>
      <c r="P140" s="11">
        <f>M72-M74</f>
        <v>1470000</v>
      </c>
    </row>
    <row r="141" spans="1:16" ht="12.75">
      <c r="O141" s="46" t="s">
        <v>286</v>
      </c>
      <c r="P141" s="11">
        <f>P139-P140</f>
        <v>955500</v>
      </c>
    </row>
    <row r="142" spans="1:16" ht="12.75">
      <c r="B142" s="2" t="s">
        <v>287</v>
      </c>
      <c r="C142" s="48"/>
    </row>
    <row r="144" spans="1:16" ht="12.75">
      <c r="B144" s="2" t="s">
        <v>288</v>
      </c>
      <c r="C144" s="11">
        <f t="shared" ref="C144:M144" si="68">SUM(C119:C143)</f>
        <v>-4411270.0206246581</v>
      </c>
      <c r="D144" s="11">
        <f t="shared" si="68"/>
        <v>250358.79910551582</v>
      </c>
      <c r="E144" s="11">
        <f t="shared" si="68"/>
        <v>240372.29023759902</v>
      </c>
      <c r="F144" s="11">
        <f t="shared" si="68"/>
        <v>55233.95112843137</v>
      </c>
      <c r="G144" s="11">
        <f t="shared" si="68"/>
        <v>56035.473848862821</v>
      </c>
      <c r="H144" s="11">
        <f t="shared" si="68"/>
        <v>56871.945672576352</v>
      </c>
      <c r="I144" s="11">
        <f t="shared" si="68"/>
        <v>57742.827922669159</v>
      </c>
      <c r="J144" s="11">
        <f t="shared" si="68"/>
        <v>58649.934097997808</v>
      </c>
      <c r="K144" s="11">
        <f t="shared" si="68"/>
        <v>59596.407255082486</v>
      </c>
      <c r="L144" s="11">
        <f t="shared" si="68"/>
        <v>1204418.6966205544</v>
      </c>
      <c r="M144" s="11">
        <f t="shared" si="68"/>
        <v>4465270.9377015028</v>
      </c>
    </row>
    <row r="145" spans="2:10" ht="12.75">
      <c r="B145" s="2" t="s">
        <v>289</v>
      </c>
      <c r="C145" s="19">
        <f>IRR(C144:M144)</f>
        <v>4.5125041664134224E-2</v>
      </c>
      <c r="D145" s="2"/>
    </row>
    <row r="146" spans="2:10" ht="12.75">
      <c r="E146" s="13"/>
      <c r="F146" s="13"/>
      <c r="G146" s="13"/>
      <c r="H146" s="13"/>
      <c r="I146" s="13"/>
      <c r="J146" s="13"/>
    </row>
    <row r="147" spans="2:10" ht="12.75">
      <c r="B147" s="2" t="s">
        <v>3</v>
      </c>
      <c r="C147" s="5">
        <f>T101</f>
        <v>9.8348001556818748E-2</v>
      </c>
      <c r="D147" s="2"/>
    </row>
    <row r="148" spans="2:10" ht="12.75">
      <c r="B148" s="2" t="s">
        <v>32</v>
      </c>
      <c r="C148" s="11">
        <f t="array" ref="C148">-NPV(C147,D144:M144)+C144</f>
        <v>-7311047.8202727605</v>
      </c>
      <c r="D148" s="2" t="s">
        <v>172</v>
      </c>
      <c r="F148" s="11"/>
      <c r="G148" s="11"/>
      <c r="H148" s="11"/>
      <c r="I148" s="11"/>
      <c r="J148" s="11"/>
    </row>
    <row r="149" spans="2:10" ht="7.35" customHeight="1">
      <c r="C149" s="5"/>
      <c r="D149" s="2"/>
      <c r="F149" s="11"/>
      <c r="G149" s="11"/>
      <c r="H149" s="11"/>
      <c r="I149" s="11"/>
      <c r="J149" s="11"/>
    </row>
    <row r="150" spans="2:10" ht="6" customHeight="1">
      <c r="C150" s="2"/>
      <c r="D150" s="2"/>
      <c r="F150" s="11"/>
      <c r="G150" s="11"/>
      <c r="H150" s="11"/>
      <c r="I150" s="11"/>
      <c r="J150" s="11"/>
    </row>
    <row r="151" spans="2:10" ht="12.75">
      <c r="B151" s="2" t="s">
        <v>290</v>
      </c>
      <c r="C151" s="11">
        <f>C144-C148</f>
        <v>2899777.7996481024</v>
      </c>
      <c r="D151" s="2"/>
    </row>
    <row r="152" spans="2:10" ht="12.75">
      <c r="E152" s="13"/>
      <c r="F152" s="13"/>
      <c r="G152" s="13"/>
      <c r="H152" s="13"/>
      <c r="I152" s="13"/>
      <c r="J152" s="13"/>
    </row>
  </sheetData>
  <mergeCells count="1">
    <mergeCell ref="B112:D1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O20"/>
  <sheetViews>
    <sheetView zoomScale="85" zoomScaleNormal="85" workbookViewId="0">
      <selection activeCell="C41" sqref="C41"/>
    </sheetView>
  </sheetViews>
  <sheetFormatPr defaultColWidth="14.42578125" defaultRowHeight="15.75" customHeight="1"/>
  <cols>
    <col min="1" max="1" width="1.42578125" customWidth="1"/>
    <col min="2" max="2" width="39.28515625" customWidth="1"/>
  </cols>
  <sheetData>
    <row r="1" spans="2:15" ht="15.75" customHeight="1">
      <c r="B1" s="1" t="s">
        <v>0</v>
      </c>
    </row>
    <row r="2" spans="2:15" ht="15.75" customHeight="1">
      <c r="B2" s="2" t="s">
        <v>3</v>
      </c>
      <c r="C2" s="5">
        <f>Forecast!C147</f>
        <v>9.8348001556818748E-2</v>
      </c>
    </row>
    <row r="5" spans="2:15" ht="15.75" customHeight="1">
      <c r="C5" s="4">
        <v>2018</v>
      </c>
      <c r="D5" s="4">
        <v>2019</v>
      </c>
      <c r="E5" s="4">
        <v>2020</v>
      </c>
      <c r="F5" s="4">
        <v>2021</v>
      </c>
      <c r="G5" s="4">
        <v>2022</v>
      </c>
      <c r="H5" s="4">
        <v>2023</v>
      </c>
      <c r="I5" s="4">
        <v>2024</v>
      </c>
      <c r="J5" s="4">
        <v>2025</v>
      </c>
      <c r="K5" s="4">
        <v>2026</v>
      </c>
      <c r="L5" s="4">
        <v>2027</v>
      </c>
      <c r="M5" s="4">
        <v>2028</v>
      </c>
      <c r="N5" s="4">
        <v>2029</v>
      </c>
      <c r="O5" s="4">
        <v>2030</v>
      </c>
    </row>
    <row r="6" spans="2:15" ht="15.75" customHeight="1">
      <c r="C6" s="8">
        <v>0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4">
        <v>11</v>
      </c>
      <c r="O6" s="4">
        <v>12</v>
      </c>
    </row>
    <row r="7" spans="2:15" ht="15.75" customHeight="1">
      <c r="B7" s="2" t="s">
        <v>20</v>
      </c>
      <c r="C7" s="11">
        <f>Forecast!C144</f>
        <v>-4411270.0206246581</v>
      </c>
      <c r="D7" s="11">
        <f>Forecast!D144</f>
        <v>250358.79910551582</v>
      </c>
      <c r="E7" s="11">
        <f>Forecast!E144</f>
        <v>240372.29023759902</v>
      </c>
      <c r="F7" s="11">
        <f>Forecast!F144</f>
        <v>55233.95112843137</v>
      </c>
      <c r="G7" s="11">
        <f>Forecast!G144</f>
        <v>56035.473848862821</v>
      </c>
      <c r="H7" s="11">
        <f>Forecast!H144</f>
        <v>56871.945672576352</v>
      </c>
      <c r="I7" s="11">
        <f>Forecast!I144</f>
        <v>57742.827922669159</v>
      </c>
      <c r="J7" s="11">
        <f>Forecast!J144</f>
        <v>58649.934097997808</v>
      </c>
      <c r="K7" s="11">
        <f>Forecast!K144</f>
        <v>59596.407255082486</v>
      </c>
      <c r="L7" s="11">
        <f>Forecast!L144</f>
        <v>1204418.6966205544</v>
      </c>
      <c r="M7" s="11">
        <f>Forecast!M144</f>
        <v>4465270.9377015028</v>
      </c>
      <c r="N7" s="49"/>
      <c r="O7" s="49"/>
    </row>
    <row r="8" spans="2:15" ht="15.75" customHeight="1">
      <c r="B8" s="13"/>
    </row>
    <row r="11" spans="2:15" ht="15.75" customHeight="1">
      <c r="B11" s="2" t="s">
        <v>25</v>
      </c>
      <c r="E11" s="11">
        <f>C7</f>
        <v>-4411270.0206246581</v>
      </c>
    </row>
    <row r="12" spans="2:15" ht="15.75" customHeight="1">
      <c r="C12" s="2">
        <v>0</v>
      </c>
      <c r="D12" s="2">
        <v>0</v>
      </c>
      <c r="E12" s="2">
        <v>0</v>
      </c>
      <c r="F12" s="11">
        <f>D7</f>
        <v>250358.79910551582</v>
      </c>
      <c r="G12" s="11">
        <f t="shared" ref="G12:O12" si="0">E7</f>
        <v>240372.29023759902</v>
      </c>
      <c r="H12" s="11">
        <f t="shared" si="0"/>
        <v>55233.95112843137</v>
      </c>
      <c r="I12" s="11">
        <f t="shared" si="0"/>
        <v>56035.473848862821</v>
      </c>
      <c r="J12" s="11">
        <f t="shared" si="0"/>
        <v>56871.945672576352</v>
      </c>
      <c r="K12" s="11">
        <f t="shared" si="0"/>
        <v>57742.827922669159</v>
      </c>
      <c r="L12" s="11">
        <f t="shared" si="0"/>
        <v>58649.934097997808</v>
      </c>
      <c r="M12" s="11">
        <f t="shared" si="0"/>
        <v>59596.407255082486</v>
      </c>
      <c r="N12" s="11">
        <f t="shared" si="0"/>
        <v>1204418.6966205544</v>
      </c>
      <c r="O12" s="11">
        <f t="shared" si="0"/>
        <v>4465270.9377015028</v>
      </c>
    </row>
    <row r="13" spans="2:15" ht="15.75" customHeight="1">
      <c r="B13" s="2" t="s">
        <v>32</v>
      </c>
      <c r="C13" s="14">
        <f t="array" ref="C13">NPV(C2,D12:M12)+C12</f>
        <v>525880.71274325508</v>
      </c>
    </row>
    <row r="16" spans="2:15" ht="15.75" customHeight="1">
      <c r="C16" s="2" t="s">
        <v>35</v>
      </c>
      <c r="D16" s="2"/>
      <c r="E16" s="2"/>
      <c r="F16" s="2"/>
      <c r="G16" s="2"/>
      <c r="H16" s="2"/>
    </row>
    <row r="17" spans="3:8" ht="15.75" customHeight="1">
      <c r="C17" s="15" t="s">
        <v>36</v>
      </c>
      <c r="D17" s="15" t="s">
        <v>39</v>
      </c>
      <c r="E17" s="15" t="s">
        <v>40</v>
      </c>
      <c r="F17" s="15" t="s">
        <v>41</v>
      </c>
      <c r="G17" s="15" t="s">
        <v>42</v>
      </c>
      <c r="H17" s="15" t="s">
        <v>43</v>
      </c>
    </row>
    <row r="18" spans="3:8" ht="12.75">
      <c r="C18" s="16">
        <f>C13</f>
        <v>525880.71274325508</v>
      </c>
      <c r="D18" s="17">
        <f>-E11</f>
        <v>4411270.0206246581</v>
      </c>
      <c r="E18" s="15">
        <v>2</v>
      </c>
      <c r="F18" s="18">
        <v>0.5</v>
      </c>
      <c r="G18" s="18">
        <v>0.03</v>
      </c>
      <c r="H18" s="53">
        <f>(C18*_xlfn.NORM.DIST((LN(C18/D18)+(G18+((F18^2)/2))*E18)/(F18*SQRT(E18)),0,1,TRUE))-((D18*EXP(-G18*E18))*_xlfn.NORM.DIST((LN(C18/D18)+(G18+((F18^2)/2))*E18)/(F18*SQRT(E18))-(F18*(SQRT(E18))),0,1,TRUE))</f>
        <v>495.57828384485538</v>
      </c>
    </row>
    <row r="20" spans="3:8" ht="15.75" customHeight="1">
      <c r="C20" s="50" t="s">
        <v>291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O38"/>
  <sheetViews>
    <sheetView topLeftCell="A6" zoomScale="85" zoomScaleNormal="85" workbookViewId="0">
      <selection activeCell="D4" sqref="D4"/>
    </sheetView>
  </sheetViews>
  <sheetFormatPr defaultColWidth="14.42578125" defaultRowHeight="15.75" customHeight="1"/>
  <cols>
    <col min="1" max="1" width="1.28515625" customWidth="1"/>
  </cols>
  <sheetData>
    <row r="1" spans="2:15" ht="15.75" customHeight="1">
      <c r="B1" s="1" t="s">
        <v>1</v>
      </c>
    </row>
    <row r="2" spans="2:15" ht="6" customHeight="1"/>
    <row r="3" spans="2:15" ht="15.75" customHeight="1">
      <c r="B3" s="2" t="s">
        <v>4</v>
      </c>
    </row>
    <row r="4" spans="2:15" ht="15.75" customHeight="1">
      <c r="B4" s="2" t="s">
        <v>5</v>
      </c>
      <c r="D4" s="5">
        <f>Forecast!T101</f>
        <v>9.8348001556818748E-2</v>
      </c>
    </row>
    <row r="5" spans="2:15" ht="7.35" customHeight="1"/>
    <row r="6" spans="2:15" ht="15.75" customHeight="1">
      <c r="E6" s="4">
        <v>2018</v>
      </c>
      <c r="F6" s="4">
        <v>2019</v>
      </c>
      <c r="G6" s="4">
        <v>2020</v>
      </c>
      <c r="H6" s="4">
        <v>2021</v>
      </c>
      <c r="I6" s="4">
        <v>2022</v>
      </c>
      <c r="J6" s="4">
        <v>2023</v>
      </c>
      <c r="K6" s="4">
        <v>2024</v>
      </c>
      <c r="L6" s="4">
        <v>2025</v>
      </c>
      <c r="M6" s="4">
        <v>2026</v>
      </c>
      <c r="N6" s="4">
        <v>2027</v>
      </c>
      <c r="O6" s="4">
        <v>2028</v>
      </c>
    </row>
    <row r="7" spans="2:15" ht="15.75" customHeight="1">
      <c r="B7" s="2" t="s">
        <v>19</v>
      </c>
      <c r="E7" s="8">
        <v>0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</row>
    <row r="8" spans="2:15" ht="15.75" customHeight="1">
      <c r="B8" s="2" t="s">
        <v>21</v>
      </c>
      <c r="E8" s="11">
        <f>Forecast!C144</f>
        <v>-4411270.0206246581</v>
      </c>
      <c r="F8" s="11">
        <f>Forecast!D144</f>
        <v>250358.79910551582</v>
      </c>
      <c r="G8" s="11">
        <f>Forecast!E144</f>
        <v>240372.29023759902</v>
      </c>
      <c r="H8" s="11">
        <f>Forecast!F144</f>
        <v>55233.95112843137</v>
      </c>
      <c r="I8" s="11">
        <f>Forecast!G144</f>
        <v>56035.473848862821</v>
      </c>
      <c r="J8" s="11">
        <f>Forecast!H144</f>
        <v>56871.945672576352</v>
      </c>
      <c r="K8" s="11">
        <f>Forecast!I144</f>
        <v>57742.827922669159</v>
      </c>
      <c r="L8" s="11">
        <f>Forecast!J144</f>
        <v>58649.934097997808</v>
      </c>
      <c r="M8" s="11">
        <f>Forecast!K144</f>
        <v>59596.407255082486</v>
      </c>
      <c r="N8" s="11">
        <f>Forecast!L144</f>
        <v>1204418.6966205544</v>
      </c>
      <c r="O8" s="11">
        <f>Forecast!M144</f>
        <v>4465270.9377015028</v>
      </c>
    </row>
    <row r="9" spans="2:15" ht="15.75" customHeight="1">
      <c r="B9" s="2" t="s">
        <v>26</v>
      </c>
      <c r="I9" s="11">
        <v>-4000000</v>
      </c>
    </row>
    <row r="10" spans="2:15" ht="15.75" customHeight="1">
      <c r="B10" s="2" t="s">
        <v>29</v>
      </c>
      <c r="J10" s="11">
        <v>250000</v>
      </c>
      <c r="K10" s="11">
        <v>240000</v>
      </c>
      <c r="L10" s="11">
        <v>54000</v>
      </c>
      <c r="M10" s="11">
        <v>55000</v>
      </c>
      <c r="N10" s="11">
        <v>56000</v>
      </c>
      <c r="O10" s="11">
        <v>57000</v>
      </c>
    </row>
    <row r="11" spans="2:15" ht="15.75" customHeight="1">
      <c r="B11" s="2" t="s">
        <v>30</v>
      </c>
      <c r="J11" s="11"/>
      <c r="K11" s="11"/>
      <c r="L11" s="11"/>
      <c r="M11" s="11"/>
      <c r="N11" s="11"/>
      <c r="O11" s="11">
        <v>5500000</v>
      </c>
    </row>
    <row r="12" spans="2:15" ht="15.75" customHeight="1">
      <c r="B12" s="2" t="s">
        <v>31</v>
      </c>
      <c r="E12" s="11">
        <f t="shared" ref="E12:O12" si="0">SUM(E8:E11)</f>
        <v>-4411270.0206246581</v>
      </c>
      <c r="F12" s="11">
        <f t="shared" si="0"/>
        <v>250358.79910551582</v>
      </c>
      <c r="G12" s="11">
        <f t="shared" si="0"/>
        <v>240372.29023759902</v>
      </c>
      <c r="H12" s="11">
        <f t="shared" si="0"/>
        <v>55233.95112843137</v>
      </c>
      <c r="I12" s="11">
        <f t="shared" si="0"/>
        <v>-3943964.526151137</v>
      </c>
      <c r="J12" s="11">
        <f t="shared" si="0"/>
        <v>306871.94567257637</v>
      </c>
      <c r="K12" s="11">
        <f t="shared" si="0"/>
        <v>297742.82792266918</v>
      </c>
      <c r="L12" s="11">
        <f t="shared" si="0"/>
        <v>112649.93409799782</v>
      </c>
      <c r="M12" s="11">
        <f t="shared" si="0"/>
        <v>114596.40725508248</v>
      </c>
      <c r="N12" s="11">
        <f t="shared" si="0"/>
        <v>1260418.6966205544</v>
      </c>
      <c r="O12" s="11">
        <f t="shared" si="0"/>
        <v>10022270.937701503</v>
      </c>
    </row>
    <row r="13" spans="2:15" ht="15.75" customHeight="1">
      <c r="B13" s="2" t="s">
        <v>32</v>
      </c>
      <c r="E13" s="14">
        <f t="array" ref="E13">NPV($D$4,F12:O12)+E12</f>
        <v>-1713965.766398923</v>
      </c>
    </row>
    <row r="14" spans="2:15" ht="15.75" customHeight="1">
      <c r="B14" s="2" t="s">
        <v>46</v>
      </c>
      <c r="E14" s="19">
        <f>E31*D33</f>
        <v>0.4</v>
      </c>
    </row>
    <row r="15" spans="2:15" ht="8.4499999999999993" customHeight="1"/>
    <row r="16" spans="2:15" ht="15.75" customHeight="1">
      <c r="B16" s="2" t="s">
        <v>48</v>
      </c>
    </row>
    <row r="17" spans="2:15" ht="15.75" customHeight="1">
      <c r="B17" s="2" t="s">
        <v>21</v>
      </c>
      <c r="E17" s="11">
        <f>Forecast!C144</f>
        <v>-4411270.0206246581</v>
      </c>
      <c r="F17" s="11">
        <f>Forecast!D144</f>
        <v>250358.79910551582</v>
      </c>
      <c r="G17" s="11">
        <f>Forecast!E144</f>
        <v>240372.29023759902</v>
      </c>
      <c r="H17" s="11">
        <f>Forecast!F144</f>
        <v>55233.95112843137</v>
      </c>
      <c r="I17" s="11">
        <f>Forecast!G144</f>
        <v>56035.473848862821</v>
      </c>
      <c r="J17" s="11">
        <f>Forecast!H144</f>
        <v>56871.945672576352</v>
      </c>
      <c r="K17" s="11">
        <f>Forecast!I144</f>
        <v>57742.827922669159</v>
      </c>
      <c r="L17" s="11">
        <f>Forecast!J144</f>
        <v>58649.934097997808</v>
      </c>
      <c r="M17" s="11">
        <f>Forecast!K144</f>
        <v>59596.407255082486</v>
      </c>
      <c r="N17" s="11">
        <f>Forecast!L144</f>
        <v>1204418.6966205544</v>
      </c>
      <c r="O17" s="11">
        <f>Forecast!M144</f>
        <v>4465270.9377015028</v>
      </c>
    </row>
    <row r="18" spans="2:15" ht="12.75">
      <c r="B18" s="2" t="s">
        <v>26</v>
      </c>
      <c r="I18" s="11">
        <v>-4000000</v>
      </c>
    </row>
    <row r="19" spans="2:15" ht="12.75">
      <c r="B19" s="2" t="s">
        <v>29</v>
      </c>
      <c r="J19" s="11">
        <v>50000</v>
      </c>
      <c r="K19" s="11">
        <v>40000</v>
      </c>
      <c r="L19" s="11">
        <v>10000</v>
      </c>
      <c r="M19" s="11">
        <v>10000</v>
      </c>
      <c r="N19" s="11">
        <v>10000</v>
      </c>
      <c r="O19" s="11">
        <v>10000</v>
      </c>
    </row>
    <row r="20" spans="2:15" ht="12.75">
      <c r="B20" s="2" t="s">
        <v>30</v>
      </c>
      <c r="J20" s="11"/>
      <c r="K20" s="11"/>
      <c r="L20" s="11"/>
      <c r="M20" s="11"/>
      <c r="N20" s="11"/>
      <c r="O20" s="11">
        <v>2500000</v>
      </c>
    </row>
    <row r="21" spans="2:15" ht="12.75">
      <c r="B21" s="2" t="s">
        <v>31</v>
      </c>
      <c r="E21" s="11">
        <f t="shared" ref="E21:O21" si="1">SUM(E17:E20)</f>
        <v>-4411270.0206246581</v>
      </c>
      <c r="F21" s="11">
        <f t="shared" si="1"/>
        <v>250358.79910551582</v>
      </c>
      <c r="G21" s="11">
        <f t="shared" si="1"/>
        <v>240372.29023759902</v>
      </c>
      <c r="H21" s="11">
        <f t="shared" si="1"/>
        <v>55233.95112843137</v>
      </c>
      <c r="I21" s="11">
        <f t="shared" si="1"/>
        <v>-3943964.526151137</v>
      </c>
      <c r="J21" s="11">
        <f t="shared" si="1"/>
        <v>106871.94567257634</v>
      </c>
      <c r="K21" s="11">
        <f t="shared" si="1"/>
        <v>97742.827922669152</v>
      </c>
      <c r="L21" s="11">
        <f t="shared" si="1"/>
        <v>68649.934097997815</v>
      </c>
      <c r="M21" s="11">
        <f t="shared" si="1"/>
        <v>69596.407255082479</v>
      </c>
      <c r="N21" s="11">
        <f t="shared" si="1"/>
        <v>1214418.6966205544</v>
      </c>
      <c r="O21" s="11">
        <f t="shared" si="1"/>
        <v>6975270.9377015028</v>
      </c>
    </row>
    <row r="22" spans="2:15" ht="12.75">
      <c r="B22" s="2" t="s">
        <v>32</v>
      </c>
      <c r="E22" s="14">
        <f t="array" ref="E22">NPV($D$4,F21:O21)+E21</f>
        <v>-3209382.4895674512</v>
      </c>
    </row>
    <row r="23" spans="2:15" ht="12.75">
      <c r="B23" s="2" t="s">
        <v>46</v>
      </c>
      <c r="E23" s="19">
        <f>E35*D33</f>
        <v>0.4</v>
      </c>
    </row>
    <row r="24" spans="2:15" ht="4.7" customHeight="1">
      <c r="B24" s="2"/>
    </row>
    <row r="25" spans="2:15" ht="12.75">
      <c r="B25" s="2" t="s">
        <v>67</v>
      </c>
    </row>
    <row r="26" spans="2:15" ht="12.75">
      <c r="B26" s="2" t="s">
        <v>68</v>
      </c>
      <c r="E26" s="11">
        <f>Forecast!C144</f>
        <v>-4411270.0206246581</v>
      </c>
      <c r="F26" s="2">
        <v>50000</v>
      </c>
      <c r="G26" s="2">
        <v>40000</v>
      </c>
      <c r="H26" s="2">
        <v>10000</v>
      </c>
      <c r="I26" s="2">
        <v>10000</v>
      </c>
    </row>
    <row r="27" spans="2:15" ht="12.75">
      <c r="B27" s="2" t="s">
        <v>32</v>
      </c>
      <c r="E27" s="14">
        <f t="array" ref="E27">NPV($D$4,F26:O26)+E26</f>
        <v>-4318171.3194937101</v>
      </c>
    </row>
    <row r="28" spans="2:15" ht="12.75">
      <c r="B28" s="2" t="s">
        <v>46</v>
      </c>
      <c r="E28" s="19">
        <f>D37</f>
        <v>0.2</v>
      </c>
    </row>
    <row r="29" spans="2:15" ht="7.35" customHeight="1"/>
    <row r="30" spans="2:15" ht="6.6" customHeight="1"/>
    <row r="31" spans="2:15" ht="12.75">
      <c r="E31" s="19">
        <v>0.5</v>
      </c>
      <c r="F31" s="2" t="s">
        <v>71</v>
      </c>
    </row>
    <row r="32" spans="2:15" ht="12.75">
      <c r="D32" s="2" t="s">
        <v>72</v>
      </c>
      <c r="E32" s="20"/>
    </row>
    <row r="33" spans="2:6" ht="12.75">
      <c r="B33" s="2" t="s">
        <v>1</v>
      </c>
      <c r="D33" s="19">
        <v>0.8</v>
      </c>
      <c r="E33" s="22"/>
    </row>
    <row r="34" spans="2:6" ht="12.75">
      <c r="D34" s="20"/>
      <c r="E34" s="24"/>
    </row>
    <row r="35" spans="2:6" ht="12.75">
      <c r="D35" s="22"/>
      <c r="E35" s="19">
        <v>0.5</v>
      </c>
      <c r="F35" s="2" t="s">
        <v>81</v>
      </c>
    </row>
    <row r="36" spans="2:6" ht="12.75">
      <c r="D36" s="24"/>
    </row>
    <row r="37" spans="2:6" ht="12.75">
      <c r="D37" s="19">
        <v>0.2</v>
      </c>
    </row>
    <row r="38" spans="2:6" ht="12.75">
      <c r="D38" s="2" t="s">
        <v>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40"/>
  <sheetViews>
    <sheetView workbookViewId="0"/>
  </sheetViews>
  <sheetFormatPr defaultColWidth="14.42578125" defaultRowHeight="15.75" customHeight="1"/>
  <sheetData>
    <row r="1" spans="1:9" ht="15.75" customHeight="1">
      <c r="A1" s="23" t="s">
        <v>8</v>
      </c>
      <c r="B1" s="2" t="s">
        <v>74</v>
      </c>
      <c r="C1" s="2" t="s">
        <v>76</v>
      </c>
      <c r="D1" s="2" t="s">
        <v>77</v>
      </c>
      <c r="E1" s="2" t="s">
        <v>78</v>
      </c>
      <c r="F1" s="2" t="s">
        <v>79</v>
      </c>
      <c r="H1" s="2" t="s">
        <v>80</v>
      </c>
      <c r="I1" s="5">
        <f>Forecast!D103</f>
        <v>4.1299999999999996E-2</v>
      </c>
    </row>
    <row r="2" spans="1:9" ht="15.75" customHeight="1">
      <c r="A2" s="2" t="s">
        <v>84</v>
      </c>
      <c r="B2" s="14">
        <f>I7</f>
        <v>1200000</v>
      </c>
      <c r="C2" s="14">
        <f t="shared" ref="C2:C13" si="0">-$I$9</f>
        <v>5819.2832684939603</v>
      </c>
      <c r="D2" s="14">
        <f t="shared" ref="D2:D13" si="1">B2*$I$2</f>
        <v>4129.9999999999991</v>
      </c>
      <c r="E2" s="14">
        <f t="shared" ref="E2:E13" si="2">C2-D2</f>
        <v>1689.2832684939613</v>
      </c>
      <c r="F2" s="14">
        <f t="shared" ref="F2:F13" si="3">B2-E2</f>
        <v>1198310.7167315059</v>
      </c>
      <c r="H2" s="2" t="s">
        <v>87</v>
      </c>
      <c r="I2" s="5">
        <f>I1/12</f>
        <v>3.4416666666666662E-3</v>
      </c>
    </row>
    <row r="3" spans="1:9" ht="15.75" customHeight="1">
      <c r="A3" s="2" t="s">
        <v>88</v>
      </c>
      <c r="B3" s="14">
        <f t="shared" ref="B3:B13" si="4">F2</f>
        <v>1198310.7167315059</v>
      </c>
      <c r="C3" s="14">
        <f t="shared" si="0"/>
        <v>5819.2832684939603</v>
      </c>
      <c r="D3" s="14">
        <f t="shared" si="1"/>
        <v>4124.1860500842658</v>
      </c>
      <c r="E3" s="14">
        <f t="shared" si="2"/>
        <v>1695.0972184096945</v>
      </c>
      <c r="F3" s="14">
        <f t="shared" si="3"/>
        <v>1196615.6195130963</v>
      </c>
      <c r="H3" s="2" t="s">
        <v>90</v>
      </c>
      <c r="I3" s="14">
        <v>0</v>
      </c>
    </row>
    <row r="4" spans="1:9" ht="15.75" customHeight="1">
      <c r="A4" s="2" t="s">
        <v>91</v>
      </c>
      <c r="B4" s="14">
        <f t="shared" si="4"/>
        <v>1196615.6195130963</v>
      </c>
      <c r="C4" s="14">
        <f t="shared" si="0"/>
        <v>5819.2832684939603</v>
      </c>
      <c r="D4" s="14">
        <f t="shared" si="1"/>
        <v>4118.3520904909055</v>
      </c>
      <c r="E4" s="14">
        <f t="shared" si="2"/>
        <v>1700.9311780030548</v>
      </c>
      <c r="F4" s="14">
        <f t="shared" si="3"/>
        <v>1194914.6883350932</v>
      </c>
      <c r="H4" s="2" t="s">
        <v>94</v>
      </c>
      <c r="I4">
        <f>Forecast!D24</f>
        <v>30</v>
      </c>
    </row>
    <row r="5" spans="1:9" ht="15.75" customHeight="1">
      <c r="A5" s="2" t="s">
        <v>95</v>
      </c>
      <c r="B5" s="14">
        <f t="shared" si="4"/>
        <v>1194914.6883350932</v>
      </c>
      <c r="C5" s="14">
        <f t="shared" si="0"/>
        <v>5819.2832684939603</v>
      </c>
      <c r="D5" s="14">
        <f t="shared" si="1"/>
        <v>4112.4980523532786</v>
      </c>
      <c r="E5" s="14">
        <f t="shared" si="2"/>
        <v>1706.7852161406818</v>
      </c>
      <c r="F5" s="14">
        <f t="shared" si="3"/>
        <v>1193207.9031189524</v>
      </c>
      <c r="H5" s="2" t="s">
        <v>97</v>
      </c>
      <c r="I5">
        <f>I4*12</f>
        <v>360</v>
      </c>
    </row>
    <row r="6" spans="1:9" ht="15.75" customHeight="1">
      <c r="A6" s="2" t="s">
        <v>99</v>
      </c>
      <c r="B6" s="14">
        <f t="shared" si="4"/>
        <v>1193207.9031189524</v>
      </c>
      <c r="C6" s="14">
        <f t="shared" si="0"/>
        <v>5819.2832684939603</v>
      </c>
      <c r="D6" s="14">
        <f t="shared" si="1"/>
        <v>4106.6238665677274</v>
      </c>
      <c r="E6" s="14">
        <f t="shared" si="2"/>
        <v>1712.6594019262329</v>
      </c>
      <c r="F6" s="14">
        <f t="shared" si="3"/>
        <v>1191495.2437170262</v>
      </c>
      <c r="H6" s="2" t="s">
        <v>100</v>
      </c>
      <c r="I6" s="2">
        <v>0</v>
      </c>
    </row>
    <row r="7" spans="1:9" ht="15.75" customHeight="1">
      <c r="A7" s="2" t="s">
        <v>101</v>
      </c>
      <c r="B7" s="14">
        <f t="shared" si="4"/>
        <v>1191495.2437170262</v>
      </c>
      <c r="C7" s="14">
        <f t="shared" si="0"/>
        <v>5819.2832684939603</v>
      </c>
      <c r="D7" s="14">
        <f t="shared" si="1"/>
        <v>4100.7294637927644</v>
      </c>
      <c r="E7" s="14">
        <f t="shared" si="2"/>
        <v>1718.553804701196</v>
      </c>
      <c r="F7" s="14">
        <f t="shared" si="3"/>
        <v>1189776.689912325</v>
      </c>
      <c r="H7" s="2" t="s">
        <v>104</v>
      </c>
      <c r="I7" s="14">
        <f>Forecast!D26</f>
        <v>1200000</v>
      </c>
    </row>
    <row r="8" spans="1:9" ht="15.75" customHeight="1">
      <c r="A8" s="2" t="s">
        <v>105</v>
      </c>
      <c r="B8" s="14">
        <f t="shared" si="4"/>
        <v>1189776.689912325</v>
      </c>
      <c r="C8" s="14">
        <f t="shared" si="0"/>
        <v>5819.2832684939603</v>
      </c>
      <c r="D8" s="14">
        <f t="shared" si="1"/>
        <v>4094.8147744482512</v>
      </c>
      <c r="E8" s="14">
        <f t="shared" si="2"/>
        <v>1724.4684940457091</v>
      </c>
      <c r="F8" s="14">
        <f t="shared" si="3"/>
        <v>1188052.2214182792</v>
      </c>
    </row>
    <row r="9" spans="1:9" ht="15.75" customHeight="1">
      <c r="A9" s="2" t="s">
        <v>107</v>
      </c>
      <c r="B9" s="14">
        <f t="shared" si="4"/>
        <v>1188052.2214182792</v>
      </c>
      <c r="C9" s="14">
        <f t="shared" si="0"/>
        <v>5819.2832684939603</v>
      </c>
      <c r="D9" s="14">
        <f t="shared" si="1"/>
        <v>4088.8797287145771</v>
      </c>
      <c r="E9" s="14">
        <f t="shared" si="2"/>
        <v>1730.4035397793832</v>
      </c>
      <c r="F9" s="14">
        <f t="shared" si="3"/>
        <v>1186321.8178784999</v>
      </c>
      <c r="H9" s="2" t="s">
        <v>76</v>
      </c>
      <c r="I9" s="14">
        <f>PMT(I2,I5,I7,I3,I6)</f>
        <v>-5819.2832684939603</v>
      </c>
    </row>
    <row r="10" spans="1:9" ht="15.75" customHeight="1">
      <c r="A10" s="2" t="s">
        <v>108</v>
      </c>
      <c r="B10" s="14">
        <f t="shared" si="4"/>
        <v>1186321.8178784999</v>
      </c>
      <c r="C10" s="14">
        <f t="shared" si="0"/>
        <v>5819.2832684939603</v>
      </c>
      <c r="D10" s="14">
        <f t="shared" si="1"/>
        <v>4082.9242565318364</v>
      </c>
      <c r="E10" s="14">
        <f t="shared" si="2"/>
        <v>1736.359011962124</v>
      </c>
      <c r="F10" s="14">
        <f t="shared" si="3"/>
        <v>1184585.4588665378</v>
      </c>
    </row>
    <row r="11" spans="1:9" ht="15.75" customHeight="1">
      <c r="A11" s="2" t="s">
        <v>110</v>
      </c>
      <c r="B11" s="14">
        <f t="shared" si="4"/>
        <v>1184585.4588665378</v>
      </c>
      <c r="C11" s="14">
        <f t="shared" si="0"/>
        <v>5819.2832684939603</v>
      </c>
      <c r="D11" s="14">
        <f t="shared" si="1"/>
        <v>4076.9482875990002</v>
      </c>
      <c r="E11" s="14">
        <f t="shared" si="2"/>
        <v>1742.3349808949602</v>
      </c>
      <c r="F11" s="14">
        <f t="shared" si="3"/>
        <v>1182843.1238856427</v>
      </c>
    </row>
    <row r="12" spans="1:9" ht="15.75" customHeight="1">
      <c r="A12" s="2" t="s">
        <v>111</v>
      </c>
      <c r="B12" s="14">
        <f t="shared" si="4"/>
        <v>1182843.1238856427</v>
      </c>
      <c r="C12" s="14">
        <f t="shared" si="0"/>
        <v>5819.2832684939603</v>
      </c>
      <c r="D12" s="14">
        <f t="shared" si="1"/>
        <v>4070.9517513730866</v>
      </c>
      <c r="E12" s="14">
        <f t="shared" si="2"/>
        <v>1748.3315171208737</v>
      </c>
      <c r="F12" s="14">
        <f t="shared" si="3"/>
        <v>1181094.7923685219</v>
      </c>
    </row>
    <row r="13" spans="1:9" ht="15.75" customHeight="1">
      <c r="A13" s="2" t="s">
        <v>113</v>
      </c>
      <c r="B13" s="14">
        <f t="shared" si="4"/>
        <v>1181094.7923685219</v>
      </c>
      <c r="C13" s="14">
        <f t="shared" si="0"/>
        <v>5819.2832684939603</v>
      </c>
      <c r="D13" s="14">
        <f t="shared" si="1"/>
        <v>4064.934577068329</v>
      </c>
      <c r="E13" s="14">
        <f t="shared" si="2"/>
        <v>1754.3486914256314</v>
      </c>
      <c r="F13" s="16">
        <f t="shared" si="3"/>
        <v>1179340.4436770964</v>
      </c>
      <c r="G13" s="2">
        <v>1</v>
      </c>
    </row>
    <row r="14" spans="1:9" ht="15.75" customHeight="1">
      <c r="A14" s="1" t="s">
        <v>118</v>
      </c>
      <c r="D14" s="16">
        <f>SUM(D2:D13)</f>
        <v>49171.842899024021</v>
      </c>
    </row>
    <row r="15" spans="1:9" ht="15.75" customHeight="1">
      <c r="A15" s="23" t="s">
        <v>9</v>
      </c>
    </row>
    <row r="16" spans="1:9" ht="15.75" customHeight="1">
      <c r="A16" s="2" t="s">
        <v>84</v>
      </c>
      <c r="B16" s="14">
        <f>F13</f>
        <v>1179340.4436770964</v>
      </c>
      <c r="C16" s="14">
        <f t="shared" ref="C16:C27" si="5">-$I$9</f>
        <v>5819.2832684939603</v>
      </c>
      <c r="D16" s="14">
        <f t="shared" ref="D16:D27" si="6">B16*$I$2</f>
        <v>4058.8966936553397</v>
      </c>
      <c r="E16" s="14">
        <f t="shared" ref="E16:E27" si="7">C16-D16</f>
        <v>1760.3865748386206</v>
      </c>
      <c r="F16" s="14">
        <f t="shared" ref="F16:F27" si="8">B16-E16</f>
        <v>1177580.0571022579</v>
      </c>
    </row>
    <row r="17" spans="1:7" ht="15.75" customHeight="1">
      <c r="A17" s="2" t="s">
        <v>88</v>
      </c>
      <c r="B17" s="14">
        <f t="shared" ref="B17:B27" si="9">F16</f>
        <v>1177580.0571022579</v>
      </c>
      <c r="C17" s="14">
        <f t="shared" si="5"/>
        <v>5819.2832684939603</v>
      </c>
      <c r="D17" s="14">
        <f t="shared" si="6"/>
        <v>4052.8380298602701</v>
      </c>
      <c r="E17" s="14">
        <f t="shared" si="7"/>
        <v>1766.4452386336902</v>
      </c>
      <c r="F17" s="14">
        <f t="shared" si="8"/>
        <v>1175813.6118636241</v>
      </c>
    </row>
    <row r="18" spans="1:7" ht="12.75">
      <c r="A18" s="2" t="s">
        <v>91</v>
      </c>
      <c r="B18" s="14">
        <f t="shared" si="9"/>
        <v>1175813.6118636241</v>
      </c>
      <c r="C18" s="14">
        <f t="shared" si="5"/>
        <v>5819.2832684939603</v>
      </c>
      <c r="D18" s="14">
        <f t="shared" si="6"/>
        <v>4046.7585141639724</v>
      </c>
      <c r="E18" s="14">
        <f t="shared" si="7"/>
        <v>1772.5247543299879</v>
      </c>
      <c r="F18" s="14">
        <f t="shared" si="8"/>
        <v>1174041.087109294</v>
      </c>
    </row>
    <row r="19" spans="1:7" ht="12.75">
      <c r="A19" s="2" t="s">
        <v>95</v>
      </c>
      <c r="B19" s="14">
        <f t="shared" si="9"/>
        <v>1174041.087109294</v>
      </c>
      <c r="C19" s="14">
        <f t="shared" si="5"/>
        <v>5819.2832684939603</v>
      </c>
      <c r="D19" s="14">
        <f t="shared" si="6"/>
        <v>4040.6580748011529</v>
      </c>
      <c r="E19" s="14">
        <f t="shared" si="7"/>
        <v>1778.6251936928074</v>
      </c>
      <c r="F19" s="14">
        <f t="shared" si="8"/>
        <v>1172262.4619156013</v>
      </c>
    </row>
    <row r="20" spans="1:7" ht="12.75">
      <c r="A20" s="2" t="s">
        <v>99</v>
      </c>
      <c r="B20" s="14">
        <f t="shared" si="9"/>
        <v>1172262.4619156013</v>
      </c>
      <c r="C20" s="14">
        <f t="shared" si="5"/>
        <v>5819.2832684939603</v>
      </c>
      <c r="D20" s="14">
        <f t="shared" si="6"/>
        <v>4034.5366397595271</v>
      </c>
      <c r="E20" s="14">
        <f t="shared" si="7"/>
        <v>1784.7466287344332</v>
      </c>
      <c r="F20" s="14">
        <f t="shared" si="8"/>
        <v>1170477.7152868668</v>
      </c>
    </row>
    <row r="21" spans="1:7" ht="12.75">
      <c r="A21" s="2" t="s">
        <v>101</v>
      </c>
      <c r="B21" s="14">
        <f t="shared" si="9"/>
        <v>1170477.7152868668</v>
      </c>
      <c r="C21" s="14">
        <f t="shared" si="5"/>
        <v>5819.2832684939603</v>
      </c>
      <c r="D21" s="14">
        <f t="shared" si="6"/>
        <v>4028.3941367789657</v>
      </c>
      <c r="E21" s="14">
        <f t="shared" si="7"/>
        <v>1790.8891317149946</v>
      </c>
      <c r="F21" s="14">
        <f t="shared" si="8"/>
        <v>1168686.8261551517</v>
      </c>
    </row>
    <row r="22" spans="1:7" ht="12.75">
      <c r="A22" s="2" t="s">
        <v>105</v>
      </c>
      <c r="B22" s="14">
        <f t="shared" si="9"/>
        <v>1168686.8261551517</v>
      </c>
      <c r="C22" s="14">
        <f t="shared" si="5"/>
        <v>5819.2832684939603</v>
      </c>
      <c r="D22" s="14">
        <f t="shared" si="6"/>
        <v>4022.2304933506466</v>
      </c>
      <c r="E22" s="14">
        <f t="shared" si="7"/>
        <v>1797.0527751433137</v>
      </c>
      <c r="F22" s="14">
        <f t="shared" si="8"/>
        <v>1166889.7733800083</v>
      </c>
    </row>
    <row r="23" spans="1:7" ht="12.75">
      <c r="A23" s="2" t="s">
        <v>107</v>
      </c>
      <c r="B23" s="14">
        <f t="shared" si="9"/>
        <v>1166889.7733800083</v>
      </c>
      <c r="C23" s="14">
        <f t="shared" si="5"/>
        <v>5819.2832684939603</v>
      </c>
      <c r="D23" s="14">
        <f t="shared" si="6"/>
        <v>4016.0456367161946</v>
      </c>
      <c r="E23" s="14">
        <f t="shared" si="7"/>
        <v>1803.2376317777657</v>
      </c>
      <c r="F23" s="14">
        <f t="shared" si="8"/>
        <v>1165086.5357482305</v>
      </c>
    </row>
    <row r="24" spans="1:7" ht="12.75">
      <c r="A24" s="2" t="s">
        <v>108</v>
      </c>
      <c r="B24" s="14">
        <f t="shared" si="9"/>
        <v>1165086.5357482305</v>
      </c>
      <c r="C24" s="14">
        <f t="shared" si="5"/>
        <v>5819.2832684939603</v>
      </c>
      <c r="D24" s="14">
        <f t="shared" si="6"/>
        <v>4009.8394938668262</v>
      </c>
      <c r="E24" s="14">
        <f t="shared" si="7"/>
        <v>1809.4437746271342</v>
      </c>
      <c r="F24" s="14">
        <f t="shared" si="8"/>
        <v>1163277.0919736035</v>
      </c>
    </row>
    <row r="25" spans="1:7" ht="12.75">
      <c r="A25" s="2" t="s">
        <v>110</v>
      </c>
      <c r="B25" s="14">
        <f t="shared" si="9"/>
        <v>1163277.0919736035</v>
      </c>
      <c r="C25" s="14">
        <f t="shared" si="5"/>
        <v>5819.2832684939603</v>
      </c>
      <c r="D25" s="14">
        <f t="shared" si="6"/>
        <v>4003.6119915424847</v>
      </c>
      <c r="E25" s="14">
        <f t="shared" si="7"/>
        <v>1815.6712769514756</v>
      </c>
      <c r="F25" s="14">
        <f t="shared" si="8"/>
        <v>1161461.420696652</v>
      </c>
    </row>
    <row r="26" spans="1:7" ht="12.75">
      <c r="A26" s="2" t="s">
        <v>111</v>
      </c>
      <c r="B26" s="14">
        <f t="shared" si="9"/>
        <v>1161461.420696652</v>
      </c>
      <c r="C26" s="14">
        <f t="shared" si="5"/>
        <v>5819.2832684939603</v>
      </c>
      <c r="D26" s="14">
        <f t="shared" si="6"/>
        <v>3997.3630562309768</v>
      </c>
      <c r="E26" s="14">
        <f t="shared" si="7"/>
        <v>1821.9202122629836</v>
      </c>
      <c r="F26" s="14">
        <f t="shared" si="8"/>
        <v>1159639.500484389</v>
      </c>
    </row>
    <row r="27" spans="1:7" ht="12.75">
      <c r="A27" s="2" t="s">
        <v>113</v>
      </c>
      <c r="B27" s="14">
        <f t="shared" si="9"/>
        <v>1159639.500484389</v>
      </c>
      <c r="C27" s="14">
        <f t="shared" si="5"/>
        <v>5819.2832684939603</v>
      </c>
      <c r="D27" s="14">
        <f t="shared" si="6"/>
        <v>3991.0926141671052</v>
      </c>
      <c r="E27" s="14">
        <f t="shared" si="7"/>
        <v>1828.1906543268551</v>
      </c>
      <c r="F27" s="16">
        <f t="shared" si="8"/>
        <v>1157811.3098300621</v>
      </c>
      <c r="G27" s="2">
        <v>2</v>
      </c>
    </row>
    <row r="28" spans="1:7" ht="12.75">
      <c r="A28" s="1" t="s">
        <v>118</v>
      </c>
      <c r="D28" s="16">
        <f>SUM(D16:D27)</f>
        <v>48302.265374893468</v>
      </c>
    </row>
    <row r="29" spans="1:7" ht="12.75">
      <c r="A29" s="23" t="s">
        <v>10</v>
      </c>
    </row>
    <row r="30" spans="1:7" ht="12.75">
      <c r="A30" s="2" t="s">
        <v>84</v>
      </c>
      <c r="B30" s="14">
        <f>F27</f>
        <v>1157811.3098300621</v>
      </c>
      <c r="C30" s="14">
        <f t="shared" ref="C30:C41" si="10">-$I$9</f>
        <v>5819.2832684939603</v>
      </c>
      <c r="D30" s="14">
        <f t="shared" ref="D30:D41" si="11">B30*$I$2</f>
        <v>3984.8005913317966</v>
      </c>
      <c r="E30" s="14">
        <f t="shared" ref="E30:E41" si="12">C30-D30</f>
        <v>1834.4826771621638</v>
      </c>
      <c r="F30" s="14">
        <f t="shared" ref="F30:F41" si="13">B30-E30</f>
        <v>1155976.8271528999</v>
      </c>
    </row>
    <row r="31" spans="1:7" ht="12.75">
      <c r="A31" s="2" t="s">
        <v>88</v>
      </c>
      <c r="B31" s="14">
        <f t="shared" ref="B31:B41" si="14">F30</f>
        <v>1155976.8271528999</v>
      </c>
      <c r="C31" s="14">
        <f t="shared" si="10"/>
        <v>5819.2832684939603</v>
      </c>
      <c r="D31" s="14">
        <f t="shared" si="11"/>
        <v>3978.4869134512301</v>
      </c>
      <c r="E31" s="14">
        <f t="shared" si="12"/>
        <v>1840.7963550427303</v>
      </c>
      <c r="F31" s="14">
        <f t="shared" si="13"/>
        <v>1154136.0307978571</v>
      </c>
    </row>
    <row r="32" spans="1:7" ht="12.75">
      <c r="A32" s="2" t="s">
        <v>91</v>
      </c>
      <c r="B32" s="14">
        <f t="shared" si="14"/>
        <v>1154136.0307978571</v>
      </c>
      <c r="C32" s="14">
        <f t="shared" si="10"/>
        <v>5819.2832684939603</v>
      </c>
      <c r="D32" s="14">
        <f t="shared" si="11"/>
        <v>3972.1515059959575</v>
      </c>
      <c r="E32" s="14">
        <f t="shared" si="12"/>
        <v>1847.1317624980029</v>
      </c>
      <c r="F32" s="14">
        <f t="shared" si="13"/>
        <v>1152288.899035359</v>
      </c>
    </row>
    <row r="33" spans="1:7" ht="12.75">
      <c r="A33" s="2" t="s">
        <v>95</v>
      </c>
      <c r="B33" s="14">
        <f t="shared" si="14"/>
        <v>1152288.899035359</v>
      </c>
      <c r="C33" s="14">
        <f t="shared" si="10"/>
        <v>5819.2832684939603</v>
      </c>
      <c r="D33" s="14">
        <f t="shared" si="11"/>
        <v>3965.794294180027</v>
      </c>
      <c r="E33" s="14">
        <f t="shared" si="12"/>
        <v>1853.4889743139333</v>
      </c>
      <c r="F33" s="14">
        <f t="shared" si="13"/>
        <v>1150435.4100610451</v>
      </c>
    </row>
    <row r="34" spans="1:7" ht="12.75">
      <c r="A34" s="2" t="s">
        <v>99</v>
      </c>
      <c r="B34" s="14">
        <f t="shared" si="14"/>
        <v>1150435.4100610451</v>
      </c>
      <c r="C34" s="14">
        <f t="shared" si="10"/>
        <v>5819.2832684939603</v>
      </c>
      <c r="D34" s="14">
        <f t="shared" si="11"/>
        <v>3959.4152029600964</v>
      </c>
      <c r="E34" s="14">
        <f t="shared" si="12"/>
        <v>1859.868065533864</v>
      </c>
      <c r="F34" s="14">
        <f t="shared" si="13"/>
        <v>1148575.5419955112</v>
      </c>
    </row>
    <row r="35" spans="1:7" ht="12.75">
      <c r="A35" s="2" t="s">
        <v>101</v>
      </c>
      <c r="B35" s="14">
        <f t="shared" si="14"/>
        <v>1148575.5419955112</v>
      </c>
      <c r="C35" s="14">
        <f t="shared" si="10"/>
        <v>5819.2832684939603</v>
      </c>
      <c r="D35" s="14">
        <f t="shared" si="11"/>
        <v>3953.0141570345504</v>
      </c>
      <c r="E35" s="14">
        <f t="shared" si="12"/>
        <v>1866.2691114594099</v>
      </c>
      <c r="F35" s="14">
        <f t="shared" si="13"/>
        <v>1146709.2728840518</v>
      </c>
    </row>
    <row r="36" spans="1:7" ht="12.75">
      <c r="A36" s="2" t="s">
        <v>105</v>
      </c>
      <c r="B36" s="14">
        <f t="shared" si="14"/>
        <v>1146709.2728840518</v>
      </c>
      <c r="C36" s="14">
        <f t="shared" si="10"/>
        <v>5819.2832684939603</v>
      </c>
      <c r="D36" s="14">
        <f t="shared" si="11"/>
        <v>3946.5910808426111</v>
      </c>
      <c r="E36" s="14">
        <f t="shared" si="12"/>
        <v>1872.6921876513493</v>
      </c>
      <c r="F36" s="14">
        <f t="shared" si="13"/>
        <v>1144836.5806964005</v>
      </c>
    </row>
    <row r="37" spans="1:7" ht="12.75">
      <c r="A37" s="2" t="s">
        <v>107</v>
      </c>
      <c r="B37" s="14">
        <f t="shared" si="14"/>
        <v>1144836.5806964005</v>
      </c>
      <c r="C37" s="14">
        <f t="shared" si="10"/>
        <v>5819.2832684939603</v>
      </c>
      <c r="D37" s="14">
        <f t="shared" si="11"/>
        <v>3940.1458985634445</v>
      </c>
      <c r="E37" s="14">
        <f t="shared" si="12"/>
        <v>1879.1373699305159</v>
      </c>
      <c r="F37" s="14">
        <f t="shared" si="13"/>
        <v>1142957.44332647</v>
      </c>
    </row>
    <row r="38" spans="1:7" ht="12.75">
      <c r="A38" s="2" t="s">
        <v>108</v>
      </c>
      <c r="B38" s="14">
        <f t="shared" si="14"/>
        <v>1142957.44332647</v>
      </c>
      <c r="C38" s="14">
        <f t="shared" si="10"/>
        <v>5819.2832684939603</v>
      </c>
      <c r="D38" s="14">
        <f t="shared" si="11"/>
        <v>3933.6785341152672</v>
      </c>
      <c r="E38" s="14">
        <f t="shared" si="12"/>
        <v>1885.6047343786931</v>
      </c>
      <c r="F38" s="14">
        <f t="shared" si="13"/>
        <v>1141071.8385920913</v>
      </c>
    </row>
    <row r="39" spans="1:7" ht="12.75">
      <c r="A39" s="2" t="s">
        <v>110</v>
      </c>
      <c r="B39" s="14">
        <f t="shared" si="14"/>
        <v>1141071.8385920913</v>
      </c>
      <c r="C39" s="14">
        <f t="shared" si="10"/>
        <v>5819.2832684939603</v>
      </c>
      <c r="D39" s="14">
        <f t="shared" si="11"/>
        <v>3927.1889111544474</v>
      </c>
      <c r="E39" s="14">
        <f t="shared" si="12"/>
        <v>1892.094357339513</v>
      </c>
      <c r="F39" s="14">
        <f t="shared" si="13"/>
        <v>1139179.7442347519</v>
      </c>
    </row>
    <row r="40" spans="1:7" ht="12.75">
      <c r="A40" s="2" t="s">
        <v>111</v>
      </c>
      <c r="B40" s="14">
        <f t="shared" si="14"/>
        <v>1139179.7442347519</v>
      </c>
      <c r="C40" s="14">
        <f t="shared" si="10"/>
        <v>5819.2832684939603</v>
      </c>
      <c r="D40" s="14">
        <f t="shared" si="11"/>
        <v>3920.6769530746042</v>
      </c>
      <c r="E40" s="14">
        <f t="shared" si="12"/>
        <v>1898.6063154193562</v>
      </c>
      <c r="F40" s="14">
        <f t="shared" si="13"/>
        <v>1137281.1379193326</v>
      </c>
    </row>
    <row r="41" spans="1:7" ht="12.75">
      <c r="A41" s="2" t="s">
        <v>113</v>
      </c>
      <c r="B41" s="14">
        <f t="shared" si="14"/>
        <v>1137281.1379193326</v>
      </c>
      <c r="C41" s="14">
        <f t="shared" si="10"/>
        <v>5819.2832684939603</v>
      </c>
      <c r="D41" s="14">
        <f t="shared" si="11"/>
        <v>3914.1425830057024</v>
      </c>
      <c r="E41" s="14">
        <f t="shared" si="12"/>
        <v>1905.140685488258</v>
      </c>
      <c r="F41" s="16">
        <f t="shared" si="13"/>
        <v>1135375.9972338444</v>
      </c>
      <c r="G41" s="2">
        <v>3</v>
      </c>
    </row>
    <row r="42" spans="1:7" ht="12.75">
      <c r="A42" s="1" t="s">
        <v>118</v>
      </c>
      <c r="D42" s="16">
        <f>SUM(D30:D41)</f>
        <v>47396.086625709737</v>
      </c>
    </row>
    <row r="43" spans="1:7" ht="12.75">
      <c r="A43" s="23" t="s">
        <v>11</v>
      </c>
    </row>
    <row r="44" spans="1:7" ht="12.75">
      <c r="A44" s="2" t="s">
        <v>84</v>
      </c>
      <c r="B44" s="14">
        <f>F41</f>
        <v>1135375.9972338444</v>
      </c>
      <c r="C44" s="14">
        <f t="shared" ref="C44:C55" si="15">-$I$9</f>
        <v>5819.2832684939603</v>
      </c>
      <c r="D44" s="14">
        <f t="shared" ref="D44:D55" si="16">B44*$I$2</f>
        <v>3907.5857238131471</v>
      </c>
      <c r="E44" s="14">
        <f t="shared" ref="E44:E55" si="17">C44-D44</f>
        <v>1911.6975446808133</v>
      </c>
      <c r="F44" s="14">
        <f t="shared" ref="F44:F55" si="18">B44-E44</f>
        <v>1133464.2996891635</v>
      </c>
    </row>
    <row r="45" spans="1:7" ht="12.75">
      <c r="A45" s="2" t="s">
        <v>88</v>
      </c>
      <c r="B45" s="14">
        <f t="shared" ref="B45:B55" si="19">F44</f>
        <v>1133464.2996891635</v>
      </c>
      <c r="C45" s="14">
        <f t="shared" si="15"/>
        <v>5819.2832684939603</v>
      </c>
      <c r="D45" s="14">
        <f t="shared" si="16"/>
        <v>3901.0062980968705</v>
      </c>
      <c r="E45" s="14">
        <f t="shared" si="17"/>
        <v>1918.2769703970898</v>
      </c>
      <c r="F45" s="14">
        <f t="shared" si="18"/>
        <v>1131546.0227187665</v>
      </c>
    </row>
    <row r="46" spans="1:7" ht="12.75">
      <c r="A46" s="2" t="s">
        <v>91</v>
      </c>
      <c r="B46" s="14">
        <f t="shared" si="19"/>
        <v>1131546.0227187665</v>
      </c>
      <c r="C46" s="14">
        <f t="shared" si="15"/>
        <v>5819.2832684939603</v>
      </c>
      <c r="D46" s="14">
        <f t="shared" si="16"/>
        <v>3894.4042281904208</v>
      </c>
      <c r="E46" s="14">
        <f t="shared" si="17"/>
        <v>1924.8790403035396</v>
      </c>
      <c r="F46" s="14">
        <f t="shared" si="18"/>
        <v>1129621.1436784628</v>
      </c>
    </row>
    <row r="47" spans="1:7" ht="12.75">
      <c r="A47" s="2" t="s">
        <v>95</v>
      </c>
      <c r="B47" s="14">
        <f t="shared" si="19"/>
        <v>1129621.1436784628</v>
      </c>
      <c r="C47" s="14">
        <f t="shared" si="15"/>
        <v>5819.2832684939603</v>
      </c>
      <c r="D47" s="14">
        <f t="shared" si="16"/>
        <v>3887.7794361600422</v>
      </c>
      <c r="E47" s="14">
        <f t="shared" si="17"/>
        <v>1931.5038323339181</v>
      </c>
      <c r="F47" s="14">
        <f t="shared" si="18"/>
        <v>1127689.6398461289</v>
      </c>
    </row>
    <row r="48" spans="1:7" ht="12.75">
      <c r="A48" s="2" t="s">
        <v>99</v>
      </c>
      <c r="B48" s="14">
        <f t="shared" si="19"/>
        <v>1127689.6398461289</v>
      </c>
      <c r="C48" s="14">
        <f t="shared" si="15"/>
        <v>5819.2832684939603</v>
      </c>
      <c r="D48" s="14">
        <f t="shared" si="16"/>
        <v>3881.1318438037597</v>
      </c>
      <c r="E48" s="14">
        <f t="shared" si="17"/>
        <v>1938.1514246902007</v>
      </c>
      <c r="F48" s="14">
        <f t="shared" si="18"/>
        <v>1125751.4884214387</v>
      </c>
    </row>
    <row r="49" spans="1:7" ht="12.75">
      <c r="A49" s="2" t="s">
        <v>101</v>
      </c>
      <c r="B49" s="14">
        <f t="shared" si="19"/>
        <v>1125751.4884214387</v>
      </c>
      <c r="C49" s="14">
        <f t="shared" si="15"/>
        <v>5819.2832684939603</v>
      </c>
      <c r="D49" s="14">
        <f t="shared" si="16"/>
        <v>3874.4613726504513</v>
      </c>
      <c r="E49" s="14">
        <f t="shared" si="17"/>
        <v>1944.8218958435091</v>
      </c>
      <c r="F49" s="14">
        <f t="shared" si="18"/>
        <v>1123806.6665255951</v>
      </c>
    </row>
    <row r="50" spans="1:7" ht="12.75">
      <c r="A50" s="2" t="s">
        <v>105</v>
      </c>
      <c r="B50" s="14">
        <f t="shared" si="19"/>
        <v>1123806.6665255951</v>
      </c>
      <c r="C50" s="14">
        <f t="shared" si="15"/>
        <v>5819.2832684939603</v>
      </c>
      <c r="D50" s="14">
        <f t="shared" si="16"/>
        <v>3867.7679439589228</v>
      </c>
      <c r="E50" s="14">
        <f t="shared" si="17"/>
        <v>1951.5153245350375</v>
      </c>
      <c r="F50" s="14">
        <f t="shared" si="18"/>
        <v>1121855.15120106</v>
      </c>
    </row>
    <row r="51" spans="1:7" ht="12.75">
      <c r="A51" s="2" t="s">
        <v>107</v>
      </c>
      <c r="B51" s="14">
        <f t="shared" si="19"/>
        <v>1121855.15120106</v>
      </c>
      <c r="C51" s="14">
        <f t="shared" si="15"/>
        <v>5819.2832684939603</v>
      </c>
      <c r="D51" s="14">
        <f t="shared" si="16"/>
        <v>3861.0514787169814</v>
      </c>
      <c r="E51" s="14">
        <f t="shared" si="17"/>
        <v>1958.231789776979</v>
      </c>
      <c r="F51" s="14">
        <f t="shared" si="18"/>
        <v>1119896.919411283</v>
      </c>
    </row>
    <row r="52" spans="1:7" ht="12.75">
      <c r="A52" s="2" t="s">
        <v>108</v>
      </c>
      <c r="B52" s="14">
        <f t="shared" si="19"/>
        <v>1119896.919411283</v>
      </c>
      <c r="C52" s="14">
        <f t="shared" si="15"/>
        <v>5819.2832684939603</v>
      </c>
      <c r="D52" s="14">
        <f t="shared" si="16"/>
        <v>3854.3118976404985</v>
      </c>
      <c r="E52" s="14">
        <f t="shared" si="17"/>
        <v>1964.9713708534618</v>
      </c>
      <c r="F52" s="14">
        <f t="shared" si="18"/>
        <v>1117931.9480404295</v>
      </c>
    </row>
    <row r="53" spans="1:7" ht="12.75">
      <c r="A53" s="2" t="s">
        <v>110</v>
      </c>
      <c r="B53" s="14">
        <f t="shared" si="19"/>
        <v>1117931.9480404295</v>
      </c>
      <c r="C53" s="14">
        <f t="shared" si="15"/>
        <v>5819.2832684939603</v>
      </c>
      <c r="D53" s="14">
        <f t="shared" si="16"/>
        <v>3847.5491211724775</v>
      </c>
      <c r="E53" s="14">
        <f t="shared" si="17"/>
        <v>1971.7341473214829</v>
      </c>
      <c r="F53" s="14">
        <f t="shared" si="18"/>
        <v>1115960.2138931081</v>
      </c>
    </row>
    <row r="54" spans="1:7" ht="12.75">
      <c r="A54" s="2" t="s">
        <v>111</v>
      </c>
      <c r="B54" s="14">
        <f t="shared" si="19"/>
        <v>1115960.2138931081</v>
      </c>
      <c r="C54" s="14">
        <f t="shared" si="15"/>
        <v>5819.2832684939603</v>
      </c>
      <c r="D54" s="14">
        <f t="shared" si="16"/>
        <v>3840.7630694821132</v>
      </c>
      <c r="E54" s="14">
        <f t="shared" si="17"/>
        <v>1978.5201990118471</v>
      </c>
      <c r="F54" s="14">
        <f t="shared" si="18"/>
        <v>1113981.6936940963</v>
      </c>
    </row>
    <row r="55" spans="1:7" ht="12.75">
      <c r="A55" s="2" t="s">
        <v>113</v>
      </c>
      <c r="B55" s="14">
        <f t="shared" si="19"/>
        <v>1113981.6936940963</v>
      </c>
      <c r="C55" s="14">
        <f t="shared" si="15"/>
        <v>5819.2832684939603</v>
      </c>
      <c r="D55" s="14">
        <f t="shared" si="16"/>
        <v>3833.9536624638476</v>
      </c>
      <c r="E55" s="14">
        <f t="shared" si="17"/>
        <v>1985.3296060301127</v>
      </c>
      <c r="F55" s="16">
        <f t="shared" si="18"/>
        <v>1111996.3640880662</v>
      </c>
      <c r="G55" s="2">
        <v>4</v>
      </c>
    </row>
    <row r="56" spans="1:7" ht="12.75">
      <c r="A56" s="1" t="s">
        <v>118</v>
      </c>
      <c r="D56" s="16">
        <f>SUM(D44:D55)</f>
        <v>46451.766076149535</v>
      </c>
    </row>
    <row r="57" spans="1:7" ht="12.75">
      <c r="A57" s="23" t="s">
        <v>12</v>
      </c>
    </row>
    <row r="58" spans="1:7" ht="12.75">
      <c r="A58" s="2" t="s">
        <v>84</v>
      </c>
      <c r="B58" s="14">
        <f>F55</f>
        <v>1111996.3640880662</v>
      </c>
      <c r="C58" s="14">
        <f t="shared" ref="C58:C69" si="20">-$I$9</f>
        <v>5819.2832684939603</v>
      </c>
      <c r="D58" s="14">
        <f t="shared" ref="D58:D69" si="21">B58*$I$2</f>
        <v>3827.1208197364272</v>
      </c>
      <c r="E58" s="14">
        <f t="shared" ref="E58:E69" si="22">C58-D58</f>
        <v>1992.1624487575332</v>
      </c>
      <c r="F58" s="14">
        <f t="shared" ref="F58:F69" si="23">B58-E58</f>
        <v>1110004.2016393086</v>
      </c>
    </row>
    <row r="59" spans="1:7" ht="12.75">
      <c r="A59" s="2" t="s">
        <v>88</v>
      </c>
      <c r="B59" s="14">
        <f t="shared" ref="B59:B69" si="24">F58</f>
        <v>1110004.2016393086</v>
      </c>
      <c r="C59" s="14">
        <f t="shared" si="20"/>
        <v>5819.2832684939603</v>
      </c>
      <c r="D59" s="14">
        <f t="shared" si="21"/>
        <v>3820.2644606419531</v>
      </c>
      <c r="E59" s="14">
        <f t="shared" si="22"/>
        <v>1999.0188078520073</v>
      </c>
      <c r="F59" s="14">
        <f t="shared" si="23"/>
        <v>1108005.1828314567</v>
      </c>
    </row>
    <row r="60" spans="1:7" ht="12.75">
      <c r="A60" s="2" t="s">
        <v>91</v>
      </c>
      <c r="B60" s="14">
        <f t="shared" si="24"/>
        <v>1108005.1828314567</v>
      </c>
      <c r="C60" s="14">
        <f t="shared" si="20"/>
        <v>5819.2832684939603</v>
      </c>
      <c r="D60" s="14">
        <f t="shared" si="21"/>
        <v>3813.3845042449293</v>
      </c>
      <c r="E60" s="14">
        <f t="shared" si="22"/>
        <v>2005.898764249031</v>
      </c>
      <c r="F60" s="14">
        <f t="shared" si="23"/>
        <v>1105999.2840672077</v>
      </c>
    </row>
    <row r="61" spans="1:7" ht="12.75">
      <c r="A61" s="2" t="s">
        <v>95</v>
      </c>
      <c r="B61" s="14">
        <f t="shared" si="24"/>
        <v>1105999.2840672077</v>
      </c>
      <c r="C61" s="14">
        <f t="shared" si="20"/>
        <v>5819.2832684939603</v>
      </c>
      <c r="D61" s="14">
        <f t="shared" si="21"/>
        <v>3806.4808693313062</v>
      </c>
      <c r="E61" s="14">
        <f t="shared" si="22"/>
        <v>2012.8023991626542</v>
      </c>
      <c r="F61" s="14">
        <f t="shared" si="23"/>
        <v>1103986.481668045</v>
      </c>
    </row>
    <row r="62" spans="1:7" ht="12.75">
      <c r="A62" s="2" t="s">
        <v>99</v>
      </c>
      <c r="B62" s="14">
        <f t="shared" si="24"/>
        <v>1103986.481668045</v>
      </c>
      <c r="C62" s="14">
        <f t="shared" si="20"/>
        <v>5819.2832684939603</v>
      </c>
      <c r="D62" s="14">
        <f t="shared" si="21"/>
        <v>3799.5534744075212</v>
      </c>
      <c r="E62" s="14">
        <f t="shared" si="22"/>
        <v>2019.7297940864391</v>
      </c>
      <c r="F62" s="14">
        <f t="shared" si="23"/>
        <v>1101966.7518739586</v>
      </c>
    </row>
    <row r="63" spans="1:7" ht="12.75">
      <c r="A63" s="2" t="s">
        <v>101</v>
      </c>
      <c r="B63" s="14">
        <f t="shared" si="24"/>
        <v>1101966.7518739586</v>
      </c>
      <c r="C63" s="14">
        <f t="shared" si="20"/>
        <v>5819.2832684939603</v>
      </c>
      <c r="D63" s="14">
        <f t="shared" si="21"/>
        <v>3792.6022376995406</v>
      </c>
      <c r="E63" s="14">
        <f t="shared" si="22"/>
        <v>2026.6810307944197</v>
      </c>
      <c r="F63" s="14">
        <f t="shared" si="23"/>
        <v>1099940.0708431641</v>
      </c>
    </row>
    <row r="64" spans="1:7" ht="12.75">
      <c r="A64" s="2" t="s">
        <v>105</v>
      </c>
      <c r="B64" s="14">
        <f t="shared" si="24"/>
        <v>1099940.0708431641</v>
      </c>
      <c r="C64" s="14">
        <f t="shared" si="20"/>
        <v>5819.2832684939603</v>
      </c>
      <c r="D64" s="14">
        <f t="shared" si="21"/>
        <v>3785.6270771518894</v>
      </c>
      <c r="E64" s="14">
        <f t="shared" si="22"/>
        <v>2033.656191342071</v>
      </c>
      <c r="F64" s="14">
        <f t="shared" si="23"/>
        <v>1097906.4146518221</v>
      </c>
    </row>
    <row r="65" spans="1:7" ht="12.75">
      <c r="A65" s="2" t="s">
        <v>107</v>
      </c>
      <c r="B65" s="14">
        <f t="shared" si="24"/>
        <v>1097906.4146518221</v>
      </c>
      <c r="C65" s="14">
        <f t="shared" si="20"/>
        <v>5819.2832684939603</v>
      </c>
      <c r="D65" s="14">
        <f t="shared" si="21"/>
        <v>3778.6279104266873</v>
      </c>
      <c r="E65" s="14">
        <f t="shared" si="22"/>
        <v>2040.655358067273</v>
      </c>
      <c r="F65" s="14">
        <f t="shared" si="23"/>
        <v>1095865.7592937548</v>
      </c>
    </row>
    <row r="66" spans="1:7" ht="12.75">
      <c r="A66" s="2" t="s">
        <v>108</v>
      </c>
      <c r="B66" s="14">
        <f t="shared" si="24"/>
        <v>1095865.7592937548</v>
      </c>
      <c r="C66" s="14">
        <f t="shared" si="20"/>
        <v>5819.2832684939603</v>
      </c>
      <c r="D66" s="14">
        <f t="shared" si="21"/>
        <v>3771.6046549026723</v>
      </c>
      <c r="E66" s="14">
        <f t="shared" si="22"/>
        <v>2047.678613591288</v>
      </c>
      <c r="F66" s="14">
        <f t="shared" si="23"/>
        <v>1093818.0806801636</v>
      </c>
    </row>
    <row r="67" spans="1:7" ht="12.75">
      <c r="A67" s="2" t="s">
        <v>110</v>
      </c>
      <c r="B67" s="14">
        <f t="shared" si="24"/>
        <v>1093818.0806801636</v>
      </c>
      <c r="C67" s="14">
        <f t="shared" si="20"/>
        <v>5819.2832684939603</v>
      </c>
      <c r="D67" s="14">
        <f t="shared" si="21"/>
        <v>3764.5572276742291</v>
      </c>
      <c r="E67" s="14">
        <f t="shared" si="22"/>
        <v>2054.7260408197312</v>
      </c>
      <c r="F67" s="14">
        <f t="shared" si="23"/>
        <v>1091763.3546393439</v>
      </c>
    </row>
    <row r="68" spans="1:7" ht="12.75">
      <c r="A68" s="2" t="s">
        <v>111</v>
      </c>
      <c r="B68" s="14">
        <f t="shared" si="24"/>
        <v>1091763.3546393439</v>
      </c>
      <c r="C68" s="14">
        <f t="shared" si="20"/>
        <v>5819.2832684939603</v>
      </c>
      <c r="D68" s="14">
        <f t="shared" si="21"/>
        <v>3757.485545550408</v>
      </c>
      <c r="E68" s="14">
        <f t="shared" si="22"/>
        <v>2061.7977229435523</v>
      </c>
      <c r="F68" s="14">
        <f t="shared" si="23"/>
        <v>1089701.5569164003</v>
      </c>
    </row>
    <row r="69" spans="1:7" ht="12.75">
      <c r="A69" s="2" t="s">
        <v>113</v>
      </c>
      <c r="B69" s="14">
        <f t="shared" si="24"/>
        <v>1089701.5569164003</v>
      </c>
      <c r="C69" s="14">
        <f t="shared" si="20"/>
        <v>5819.2832684939603</v>
      </c>
      <c r="D69" s="14">
        <f t="shared" si="21"/>
        <v>3750.389525053944</v>
      </c>
      <c r="E69" s="14">
        <f t="shared" si="22"/>
        <v>2068.8937434400164</v>
      </c>
      <c r="F69" s="16">
        <f t="shared" si="23"/>
        <v>1087632.6631729603</v>
      </c>
      <c r="G69" s="2">
        <v>5</v>
      </c>
    </row>
    <row r="70" spans="1:7" ht="12.75">
      <c r="A70" s="1" t="s">
        <v>118</v>
      </c>
      <c r="D70" s="16">
        <f>SUM(D58:D69)</f>
        <v>45467.698306821505</v>
      </c>
    </row>
    <row r="71" spans="1:7" ht="12.75">
      <c r="A71" s="23" t="s">
        <v>13</v>
      </c>
    </row>
    <row r="72" spans="1:7" ht="12.75">
      <c r="A72" s="2" t="s">
        <v>84</v>
      </c>
      <c r="B72" s="14">
        <f>F69</f>
        <v>1087632.6631729603</v>
      </c>
      <c r="C72" s="14">
        <f t="shared" ref="C72:C83" si="25">-$I$9</f>
        <v>5819.2832684939603</v>
      </c>
      <c r="D72" s="14">
        <f t="shared" ref="D72:D83" si="26">B72*$I$2</f>
        <v>3743.2690824202709</v>
      </c>
      <c r="E72" s="14">
        <f t="shared" ref="E72:E83" si="27">C72-D72</f>
        <v>2076.0141860736894</v>
      </c>
      <c r="F72" s="14">
        <f t="shared" ref="F72:F83" si="28">B72-E72</f>
        <v>1085556.6489868865</v>
      </c>
    </row>
    <row r="73" spans="1:7" ht="12.75">
      <c r="A73" s="2" t="s">
        <v>88</v>
      </c>
      <c r="B73" s="14">
        <f t="shared" ref="B73:B83" si="29">F72</f>
        <v>1085556.6489868865</v>
      </c>
      <c r="C73" s="14">
        <f t="shared" si="25"/>
        <v>5819.2832684939603</v>
      </c>
      <c r="D73" s="14">
        <f t="shared" si="26"/>
        <v>3736.1241335965337</v>
      </c>
      <c r="E73" s="14">
        <f t="shared" si="27"/>
        <v>2083.1591348974266</v>
      </c>
      <c r="F73" s="14">
        <f t="shared" si="28"/>
        <v>1083473.4898519891</v>
      </c>
    </row>
    <row r="74" spans="1:7" ht="12.75">
      <c r="A74" s="2" t="s">
        <v>91</v>
      </c>
      <c r="B74" s="14">
        <f t="shared" si="29"/>
        <v>1083473.4898519891</v>
      </c>
      <c r="C74" s="14">
        <f t="shared" si="25"/>
        <v>5819.2832684939603</v>
      </c>
      <c r="D74" s="14">
        <f t="shared" si="26"/>
        <v>3728.9545942405953</v>
      </c>
      <c r="E74" s="14">
        <f t="shared" si="27"/>
        <v>2090.3286742533651</v>
      </c>
      <c r="F74" s="14">
        <f t="shared" si="28"/>
        <v>1081383.1611777358</v>
      </c>
    </row>
    <row r="75" spans="1:7" ht="12.75">
      <c r="A75" s="2" t="s">
        <v>95</v>
      </c>
      <c r="B75" s="14">
        <f t="shared" si="29"/>
        <v>1081383.1611777358</v>
      </c>
      <c r="C75" s="14">
        <f t="shared" si="25"/>
        <v>5819.2832684939603</v>
      </c>
      <c r="D75" s="14">
        <f t="shared" si="26"/>
        <v>3721.76037972004</v>
      </c>
      <c r="E75" s="14">
        <f t="shared" si="27"/>
        <v>2097.5228887739204</v>
      </c>
      <c r="F75" s="14">
        <f t="shared" si="28"/>
        <v>1079285.638288962</v>
      </c>
    </row>
    <row r="76" spans="1:7" ht="12.75">
      <c r="A76" s="2" t="s">
        <v>99</v>
      </c>
      <c r="B76" s="14">
        <f t="shared" si="29"/>
        <v>1079285.638288962</v>
      </c>
      <c r="C76" s="14">
        <f t="shared" si="25"/>
        <v>5819.2832684939603</v>
      </c>
      <c r="D76" s="14">
        <f t="shared" si="26"/>
        <v>3714.541405111177</v>
      </c>
      <c r="E76" s="14">
        <f t="shared" si="27"/>
        <v>2104.7418633827833</v>
      </c>
      <c r="F76" s="14">
        <f t="shared" si="28"/>
        <v>1077180.8964255792</v>
      </c>
    </row>
    <row r="77" spans="1:7" ht="12.75">
      <c r="A77" s="2" t="s">
        <v>101</v>
      </c>
      <c r="B77" s="14">
        <f t="shared" si="29"/>
        <v>1077180.8964255792</v>
      </c>
      <c r="C77" s="14">
        <f t="shared" si="25"/>
        <v>5819.2832684939603</v>
      </c>
      <c r="D77" s="14">
        <f t="shared" si="26"/>
        <v>3707.2975851980345</v>
      </c>
      <c r="E77" s="14">
        <f t="shared" si="27"/>
        <v>2111.9856832959258</v>
      </c>
      <c r="F77" s="14">
        <f t="shared" si="28"/>
        <v>1075068.9107422833</v>
      </c>
    </row>
    <row r="78" spans="1:7" ht="12.75">
      <c r="A78" s="2" t="s">
        <v>105</v>
      </c>
      <c r="B78" s="14">
        <f t="shared" si="29"/>
        <v>1075068.9107422833</v>
      </c>
      <c r="C78" s="14">
        <f t="shared" si="25"/>
        <v>5819.2832684939603</v>
      </c>
      <c r="D78" s="14">
        <f t="shared" si="26"/>
        <v>3700.0288344713581</v>
      </c>
      <c r="E78" s="14">
        <f t="shared" si="27"/>
        <v>2119.2544340226023</v>
      </c>
      <c r="F78" s="14">
        <f t="shared" si="28"/>
        <v>1072949.6563082607</v>
      </c>
    </row>
    <row r="79" spans="1:7" ht="12.75">
      <c r="A79" s="2" t="s">
        <v>107</v>
      </c>
      <c r="B79" s="14">
        <f t="shared" si="29"/>
        <v>1072949.6563082607</v>
      </c>
      <c r="C79" s="14">
        <f t="shared" si="25"/>
        <v>5819.2832684939603</v>
      </c>
      <c r="D79" s="14">
        <f t="shared" si="26"/>
        <v>3692.7350671275967</v>
      </c>
      <c r="E79" s="14">
        <f t="shared" si="27"/>
        <v>2126.5482013663636</v>
      </c>
      <c r="F79" s="14">
        <f t="shared" si="28"/>
        <v>1070823.1081068944</v>
      </c>
    </row>
    <row r="80" spans="1:7" ht="12.75">
      <c r="A80" s="2" t="s">
        <v>108</v>
      </c>
      <c r="B80" s="14">
        <f t="shared" si="29"/>
        <v>1070823.1081068944</v>
      </c>
      <c r="C80" s="14">
        <f t="shared" si="25"/>
        <v>5819.2832684939603</v>
      </c>
      <c r="D80" s="14">
        <f t="shared" si="26"/>
        <v>3685.4161970678947</v>
      </c>
      <c r="E80" s="14">
        <f t="shared" si="27"/>
        <v>2133.8670714260656</v>
      </c>
      <c r="F80" s="14">
        <f t="shared" si="28"/>
        <v>1068689.2410354684</v>
      </c>
    </row>
    <row r="81" spans="1:7" ht="12.75">
      <c r="A81" s="2" t="s">
        <v>110</v>
      </c>
      <c r="B81" s="14">
        <f t="shared" si="29"/>
        <v>1068689.2410354684</v>
      </c>
      <c r="C81" s="14">
        <f t="shared" si="25"/>
        <v>5819.2832684939603</v>
      </c>
      <c r="D81" s="14">
        <f t="shared" si="26"/>
        <v>3678.0721378970698</v>
      </c>
      <c r="E81" s="14">
        <f t="shared" si="27"/>
        <v>2141.2111305968906</v>
      </c>
      <c r="F81" s="14">
        <f t="shared" si="28"/>
        <v>1066548.0299048715</v>
      </c>
    </row>
    <row r="82" spans="1:7" ht="12.75">
      <c r="A82" s="2" t="s">
        <v>111</v>
      </c>
      <c r="B82" s="14">
        <f t="shared" si="29"/>
        <v>1066548.0299048715</v>
      </c>
      <c r="C82" s="14">
        <f t="shared" si="25"/>
        <v>5819.2832684939603</v>
      </c>
      <c r="D82" s="14">
        <f t="shared" si="26"/>
        <v>3670.7028029225989</v>
      </c>
      <c r="E82" s="14">
        <f t="shared" si="27"/>
        <v>2148.5804655713614</v>
      </c>
      <c r="F82" s="14">
        <f t="shared" si="28"/>
        <v>1064399.4494393002</v>
      </c>
    </row>
    <row r="83" spans="1:7" ht="12.75">
      <c r="A83" s="2" t="s">
        <v>113</v>
      </c>
      <c r="B83" s="14">
        <f t="shared" si="29"/>
        <v>1064399.4494393002</v>
      </c>
      <c r="C83" s="14">
        <f t="shared" si="25"/>
        <v>5819.2832684939603</v>
      </c>
      <c r="D83" s="14">
        <f t="shared" si="26"/>
        <v>3663.308105153591</v>
      </c>
      <c r="E83" s="14">
        <f t="shared" si="27"/>
        <v>2155.9751633403694</v>
      </c>
      <c r="F83" s="16">
        <f t="shared" si="28"/>
        <v>1062243.4742759599</v>
      </c>
      <c r="G83" s="2">
        <v>6</v>
      </c>
    </row>
    <row r="84" spans="1:7" ht="12.75">
      <c r="A84" s="1" t="s">
        <v>118</v>
      </c>
      <c r="D84" s="16">
        <f>SUM(D72:D83)</f>
        <v>44442.21032492676</v>
      </c>
    </row>
    <row r="85" spans="1:7" ht="12.75">
      <c r="A85" s="23" t="s">
        <v>14</v>
      </c>
    </row>
    <row r="86" spans="1:7" ht="12.75">
      <c r="A86" s="2" t="s">
        <v>84</v>
      </c>
      <c r="B86" s="14">
        <f>F83</f>
        <v>1062243.4742759599</v>
      </c>
      <c r="C86" s="14">
        <f t="shared" ref="C86:C97" si="30">-$I$9</f>
        <v>5819.2832684939603</v>
      </c>
      <c r="D86" s="14">
        <f t="shared" ref="D86:D97" si="31">B86*$I$2</f>
        <v>3655.8879572997616</v>
      </c>
      <c r="E86" s="14">
        <f t="shared" ref="E86:E97" si="32">C86-D86</f>
        <v>2163.3953111941987</v>
      </c>
      <c r="F86" s="14">
        <f t="shared" ref="F86:F97" si="33">B86-E86</f>
        <v>1060080.0789647656</v>
      </c>
    </row>
    <row r="87" spans="1:7" ht="12.75">
      <c r="A87" s="2" t="s">
        <v>88</v>
      </c>
      <c r="B87" s="14">
        <f t="shared" ref="B87:B97" si="34">F86</f>
        <v>1060080.0789647656</v>
      </c>
      <c r="C87" s="14">
        <f t="shared" si="30"/>
        <v>5819.2832684939603</v>
      </c>
      <c r="D87" s="14">
        <f t="shared" si="31"/>
        <v>3648.4422717704015</v>
      </c>
      <c r="E87" s="14">
        <f t="shared" si="32"/>
        <v>2170.8409967235589</v>
      </c>
      <c r="F87" s="14">
        <f t="shared" si="33"/>
        <v>1057909.237968042</v>
      </c>
    </row>
    <row r="88" spans="1:7" ht="12.75">
      <c r="A88" s="2" t="s">
        <v>91</v>
      </c>
      <c r="B88" s="14">
        <f t="shared" si="34"/>
        <v>1057909.237968042</v>
      </c>
      <c r="C88" s="14">
        <f t="shared" si="30"/>
        <v>5819.2832684939603</v>
      </c>
      <c r="D88" s="14">
        <f t="shared" si="31"/>
        <v>3640.9709606733441</v>
      </c>
      <c r="E88" s="14">
        <f t="shared" si="32"/>
        <v>2178.3123078206163</v>
      </c>
      <c r="F88" s="14">
        <f t="shared" si="33"/>
        <v>1055730.9256602214</v>
      </c>
    </row>
    <row r="89" spans="1:7" ht="12.75">
      <c r="A89" s="2" t="s">
        <v>95</v>
      </c>
      <c r="B89" s="14">
        <f t="shared" si="34"/>
        <v>1055730.9256602214</v>
      </c>
      <c r="C89" s="14">
        <f t="shared" si="30"/>
        <v>5819.2832684939603</v>
      </c>
      <c r="D89" s="14">
        <f t="shared" si="31"/>
        <v>3633.4739358139282</v>
      </c>
      <c r="E89" s="14">
        <f t="shared" si="32"/>
        <v>2185.8093326800322</v>
      </c>
      <c r="F89" s="14">
        <f t="shared" si="33"/>
        <v>1053545.1163275414</v>
      </c>
    </row>
    <row r="90" spans="1:7" ht="12.75">
      <c r="A90" s="2" t="s">
        <v>99</v>
      </c>
      <c r="B90" s="14">
        <f t="shared" si="34"/>
        <v>1053545.1163275414</v>
      </c>
      <c r="C90" s="14">
        <f t="shared" si="30"/>
        <v>5819.2832684939603</v>
      </c>
      <c r="D90" s="14">
        <f t="shared" si="31"/>
        <v>3625.9511086939547</v>
      </c>
      <c r="E90" s="14">
        <f t="shared" si="32"/>
        <v>2193.3321598000057</v>
      </c>
      <c r="F90" s="14">
        <f t="shared" si="33"/>
        <v>1051351.7841677414</v>
      </c>
    </row>
    <row r="91" spans="1:7" ht="12.75">
      <c r="A91" s="2" t="s">
        <v>101</v>
      </c>
      <c r="B91" s="14">
        <f t="shared" si="34"/>
        <v>1051351.7841677414</v>
      </c>
      <c r="C91" s="14">
        <f t="shared" si="30"/>
        <v>5819.2832684939603</v>
      </c>
      <c r="D91" s="14">
        <f t="shared" si="31"/>
        <v>3618.4023905106428</v>
      </c>
      <c r="E91" s="14">
        <f t="shared" si="32"/>
        <v>2200.8808779833175</v>
      </c>
      <c r="F91" s="14">
        <f t="shared" si="33"/>
        <v>1049150.9032897581</v>
      </c>
    </row>
    <row r="92" spans="1:7" ht="12.75">
      <c r="A92" s="2" t="s">
        <v>105</v>
      </c>
      <c r="B92" s="14">
        <f t="shared" si="34"/>
        <v>1049150.9032897581</v>
      </c>
      <c r="C92" s="14">
        <f t="shared" si="30"/>
        <v>5819.2832684939603</v>
      </c>
      <c r="D92" s="14">
        <f t="shared" si="31"/>
        <v>3610.8276921555839</v>
      </c>
      <c r="E92" s="14">
        <f t="shared" si="32"/>
        <v>2208.4555763383764</v>
      </c>
      <c r="F92" s="14">
        <f t="shared" si="33"/>
        <v>1046942.4477134198</v>
      </c>
    </row>
    <row r="93" spans="1:7" ht="12.75">
      <c r="A93" s="2" t="s">
        <v>107</v>
      </c>
      <c r="B93" s="14">
        <f t="shared" si="34"/>
        <v>1046942.4477134198</v>
      </c>
      <c r="C93" s="14">
        <f t="shared" si="30"/>
        <v>5819.2832684939603</v>
      </c>
      <c r="D93" s="14">
        <f t="shared" si="31"/>
        <v>3603.2269242136858</v>
      </c>
      <c r="E93" s="14">
        <f t="shared" si="32"/>
        <v>2216.0563442802745</v>
      </c>
      <c r="F93" s="14">
        <f t="shared" si="33"/>
        <v>1044726.3913691395</v>
      </c>
    </row>
    <row r="94" spans="1:7" ht="12.75">
      <c r="A94" s="2" t="s">
        <v>108</v>
      </c>
      <c r="B94" s="14">
        <f t="shared" si="34"/>
        <v>1044726.3913691395</v>
      </c>
      <c r="C94" s="14">
        <f t="shared" si="30"/>
        <v>5819.2832684939603</v>
      </c>
      <c r="D94" s="14">
        <f t="shared" si="31"/>
        <v>3595.5999969621216</v>
      </c>
      <c r="E94" s="14">
        <f t="shared" si="32"/>
        <v>2223.6832715318387</v>
      </c>
      <c r="F94" s="14">
        <f t="shared" si="33"/>
        <v>1042502.7080976077</v>
      </c>
    </row>
    <row r="95" spans="1:7" ht="12.75">
      <c r="A95" s="2" t="s">
        <v>110</v>
      </c>
      <c r="B95" s="14">
        <f t="shared" si="34"/>
        <v>1042502.7080976077</v>
      </c>
      <c r="C95" s="14">
        <f t="shared" si="30"/>
        <v>5819.2832684939603</v>
      </c>
      <c r="D95" s="14">
        <f t="shared" si="31"/>
        <v>3587.9468203692659</v>
      </c>
      <c r="E95" s="14">
        <f t="shared" si="32"/>
        <v>2231.3364481246945</v>
      </c>
      <c r="F95" s="14">
        <f t="shared" si="33"/>
        <v>1040271.371649483</v>
      </c>
    </row>
    <row r="96" spans="1:7" ht="12.75">
      <c r="A96" s="2" t="s">
        <v>111</v>
      </c>
      <c r="B96" s="14">
        <f t="shared" si="34"/>
        <v>1040271.371649483</v>
      </c>
      <c r="C96" s="14">
        <f t="shared" si="30"/>
        <v>5819.2832684939603</v>
      </c>
      <c r="D96" s="14">
        <f t="shared" si="31"/>
        <v>3580.267304093637</v>
      </c>
      <c r="E96" s="14">
        <f t="shared" si="32"/>
        <v>2239.0159644003234</v>
      </c>
      <c r="F96" s="14">
        <f t="shared" si="33"/>
        <v>1038032.3556850826</v>
      </c>
    </row>
    <row r="97" spans="1:7" ht="12.75">
      <c r="A97" s="2" t="s">
        <v>113</v>
      </c>
      <c r="B97" s="14">
        <f t="shared" si="34"/>
        <v>1038032.3556850826</v>
      </c>
      <c r="C97" s="14">
        <f t="shared" si="30"/>
        <v>5819.2832684939603</v>
      </c>
      <c r="D97" s="14">
        <f t="shared" si="31"/>
        <v>3572.5613574828253</v>
      </c>
      <c r="E97" s="14">
        <f t="shared" si="32"/>
        <v>2246.721911011135</v>
      </c>
      <c r="F97" s="16">
        <f t="shared" si="33"/>
        <v>1035785.6337740715</v>
      </c>
      <c r="G97" s="2">
        <v>7</v>
      </c>
    </row>
    <row r="98" spans="1:7" ht="12.75">
      <c r="A98" s="1" t="s">
        <v>118</v>
      </c>
      <c r="D98" s="16">
        <f>SUM(D86:D97)</f>
        <v>43373.558720039153</v>
      </c>
    </row>
    <row r="99" spans="1:7" ht="12.75">
      <c r="A99" s="23" t="s">
        <v>15</v>
      </c>
      <c r="B99" s="14">
        <f>F97</f>
        <v>1035785.6337740715</v>
      </c>
    </row>
    <row r="100" spans="1:7" ht="12.75">
      <c r="A100" s="2" t="s">
        <v>84</v>
      </c>
      <c r="C100" s="14">
        <f t="shared" ref="C100:C111" si="35">-$I$9</f>
        <v>5819.2832684939603</v>
      </c>
      <c r="D100" s="14">
        <f>B99*$I$2</f>
        <v>3564.828889572429</v>
      </c>
      <c r="E100" s="14">
        <f t="shared" ref="E100:E111" si="36">C100-D100</f>
        <v>2254.4543789215313</v>
      </c>
      <c r="F100" s="14">
        <f>B99-E100</f>
        <v>1033531.1793951499</v>
      </c>
    </row>
    <row r="101" spans="1:7" ht="12.75">
      <c r="A101" s="2" t="s">
        <v>88</v>
      </c>
      <c r="B101" s="14">
        <f t="shared" ref="B101:B111" si="37">F100</f>
        <v>1033531.1793951499</v>
      </c>
      <c r="C101" s="14">
        <f t="shared" si="35"/>
        <v>5819.2832684939603</v>
      </c>
      <c r="D101" s="14">
        <f t="shared" ref="D101:D111" si="38">B101*$I$2</f>
        <v>3557.0698090849737</v>
      </c>
      <c r="E101" s="14">
        <f t="shared" si="36"/>
        <v>2262.2134594089866</v>
      </c>
      <c r="F101" s="14">
        <f t="shared" ref="F101:F111" si="39">B101-E101</f>
        <v>1031268.965935741</v>
      </c>
    </row>
    <row r="102" spans="1:7" ht="12.75">
      <c r="A102" s="2" t="s">
        <v>91</v>
      </c>
      <c r="B102" s="14">
        <f t="shared" si="37"/>
        <v>1031268.965935741</v>
      </c>
      <c r="C102" s="14">
        <f t="shared" si="35"/>
        <v>5819.2832684939603</v>
      </c>
      <c r="D102" s="14">
        <f t="shared" si="38"/>
        <v>3549.2840244288413</v>
      </c>
      <c r="E102" s="14">
        <f t="shared" si="36"/>
        <v>2269.999244065119</v>
      </c>
      <c r="F102" s="14">
        <f t="shared" si="39"/>
        <v>1028998.9666916758</v>
      </c>
    </row>
    <row r="103" spans="1:7" ht="12.75">
      <c r="A103" s="2" t="s">
        <v>95</v>
      </c>
      <c r="B103" s="14">
        <f t="shared" si="37"/>
        <v>1028998.9666916758</v>
      </c>
      <c r="C103" s="14">
        <f t="shared" si="35"/>
        <v>5819.2832684939603</v>
      </c>
      <c r="D103" s="14">
        <f t="shared" si="38"/>
        <v>3541.471443697184</v>
      </c>
      <c r="E103" s="14">
        <f t="shared" si="36"/>
        <v>2277.8118247967764</v>
      </c>
      <c r="F103" s="14">
        <f t="shared" si="39"/>
        <v>1026721.1548668791</v>
      </c>
    </row>
    <row r="104" spans="1:7" ht="12.75">
      <c r="A104" s="2" t="s">
        <v>99</v>
      </c>
      <c r="B104" s="14">
        <f t="shared" si="37"/>
        <v>1026721.1548668791</v>
      </c>
      <c r="C104" s="14">
        <f t="shared" si="35"/>
        <v>5819.2832684939603</v>
      </c>
      <c r="D104" s="14">
        <f t="shared" si="38"/>
        <v>3533.6319746668419</v>
      </c>
      <c r="E104" s="14">
        <f t="shared" si="36"/>
        <v>2285.6512938271185</v>
      </c>
      <c r="F104" s="14">
        <f t="shared" si="39"/>
        <v>1024435.503573052</v>
      </c>
    </row>
    <row r="105" spans="1:7" ht="12.75">
      <c r="A105" s="2" t="s">
        <v>101</v>
      </c>
      <c r="B105" s="14">
        <f t="shared" si="37"/>
        <v>1024435.503573052</v>
      </c>
      <c r="C105" s="14">
        <f t="shared" si="35"/>
        <v>5819.2832684939603</v>
      </c>
      <c r="D105" s="14">
        <f t="shared" si="38"/>
        <v>3525.7655247972534</v>
      </c>
      <c r="E105" s="14">
        <f t="shared" si="36"/>
        <v>2293.5177436967069</v>
      </c>
      <c r="F105" s="14">
        <f t="shared" si="39"/>
        <v>1022141.9858293553</v>
      </c>
    </row>
    <row r="106" spans="1:7" ht="12.75">
      <c r="A106" s="2" t="s">
        <v>105</v>
      </c>
      <c r="B106" s="14">
        <f t="shared" si="37"/>
        <v>1022141.9858293553</v>
      </c>
      <c r="C106" s="14">
        <f t="shared" si="35"/>
        <v>5819.2832684939603</v>
      </c>
      <c r="D106" s="14">
        <f t="shared" si="38"/>
        <v>3517.8720012293643</v>
      </c>
      <c r="E106" s="14">
        <f t="shared" si="36"/>
        <v>2301.4112672645961</v>
      </c>
      <c r="F106" s="14">
        <f t="shared" si="39"/>
        <v>1019840.5745620907</v>
      </c>
    </row>
    <row r="107" spans="1:7" ht="12.75">
      <c r="A107" s="2" t="s">
        <v>107</v>
      </c>
      <c r="B107" s="14">
        <f t="shared" si="37"/>
        <v>1019840.5745620907</v>
      </c>
      <c r="C107" s="14">
        <f t="shared" si="35"/>
        <v>5819.2832684939603</v>
      </c>
      <c r="D107" s="14">
        <f t="shared" si="38"/>
        <v>3509.9513107845282</v>
      </c>
      <c r="E107" s="14">
        <f t="shared" si="36"/>
        <v>2309.3319577094321</v>
      </c>
      <c r="F107" s="14">
        <f t="shared" si="39"/>
        <v>1017531.2426043813</v>
      </c>
    </row>
    <row r="108" spans="1:7" ht="12.75">
      <c r="A108" s="2" t="s">
        <v>108</v>
      </c>
      <c r="B108" s="14">
        <f t="shared" si="37"/>
        <v>1017531.2426043813</v>
      </c>
      <c r="C108" s="14">
        <f t="shared" si="35"/>
        <v>5819.2832684939603</v>
      </c>
      <c r="D108" s="14">
        <f t="shared" si="38"/>
        <v>3502.0033599634116</v>
      </c>
      <c r="E108" s="14">
        <f t="shared" si="36"/>
        <v>2317.2799085305487</v>
      </c>
      <c r="F108" s="14">
        <f t="shared" si="39"/>
        <v>1015213.9626958508</v>
      </c>
    </row>
    <row r="109" spans="1:7" ht="12.75">
      <c r="A109" s="2" t="s">
        <v>110</v>
      </c>
      <c r="B109" s="14">
        <f t="shared" si="37"/>
        <v>1015213.9626958508</v>
      </c>
      <c r="C109" s="14">
        <f t="shared" si="35"/>
        <v>5819.2832684939603</v>
      </c>
      <c r="D109" s="14">
        <f t="shared" si="38"/>
        <v>3494.0280549448858</v>
      </c>
      <c r="E109" s="14">
        <f t="shared" si="36"/>
        <v>2325.2552135490746</v>
      </c>
      <c r="F109" s="14">
        <f t="shared" si="39"/>
        <v>1012888.7074823016</v>
      </c>
    </row>
    <row r="110" spans="1:7" ht="12.75">
      <c r="A110" s="2" t="s">
        <v>111</v>
      </c>
      <c r="B110" s="14">
        <f t="shared" si="37"/>
        <v>1012888.7074823016</v>
      </c>
      <c r="C110" s="14">
        <f t="shared" si="35"/>
        <v>5819.2832684939603</v>
      </c>
      <c r="D110" s="14">
        <f t="shared" si="38"/>
        <v>3486.0253015849212</v>
      </c>
      <c r="E110" s="14">
        <f t="shared" si="36"/>
        <v>2333.2579669090392</v>
      </c>
      <c r="F110" s="14">
        <f t="shared" si="39"/>
        <v>1010555.4495153925</v>
      </c>
    </row>
    <row r="111" spans="1:7" ht="12.75">
      <c r="A111" s="2" t="s">
        <v>113</v>
      </c>
      <c r="B111" s="14">
        <f t="shared" si="37"/>
        <v>1010555.4495153925</v>
      </c>
      <c r="C111" s="14">
        <f t="shared" si="35"/>
        <v>5819.2832684939603</v>
      </c>
      <c r="D111" s="14">
        <f t="shared" si="38"/>
        <v>3477.9950054154756</v>
      </c>
      <c r="E111" s="14">
        <f t="shared" si="36"/>
        <v>2341.2882630784848</v>
      </c>
      <c r="F111" s="16">
        <f t="shared" si="39"/>
        <v>1008214.1612523141</v>
      </c>
      <c r="G111" s="2">
        <v>8</v>
      </c>
    </row>
    <row r="112" spans="1:7" ht="12.75">
      <c r="A112" s="1" t="s">
        <v>118</v>
      </c>
      <c r="D112" s="16">
        <f>SUM(D100:D111)</f>
        <v>42259.926700170108</v>
      </c>
    </row>
    <row r="113" spans="1:7" ht="12.75">
      <c r="A113" s="23" t="s">
        <v>16</v>
      </c>
    </row>
    <row r="114" spans="1:7" ht="12.75">
      <c r="A114" s="2" t="s">
        <v>84</v>
      </c>
      <c r="B114" s="14">
        <f>F111</f>
        <v>1008214.1612523141</v>
      </c>
      <c r="C114" s="14">
        <f t="shared" ref="C114:C125" si="40">-$I$9</f>
        <v>5819.2832684939603</v>
      </c>
      <c r="D114" s="14">
        <f t="shared" ref="D114:D125" si="41">B114*$I$2</f>
        <v>3469.9370716433805</v>
      </c>
      <c r="E114" s="14">
        <f t="shared" ref="E114:E125" si="42">C114-D114</f>
        <v>2349.3461968505799</v>
      </c>
      <c r="F114" s="14">
        <f t="shared" ref="F114:F125" si="43">B114-E114</f>
        <v>1005864.8150554636</v>
      </c>
    </row>
    <row r="115" spans="1:7" ht="12.75">
      <c r="A115" s="2" t="s">
        <v>88</v>
      </c>
      <c r="B115" s="14">
        <f t="shared" ref="B115:B125" si="44">F114</f>
        <v>1005864.8150554636</v>
      </c>
      <c r="C115" s="14">
        <f t="shared" si="40"/>
        <v>5819.2832684939603</v>
      </c>
      <c r="D115" s="14">
        <f t="shared" si="41"/>
        <v>3461.8514051492202</v>
      </c>
      <c r="E115" s="14">
        <f t="shared" si="42"/>
        <v>2357.4318633447401</v>
      </c>
      <c r="F115" s="14">
        <f t="shared" si="43"/>
        <v>1003507.3831921188</v>
      </c>
    </row>
    <row r="116" spans="1:7" ht="12.75">
      <c r="A116" s="2" t="s">
        <v>91</v>
      </c>
      <c r="B116" s="14">
        <f t="shared" si="44"/>
        <v>1003507.3831921188</v>
      </c>
      <c r="C116" s="14">
        <f t="shared" si="40"/>
        <v>5819.2832684939603</v>
      </c>
      <c r="D116" s="14">
        <f t="shared" si="41"/>
        <v>3453.7379104862084</v>
      </c>
      <c r="E116" s="14">
        <f t="shared" si="42"/>
        <v>2365.5453580077519</v>
      </c>
      <c r="F116" s="14">
        <f t="shared" si="43"/>
        <v>1001141.8378341111</v>
      </c>
    </row>
    <row r="117" spans="1:7" ht="12.75">
      <c r="A117" s="2" t="s">
        <v>95</v>
      </c>
      <c r="B117" s="14">
        <f t="shared" si="44"/>
        <v>1001141.8378341111</v>
      </c>
      <c r="C117" s="14">
        <f t="shared" si="40"/>
        <v>5819.2832684939603</v>
      </c>
      <c r="D117" s="14">
        <f t="shared" si="41"/>
        <v>3445.5964918790651</v>
      </c>
      <c r="E117" s="14">
        <f t="shared" si="42"/>
        <v>2373.6867766148953</v>
      </c>
      <c r="F117" s="14">
        <f t="shared" si="43"/>
        <v>998768.1510574962</v>
      </c>
    </row>
    <row r="118" spans="1:7" ht="12.75">
      <c r="A118" s="2" t="s">
        <v>99</v>
      </c>
      <c r="B118" s="14">
        <f t="shared" si="44"/>
        <v>998768.1510574962</v>
      </c>
      <c r="C118" s="14">
        <f t="shared" si="40"/>
        <v>5819.2832684939603</v>
      </c>
      <c r="D118" s="14">
        <f t="shared" si="41"/>
        <v>3437.4270532228825</v>
      </c>
      <c r="E118" s="14">
        <f t="shared" si="42"/>
        <v>2381.8562152710779</v>
      </c>
      <c r="F118" s="14">
        <f t="shared" si="43"/>
        <v>996386.29484222515</v>
      </c>
    </row>
    <row r="119" spans="1:7" ht="12.75">
      <c r="A119" s="2" t="s">
        <v>101</v>
      </c>
      <c r="B119" s="14">
        <f t="shared" si="44"/>
        <v>996386.29484222515</v>
      </c>
      <c r="C119" s="14">
        <f t="shared" si="40"/>
        <v>5819.2832684939603</v>
      </c>
      <c r="D119" s="14">
        <f t="shared" si="41"/>
        <v>3429.2294980819911</v>
      </c>
      <c r="E119" s="14">
        <f t="shared" si="42"/>
        <v>2390.0537704119693</v>
      </c>
      <c r="F119" s="14">
        <f t="shared" si="43"/>
        <v>993996.24107181316</v>
      </c>
    </row>
    <row r="120" spans="1:7" ht="12.75">
      <c r="A120" s="2" t="s">
        <v>105</v>
      </c>
      <c r="B120" s="14">
        <f t="shared" si="44"/>
        <v>993996.24107181316</v>
      </c>
      <c r="C120" s="14">
        <f t="shared" si="40"/>
        <v>5819.2832684939603</v>
      </c>
      <c r="D120" s="14">
        <f t="shared" si="41"/>
        <v>3421.0037296888231</v>
      </c>
      <c r="E120" s="14">
        <f t="shared" si="42"/>
        <v>2398.2795388051372</v>
      </c>
      <c r="F120" s="14">
        <f t="shared" si="43"/>
        <v>991597.96153300803</v>
      </c>
    </row>
    <row r="121" spans="1:7" ht="12.75">
      <c r="A121" s="2" t="s">
        <v>107</v>
      </c>
      <c r="B121" s="14">
        <f t="shared" si="44"/>
        <v>991597.96153300803</v>
      </c>
      <c r="C121" s="14">
        <f t="shared" si="40"/>
        <v>5819.2832684939603</v>
      </c>
      <c r="D121" s="14">
        <f t="shared" si="41"/>
        <v>3412.7496509427688</v>
      </c>
      <c r="E121" s="14">
        <f t="shared" si="42"/>
        <v>2406.5336175511916</v>
      </c>
      <c r="F121" s="14">
        <f t="shared" si="43"/>
        <v>989191.42791545682</v>
      </c>
    </row>
    <row r="122" spans="1:7" ht="12.75">
      <c r="A122" s="2" t="s">
        <v>108</v>
      </c>
      <c r="B122" s="14">
        <f t="shared" si="44"/>
        <v>989191.42791545682</v>
      </c>
      <c r="C122" s="14">
        <f t="shared" si="40"/>
        <v>5819.2832684939603</v>
      </c>
      <c r="D122" s="14">
        <f t="shared" si="41"/>
        <v>3404.4671644090299</v>
      </c>
      <c r="E122" s="14">
        <f t="shared" si="42"/>
        <v>2414.8161040849304</v>
      </c>
      <c r="F122" s="14">
        <f t="shared" si="43"/>
        <v>986776.61181137187</v>
      </c>
    </row>
    <row r="123" spans="1:7" ht="12.75">
      <c r="A123" s="2" t="s">
        <v>110</v>
      </c>
      <c r="B123" s="14">
        <f t="shared" si="44"/>
        <v>986776.61181137187</v>
      </c>
      <c r="C123" s="14">
        <f t="shared" si="40"/>
        <v>5819.2832684939603</v>
      </c>
      <c r="D123" s="14">
        <f t="shared" si="41"/>
        <v>3396.1561723174709</v>
      </c>
      <c r="E123" s="14">
        <f t="shared" si="42"/>
        <v>2423.1270961764894</v>
      </c>
      <c r="F123" s="14">
        <f t="shared" si="43"/>
        <v>984353.48471519537</v>
      </c>
    </row>
    <row r="124" spans="1:7" ht="12.75">
      <c r="A124" s="2" t="s">
        <v>111</v>
      </c>
      <c r="B124" s="14">
        <f t="shared" si="44"/>
        <v>984353.48471519537</v>
      </c>
      <c r="C124" s="14">
        <f t="shared" si="40"/>
        <v>5819.2832684939603</v>
      </c>
      <c r="D124" s="14">
        <f t="shared" si="41"/>
        <v>3387.8165765614635</v>
      </c>
      <c r="E124" s="14">
        <f t="shared" si="42"/>
        <v>2431.4666919324968</v>
      </c>
      <c r="F124" s="14">
        <f t="shared" si="43"/>
        <v>981922.01802326285</v>
      </c>
    </row>
    <row r="125" spans="1:7" ht="12.75">
      <c r="A125" s="2" t="s">
        <v>113</v>
      </c>
      <c r="B125" s="14">
        <f t="shared" si="44"/>
        <v>981922.01802326285</v>
      </c>
      <c r="C125" s="14">
        <f t="shared" si="40"/>
        <v>5819.2832684939603</v>
      </c>
      <c r="D125" s="14">
        <f t="shared" si="41"/>
        <v>3379.4482786967292</v>
      </c>
      <c r="E125" s="14">
        <f t="shared" si="42"/>
        <v>2439.8349897972312</v>
      </c>
      <c r="F125" s="16">
        <f t="shared" si="43"/>
        <v>979482.18303346564</v>
      </c>
      <c r="G125" s="2">
        <v>9</v>
      </c>
    </row>
    <row r="126" spans="1:7" ht="12.75">
      <c r="A126" s="1" t="s">
        <v>118</v>
      </c>
      <c r="D126" s="16">
        <f>SUM(D114:D125)</f>
        <v>41099.421003079027</v>
      </c>
    </row>
    <row r="127" spans="1:7" ht="12.75">
      <c r="A127" s="23" t="s">
        <v>17</v>
      </c>
    </row>
    <row r="128" spans="1:7" ht="12.75">
      <c r="A128" s="2" t="s">
        <v>84</v>
      </c>
      <c r="B128" s="14">
        <f>F125</f>
        <v>979482.18303346564</v>
      </c>
      <c r="C128" s="14">
        <f t="shared" ref="C128:C139" si="45">-$I$9</f>
        <v>5819.2832684939603</v>
      </c>
      <c r="D128" s="14">
        <f t="shared" ref="D128:D139" si="46">B128*$I$2</f>
        <v>3371.051179940177</v>
      </c>
      <c r="E128" s="14">
        <f t="shared" ref="E128:E139" si="47">C128-D128</f>
        <v>2448.2320885537833</v>
      </c>
      <c r="F128" s="14">
        <f t="shared" ref="F128:F139" si="48">B128-E128</f>
        <v>977033.9509449118</v>
      </c>
    </row>
    <row r="129" spans="1:7" ht="12.75">
      <c r="A129" s="2" t="s">
        <v>88</v>
      </c>
      <c r="B129" s="14">
        <f t="shared" ref="B129:B139" si="49">F128</f>
        <v>977033.9509449118</v>
      </c>
      <c r="C129" s="14">
        <f t="shared" si="45"/>
        <v>5819.2832684939603</v>
      </c>
      <c r="D129" s="14">
        <f t="shared" si="46"/>
        <v>3362.6251811687375</v>
      </c>
      <c r="E129" s="14">
        <f t="shared" si="47"/>
        <v>2456.6580873252228</v>
      </c>
      <c r="F129" s="14">
        <f t="shared" si="48"/>
        <v>974577.29285758664</v>
      </c>
    </row>
    <row r="130" spans="1:7" ht="12.75">
      <c r="A130" s="2" t="s">
        <v>91</v>
      </c>
      <c r="B130" s="14">
        <f t="shared" si="49"/>
        <v>974577.29285758664</v>
      </c>
      <c r="C130" s="14">
        <f t="shared" si="45"/>
        <v>5819.2832684939603</v>
      </c>
      <c r="D130" s="14">
        <f t="shared" si="46"/>
        <v>3354.1701829181934</v>
      </c>
      <c r="E130" s="14">
        <f t="shared" si="47"/>
        <v>2465.1130855757669</v>
      </c>
      <c r="F130" s="14">
        <f t="shared" si="48"/>
        <v>972112.17977201089</v>
      </c>
    </row>
    <row r="131" spans="1:7" ht="12.75">
      <c r="A131" s="2" t="s">
        <v>95</v>
      </c>
      <c r="B131" s="14">
        <f t="shared" si="49"/>
        <v>972112.17977201089</v>
      </c>
      <c r="C131" s="14">
        <f t="shared" si="45"/>
        <v>5819.2832684939603</v>
      </c>
      <c r="D131" s="14">
        <f t="shared" si="46"/>
        <v>3345.6860853820035</v>
      </c>
      <c r="E131" s="14">
        <f t="shared" si="47"/>
        <v>2473.5971831119568</v>
      </c>
      <c r="F131" s="14">
        <f t="shared" si="48"/>
        <v>969638.58258889895</v>
      </c>
    </row>
    <row r="132" spans="1:7" ht="12.75">
      <c r="A132" s="2" t="s">
        <v>99</v>
      </c>
      <c r="B132" s="14">
        <f t="shared" si="49"/>
        <v>969638.58258889895</v>
      </c>
      <c r="C132" s="14">
        <f t="shared" si="45"/>
        <v>5819.2832684939603</v>
      </c>
      <c r="D132" s="14">
        <f t="shared" si="46"/>
        <v>3337.1727884101269</v>
      </c>
      <c r="E132" s="14">
        <f t="shared" si="47"/>
        <v>2482.1104800838334</v>
      </c>
      <c r="F132" s="14">
        <f t="shared" si="48"/>
        <v>967156.4721088151</v>
      </c>
    </row>
    <row r="133" spans="1:7" ht="12.75">
      <c r="A133" s="2" t="s">
        <v>101</v>
      </c>
      <c r="B133" s="14">
        <f t="shared" si="49"/>
        <v>967156.4721088151</v>
      </c>
      <c r="C133" s="14">
        <f t="shared" si="45"/>
        <v>5819.2832684939603</v>
      </c>
      <c r="D133" s="14">
        <f t="shared" si="46"/>
        <v>3328.6301915078384</v>
      </c>
      <c r="E133" s="14">
        <f t="shared" si="47"/>
        <v>2490.653076986122</v>
      </c>
      <c r="F133" s="14">
        <f t="shared" si="48"/>
        <v>964665.81903182901</v>
      </c>
    </row>
    <row r="134" spans="1:7" ht="12.75">
      <c r="A134" s="2" t="s">
        <v>105</v>
      </c>
      <c r="B134" s="14">
        <f t="shared" si="49"/>
        <v>964665.81903182901</v>
      </c>
      <c r="C134" s="14">
        <f t="shared" si="45"/>
        <v>5819.2832684939603</v>
      </c>
      <c r="D134" s="14">
        <f t="shared" si="46"/>
        <v>3320.0581938345445</v>
      </c>
      <c r="E134" s="14">
        <f t="shared" si="47"/>
        <v>2499.2250746594159</v>
      </c>
      <c r="F134" s="14">
        <f t="shared" si="48"/>
        <v>962166.59395716956</v>
      </c>
    </row>
    <row r="135" spans="1:7" ht="12.75">
      <c r="A135" s="2" t="s">
        <v>107</v>
      </c>
      <c r="B135" s="14">
        <f t="shared" si="49"/>
        <v>962166.59395716956</v>
      </c>
      <c r="C135" s="14">
        <f t="shared" si="45"/>
        <v>5819.2832684939603</v>
      </c>
      <c r="D135" s="14">
        <f t="shared" si="46"/>
        <v>3311.4566942025913</v>
      </c>
      <c r="E135" s="14">
        <f t="shared" si="47"/>
        <v>2507.8265742913691</v>
      </c>
      <c r="F135" s="14">
        <f t="shared" si="48"/>
        <v>959658.76738287823</v>
      </c>
    </row>
    <row r="136" spans="1:7" ht="12.75">
      <c r="A136" s="2" t="s">
        <v>108</v>
      </c>
      <c r="B136" s="14">
        <f t="shared" si="49"/>
        <v>959658.76738287823</v>
      </c>
      <c r="C136" s="14">
        <f t="shared" si="45"/>
        <v>5819.2832684939603</v>
      </c>
      <c r="D136" s="14">
        <f t="shared" si="46"/>
        <v>3302.8255910760722</v>
      </c>
      <c r="E136" s="14">
        <f t="shared" si="47"/>
        <v>2516.4576774178881</v>
      </c>
      <c r="F136" s="14">
        <f t="shared" si="48"/>
        <v>957142.30970546033</v>
      </c>
    </row>
    <row r="137" spans="1:7" ht="12.75">
      <c r="A137" s="2" t="s">
        <v>110</v>
      </c>
      <c r="B137" s="14">
        <f t="shared" si="49"/>
        <v>957142.30970546033</v>
      </c>
      <c r="C137" s="14">
        <f t="shared" si="45"/>
        <v>5819.2832684939603</v>
      </c>
      <c r="D137" s="14">
        <f t="shared" si="46"/>
        <v>3294.1647825696255</v>
      </c>
      <c r="E137" s="14">
        <f t="shared" si="47"/>
        <v>2525.1184859243349</v>
      </c>
      <c r="F137" s="14">
        <f t="shared" si="48"/>
        <v>954617.19121953601</v>
      </c>
    </row>
    <row r="138" spans="1:7" ht="12.75">
      <c r="A138" s="2" t="s">
        <v>111</v>
      </c>
      <c r="B138" s="14">
        <f t="shared" si="49"/>
        <v>954617.19121953601</v>
      </c>
      <c r="C138" s="14">
        <f t="shared" si="45"/>
        <v>5819.2832684939603</v>
      </c>
      <c r="D138" s="14">
        <f t="shared" si="46"/>
        <v>3285.4741664472358</v>
      </c>
      <c r="E138" s="14">
        <f t="shared" si="47"/>
        <v>2533.8091020467245</v>
      </c>
      <c r="F138" s="14">
        <f t="shared" si="48"/>
        <v>952083.38211748924</v>
      </c>
    </row>
    <row r="139" spans="1:7" ht="12.75">
      <c r="A139" s="2" t="s">
        <v>113</v>
      </c>
      <c r="B139" s="14">
        <f t="shared" si="49"/>
        <v>952083.38211748924</v>
      </c>
      <c r="C139" s="14">
        <f t="shared" si="45"/>
        <v>5819.2832684939603</v>
      </c>
      <c r="D139" s="14">
        <f t="shared" si="46"/>
        <v>3276.753640121025</v>
      </c>
      <c r="E139" s="14">
        <f t="shared" si="47"/>
        <v>2542.5296283729353</v>
      </c>
      <c r="F139" s="16">
        <f t="shared" si="48"/>
        <v>949540.85248911625</v>
      </c>
      <c r="G139" s="2">
        <v>10</v>
      </c>
    </row>
    <row r="140" spans="1:7" ht="12.75">
      <c r="A140" s="1" t="s">
        <v>118</v>
      </c>
      <c r="D140" s="16">
        <f>SUM(D128:D139)</f>
        <v>39890.068677578172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G103"/>
  <sheetViews>
    <sheetView workbookViewId="0"/>
  </sheetViews>
  <sheetFormatPr defaultColWidth="14.42578125" defaultRowHeight="15.75" customHeight="1"/>
  <cols>
    <col min="1" max="1" width="35.140625" customWidth="1"/>
    <col min="2" max="2" width="17.28515625" customWidth="1"/>
    <col min="3" max="3" width="54.85546875" customWidth="1"/>
  </cols>
  <sheetData>
    <row r="2" spans="1:7" ht="15.75" customHeight="1">
      <c r="A2" s="25" t="s">
        <v>117</v>
      </c>
    </row>
    <row r="3" spans="1:7" ht="15.75" customHeight="1">
      <c r="A3" s="26" t="s">
        <v>120</v>
      </c>
      <c r="D3" s="4" t="s">
        <v>121</v>
      </c>
      <c r="G3" s="2"/>
    </row>
    <row r="4" spans="1:7" ht="15">
      <c r="A4" s="27" t="s">
        <v>122</v>
      </c>
      <c r="B4" s="28">
        <v>43100</v>
      </c>
      <c r="C4" s="10" t="s">
        <v>34</v>
      </c>
      <c r="D4" s="5">
        <f>B6/B5</f>
        <v>0.49121960948432575</v>
      </c>
    </row>
    <row r="5" spans="1:7" ht="15">
      <c r="A5" s="29" t="s">
        <v>124</v>
      </c>
      <c r="B5" s="30">
        <v>1223408</v>
      </c>
      <c r="C5" s="10" t="s">
        <v>38</v>
      </c>
      <c r="D5" s="5">
        <f>B13/B5</f>
        <v>0.17049177379909236</v>
      </c>
    </row>
    <row r="6" spans="1:7" ht="15">
      <c r="A6" s="29" t="s">
        <v>127</v>
      </c>
      <c r="B6" s="30">
        <v>600962</v>
      </c>
      <c r="C6" s="10" t="s">
        <v>128</v>
      </c>
      <c r="D6" s="5">
        <f>B32/B5</f>
        <v>0.15859713194617003</v>
      </c>
    </row>
    <row r="7" spans="1:7" ht="15">
      <c r="A7" s="31" t="s">
        <v>98</v>
      </c>
      <c r="B7" s="32">
        <v>622446</v>
      </c>
      <c r="C7" s="10" t="s">
        <v>45</v>
      </c>
    </row>
    <row r="8" spans="1:7" ht="15">
      <c r="A8" s="27"/>
      <c r="B8" s="27"/>
      <c r="C8" s="10" t="s">
        <v>47</v>
      </c>
    </row>
    <row r="9" spans="1:7" ht="15">
      <c r="A9" s="27"/>
      <c r="B9" s="27"/>
      <c r="C9" s="10"/>
    </row>
    <row r="10" spans="1:7" ht="15">
      <c r="A10" s="27"/>
      <c r="B10" s="27"/>
      <c r="C10" s="10" t="s">
        <v>50</v>
      </c>
    </row>
    <row r="11" spans="1:7" ht="15">
      <c r="A11" s="58" t="s">
        <v>129</v>
      </c>
      <c r="B11" s="57"/>
      <c r="C11" s="10" t="s">
        <v>52</v>
      </c>
      <c r="D11" s="2">
        <v>0.85</v>
      </c>
    </row>
    <row r="12" spans="1:7" ht="15">
      <c r="A12" s="29" t="s">
        <v>131</v>
      </c>
      <c r="B12" s="33" t="s">
        <v>132</v>
      </c>
      <c r="C12" s="10" t="s">
        <v>54</v>
      </c>
      <c r="D12" s="2">
        <v>735</v>
      </c>
    </row>
    <row r="13" spans="1:7" ht="15">
      <c r="A13" s="29" t="s">
        <v>133</v>
      </c>
      <c r="B13" s="30">
        <v>208581</v>
      </c>
      <c r="C13" s="10" t="s">
        <v>56</v>
      </c>
      <c r="D13" s="2">
        <v>3000</v>
      </c>
    </row>
    <row r="14" spans="1:7" ht="15">
      <c r="A14" s="29" t="s">
        <v>134</v>
      </c>
      <c r="B14" s="33" t="s">
        <v>132</v>
      </c>
      <c r="C14" s="10" t="s">
        <v>135</v>
      </c>
      <c r="D14" s="5">
        <f>D13/B5</f>
        <v>2.4521664072819534E-3</v>
      </c>
    </row>
    <row r="15" spans="1:7" ht="15">
      <c r="A15" s="29" t="s">
        <v>137</v>
      </c>
      <c r="B15" s="30">
        <v>15246</v>
      </c>
      <c r="C15" s="10" t="s">
        <v>60</v>
      </c>
    </row>
    <row r="16" spans="1:7" ht="15">
      <c r="A16" s="29" t="s">
        <v>138</v>
      </c>
      <c r="B16" s="30">
        <v>949846</v>
      </c>
      <c r="C16" s="10" t="s">
        <v>61</v>
      </c>
    </row>
    <row r="17" spans="1:6" ht="15">
      <c r="A17" s="31" t="s">
        <v>139</v>
      </c>
      <c r="B17" s="32">
        <v>273562</v>
      </c>
      <c r="C17" s="10"/>
    </row>
    <row r="18" spans="1:6" ht="15">
      <c r="A18" s="58" t="s">
        <v>140</v>
      </c>
      <c r="B18" s="57"/>
      <c r="C18" s="10" t="s">
        <v>62</v>
      </c>
    </row>
    <row r="19" spans="1:6" ht="15">
      <c r="A19" s="29" t="s">
        <v>141</v>
      </c>
      <c r="B19" s="30">
        <v>-172543</v>
      </c>
      <c r="C19" s="10" t="s">
        <v>63</v>
      </c>
    </row>
    <row r="20" spans="1:6" ht="15">
      <c r="A20" s="29" t="s">
        <v>142</v>
      </c>
      <c r="B20" s="30">
        <v>273562</v>
      </c>
      <c r="C20" s="10" t="s">
        <v>64</v>
      </c>
    </row>
    <row r="21" spans="1:6" ht="15">
      <c r="A21" s="29" t="s">
        <v>143</v>
      </c>
      <c r="B21" s="30">
        <v>-118059</v>
      </c>
      <c r="C21" s="10" t="s">
        <v>65</v>
      </c>
      <c r="D21" s="5">
        <v>8.5000000000000006E-2</v>
      </c>
    </row>
    <row r="22" spans="1:6" ht="15">
      <c r="A22" s="29" t="s">
        <v>144</v>
      </c>
      <c r="B22" s="30">
        <v>101019</v>
      </c>
      <c r="C22" s="10" t="s">
        <v>66</v>
      </c>
    </row>
    <row r="23" spans="1:6" ht="15">
      <c r="A23" s="29" t="s">
        <v>130</v>
      </c>
      <c r="B23" s="30">
        <v>-93010</v>
      </c>
      <c r="C23" s="10" t="s">
        <v>69</v>
      </c>
    </row>
    <row r="24" spans="1:6" ht="15">
      <c r="A24" s="29" t="s">
        <v>146</v>
      </c>
      <c r="B24" s="33" t="s">
        <v>132</v>
      </c>
      <c r="C24" s="10" t="s">
        <v>70</v>
      </c>
    </row>
    <row r="25" spans="1:6" ht="15">
      <c r="A25" s="31" t="s">
        <v>150</v>
      </c>
      <c r="B25" s="32">
        <v>194029</v>
      </c>
      <c r="C25" s="10"/>
    </row>
    <row r="26" spans="1:6" ht="15">
      <c r="A26" s="58" t="s">
        <v>151</v>
      </c>
      <c r="B26" s="57"/>
      <c r="C26" s="10" t="s">
        <v>73</v>
      </c>
      <c r="D26" s="21">
        <f>B44/(B6/365)</f>
        <v>1.9168266878771039</v>
      </c>
    </row>
    <row r="27" spans="1:6" ht="15">
      <c r="A27" s="29" t="s">
        <v>152</v>
      </c>
      <c r="B27" s="33" t="s">
        <v>132</v>
      </c>
      <c r="C27" s="10" t="s">
        <v>75</v>
      </c>
      <c r="D27" s="21">
        <f>B56/(B6/365)</f>
        <v>13.8259324216839</v>
      </c>
    </row>
    <row r="28" spans="1:6" ht="15">
      <c r="A28" s="29" t="s">
        <v>155</v>
      </c>
      <c r="B28" s="33" t="s">
        <v>132</v>
      </c>
      <c r="C28" s="10" t="s">
        <v>83</v>
      </c>
      <c r="D28" s="21">
        <v>3</v>
      </c>
    </row>
    <row r="29" spans="1:6" ht="15">
      <c r="A29" s="29" t="s">
        <v>156</v>
      </c>
      <c r="B29" s="33" t="s">
        <v>132</v>
      </c>
      <c r="C29" s="10"/>
      <c r="E29" s="2" t="s">
        <v>157</v>
      </c>
      <c r="F29" s="2" t="s">
        <v>158</v>
      </c>
    </row>
    <row r="30" spans="1:6" ht="15">
      <c r="A30" s="29" t="s">
        <v>159</v>
      </c>
      <c r="B30" s="29" t="s">
        <v>132</v>
      </c>
      <c r="C30" s="10" t="s">
        <v>85</v>
      </c>
      <c r="D30" s="5">
        <v>0.42399999999999999</v>
      </c>
      <c r="E30" s="2">
        <v>35</v>
      </c>
      <c r="F30" s="2">
        <v>7.4</v>
      </c>
    </row>
    <row r="31" spans="1:6" ht="15">
      <c r="A31" s="58" t="s">
        <v>136</v>
      </c>
      <c r="B31" s="57"/>
      <c r="C31" s="10" t="s">
        <v>86</v>
      </c>
      <c r="D31" s="2">
        <v>30</v>
      </c>
    </row>
    <row r="32" spans="1:6" ht="15">
      <c r="A32" s="31" t="s">
        <v>136</v>
      </c>
      <c r="B32" s="32">
        <v>194029</v>
      </c>
      <c r="C32" s="10" t="s">
        <v>89</v>
      </c>
      <c r="D32" s="5">
        <v>0.01</v>
      </c>
    </row>
    <row r="33" spans="1:2" ht="12.75">
      <c r="A33" s="29" t="s">
        <v>160</v>
      </c>
      <c r="B33" s="33" t="s">
        <v>132</v>
      </c>
    </row>
    <row r="34" spans="1:2" ht="12.75">
      <c r="A34" s="31" t="s">
        <v>161</v>
      </c>
      <c r="B34" s="32">
        <v>194029</v>
      </c>
    </row>
    <row r="37" spans="1:2" ht="19.5">
      <c r="A37" s="25" t="s">
        <v>162</v>
      </c>
    </row>
    <row r="38" spans="1:2" ht="12.75">
      <c r="A38" s="26" t="s">
        <v>120</v>
      </c>
    </row>
    <row r="39" spans="1:2" ht="15">
      <c r="A39" s="27" t="s">
        <v>163</v>
      </c>
      <c r="B39" s="28">
        <v>43100</v>
      </c>
    </row>
    <row r="40" spans="1:2" ht="15">
      <c r="A40" s="58" t="s">
        <v>148</v>
      </c>
      <c r="B40" s="57"/>
    </row>
    <row r="41" spans="1:2" ht="12.75">
      <c r="A41" s="29" t="s">
        <v>165</v>
      </c>
      <c r="B41" s="30">
        <v>171447</v>
      </c>
    </row>
    <row r="42" spans="1:2" ht="12.75">
      <c r="A42" s="29" t="s">
        <v>166</v>
      </c>
      <c r="B42" s="33" t="s">
        <v>132</v>
      </c>
    </row>
    <row r="43" spans="1:2" ht="12.75">
      <c r="A43" s="29" t="s">
        <v>167</v>
      </c>
      <c r="B43" s="30">
        <v>114390</v>
      </c>
    </row>
    <row r="44" spans="1:2" ht="12.75">
      <c r="A44" s="29" t="s">
        <v>164</v>
      </c>
      <c r="B44" s="30">
        <v>3156</v>
      </c>
    </row>
    <row r="45" spans="1:2" ht="12.75">
      <c r="A45" s="29" t="s">
        <v>168</v>
      </c>
      <c r="B45" s="30">
        <v>97470</v>
      </c>
    </row>
    <row r="46" spans="1:2" ht="12.75">
      <c r="A46" s="31" t="s">
        <v>169</v>
      </c>
      <c r="B46" s="32">
        <v>404353</v>
      </c>
    </row>
    <row r="47" spans="1:2" ht="12.75">
      <c r="A47" s="29" t="s">
        <v>170</v>
      </c>
      <c r="B47" s="30">
        <v>56002</v>
      </c>
    </row>
    <row r="48" spans="1:2" ht="12.75">
      <c r="A48" s="29" t="s">
        <v>171</v>
      </c>
      <c r="B48" s="30">
        <v>1263059</v>
      </c>
    </row>
    <row r="49" spans="1:2" ht="12.75">
      <c r="A49" s="29" t="s">
        <v>172</v>
      </c>
      <c r="B49" s="30">
        <v>743334</v>
      </c>
    </row>
    <row r="50" spans="1:2" ht="12.75">
      <c r="A50" s="29" t="s">
        <v>173</v>
      </c>
      <c r="B50" s="30">
        <v>1321585</v>
      </c>
    </row>
    <row r="51" spans="1:2" ht="12.75">
      <c r="A51" s="29" t="s">
        <v>174</v>
      </c>
      <c r="B51" s="33" t="s">
        <v>132</v>
      </c>
    </row>
    <row r="52" spans="1:2" ht="12.75">
      <c r="A52" s="29" t="s">
        <v>175</v>
      </c>
      <c r="B52" s="30">
        <v>308605</v>
      </c>
    </row>
    <row r="53" spans="1:2" ht="12.75">
      <c r="A53" s="29" t="s">
        <v>176</v>
      </c>
      <c r="B53" s="33" t="s">
        <v>132</v>
      </c>
    </row>
    <row r="54" spans="1:2" ht="12.75">
      <c r="A54" s="31" t="s">
        <v>177</v>
      </c>
      <c r="B54" s="32">
        <v>4096938</v>
      </c>
    </row>
    <row r="55" spans="1:2" ht="15">
      <c r="A55" s="58" t="s">
        <v>178</v>
      </c>
      <c r="B55" s="57"/>
    </row>
    <row r="56" spans="1:2" ht="12.75">
      <c r="A56" s="29" t="s">
        <v>179</v>
      </c>
      <c r="B56" s="30">
        <v>22764</v>
      </c>
    </row>
    <row r="57" spans="1:2" ht="12.75">
      <c r="A57" s="29" t="s">
        <v>180</v>
      </c>
      <c r="B57" s="30">
        <v>2754402</v>
      </c>
    </row>
    <row r="58" spans="1:2" ht="12.75">
      <c r="A58" s="29" t="s">
        <v>181</v>
      </c>
      <c r="B58" s="30">
        <v>124685</v>
      </c>
    </row>
    <row r="59" spans="1:2" ht="12.75">
      <c r="A59" s="31" t="s">
        <v>182</v>
      </c>
      <c r="B59" s="32">
        <v>227162</v>
      </c>
    </row>
    <row r="60" spans="1:2" ht="12.75">
      <c r="A60" s="29" t="s">
        <v>183</v>
      </c>
      <c r="B60" s="30">
        <v>2263688</v>
      </c>
    </row>
    <row r="61" spans="1:2" ht="12.75">
      <c r="A61" s="29" t="s">
        <v>184</v>
      </c>
      <c r="B61" s="30">
        <v>572343</v>
      </c>
    </row>
    <row r="62" spans="1:2" ht="12.75">
      <c r="A62" s="29" t="s">
        <v>185</v>
      </c>
      <c r="B62" s="33" t="s">
        <v>132</v>
      </c>
    </row>
    <row r="63" spans="1:2" ht="12.75">
      <c r="A63" s="29" t="s">
        <v>146</v>
      </c>
      <c r="B63" s="33" t="s">
        <v>132</v>
      </c>
    </row>
    <row r="64" spans="1:2" ht="12.75">
      <c r="A64" s="29" t="s">
        <v>186</v>
      </c>
      <c r="B64" s="33" t="s">
        <v>132</v>
      </c>
    </row>
    <row r="65" spans="1:2" ht="12.75">
      <c r="A65" s="31" t="s">
        <v>187</v>
      </c>
      <c r="B65" s="32">
        <v>3523735</v>
      </c>
    </row>
    <row r="66" spans="1:2" ht="15">
      <c r="A66" s="58" t="s">
        <v>188</v>
      </c>
      <c r="B66" s="57"/>
    </row>
    <row r="67" spans="1:2" ht="12.75">
      <c r="A67" s="29" t="s">
        <v>190</v>
      </c>
      <c r="B67" s="33" t="s">
        <v>132</v>
      </c>
    </row>
    <row r="68" spans="1:2" ht="12.75">
      <c r="A68" s="29" t="s">
        <v>191</v>
      </c>
      <c r="B68" s="33" t="s">
        <v>132</v>
      </c>
    </row>
    <row r="69" spans="1:2" ht="12.75">
      <c r="A69" s="29" t="s">
        <v>192</v>
      </c>
      <c r="B69" s="33" t="s">
        <v>132</v>
      </c>
    </row>
    <row r="70" spans="1:2" ht="12.75">
      <c r="A70" s="29" t="s">
        <v>193</v>
      </c>
      <c r="B70" s="30">
        <v>47042</v>
      </c>
    </row>
    <row r="71" spans="1:2" ht="12.75">
      <c r="A71" s="29" t="s">
        <v>194</v>
      </c>
      <c r="B71" s="30">
        <v>-163289</v>
      </c>
    </row>
    <row r="72" spans="1:2" ht="12.75">
      <c r="A72" s="29" t="s">
        <v>195</v>
      </c>
      <c r="B72" s="30">
        <v>-2196505</v>
      </c>
    </row>
    <row r="73" spans="1:2" ht="12.75">
      <c r="A73" s="29" t="s">
        <v>196</v>
      </c>
      <c r="B73" s="30">
        <v>2885955</v>
      </c>
    </row>
    <row r="74" spans="1:2" ht="12.75">
      <c r="A74" s="29" t="s">
        <v>197</v>
      </c>
      <c r="B74" s="30">
        <v>-46198</v>
      </c>
    </row>
    <row r="75" spans="1:2" ht="12.75">
      <c r="A75" s="29" t="s">
        <v>198</v>
      </c>
      <c r="B75" s="30">
        <v>573203</v>
      </c>
    </row>
    <row r="76" spans="1:2" ht="12.75">
      <c r="A76" s="31" t="s">
        <v>200</v>
      </c>
      <c r="B76" s="32">
        <v>-1491716</v>
      </c>
    </row>
    <row r="79" spans="1:2" ht="19.5">
      <c r="A79" s="25" t="s">
        <v>201</v>
      </c>
    </row>
    <row r="80" spans="1:2" ht="12.75">
      <c r="A80" s="26" t="s">
        <v>120</v>
      </c>
    </row>
    <row r="81" spans="1:2" ht="15">
      <c r="A81" s="27" t="s">
        <v>163</v>
      </c>
      <c r="B81" s="28">
        <v>42736</v>
      </c>
    </row>
    <row r="82" spans="1:2" ht="12.75">
      <c r="A82" s="31" t="s">
        <v>136</v>
      </c>
      <c r="B82" s="32">
        <v>129624</v>
      </c>
    </row>
    <row r="83" spans="1:2" ht="15">
      <c r="A83" s="58" t="s">
        <v>202</v>
      </c>
      <c r="B83" s="57"/>
    </row>
    <row r="84" spans="1:2" ht="12.75">
      <c r="A84" s="29" t="s">
        <v>203</v>
      </c>
      <c r="B84" s="30">
        <v>116818</v>
      </c>
    </row>
    <row r="85" spans="1:2" ht="12.75">
      <c r="A85" s="29" t="s">
        <v>204</v>
      </c>
      <c r="B85" s="30">
        <v>-39996</v>
      </c>
    </row>
    <row r="86" spans="1:2" ht="12.75">
      <c r="A86" s="29" t="s">
        <v>205</v>
      </c>
      <c r="B86" s="30">
        <v>-34213</v>
      </c>
    </row>
    <row r="87" spans="1:2" ht="12.75">
      <c r="A87" s="29" t="s">
        <v>206</v>
      </c>
      <c r="B87" s="30">
        <v>-6635</v>
      </c>
    </row>
    <row r="88" spans="1:2" ht="12.75">
      <c r="A88" s="29" t="s">
        <v>207</v>
      </c>
      <c r="B88" s="33">
        <v>34</v>
      </c>
    </row>
    <row r="89" spans="1:2" ht="12.75">
      <c r="A89" s="29" t="s">
        <v>208</v>
      </c>
      <c r="B89" s="30">
        <v>15649</v>
      </c>
    </row>
    <row r="90" spans="1:2" ht="12.75">
      <c r="A90" s="31" t="s">
        <v>209</v>
      </c>
      <c r="B90" s="32">
        <v>188934</v>
      </c>
    </row>
    <row r="91" spans="1:2" ht="15">
      <c r="A91" s="58" t="s">
        <v>211</v>
      </c>
      <c r="B91" s="57"/>
    </row>
    <row r="92" spans="1:2" ht="12.75">
      <c r="A92" s="29" t="s">
        <v>213</v>
      </c>
      <c r="B92" s="30">
        <v>-150023</v>
      </c>
    </row>
    <row r="93" spans="1:2" ht="12.75">
      <c r="A93" s="29" t="s">
        <v>214</v>
      </c>
      <c r="B93" s="33">
        <v>718</v>
      </c>
    </row>
    <row r="94" spans="1:2" ht="12.75">
      <c r="A94" s="29" t="s">
        <v>215</v>
      </c>
      <c r="B94" s="30">
        <v>-18552</v>
      </c>
    </row>
    <row r="95" spans="1:2" ht="12.75">
      <c r="A95" s="31" t="s">
        <v>216</v>
      </c>
      <c r="B95" s="32">
        <v>92107</v>
      </c>
    </row>
    <row r="96" spans="1:2" ht="15">
      <c r="A96" s="58" t="s">
        <v>217</v>
      </c>
      <c r="B96" s="57"/>
    </row>
    <row r="97" spans="1:2" ht="12.75">
      <c r="A97" s="29" t="s">
        <v>218</v>
      </c>
      <c r="B97" s="30">
        <v>-63832</v>
      </c>
    </row>
    <row r="98" spans="1:2" ht="12.75">
      <c r="A98" s="29" t="s">
        <v>219</v>
      </c>
      <c r="B98" s="30">
        <v>19773</v>
      </c>
    </row>
    <row r="99" spans="1:2" ht="12.75">
      <c r="A99" s="29" t="s">
        <v>220</v>
      </c>
      <c r="B99" s="30">
        <v>-24617</v>
      </c>
    </row>
    <row r="100" spans="1:2" ht="12.75">
      <c r="A100" s="29" t="s">
        <v>221</v>
      </c>
      <c r="B100" s="30">
        <v>-6427</v>
      </c>
    </row>
    <row r="101" spans="1:2" ht="12.75">
      <c r="A101" s="31" t="s">
        <v>222</v>
      </c>
      <c r="B101" s="32">
        <v>-412061</v>
      </c>
    </row>
    <row r="102" spans="1:2" ht="12.75">
      <c r="A102" s="29" t="s">
        <v>223</v>
      </c>
      <c r="B102" s="30">
        <v>2044</v>
      </c>
    </row>
    <row r="103" spans="1:2" ht="12.75">
      <c r="A103" s="31" t="s">
        <v>224</v>
      </c>
      <c r="B103" s="32">
        <v>-128976</v>
      </c>
    </row>
  </sheetData>
  <mergeCells count="10">
    <mergeCell ref="A11:B11"/>
    <mergeCell ref="A18:B18"/>
    <mergeCell ref="A26:B26"/>
    <mergeCell ref="A31:B31"/>
    <mergeCell ref="A40:B40"/>
    <mergeCell ref="A55:B55"/>
    <mergeCell ref="A91:B91"/>
    <mergeCell ref="A83:B83"/>
    <mergeCell ref="A96:B96"/>
    <mergeCell ref="A66:B6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B8"/>
  <sheetViews>
    <sheetView workbookViewId="0"/>
  </sheetViews>
  <sheetFormatPr defaultColWidth="14.42578125" defaultRowHeight="15.75" customHeight="1"/>
  <cols>
    <col min="1" max="1" width="20.140625" customWidth="1"/>
    <col min="2" max="2" width="53.42578125" customWidth="1"/>
  </cols>
  <sheetData>
    <row r="2" spans="1:2" ht="15.75" customHeight="1">
      <c r="A2" s="2" t="s">
        <v>231</v>
      </c>
      <c r="B2" s="34" t="s">
        <v>233</v>
      </c>
    </row>
    <row r="3" spans="1:2" ht="15.75" customHeight="1">
      <c r="A3" s="2" t="s">
        <v>189</v>
      </c>
      <c r="B3" s="34" t="s">
        <v>234</v>
      </c>
    </row>
    <row r="4" spans="1:2" ht="15.75" customHeight="1">
      <c r="A4" s="2" t="s">
        <v>235</v>
      </c>
      <c r="B4" s="34" t="s">
        <v>236</v>
      </c>
    </row>
    <row r="5" spans="1:2" ht="15.75" customHeight="1">
      <c r="A5" s="2" t="s">
        <v>237</v>
      </c>
      <c r="B5" s="34" t="s">
        <v>238</v>
      </c>
    </row>
    <row r="6" spans="1:2" ht="15.75" customHeight="1">
      <c r="A6" s="2" t="s">
        <v>240</v>
      </c>
      <c r="B6" s="34" t="s">
        <v>233</v>
      </c>
    </row>
    <row r="7" spans="1:2" ht="15.75" customHeight="1">
      <c r="A7" s="2" t="s">
        <v>241</v>
      </c>
      <c r="B7" s="34" t="s">
        <v>242</v>
      </c>
    </row>
    <row r="8" spans="1:2" ht="15.75" customHeight="1">
      <c r="A8" s="2" t="s">
        <v>243</v>
      </c>
      <c r="B8" s="34" t="s">
        <v>244</v>
      </c>
    </row>
  </sheetData>
  <hyperlinks>
    <hyperlink ref="B2" r:id="rId1" xr:uid="{00000000-0004-0000-0500-000000000000}"/>
    <hyperlink ref="B3" r:id="rId2" xr:uid="{00000000-0004-0000-0500-000001000000}"/>
    <hyperlink ref="B4" r:id="rId3" xr:uid="{00000000-0004-0000-0500-000002000000}"/>
    <hyperlink ref="B5" r:id="rId4" xr:uid="{00000000-0004-0000-0500-000003000000}"/>
    <hyperlink ref="B6" r:id="rId5" xr:uid="{00000000-0004-0000-0500-000004000000}"/>
    <hyperlink ref="B7" r:id="rId6" xr:uid="{00000000-0004-0000-0500-000005000000}"/>
    <hyperlink ref="B8" r:id="rId7" xr:uid="{00000000-0004-0000-05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Forecast</vt:lpstr>
      <vt:lpstr>Real Options</vt:lpstr>
      <vt:lpstr>Real Options 2</vt:lpstr>
      <vt:lpstr>Ammoitization Table</vt:lpstr>
      <vt:lpstr>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2023-09-15T17:00:07Z</dcterms:created>
  <dcterms:modified xsi:type="dcterms:W3CDTF">2023-09-15T17:00:37Z</dcterms:modified>
</cp:coreProperties>
</file>