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/>
  <xr:revisionPtr revIDLastSave="1" documentId="10_ncr:8100000_{610EB141-5029-4721-9852-52EF8BF82A71}" xr6:coauthVersionLast="47" xr6:coauthVersionMax="47" xr10:uidLastSave="{51C3892B-C31D-43A0-83E4-EAB05E7F9A01}"/>
  <bookViews>
    <workbookView xWindow="-120" yWindow="-120" windowWidth="23280" windowHeight="15000" activeTab="3" xr2:uid="{00000000-000D-0000-FFFF-FFFF00000000}"/>
  </bookViews>
  <sheets>
    <sheet name="Amortization Table" sheetId="2" r:id="rId1"/>
    <sheet name="Prank Place" sheetId="1" r:id="rId2"/>
    <sheet name="Real Option 1" sheetId="3" r:id="rId3"/>
    <sheet name="Real Option 2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3" l="1"/>
  <c r="F46" i="4"/>
  <c r="C35" i="4" s="1"/>
  <c r="F44" i="4"/>
  <c r="C30" i="4" s="1"/>
  <c r="F40" i="4"/>
  <c r="G25" i="4"/>
  <c r="F48" i="4" l="1"/>
  <c r="C21" i="4"/>
  <c r="G109" i="1" l="1"/>
  <c r="H109" i="1" l="1"/>
  <c r="R109" i="1" s="1"/>
  <c r="I109" i="1"/>
  <c r="J109" i="1"/>
  <c r="K109" i="1"/>
  <c r="L109" i="1"/>
  <c r="M109" i="1"/>
  <c r="N109" i="1"/>
  <c r="O109" i="1"/>
  <c r="P109" i="1"/>
  <c r="Q109" i="1"/>
  <c r="H31" i="1" l="1"/>
  <c r="H46" i="1"/>
  <c r="I24" i="1"/>
  <c r="J24" i="1" s="1"/>
  <c r="K24" i="1" s="1"/>
  <c r="L24" i="1" s="1"/>
  <c r="M24" i="1" s="1"/>
  <c r="N24" i="1" s="1"/>
  <c r="O24" i="1" s="1"/>
  <c r="P24" i="1" s="1"/>
  <c r="Q24" i="1" s="1"/>
  <c r="H54" i="1"/>
  <c r="D4" i="2"/>
  <c r="D3" i="2"/>
  <c r="B136" i="1" l="1"/>
  <c r="B137" i="1" s="1"/>
  <c r="C148" i="1"/>
  <c r="I69" i="1"/>
  <c r="J69" i="1"/>
  <c r="K69" i="1"/>
  <c r="L69" i="1"/>
  <c r="M69" i="1"/>
  <c r="L116" i="1" s="1"/>
  <c r="N69" i="1"/>
  <c r="O69" i="1"/>
  <c r="P69" i="1"/>
  <c r="Q69" i="1"/>
  <c r="H69" i="1"/>
  <c r="I70" i="1"/>
  <c r="J70" i="1"/>
  <c r="K70" i="1"/>
  <c r="J120" i="1" s="1"/>
  <c r="L70" i="1"/>
  <c r="M70" i="1"/>
  <c r="N70" i="1"/>
  <c r="O70" i="1"/>
  <c r="N120" i="1" s="1"/>
  <c r="P70" i="1"/>
  <c r="Q70" i="1"/>
  <c r="H70" i="1"/>
  <c r="I35" i="1"/>
  <c r="I33" i="1"/>
  <c r="J33" i="1" s="1"/>
  <c r="K33" i="1" s="1"/>
  <c r="L33" i="1" s="1"/>
  <c r="M33" i="1" s="1"/>
  <c r="N33" i="1" s="1"/>
  <c r="O33" i="1" s="1"/>
  <c r="P33" i="1" s="1"/>
  <c r="Q33" i="1" s="1"/>
  <c r="H43" i="1"/>
  <c r="H38" i="1"/>
  <c r="I34" i="1"/>
  <c r="J34" i="1" s="1"/>
  <c r="K34" i="1" s="1"/>
  <c r="L34" i="1" s="1"/>
  <c r="M34" i="1" s="1"/>
  <c r="N34" i="1" s="1"/>
  <c r="O34" i="1" s="1"/>
  <c r="P34" i="1" s="1"/>
  <c r="Q34" i="1" s="1"/>
  <c r="I32" i="1"/>
  <c r="J32" i="1" s="1"/>
  <c r="K32" i="1" s="1"/>
  <c r="L32" i="1" s="1"/>
  <c r="M32" i="1" s="1"/>
  <c r="N32" i="1" s="1"/>
  <c r="O32" i="1" s="1"/>
  <c r="P32" i="1" s="1"/>
  <c r="Q32" i="1" s="1"/>
  <c r="I29" i="1"/>
  <c r="J29" i="1" s="1"/>
  <c r="K29" i="1" s="1"/>
  <c r="L29" i="1" s="1"/>
  <c r="M29" i="1" s="1"/>
  <c r="N29" i="1" s="1"/>
  <c r="O29" i="1" s="1"/>
  <c r="P29" i="1" s="1"/>
  <c r="Q29" i="1" s="1"/>
  <c r="I28" i="1"/>
  <c r="J28" i="1" s="1"/>
  <c r="K28" i="1" s="1"/>
  <c r="L28" i="1" s="1"/>
  <c r="M28" i="1" s="1"/>
  <c r="N28" i="1" s="1"/>
  <c r="O28" i="1" s="1"/>
  <c r="P28" i="1" s="1"/>
  <c r="Q28" i="1" s="1"/>
  <c r="I27" i="1"/>
  <c r="J27" i="1" s="1"/>
  <c r="K27" i="1" s="1"/>
  <c r="L27" i="1" s="1"/>
  <c r="M27" i="1" s="1"/>
  <c r="N27" i="1" s="1"/>
  <c r="O27" i="1" s="1"/>
  <c r="P27" i="1" s="1"/>
  <c r="Q27" i="1" s="1"/>
  <c r="I23" i="1"/>
  <c r="I54" i="1" s="1"/>
  <c r="I17" i="1"/>
  <c r="I16" i="1"/>
  <c r="I9" i="1"/>
  <c r="J9" i="1" s="1"/>
  <c r="K9" i="1" s="1"/>
  <c r="L9" i="1" s="1"/>
  <c r="M9" i="1" s="1"/>
  <c r="N9" i="1" s="1"/>
  <c r="O9" i="1" s="1"/>
  <c r="P9" i="1" s="1"/>
  <c r="Q9" i="1" s="1"/>
  <c r="I4" i="1"/>
  <c r="J4" i="1" s="1"/>
  <c r="K4" i="1" s="1"/>
  <c r="L4" i="1" s="1"/>
  <c r="M4" i="1" s="1"/>
  <c r="N4" i="1" s="1"/>
  <c r="O4" i="1" s="1"/>
  <c r="P4" i="1" s="1"/>
  <c r="Q4" i="1" s="1"/>
  <c r="I3" i="1"/>
  <c r="I31" i="1"/>
  <c r="J31" i="1" s="1"/>
  <c r="K31" i="1" s="1"/>
  <c r="L31" i="1" s="1"/>
  <c r="M31" i="1" s="1"/>
  <c r="N31" i="1" s="1"/>
  <c r="O31" i="1" s="1"/>
  <c r="P31" i="1" s="1"/>
  <c r="Q31" i="1" s="1"/>
  <c r="I8" i="1"/>
  <c r="J8" i="1" s="1"/>
  <c r="K8" i="1" s="1"/>
  <c r="L8" i="1" s="1"/>
  <c r="M8" i="1" s="1"/>
  <c r="N8" i="1" s="1"/>
  <c r="O8" i="1" s="1"/>
  <c r="P8" i="1" s="1"/>
  <c r="Q8" i="1" s="1"/>
  <c r="I6" i="1"/>
  <c r="J6" i="1" s="1"/>
  <c r="K6" i="1" s="1"/>
  <c r="L6" i="1" s="1"/>
  <c r="M6" i="1" s="1"/>
  <c r="N6" i="1" s="1"/>
  <c r="O6" i="1" s="1"/>
  <c r="P6" i="1" s="1"/>
  <c r="Q6" i="1" s="1"/>
  <c r="I5" i="1"/>
  <c r="J5" i="1" s="1"/>
  <c r="K5" i="1" s="1"/>
  <c r="L5" i="1" s="1"/>
  <c r="M5" i="1" s="1"/>
  <c r="N5" i="1" s="1"/>
  <c r="O5" i="1" s="1"/>
  <c r="P5" i="1" s="1"/>
  <c r="Q5" i="1" s="1"/>
  <c r="G120" i="1" l="1"/>
  <c r="H120" i="1"/>
  <c r="Q116" i="1"/>
  <c r="S117" i="1"/>
  <c r="S116" i="1" s="1"/>
  <c r="S118" i="1" s="1"/>
  <c r="H65" i="1"/>
  <c r="G110" i="1" s="1"/>
  <c r="G116" i="1"/>
  <c r="H116" i="1"/>
  <c r="L120" i="1"/>
  <c r="I38" i="1"/>
  <c r="I39" i="1" s="1"/>
  <c r="J3" i="1"/>
  <c r="J38" i="1" s="1"/>
  <c r="J44" i="1" s="1"/>
  <c r="M47" i="1"/>
  <c r="Q47" i="1"/>
  <c r="N116" i="1"/>
  <c r="J116" i="1"/>
  <c r="J65" i="1"/>
  <c r="J16" i="1"/>
  <c r="I45" i="1"/>
  <c r="J17" i="1"/>
  <c r="I46" i="1"/>
  <c r="H72" i="1"/>
  <c r="H48" i="1" s="1"/>
  <c r="H73" i="1" s="1"/>
  <c r="L47" i="1"/>
  <c r="H47" i="1"/>
  <c r="H101" i="1" s="1"/>
  <c r="H45" i="1"/>
  <c r="H100" i="1" s="1"/>
  <c r="N47" i="1"/>
  <c r="M120" i="1"/>
  <c r="J47" i="1"/>
  <c r="I120" i="1"/>
  <c r="O116" i="1"/>
  <c r="K116" i="1"/>
  <c r="H63" i="1"/>
  <c r="G108" i="1" s="1"/>
  <c r="J63" i="1"/>
  <c r="P116" i="1"/>
  <c r="P47" i="1"/>
  <c r="K47" i="1"/>
  <c r="P120" i="1"/>
  <c r="Q120" i="1"/>
  <c r="I63" i="1"/>
  <c r="H108" i="1" s="1"/>
  <c r="Q43" i="1"/>
  <c r="J23" i="1"/>
  <c r="H39" i="1"/>
  <c r="H44" i="1"/>
  <c r="O47" i="1"/>
  <c r="J35" i="1"/>
  <c r="I72" i="1"/>
  <c r="I48" i="1" s="1"/>
  <c r="I47" i="1"/>
  <c r="I101" i="1" s="1"/>
  <c r="O120" i="1"/>
  <c r="K120" i="1"/>
  <c r="D1" i="2"/>
  <c r="H22" i="1"/>
  <c r="D2" i="2" s="1"/>
  <c r="M116" i="1"/>
  <c r="I116" i="1"/>
  <c r="B140" i="1"/>
  <c r="J142" i="1" s="1"/>
  <c r="P43" i="1"/>
  <c r="L43" i="1"/>
  <c r="O43" i="1"/>
  <c r="K43" i="1"/>
  <c r="N43" i="1"/>
  <c r="J43" i="1"/>
  <c r="M43" i="1"/>
  <c r="I43" i="1"/>
  <c r="K3" i="1"/>
  <c r="I79" i="1" l="1"/>
  <c r="I66" i="1"/>
  <c r="H102" i="1"/>
  <c r="H103" i="1" s="1"/>
  <c r="G113" i="1" s="1"/>
  <c r="J39" i="1"/>
  <c r="Q118" i="1"/>
  <c r="Q117" i="1"/>
  <c r="Q121" i="1"/>
  <c r="S120" i="1" s="1"/>
  <c r="I44" i="1"/>
  <c r="D148" i="1"/>
  <c r="I65" i="1"/>
  <c r="H110" i="1" s="1"/>
  <c r="I100" i="1"/>
  <c r="E8" i="2"/>
  <c r="C9" i="2" s="1"/>
  <c r="H53" i="1" s="1"/>
  <c r="B132" i="1" s="1"/>
  <c r="D5" i="2"/>
  <c r="H79" i="1"/>
  <c r="G112" i="1" s="1"/>
  <c r="H40" i="1"/>
  <c r="H66" i="1"/>
  <c r="G111" i="1" s="1"/>
  <c r="I73" i="1"/>
  <c r="J73" i="1" s="1"/>
  <c r="K23" i="1"/>
  <c r="J54" i="1"/>
  <c r="I108" i="1"/>
  <c r="I49" i="1"/>
  <c r="L3" i="1"/>
  <c r="K38" i="1"/>
  <c r="K16" i="1"/>
  <c r="J45" i="1"/>
  <c r="J100" i="1" s="1"/>
  <c r="K35" i="1"/>
  <c r="J72" i="1"/>
  <c r="J48" i="1" s="1"/>
  <c r="J101" i="1" s="1"/>
  <c r="H49" i="1"/>
  <c r="H51" i="1" s="1"/>
  <c r="H56" i="1" s="1"/>
  <c r="H57" i="1" s="1"/>
  <c r="H80" i="1" s="1"/>
  <c r="I67" i="1"/>
  <c r="H71" i="1"/>
  <c r="I71" i="1" s="1"/>
  <c r="K17" i="1"/>
  <c r="J46" i="1"/>
  <c r="I40" i="1"/>
  <c r="J102" i="1" l="1"/>
  <c r="J103" i="1" s="1"/>
  <c r="J104" i="1"/>
  <c r="I102" i="1"/>
  <c r="I103" i="1" s="1"/>
  <c r="H113" i="1" s="1"/>
  <c r="I110" i="1"/>
  <c r="J79" i="1"/>
  <c r="I112" i="1" s="1"/>
  <c r="J66" i="1"/>
  <c r="H104" i="1"/>
  <c r="H126" i="1" s="1"/>
  <c r="H75" i="1"/>
  <c r="H88" i="1" s="1"/>
  <c r="J40" i="1"/>
  <c r="H67" i="1"/>
  <c r="H111" i="1"/>
  <c r="G126" i="1"/>
  <c r="H112" i="1"/>
  <c r="H58" i="1"/>
  <c r="H89" i="1" s="1"/>
  <c r="J49" i="1"/>
  <c r="J51" i="1" s="1"/>
  <c r="I51" i="1"/>
  <c r="J71" i="1"/>
  <c r="I75" i="1"/>
  <c r="I88" i="1" s="1"/>
  <c r="L17" i="1"/>
  <c r="K46" i="1"/>
  <c r="K65" i="1"/>
  <c r="J110" i="1" s="1"/>
  <c r="K44" i="1"/>
  <c r="K39" i="1"/>
  <c r="K40" i="1" s="1"/>
  <c r="K63" i="1"/>
  <c r="B11" i="2"/>
  <c r="B15" i="2"/>
  <c r="B40" i="2"/>
  <c r="B23" i="2"/>
  <c r="B32" i="2"/>
  <c r="B22" i="2"/>
  <c r="B35" i="2"/>
  <c r="B31" i="2"/>
  <c r="B9" i="2"/>
  <c r="D9" i="2" s="1"/>
  <c r="E9" i="2" s="1"/>
  <c r="B27" i="2"/>
  <c r="B10" i="2"/>
  <c r="B36" i="2"/>
  <c r="B19" i="2"/>
  <c r="B28" i="2"/>
  <c r="B39" i="2"/>
  <c r="B14" i="2"/>
  <c r="B16" i="2"/>
  <c r="B37" i="2"/>
  <c r="B24" i="2"/>
  <c r="B18" i="2"/>
  <c r="B41" i="2"/>
  <c r="B30" i="2"/>
  <c r="B17" i="2"/>
  <c r="B43" i="2"/>
  <c r="B21" i="2"/>
  <c r="B38" i="2"/>
  <c r="B34" i="2"/>
  <c r="B33" i="2"/>
  <c r="B20" i="2"/>
  <c r="B13" i="2"/>
  <c r="B25" i="2"/>
  <c r="B12" i="2"/>
  <c r="B29" i="2"/>
  <c r="B26" i="2"/>
  <c r="B42" i="2"/>
  <c r="L23" i="1"/>
  <c r="K54" i="1"/>
  <c r="H25" i="1"/>
  <c r="H96" i="1"/>
  <c r="L35" i="1"/>
  <c r="K72" i="1"/>
  <c r="K48" i="1" s="1"/>
  <c r="K101" i="1" s="1"/>
  <c r="L16" i="1"/>
  <c r="K45" i="1"/>
  <c r="M3" i="1"/>
  <c r="L38" i="1"/>
  <c r="H81" i="1"/>
  <c r="I104" i="1" l="1"/>
  <c r="D4" i="4"/>
  <c r="D4" i="3"/>
  <c r="F22" i="3" s="1"/>
  <c r="K100" i="1"/>
  <c r="I111" i="1"/>
  <c r="J67" i="1"/>
  <c r="I113" i="1"/>
  <c r="C4" i="4"/>
  <c r="C4" i="3"/>
  <c r="K49" i="1"/>
  <c r="K51" i="1" s="1"/>
  <c r="M16" i="1"/>
  <c r="L45" i="1"/>
  <c r="L65" i="1"/>
  <c r="K110" i="1" s="1"/>
  <c r="L44" i="1"/>
  <c r="L39" i="1"/>
  <c r="L40" i="1" s="1"/>
  <c r="L63" i="1"/>
  <c r="H83" i="1"/>
  <c r="C10" i="2"/>
  <c r="K71" i="1"/>
  <c r="L71" i="1" s="1"/>
  <c r="J75" i="1"/>
  <c r="J88" i="1" s="1"/>
  <c r="N3" i="1"/>
  <c r="M38" i="1"/>
  <c r="M35" i="1"/>
  <c r="L72" i="1"/>
  <c r="L48" i="1" s="1"/>
  <c r="L101" i="1" s="1"/>
  <c r="M23" i="1"/>
  <c r="L54" i="1"/>
  <c r="J108" i="1"/>
  <c r="M17" i="1"/>
  <c r="L46" i="1"/>
  <c r="H30" i="1"/>
  <c r="K79" i="1"/>
  <c r="J112" i="1" s="1"/>
  <c r="K66" i="1"/>
  <c r="K73" i="1"/>
  <c r="L73" i="1" s="1"/>
  <c r="M71" i="1"/>
  <c r="K104" i="1" l="1"/>
  <c r="K102" i="1"/>
  <c r="K103" i="1" s="1"/>
  <c r="J113" i="1" s="1"/>
  <c r="C33" i="4"/>
  <c r="C15" i="4"/>
  <c r="C19" i="4" s="1"/>
  <c r="C24" i="4"/>
  <c r="C28" i="4" s="1"/>
  <c r="D33" i="4"/>
  <c r="D15" i="4"/>
  <c r="D19" i="4" s="1"/>
  <c r="D24" i="4"/>
  <c r="D28" i="4" s="1"/>
  <c r="E20" i="3"/>
  <c r="B28" i="3" s="1"/>
  <c r="L100" i="1"/>
  <c r="I126" i="1"/>
  <c r="D10" i="2"/>
  <c r="E10" i="2" s="1"/>
  <c r="I53" i="1"/>
  <c r="I56" i="1" s="1"/>
  <c r="L49" i="1"/>
  <c r="L51" i="1" s="1"/>
  <c r="N17" i="1"/>
  <c r="M46" i="1"/>
  <c r="N23" i="1"/>
  <c r="M54" i="1"/>
  <c r="O3" i="1"/>
  <c r="N38" i="1"/>
  <c r="N16" i="1"/>
  <c r="M45" i="1"/>
  <c r="K108" i="1"/>
  <c r="M39" i="1"/>
  <c r="M40" i="1" s="1"/>
  <c r="M65" i="1"/>
  <c r="L110" i="1" s="1"/>
  <c r="M44" i="1"/>
  <c r="M63" i="1"/>
  <c r="J111" i="1"/>
  <c r="K75" i="1"/>
  <c r="K88" i="1" s="1"/>
  <c r="K67" i="1"/>
  <c r="N35" i="1"/>
  <c r="M72" i="1"/>
  <c r="M48" i="1" s="1"/>
  <c r="M101" i="1" s="1"/>
  <c r="L79" i="1"/>
  <c r="K112" i="1" s="1"/>
  <c r="L66" i="1"/>
  <c r="H86" i="1"/>
  <c r="H91" i="1" s="1"/>
  <c r="H93" i="1" s="1"/>
  <c r="N71" i="1"/>
  <c r="J126" i="1" l="1"/>
  <c r="E4" i="4"/>
  <c r="E4" i="3"/>
  <c r="L102" i="1"/>
  <c r="L103" i="1" s="1"/>
  <c r="K113" i="1" s="1"/>
  <c r="L104" i="1"/>
  <c r="M100" i="1"/>
  <c r="M49" i="1"/>
  <c r="M51" i="1" s="1"/>
  <c r="N44" i="1"/>
  <c r="N39" i="1"/>
  <c r="N40" i="1" s="1"/>
  <c r="N65" i="1"/>
  <c r="M110" i="1" s="1"/>
  <c r="N63" i="1"/>
  <c r="P3" i="1"/>
  <c r="O38" i="1"/>
  <c r="O17" i="1"/>
  <c r="N46" i="1"/>
  <c r="I57" i="1"/>
  <c r="I80" i="1" s="1"/>
  <c r="K111" i="1"/>
  <c r="K126" i="1" s="1"/>
  <c r="L75" i="1"/>
  <c r="L88" i="1" s="1"/>
  <c r="L67" i="1"/>
  <c r="O16" i="1"/>
  <c r="N45" i="1"/>
  <c r="C11" i="2"/>
  <c r="I83" i="1"/>
  <c r="O35" i="1"/>
  <c r="N72" i="1"/>
  <c r="N48" i="1" s="1"/>
  <c r="N101" i="1" s="1"/>
  <c r="L108" i="1"/>
  <c r="M79" i="1"/>
  <c r="L112" i="1" s="1"/>
  <c r="M66" i="1"/>
  <c r="O23" i="1"/>
  <c r="N54" i="1"/>
  <c r="M73" i="1"/>
  <c r="O71" i="1"/>
  <c r="G4" i="4" l="1"/>
  <c r="G4" i="3"/>
  <c r="I22" i="3" s="1"/>
  <c r="G22" i="3"/>
  <c r="F4" i="4"/>
  <c r="F4" i="3"/>
  <c r="H22" i="3" s="1"/>
  <c r="M102" i="1"/>
  <c r="M103" i="1" s="1"/>
  <c r="L113" i="1" s="1"/>
  <c r="M104" i="1"/>
  <c r="E15" i="4"/>
  <c r="E19" i="4" s="1"/>
  <c r="E33" i="4"/>
  <c r="E24" i="4"/>
  <c r="E28" i="4" s="1"/>
  <c r="N100" i="1"/>
  <c r="L111" i="1"/>
  <c r="L126" i="1" s="1"/>
  <c r="M75" i="1"/>
  <c r="M88" i="1" s="1"/>
  <c r="N49" i="1"/>
  <c r="N51" i="1" s="1"/>
  <c r="N73" i="1"/>
  <c r="P35" i="1"/>
  <c r="O72" i="1"/>
  <c r="O48" i="1" s="1"/>
  <c r="O101" i="1" s="1"/>
  <c r="J53" i="1"/>
  <c r="J56" i="1" s="1"/>
  <c r="D11" i="2"/>
  <c r="E11" i="2" s="1"/>
  <c r="I58" i="1"/>
  <c r="I89" i="1" s="1"/>
  <c r="I96" i="1" s="1"/>
  <c r="O65" i="1"/>
  <c r="N110" i="1" s="1"/>
  <c r="O44" i="1"/>
  <c r="O39" i="1"/>
  <c r="O63" i="1"/>
  <c r="P17" i="1"/>
  <c r="O46" i="1"/>
  <c r="I81" i="1"/>
  <c r="Q3" i="1"/>
  <c r="Q38" i="1" s="1"/>
  <c r="P38" i="1"/>
  <c r="M108" i="1"/>
  <c r="M67" i="1"/>
  <c r="P23" i="1"/>
  <c r="O54" i="1"/>
  <c r="P16" i="1"/>
  <c r="O45" i="1"/>
  <c r="O100" i="1" s="1"/>
  <c r="N79" i="1"/>
  <c r="M112" i="1" s="1"/>
  <c r="N66" i="1"/>
  <c r="M111" i="1" s="1"/>
  <c r="P71" i="1"/>
  <c r="H4" i="4" l="1"/>
  <c r="H4" i="3"/>
  <c r="J22" i="3" s="1"/>
  <c r="O102" i="1"/>
  <c r="O103" i="1" s="1"/>
  <c r="M126" i="1"/>
  <c r="N102" i="1"/>
  <c r="N103" i="1" s="1"/>
  <c r="M113" i="1" s="1"/>
  <c r="F24" i="4"/>
  <c r="F28" i="4" s="1"/>
  <c r="F15" i="4"/>
  <c r="F19" i="4" s="1"/>
  <c r="F33" i="4"/>
  <c r="G24" i="4"/>
  <c r="G28" i="4" s="1"/>
  <c r="G33" i="4"/>
  <c r="G15" i="4"/>
  <c r="G19" i="4" s="1"/>
  <c r="I30" i="1"/>
  <c r="I86" i="1"/>
  <c r="I91" i="1" s="1"/>
  <c r="I93" i="1" s="1"/>
  <c r="O79" i="1"/>
  <c r="N112" i="1" s="1"/>
  <c r="O66" i="1"/>
  <c r="O67" i="1" s="1"/>
  <c r="O49" i="1"/>
  <c r="Q17" i="1"/>
  <c r="Q46" i="1" s="1"/>
  <c r="P46" i="1"/>
  <c r="Q23" i="1"/>
  <c r="Q54" i="1" s="1"/>
  <c r="P54" i="1"/>
  <c r="Q16" i="1"/>
  <c r="Q45" i="1" s="1"/>
  <c r="P45" i="1"/>
  <c r="P65" i="1"/>
  <c r="O110" i="1" s="1"/>
  <c r="P44" i="1"/>
  <c r="P39" i="1"/>
  <c r="P100" i="1" s="1"/>
  <c r="P63" i="1"/>
  <c r="O40" i="1"/>
  <c r="Q35" i="1"/>
  <c r="Q72" i="1" s="1"/>
  <c r="Q48" i="1" s="1"/>
  <c r="Q101" i="1" s="1"/>
  <c r="P72" i="1"/>
  <c r="P48" i="1" s="1"/>
  <c r="P101" i="1" s="1"/>
  <c r="J57" i="1"/>
  <c r="J80" i="1" s="1"/>
  <c r="N67" i="1"/>
  <c r="Q44" i="1"/>
  <c r="Q65" i="1"/>
  <c r="Q39" i="1"/>
  <c r="Q100" i="1" s="1"/>
  <c r="Q63" i="1"/>
  <c r="N108" i="1"/>
  <c r="C12" i="2"/>
  <c r="J83" i="1"/>
  <c r="O73" i="1"/>
  <c r="P73" i="1" s="1"/>
  <c r="N75" i="1"/>
  <c r="N88" i="1" s="1"/>
  <c r="Q71" i="1"/>
  <c r="S121" i="1" s="1"/>
  <c r="S122" i="1" s="1"/>
  <c r="Q102" i="1" l="1"/>
  <c r="Q103" i="1" s="1"/>
  <c r="P102" i="1"/>
  <c r="P103" i="1" s="1"/>
  <c r="O113" i="1" s="1"/>
  <c r="I4" i="4"/>
  <c r="I4" i="3"/>
  <c r="N113" i="1"/>
  <c r="P40" i="1"/>
  <c r="O104" i="1"/>
  <c r="Q122" i="1"/>
  <c r="N104" i="1"/>
  <c r="H24" i="4"/>
  <c r="H28" i="4" s="1"/>
  <c r="H15" i="4"/>
  <c r="H19" i="4" s="1"/>
  <c r="J58" i="1"/>
  <c r="J89" i="1" s="1"/>
  <c r="J96" i="1" s="1"/>
  <c r="Q73" i="1"/>
  <c r="P108" i="1"/>
  <c r="Q108" i="1"/>
  <c r="Q49" i="1"/>
  <c r="J81" i="1"/>
  <c r="O108" i="1"/>
  <c r="P110" i="1"/>
  <c r="Q110" i="1"/>
  <c r="R110" i="1" s="1"/>
  <c r="K53" i="1"/>
  <c r="K56" i="1" s="1"/>
  <c r="D12" i="2"/>
  <c r="E12" i="2" s="1"/>
  <c r="Q79" i="1"/>
  <c r="Q66" i="1"/>
  <c r="P79" i="1"/>
  <c r="O112" i="1" s="1"/>
  <c r="P66" i="1"/>
  <c r="O51" i="1"/>
  <c r="Q40" i="1"/>
  <c r="P49" i="1"/>
  <c r="P51" i="1" s="1"/>
  <c r="N111" i="1"/>
  <c r="O75" i="1"/>
  <c r="O88" i="1" s="1"/>
  <c r="N126" i="1" l="1"/>
  <c r="I24" i="4"/>
  <c r="I28" i="4" s="1"/>
  <c r="I15" i="4"/>
  <c r="I19" i="4" s="1"/>
  <c r="P104" i="1"/>
  <c r="Q112" i="1"/>
  <c r="P112" i="1"/>
  <c r="P113" i="1"/>
  <c r="Q113" i="1"/>
  <c r="K22" i="3"/>
  <c r="Q75" i="1"/>
  <c r="Q88" i="1" s="1"/>
  <c r="R108" i="1"/>
  <c r="O126" i="1"/>
  <c r="Q104" i="1"/>
  <c r="C13" i="2"/>
  <c r="K83" i="1"/>
  <c r="O111" i="1"/>
  <c r="P75" i="1"/>
  <c r="P88" i="1" s="1"/>
  <c r="P67" i="1"/>
  <c r="J30" i="1"/>
  <c r="J86" i="1"/>
  <c r="J91" i="1" s="1"/>
  <c r="J93" i="1" s="1"/>
  <c r="K57" i="1"/>
  <c r="K80" i="1" s="1"/>
  <c r="Q51" i="1"/>
  <c r="P111" i="1"/>
  <c r="Q111" i="1"/>
  <c r="Q67" i="1"/>
  <c r="Q126" i="1" l="1"/>
  <c r="K4" i="4"/>
  <c r="K4" i="3"/>
  <c r="M22" i="3" s="1"/>
  <c r="R112" i="1"/>
  <c r="P126" i="1"/>
  <c r="R111" i="1"/>
  <c r="J4" i="4"/>
  <c r="J4" i="3"/>
  <c r="K58" i="1"/>
  <c r="K89" i="1" s="1"/>
  <c r="K96" i="1" s="1"/>
  <c r="D13" i="2"/>
  <c r="E13" i="2" s="1"/>
  <c r="L53" i="1"/>
  <c r="L56" i="1" s="1"/>
  <c r="K81" i="1"/>
  <c r="J15" i="4" l="1"/>
  <c r="J19" i="4" s="1"/>
  <c r="J24" i="4"/>
  <c r="J28" i="4" s="1"/>
  <c r="L4" i="4"/>
  <c r="L4" i="3"/>
  <c r="N22" i="3" s="1"/>
  <c r="L22" i="3"/>
  <c r="C5" i="3"/>
  <c r="K15" i="4"/>
  <c r="K19" i="4" s="1"/>
  <c r="K24" i="4"/>
  <c r="K28" i="4" s="1"/>
  <c r="M4" i="4"/>
  <c r="M4" i="3"/>
  <c r="O22" i="3" s="1"/>
  <c r="D128" i="1"/>
  <c r="R113" i="1"/>
  <c r="L57" i="1"/>
  <c r="L80" i="1" s="1"/>
  <c r="C14" i="2"/>
  <c r="L83" i="1"/>
  <c r="K86" i="1"/>
  <c r="K91" i="1" s="1"/>
  <c r="K93" i="1" s="1"/>
  <c r="K30" i="1"/>
  <c r="L15" i="4" l="1"/>
  <c r="L19" i="4" s="1"/>
  <c r="L24" i="4"/>
  <c r="L28" i="4" s="1"/>
  <c r="M15" i="4"/>
  <c r="M19" i="4" s="1"/>
  <c r="M24" i="4"/>
  <c r="M28" i="4" s="1"/>
  <c r="L58" i="1"/>
  <c r="L89" i="1" s="1"/>
  <c r="L96" i="1" s="1"/>
  <c r="D14" i="2"/>
  <c r="E14" i="2" s="1"/>
  <c r="M53" i="1"/>
  <c r="M56" i="1" s="1"/>
  <c r="L81" i="1"/>
  <c r="L30" i="1" l="1"/>
  <c r="L86" i="1"/>
  <c r="L91" i="1" s="1"/>
  <c r="L93" i="1" s="1"/>
  <c r="M57" i="1"/>
  <c r="M80" i="1" s="1"/>
  <c r="M58" i="1"/>
  <c r="M89" i="1" s="1"/>
  <c r="M96" i="1" s="1"/>
  <c r="M83" i="1"/>
  <c r="C15" i="2"/>
  <c r="M81" i="1" l="1"/>
  <c r="N53" i="1"/>
  <c r="N56" i="1" s="1"/>
  <c r="D15" i="2"/>
  <c r="E15" i="2" s="1"/>
  <c r="N57" i="1" l="1"/>
  <c r="N80" i="1" s="1"/>
  <c r="N58" i="1"/>
  <c r="N89" i="1" s="1"/>
  <c r="N96" i="1" s="1"/>
  <c r="N83" i="1"/>
  <c r="C16" i="2"/>
  <c r="M30" i="1"/>
  <c r="M86" i="1"/>
  <c r="M91" i="1" s="1"/>
  <c r="M93" i="1" s="1"/>
  <c r="D16" i="2" l="1"/>
  <c r="E16" i="2" s="1"/>
  <c r="O53" i="1"/>
  <c r="O56" i="1" s="1"/>
  <c r="N81" i="1"/>
  <c r="N30" i="1" l="1"/>
  <c r="N86" i="1"/>
  <c r="N91" i="1" s="1"/>
  <c r="N93" i="1" s="1"/>
  <c r="O57" i="1"/>
  <c r="O80" i="1" s="1"/>
  <c r="O83" i="1"/>
  <c r="C17" i="2"/>
  <c r="O58" i="1" l="1"/>
  <c r="O89" i="1" s="1"/>
  <c r="O96" i="1" s="1"/>
  <c r="O81" i="1"/>
  <c r="D17" i="2"/>
  <c r="E17" i="2" s="1"/>
  <c r="P53" i="1"/>
  <c r="P56" i="1" s="1"/>
  <c r="P83" i="1" l="1"/>
  <c r="C18" i="2"/>
  <c r="P57" i="1"/>
  <c r="P80" i="1" s="1"/>
  <c r="P58" i="1"/>
  <c r="P89" i="1" s="1"/>
  <c r="P96" i="1" s="1"/>
  <c r="O30" i="1"/>
  <c r="O86" i="1"/>
  <c r="O91" i="1" s="1"/>
  <c r="O93" i="1" s="1"/>
  <c r="P81" i="1" l="1"/>
  <c r="Q53" i="1"/>
  <c r="Q56" i="1" s="1"/>
  <c r="D18" i="2"/>
  <c r="E18" i="2" s="1"/>
  <c r="Q83" i="1" l="1"/>
  <c r="A148" i="1" s="1"/>
  <c r="C19" i="2"/>
  <c r="D19" i="2" s="1"/>
  <c r="E19" i="2" s="1"/>
  <c r="C20" i="2" s="1"/>
  <c r="D20" i="2" s="1"/>
  <c r="E20" i="2" s="1"/>
  <c r="C21" i="2" s="1"/>
  <c r="D21" i="2" s="1"/>
  <c r="E21" i="2" s="1"/>
  <c r="C22" i="2" s="1"/>
  <c r="D22" i="2" s="1"/>
  <c r="E22" i="2" s="1"/>
  <c r="C23" i="2" s="1"/>
  <c r="D23" i="2" s="1"/>
  <c r="E23" i="2" s="1"/>
  <c r="C24" i="2" s="1"/>
  <c r="D24" i="2" s="1"/>
  <c r="E24" i="2" s="1"/>
  <c r="C25" i="2" s="1"/>
  <c r="D25" i="2" s="1"/>
  <c r="E25" i="2" s="1"/>
  <c r="C26" i="2" s="1"/>
  <c r="D26" i="2" s="1"/>
  <c r="E26" i="2" s="1"/>
  <c r="C27" i="2" s="1"/>
  <c r="D27" i="2" s="1"/>
  <c r="E27" i="2" s="1"/>
  <c r="C28" i="2" s="1"/>
  <c r="D28" i="2" s="1"/>
  <c r="E28" i="2" s="1"/>
  <c r="C29" i="2" s="1"/>
  <c r="D29" i="2" s="1"/>
  <c r="E29" i="2" s="1"/>
  <c r="C30" i="2" s="1"/>
  <c r="D30" i="2" s="1"/>
  <c r="E30" i="2" s="1"/>
  <c r="C31" i="2" s="1"/>
  <c r="D31" i="2" s="1"/>
  <c r="E31" i="2" s="1"/>
  <c r="C32" i="2" s="1"/>
  <c r="D32" i="2" s="1"/>
  <c r="E32" i="2" s="1"/>
  <c r="C33" i="2" s="1"/>
  <c r="D33" i="2" s="1"/>
  <c r="E33" i="2" s="1"/>
  <c r="Q57" i="1"/>
  <c r="Q80" i="1" s="1"/>
  <c r="P30" i="1"/>
  <c r="P86" i="1"/>
  <c r="P91" i="1" s="1"/>
  <c r="P93" i="1" s="1"/>
  <c r="Q58" i="1" l="1"/>
  <c r="Q89" i="1" s="1"/>
  <c r="Q96" i="1" s="1"/>
  <c r="A149" i="1" s="1"/>
  <c r="B149" i="1" s="1"/>
  <c r="A151" i="1"/>
  <c r="Q81" i="1"/>
  <c r="B148" i="1"/>
  <c r="C34" i="2"/>
  <c r="D34" i="2" s="1"/>
  <c r="E34" i="2" s="1"/>
  <c r="E148" i="1" l="1"/>
  <c r="B151" i="1"/>
  <c r="J141" i="1"/>
  <c r="B142" i="1" s="1"/>
  <c r="C13" i="3" s="1"/>
  <c r="Q86" i="1"/>
  <c r="Q91" i="1" s="1"/>
  <c r="Q93" i="1" s="1"/>
  <c r="Q30" i="1"/>
  <c r="C35" i="2"/>
  <c r="D35" i="2" s="1"/>
  <c r="E35" i="2" s="1"/>
  <c r="B145" i="1" l="1"/>
  <c r="C149" i="1" s="1"/>
  <c r="D149" i="1" s="1"/>
  <c r="E149" i="1" s="1"/>
  <c r="E151" i="1" s="1"/>
  <c r="D127" i="1" s="1"/>
  <c r="C36" i="2"/>
  <c r="D36" i="2" s="1"/>
  <c r="E36" i="2" s="1"/>
  <c r="C6" i="4" l="1"/>
  <c r="C6" i="3"/>
  <c r="D129" i="1"/>
  <c r="C37" i="2"/>
  <c r="D37" i="2" s="1"/>
  <c r="E37" i="2" s="1"/>
  <c r="C23" i="3" l="1"/>
  <c r="A28" i="3" s="1"/>
  <c r="F28" i="3" s="1"/>
  <c r="C7" i="3"/>
  <c r="C34" i="4"/>
  <c r="C20" i="4"/>
  <c r="C29" i="4"/>
  <c r="C38" i="2"/>
  <c r="D38" i="2" s="1"/>
  <c r="E38" i="2" s="1"/>
  <c r="C37" i="4" l="1"/>
  <c r="C39" i="2"/>
  <c r="D39" i="2" s="1"/>
  <c r="E39" i="2" s="1"/>
  <c r="C40" i="2" l="1"/>
  <c r="D40" i="2" s="1"/>
  <c r="E40" i="2" s="1"/>
  <c r="C41" i="2" l="1"/>
  <c r="D41" i="2" s="1"/>
  <c r="E41" i="2" s="1"/>
  <c r="C42" i="2" l="1"/>
  <c r="D42" i="2" s="1"/>
  <c r="E42" i="2" s="1"/>
  <c r="C43" i="2" l="1"/>
  <c r="D43" i="2" s="1"/>
  <c r="E43" i="2" s="1"/>
</calcChain>
</file>

<file path=xl/sharedStrings.xml><?xml version="1.0" encoding="utf-8"?>
<sst xmlns="http://schemas.openxmlformats.org/spreadsheetml/2006/main" count="252" uniqueCount="205">
  <si>
    <t>Popluation of city</t>
  </si>
  <si>
    <t>General and Administrative as percent of sales</t>
  </si>
  <si>
    <t xml:space="preserve">Average number of labor hours per year needed </t>
  </si>
  <si>
    <t>Average total cost per labor hour (wage + withholdings)</t>
  </si>
  <si>
    <t>Cost per acre for land</t>
  </si>
  <si>
    <t>Acres of land</t>
  </si>
  <si>
    <t>Cost per square foot for store building</t>
  </si>
  <si>
    <t>Square footage of building</t>
  </si>
  <si>
    <t>Average cost of insurance and property tax, % of building value</t>
  </si>
  <si>
    <t>Average maintenance cost per year, per square foot of buildings</t>
  </si>
  <si>
    <t>Mortgage loan interest rate</t>
  </si>
  <si>
    <t>Mortgage loan length (in years)</t>
  </si>
  <si>
    <t>Mortgage loan starting balance, % of total land and buildings</t>
  </si>
  <si>
    <t>Mortgage loan starting balance (PV)</t>
  </si>
  <si>
    <t>Extra bank loan interest rate</t>
  </si>
  <si>
    <t>Common stock starting balance, percent of total assets first year</t>
  </si>
  <si>
    <t>Common stock starting balance minimum, if at least as above</t>
  </si>
  <si>
    <t>Days of inventory</t>
  </si>
  <si>
    <t>Days of accounts payable (COGS expense)</t>
  </si>
  <si>
    <t>Days of receivables (credit card use assumed for all revenue)</t>
  </si>
  <si>
    <t>Income tax rate (state plus federal)</t>
  </si>
  <si>
    <t>INCOME STATEMENT</t>
  </si>
  <si>
    <t>Sales Revenue</t>
  </si>
  <si>
    <t>Cost of Good Sold</t>
  </si>
  <si>
    <t>Gross Profit</t>
  </si>
  <si>
    <t xml:space="preserve">Expenses </t>
  </si>
  <si>
    <t>Salaries and Wages</t>
  </si>
  <si>
    <t>General and Administrative</t>
  </si>
  <si>
    <t>Building Insurance and Property Taxes</t>
  </si>
  <si>
    <t>Building Maintenance</t>
  </si>
  <si>
    <t>Total Expenses</t>
  </si>
  <si>
    <t>Income Before Interest and Taxes</t>
  </si>
  <si>
    <t>Mortgage Interest Expense</t>
  </si>
  <si>
    <t>Extra Bank Loan Interest Expense</t>
  </si>
  <si>
    <t>Taxable Income</t>
  </si>
  <si>
    <t>Income Tax Expense</t>
  </si>
  <si>
    <t>Net Income</t>
  </si>
  <si>
    <t>BALANCE SHEET</t>
  </si>
  <si>
    <t xml:space="preserve">ASSETS </t>
  </si>
  <si>
    <t>Current Assets</t>
  </si>
  <si>
    <t>Minimum Cash Balance</t>
  </si>
  <si>
    <t>Extra Cash</t>
  </si>
  <si>
    <t>Accounts Receivable</t>
  </si>
  <si>
    <t xml:space="preserve">Inventory </t>
  </si>
  <si>
    <t>Total Current Assets</t>
  </si>
  <si>
    <t>Land</t>
  </si>
  <si>
    <t>Buildings</t>
  </si>
  <si>
    <t>Total Assets</t>
  </si>
  <si>
    <t xml:space="preserve">LIABILITIES </t>
  </si>
  <si>
    <t>Current Liabilities</t>
  </si>
  <si>
    <t>Accounts Payable (COGS Expense)</t>
  </si>
  <si>
    <t>Income Taxes Payable</t>
  </si>
  <si>
    <t>Total Current Liabilities</t>
  </si>
  <si>
    <t>Mortgage Loan</t>
  </si>
  <si>
    <t>Extra Bank Loan</t>
  </si>
  <si>
    <t>Total Liabilities</t>
  </si>
  <si>
    <t>Common Stock</t>
  </si>
  <si>
    <t>Retained Earnings</t>
  </si>
  <si>
    <t>Total Liabilities and Shareholders Equity</t>
  </si>
  <si>
    <t>DFN</t>
  </si>
  <si>
    <t>Year 1</t>
  </si>
  <si>
    <t>COGS - POS</t>
  </si>
  <si>
    <t>Average Consumption of pranks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</si>
  <si>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</si>
  <si>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</si>
  <si>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</si>
  <si>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</si>
  <si>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</si>
  <si>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</si>
  <si>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</si>
  <si>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</si>
  <si>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</si>
  <si>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Growth</t>
  </si>
  <si>
    <t>Decline</t>
  </si>
  <si>
    <t>Intangible Assets as % of Sales</t>
  </si>
  <si>
    <t>Minimum Cash as % of Sales</t>
  </si>
  <si>
    <t>Intangible Assets</t>
  </si>
  <si>
    <t>Average Depriciation Years</t>
  </si>
  <si>
    <t>Average Intangible Amortization Years</t>
  </si>
  <si>
    <t>Less Accumulated Depreciation - Building</t>
  </si>
  <si>
    <t>Less Accumulated Depreciation - Intangibles</t>
  </si>
  <si>
    <t>Depreciation Expense - Intangibles</t>
  </si>
  <si>
    <t>Depreciation Expense - Buildings</t>
  </si>
  <si>
    <t>NPER</t>
  </si>
  <si>
    <t>Interest Expense</t>
  </si>
  <si>
    <t>PMT</t>
  </si>
  <si>
    <t>Year 0</t>
  </si>
  <si>
    <t>Year 11</t>
  </si>
  <si>
    <t>Year 12</t>
  </si>
  <si>
    <t>Year 13</t>
  </si>
  <si>
    <t>Year 14</t>
  </si>
  <si>
    <t>Year 15</t>
  </si>
  <si>
    <t>Year 16</t>
  </si>
  <si>
    <t>Year 17</t>
  </si>
  <si>
    <t>Year 18</t>
  </si>
  <si>
    <t>Year 19</t>
  </si>
  <si>
    <t>Year 20</t>
  </si>
  <si>
    <t>Year 21</t>
  </si>
  <si>
    <t>Year 22</t>
  </si>
  <si>
    <t>Year 23</t>
  </si>
  <si>
    <t>Year 24</t>
  </si>
  <si>
    <t>Year 25</t>
  </si>
  <si>
    <t>Year 26</t>
  </si>
  <si>
    <t>Year 27</t>
  </si>
  <si>
    <t>Year 28</t>
  </si>
  <si>
    <t>Year 29</t>
  </si>
  <si>
    <t>Year 30</t>
  </si>
  <si>
    <t>Year 31</t>
  </si>
  <si>
    <t>Year 32</t>
  </si>
  <si>
    <t>Year 33</t>
  </si>
  <si>
    <t>Year 34</t>
  </si>
  <si>
    <t>Year 35</t>
  </si>
  <si>
    <t>Cash Paid</t>
  </si>
  <si>
    <t>Paid to Principle</t>
  </si>
  <si>
    <t>Carrying Value</t>
  </si>
  <si>
    <t>Mortgage Loan Balance</t>
  </si>
  <si>
    <t>Rate</t>
  </si>
  <si>
    <t>We have learned about the average transaction value of pranks is $31 dollars, and with the number of average prank place customers, we got the average consumption of prank of 3.5. https://www.bizbuysell.com/Business-Opportunity/PrankPlace-com-eCommerce-business-can-be-ran-from-anywhere/1344450/</t>
  </si>
  <si>
    <t>We learned that a 31-acre-land in Vancouver Washington is for sale at the price of 474900. So we calculated and learned that the price per acre is 15300. https://www.landwatch.com/Washington_land_for_sale/Vancouver</t>
  </si>
  <si>
    <t xml:space="preserve">We learned that loans from traditional lenders can have annual percentage rates (APRs) ranging from 4% to 13%. And our business is a medium-size business so we decided on 7%. https://www.valuepenguin.com/average-small-business-loan-interest-rates </t>
  </si>
  <si>
    <t>As the sales revenue increases, it is safer to keep the minumum cash increasing at the same time since we learned that liquidity is important to a growing business. https://www.entrepreneur.com/article/247831</t>
  </si>
  <si>
    <t>Current Ratio</t>
  </si>
  <si>
    <t>FREE CASH FLOWS</t>
  </si>
  <si>
    <t>Cash From Operatoins</t>
  </si>
  <si>
    <t>Operating Profit</t>
  </si>
  <si>
    <t>Less: Depreciation</t>
  </si>
  <si>
    <t>Taxable Operating Profit</t>
  </si>
  <si>
    <t>Taxes on Operations</t>
  </si>
  <si>
    <t>Total Cash from Operations</t>
  </si>
  <si>
    <t>Cash from Changes in Balance Sheet</t>
  </si>
  <si>
    <t>Working Capital</t>
  </si>
  <si>
    <t>Fixed Assets</t>
  </si>
  <si>
    <t>Adjustment for Sale</t>
  </si>
  <si>
    <t>Book</t>
  </si>
  <si>
    <t>Taxes on Sale</t>
  </si>
  <si>
    <t>Gain</t>
  </si>
  <si>
    <t>Goodwill At Purchase</t>
  </si>
  <si>
    <t>Total Free Cash Flows</t>
  </si>
  <si>
    <t>WACC</t>
  </si>
  <si>
    <t>IRR</t>
  </si>
  <si>
    <t>NPV</t>
  </si>
  <si>
    <t>CREDIT RATING</t>
  </si>
  <si>
    <t>Coverage Ratio</t>
  </si>
  <si>
    <t>Used worst ratio, in first year of operation</t>
  </si>
  <si>
    <t>Credit Rating</t>
  </si>
  <si>
    <t>Spread Above T-Bill</t>
  </si>
  <si>
    <t>T-Bill Return</t>
  </si>
  <si>
    <t>Mortage Loan</t>
  </si>
  <si>
    <t>T-Bill Rate plus Spread based on Credit Rating</t>
  </si>
  <si>
    <t>Add 3% to Mortgage Loan Rate</t>
  </si>
  <si>
    <t>CAPM</t>
  </si>
  <si>
    <t>Average Tax Rate</t>
  </si>
  <si>
    <t>Unlevered Beta</t>
  </si>
  <si>
    <t>Relevered Beta</t>
  </si>
  <si>
    <t>S&amp;P 500 Return</t>
  </si>
  <si>
    <t>Equity Cost</t>
  </si>
  <si>
    <t>Average</t>
  </si>
  <si>
    <t>Proportion</t>
  </si>
  <si>
    <t>Tax Adjusted</t>
  </si>
  <si>
    <t>Weighted</t>
  </si>
  <si>
    <t>D/E</t>
  </si>
  <si>
    <t>1-Tax Rate</t>
  </si>
  <si>
    <t>AAA</t>
  </si>
  <si>
    <t>We found the beta for online retail, entertainment, and several other industries that are related to our company. We adjust what we had because we are a smaller company and our company belongs to a relatively rare industry.  Thus, we tend to be riskier compared to other companies.</t>
  </si>
  <si>
    <t>Our goodwill comes from the fact that we have our own storage and do not need to pay for a large amount of operating expenses. Besides, our company is unique and we have less competitors compared to most businesses.</t>
  </si>
  <si>
    <t>Proceeds</t>
  </si>
  <si>
    <t>Cost - A/D</t>
  </si>
  <si>
    <t>Terminal Value: We sold the land and buildings at 35% above their book value. Pretending to sell gives us a "withdrawal". The real estate businesses in Washington have been showing positive trends and increasing value regarding land and building. Besides, our company's land and buildings are located in a convenient place and has convenient transportation benefits.</t>
  </si>
  <si>
    <t>CONSULTING PROJECT - BLACK-SCHOLES</t>
  </si>
  <si>
    <t>Free Cash Flows from Forecast</t>
  </si>
  <si>
    <t>WACC from Forecast</t>
  </si>
  <si>
    <t>NPV of FCF</t>
  </si>
  <si>
    <t>Because the WACC and IRR are so close, the NPV is almost zero, meaning the operations of the company is not earning more than WACC except by a very small amount (just $925 over the 10 year period)</t>
  </si>
  <si>
    <t>Risk Free T-Bill Rate used in WACC Calculation</t>
  </si>
  <si>
    <t>Relevered Beta Used in WACC calculation</t>
  </si>
  <si>
    <t>OPTION TO BUY THE COMPANY IN 2 YEARS, WITH AN EXERCISE PRICE OF THE CURRENT PURCHASE PRICE</t>
  </si>
  <si>
    <t>Exercise Price</t>
  </si>
  <si>
    <t>Cash Flows if Exercised</t>
  </si>
  <si>
    <t>Black-Sholes Computation area provided for you:</t>
  </si>
  <si>
    <t>S</t>
  </si>
  <si>
    <t>X</t>
  </si>
  <si>
    <t>t</t>
  </si>
  <si>
    <t>STDEV(%)</t>
  </si>
  <si>
    <t>r</t>
  </si>
  <si>
    <t>VALUE</t>
  </si>
  <si>
    <t>CONSULTING PROJECT - DECISION TREE</t>
  </si>
  <si>
    <t>SCENARIOS OF COMPANY</t>
  </si>
  <si>
    <t>Success - Success</t>
  </si>
  <si>
    <t>Normal Forecasted Operations</t>
  </si>
  <si>
    <t>Puchase New Land and Building Location</t>
  </si>
  <si>
    <t>Additional Revenues from New Location</t>
  </si>
  <si>
    <t>Sell New Location</t>
  </si>
  <si>
    <t>TOTAL</t>
  </si>
  <si>
    <t>Probability</t>
  </si>
  <si>
    <t>Success - Failure</t>
  </si>
  <si>
    <t>Failure</t>
  </si>
  <si>
    <t>Adjusted Forecasted Operations</t>
  </si>
  <si>
    <t>Total Expected NPV</t>
  </si>
  <si>
    <t>Decision Tree</t>
  </si>
  <si>
    <t>The option being sold is:  the option to buy this company two years from today, at a fixed price today of $601390.52.</t>
  </si>
  <si>
    <t>Since our WACC and IRR are extremly similar, there is a plan for expansion which might bring the WACC up and there are 2 phases.</t>
  </si>
  <si>
    <t>Phase 1 Success</t>
  </si>
  <si>
    <t>Phase 1 Failure</t>
  </si>
  <si>
    <t>Phase 2 Success</t>
  </si>
  <si>
    <t>Phase 2 Failure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</si>
</sst>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_(&quot;$&quot;* #,##0_);_(&quot;$&quot;* \(#,##0\);_(&quot;$&quot;* &quot;-&quot;??_);_(@_)"/>
    <numFmt numFmtId="166" formatCode="0.0000%"/>
    <numFmt numFmtId="167" formatCode="&quot;$&quot;#,##0"/>
    <numFmt numFmtId="168" formatCode="_(\$* #,##0.00_);_(\$* \(#,##0.00\);_(\$* \-??_);_(@_)"/>
    <numFmt numFmtId="169" formatCode="_(\$* #,##0_);_(\$* \(#,##0\);_(\$* \-??_);_(@_)"/>
    <numFmt numFmtId="170" formatCode="0.0%"/>
  </numFmts>
  <fonts count="1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2"/>
      <name val="Calibri"/>
      <family val="2"/>
      <scheme val="minor"/>
    </font>
    <font>
      <i/>
      <sz val="12"/>
      <name val="Calibri"/>
      <family val="2"/>
      <scheme val="minor"/>
    </font>
    <font>
      <sz val="12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168" fontId="12" fillId="0" borderId="0"/>
    <xf numFmtId="9" fontId="12" fillId="0" borderId="0"/>
    <xf numFmtId="43" fontId="9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  <xf numFmtId="0" fontId="4" fillId="0" borderId="0" xfId="1" applyFont="1"/>
    <xf numFmtId="9" fontId="0" fillId="0" borderId="0" xfId="0" applyNumberFormat="1"/>
    <xf numFmtId="10" fontId="0" fillId="0" borderId="0" xfId="0" applyNumberFormat="1"/>
    <xf numFmtId="1" fontId="0" fillId="0" borderId="0" xfId="0" applyNumberFormat="1"/>
    <xf numFmtId="164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  <xf numFmtId="1" fontId="0" fillId="2" borderId="0" xfId="0" applyNumberFormat="1" applyFill="1"/>
    <xf numFmtId="1" fontId="5" fillId="0" borderId="0" xfId="0" applyNumberFormat="1" applyFont="1"/>
    <xf numFmtId="0" fontId="5" fillId="2" borderId="0" xfId="0" applyFont="1" applyFill="1"/>
    <xf numFmtId="0" fontId="0" fillId="2" borderId="0" xfId="0" applyFill="1"/>
    <xf numFmtId="0" fontId="2" fillId="0" borderId="0" xfId="0" applyFont="1"/>
    <xf numFmtId="0" fontId="3" fillId="0" borderId="0" xfId="0" applyFont="1"/>
    <xf numFmtId="165" fontId="3" fillId="0" borderId="0" xfId="3" applyNumberFormat="1" applyFont="1" applyAlignment="1"/>
    <xf numFmtId="165" fontId="3" fillId="0" borderId="0" xfId="0" applyNumberFormat="1" applyFont="1"/>
    <xf numFmtId="10" fontId="3" fillId="0" borderId="0" xfId="0" applyNumberFormat="1" applyFont="1"/>
    <xf numFmtId="10" fontId="2" fillId="0" borderId="0" xfId="0" applyNumberFormat="1" applyFont="1"/>
    <xf numFmtId="42" fontId="3" fillId="0" borderId="0" xfId="3" applyNumberFormat="1" applyFont="1" applyAlignment="1"/>
    <xf numFmtId="42" fontId="3" fillId="0" borderId="0" xfId="0" applyNumberFormat="1" applyFont="1"/>
    <xf numFmtId="165" fontId="7" fillId="0" borderId="0" xfId="0" applyNumberFormat="1" applyFont="1"/>
    <xf numFmtId="37" fontId="7" fillId="0" borderId="0" xfId="0" applyNumberFormat="1" applyFont="1"/>
    <xf numFmtId="43" fontId="3" fillId="0" borderId="0" xfId="2" applyFont="1" applyAlignment="1"/>
    <xf numFmtId="0" fontId="3" fillId="0" borderId="0" xfId="0" applyFont="1" applyAlignment="1">
      <alignment horizontal="right"/>
    </xf>
    <xf numFmtId="10" fontId="3" fillId="0" borderId="0" xfId="4" applyNumberFormat="1" applyFont="1" applyAlignment="1"/>
    <xf numFmtId="10" fontId="2" fillId="0" borderId="0" xfId="4" applyNumberFormat="1" applyFont="1" applyAlignment="1"/>
    <xf numFmtId="1" fontId="6" fillId="0" borderId="0" xfId="0" applyNumberFormat="1" applyFont="1"/>
    <xf numFmtId="44" fontId="3" fillId="0" borderId="0" xfId="0" applyNumberFormat="1" applyFont="1"/>
    <xf numFmtId="166" fontId="3" fillId="0" borderId="0" xfId="0" applyNumberFormat="1" applyFont="1"/>
    <xf numFmtId="0" fontId="3" fillId="2" borderId="0" xfId="0" applyFont="1" applyFill="1"/>
    <xf numFmtId="165" fontId="3" fillId="2" borderId="0" xfId="0" applyNumberFormat="1" applyFont="1" applyFill="1"/>
    <xf numFmtId="165" fontId="3" fillId="2" borderId="0" xfId="3" applyNumberFormat="1" applyFont="1" applyFill="1" applyAlignment="1"/>
    <xf numFmtId="37" fontId="8" fillId="0" borderId="0" xfId="0" applyNumberFormat="1" applyFont="1"/>
    <xf numFmtId="167" fontId="3" fillId="0" borderId="0" xfId="0" applyNumberFormat="1" applyFont="1"/>
    <xf numFmtId="167" fontId="3" fillId="0" borderId="0" xfId="3" applyNumberFormat="1" applyFont="1" applyAlignment="1"/>
    <xf numFmtId="0" fontId="10" fillId="0" borderId="0" xfId="5" applyFont="1"/>
    <xf numFmtId="0" fontId="11" fillId="0" borderId="0" xfId="5" applyFont="1"/>
    <xf numFmtId="0" fontId="10" fillId="0" borderId="1" xfId="5" applyFont="1" applyBorder="1"/>
    <xf numFmtId="0" fontId="11" fillId="0" borderId="1" xfId="5" applyFont="1" applyBorder="1"/>
    <xf numFmtId="0" fontId="11" fillId="0" borderId="0" xfId="5" applyFont="1" applyAlignment="1">
      <alignment horizontal="center"/>
    </xf>
    <xf numFmtId="169" fontId="12" fillId="0" borderId="0" xfId="6" applyNumberFormat="1"/>
    <xf numFmtId="10" fontId="11" fillId="0" borderId="0" xfId="5" applyNumberFormat="1" applyFont="1"/>
    <xf numFmtId="0" fontId="13" fillId="0" borderId="0" xfId="5" applyFont="1"/>
    <xf numFmtId="10" fontId="11" fillId="0" borderId="0" xfId="7" applyNumberFormat="1" applyFont="1"/>
    <xf numFmtId="168" fontId="12" fillId="0" borderId="0" xfId="6"/>
    <xf numFmtId="170" fontId="11" fillId="0" borderId="0" xfId="7" applyNumberFormat="1" applyFont="1"/>
    <xf numFmtId="43" fontId="11" fillId="0" borderId="0" xfId="8" applyFont="1" applyFill="1"/>
    <xf numFmtId="43" fontId="11" fillId="0" borderId="1" xfId="8" applyFont="1" applyBorder="1"/>
    <xf numFmtId="0" fontId="14" fillId="0" borderId="1" xfId="5" applyFont="1" applyBorder="1"/>
    <xf numFmtId="0" fontId="8" fillId="0" borderId="0" xfId="5" applyFont="1"/>
    <xf numFmtId="169" fontId="11" fillId="0" borderId="0" xfId="5" applyNumberFormat="1" applyFont="1"/>
    <xf numFmtId="9" fontId="11" fillId="0" borderId="0" xfId="5" applyNumberFormat="1" applyFont="1"/>
    <xf numFmtId="169" fontId="15" fillId="0" borderId="0" xfId="6" applyNumberFormat="1" applyFont="1"/>
    <xf numFmtId="168" fontId="15" fillId="0" borderId="0" xfId="6" applyFont="1"/>
    <xf numFmtId="9" fontId="10" fillId="0" borderId="0" xfId="5" applyNumberFormat="1" applyFont="1"/>
    <xf numFmtId="0" fontId="9" fillId="0" borderId="2" xfId="5" applyBorder="1"/>
    <xf numFmtId="168" fontId="0" fillId="0" borderId="2" xfId="6" applyFont="1" applyBorder="1"/>
    <xf numFmtId="9" fontId="0" fillId="0" borderId="2" xfId="7" applyFont="1" applyBorder="1"/>
    <xf numFmtId="165" fontId="12" fillId="0" borderId="2" xfId="6" applyNumberFormat="1" applyBorder="1"/>
    <xf numFmtId="165" fontId="11" fillId="0" borderId="0" xfId="5" applyNumberFormat="1" applyFont="1"/>
    <xf numFmtId="9" fontId="13" fillId="0" borderId="0" xfId="5" applyNumberFormat="1" applyFont="1"/>
    <xf numFmtId="9" fontId="12" fillId="0" borderId="0" xfId="7"/>
    <xf numFmtId="169" fontId="12" fillId="0" borderId="3" xfId="6" applyNumberFormat="1" applyBorder="1"/>
    <xf numFmtId="0" fontId="11" fillId="0" borderId="4" xfId="5" applyFont="1" applyBorder="1"/>
    <xf numFmtId="0" fontId="11" fillId="0" borderId="5" xfId="5" applyFont="1" applyBorder="1"/>
    <xf numFmtId="169" fontId="12" fillId="0" borderId="4" xfId="6" applyNumberFormat="1" applyBorder="1"/>
    <xf numFmtId="9" fontId="11" fillId="0" borderId="1" xfId="5" applyNumberFormat="1" applyFont="1" applyBorder="1"/>
    <xf numFmtId="3" fontId="15" fillId="0" borderId="0" xfId="6" applyNumberFormat="1" applyFont="1"/>
    <xf numFmtId="3" fontId="12" fillId="0" borderId="0" xfId="6" applyNumberFormat="1"/>
    <xf numFmtId="3" fontId="11" fillId="0" borderId="0" xfId="5" applyNumberFormat="1" applyFont="1"/>
    <xf numFmtId="43" fontId="12" fillId="0" borderId="0" xfId="6" applyNumberFormat="1"/>
  </cellXfs>
  <cellStyles count="9">
    <cellStyle name="Comma 2" xfId="2" xr:uid="{00000000-0005-0000-0000-00002F000000}"/>
    <cellStyle name="Comma 3" xfId="8" xr:uid="{896704A8-E1C0-4658-BAE3-C1D711AE69D2}"/>
    <cellStyle name="Currency 2" xfId="3" xr:uid="{00000000-0005-0000-0000-000030000000}"/>
    <cellStyle name="Currency 3" xfId="6" xr:uid="{D558C691-69EA-4404-BCFA-98D7CB0A7C8B}"/>
    <cellStyle name="Normal" xfId="0" builtinId="0"/>
    <cellStyle name="Normal 2" xfId="1" xr:uid="{00000000-0005-0000-0000-000032000000}"/>
    <cellStyle name="Normal 3" xfId="5" xr:uid="{1E75AF62-EAD5-4543-BA6A-DB31EEFE28B6}"/>
    <cellStyle name="Percent 2" xfId="4" xr:uid="{00000000-0005-0000-0000-000033000000}"/>
    <cellStyle name="Percent 3" xfId="7" xr:uid="{ECD6A712-4E23-4C7B-AE24-FB940AA8E4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8CD65-913D-4761-86B3-942217AE6135}">
  <dimension ref="A1:E43"/>
  <sheetViews>
    <sheetView workbookViewId="0">
      <selection activeCell="D2" sqref="D2"/>
    </sheetView>
  </sheetViews>
  <sheetFormatPr defaultRowHeight="15" x14ac:dyDescent="0.25"/>
  <cols>
    <col min="2" max="2" width="10.42578125" customWidth="1"/>
    <col min="3" max="3" width="14.42578125" customWidth="1"/>
    <col min="4" max="4" width="13.85546875" customWidth="1"/>
    <col min="5" max="5" width="13" customWidth="1"/>
  </cols>
  <sheetData>
    <row r="1" spans="1:5" x14ac:dyDescent="0.25">
      <c r="A1" t="s">
        <v>53</v>
      </c>
      <c r="D1">
        <f>'Prank Place'!H69+'Prank Place'!H70</f>
        <v>207650</v>
      </c>
    </row>
    <row r="2" spans="1:5" x14ac:dyDescent="0.25">
      <c r="A2" t="s">
        <v>115</v>
      </c>
      <c r="D2" s="7">
        <f>'Prank Place'!H22</f>
        <v>164043.5</v>
      </c>
    </row>
    <row r="3" spans="1:5" x14ac:dyDescent="0.25">
      <c r="A3" t="s">
        <v>116</v>
      </c>
      <c r="D3" s="6">
        <f>'Prank Place'!H19</f>
        <v>4.2500000000000003E-2</v>
      </c>
    </row>
    <row r="4" spans="1:5" x14ac:dyDescent="0.25">
      <c r="A4" t="s">
        <v>83</v>
      </c>
      <c r="D4" s="7">
        <f>'Prank Place'!H20</f>
        <v>35</v>
      </c>
    </row>
    <row r="5" spans="1:5" x14ac:dyDescent="0.25">
      <c r="A5" t="s">
        <v>85</v>
      </c>
      <c r="D5" s="7">
        <f>-PMT(D3,D4,D2,,)</f>
        <v>9089.6483023844066</v>
      </c>
    </row>
    <row r="6" spans="1:5" x14ac:dyDescent="0.25">
      <c r="D6" s="7"/>
    </row>
    <row r="7" spans="1:5" x14ac:dyDescent="0.25">
      <c r="B7" s="10" t="s">
        <v>112</v>
      </c>
      <c r="C7" s="10" t="s">
        <v>84</v>
      </c>
      <c r="D7" s="10" t="s">
        <v>113</v>
      </c>
      <c r="E7" s="10" t="s">
        <v>114</v>
      </c>
    </row>
    <row r="8" spans="1:5" x14ac:dyDescent="0.25">
      <c r="A8" s="10" t="s">
        <v>86</v>
      </c>
      <c r="B8" s="7"/>
      <c r="C8" s="7"/>
      <c r="D8" s="7"/>
      <c r="E8" s="7">
        <f>D2</f>
        <v>164043.5</v>
      </c>
    </row>
    <row r="9" spans="1:5" x14ac:dyDescent="0.25">
      <c r="A9" s="10" t="s">
        <v>60</v>
      </c>
      <c r="B9" s="7">
        <f>$D$5</f>
        <v>9089.6483023844066</v>
      </c>
      <c r="C9" s="7">
        <f>E8*$D$3</f>
        <v>6971.8487500000001</v>
      </c>
      <c r="D9" s="7">
        <f>B9-C9</f>
        <v>2117.7995523844065</v>
      </c>
      <c r="E9" s="7">
        <f>E8-D9</f>
        <v>161925.70044761559</v>
      </c>
    </row>
    <row r="10" spans="1:5" x14ac:dyDescent="0.25">
      <c r="A10" s="10" t="s">
        <v>63</v>
      </c>
      <c r="B10" s="7">
        <f t="shared" ref="B10:B43" si="0">$D$5</f>
        <v>9089.6483023844066</v>
      </c>
      <c r="C10" s="7">
        <f t="shared" ref="C10:C43" si="1">E9*$D$3</f>
        <v>6881.842269023663</v>
      </c>
      <c r="D10" s="7">
        <f t="shared" ref="D10:D43" si="2">B10-C10</f>
        <v>2207.8060333607436</v>
      </c>
      <c r="E10" s="7">
        <f t="shared" ref="E10:E43" si="3">E9-D10</f>
        <v>159717.89441425484</v>
      </c>
    </row>
    <row r="11" spans="1:5" x14ac:dyDescent="0.25">
      <c r="A11" s="10" t="s">
        <v>64</v>
      </c>
      <c r="B11" s="7">
        <f t="shared" si="0"/>
        <v>9089.6483023844066</v>
      </c>
      <c r="C11" s="7">
        <f t="shared" si="1"/>
        <v>6788.0105126058315</v>
      </c>
      <c r="D11" s="7">
        <f t="shared" si="2"/>
        <v>2301.6377897785751</v>
      </c>
      <c r="E11" s="7">
        <f t="shared" si="3"/>
        <v>157416.25662447626</v>
      </c>
    </row>
    <row r="12" spans="1:5" x14ac:dyDescent="0.25">
      <c r="A12" s="10" t="s">
        <v>65</v>
      </c>
      <c r="B12" s="7">
        <f t="shared" si="0"/>
        <v>9089.6483023844066</v>
      </c>
      <c r="C12" s="7">
        <f t="shared" si="1"/>
        <v>6690.1909065402415</v>
      </c>
      <c r="D12" s="7">
        <f t="shared" si="2"/>
        <v>2399.4573958441651</v>
      </c>
      <c r="E12" s="7">
        <f t="shared" si="3"/>
        <v>155016.7992286321</v>
      </c>
    </row>
    <row r="13" spans="1:5" x14ac:dyDescent="0.25">
      <c r="A13" s="10" t="s">
        <v>66</v>
      </c>
      <c r="B13" s="7">
        <f t="shared" si="0"/>
        <v>9089.6483023844066</v>
      </c>
      <c r="C13" s="7">
        <f t="shared" si="1"/>
        <v>6588.2139672168641</v>
      </c>
      <c r="D13" s="7">
        <f t="shared" si="2"/>
        <v>2501.4343351675425</v>
      </c>
      <c r="E13" s="7">
        <f t="shared" si="3"/>
        <v>152515.36489346455</v>
      </c>
    </row>
    <row r="14" spans="1:5" x14ac:dyDescent="0.25">
      <c r="A14" s="10" t="s">
        <v>67</v>
      </c>
      <c r="B14" s="7">
        <f t="shared" si="0"/>
        <v>9089.6483023844066</v>
      </c>
      <c r="C14" s="7">
        <f t="shared" si="1"/>
        <v>6481.9030079722434</v>
      </c>
      <c r="D14" s="7">
        <f t="shared" si="2"/>
        <v>2607.7452944121633</v>
      </c>
      <c r="E14" s="7">
        <f t="shared" si="3"/>
        <v>149907.61959905238</v>
      </c>
    </row>
    <row r="15" spans="1:5" x14ac:dyDescent="0.25">
      <c r="A15" s="10" t="s">
        <v>68</v>
      </c>
      <c r="B15" s="7">
        <f t="shared" si="0"/>
        <v>9089.6483023844066</v>
      </c>
      <c r="C15" s="7">
        <f t="shared" si="1"/>
        <v>6371.073832959727</v>
      </c>
      <c r="D15" s="7">
        <f t="shared" si="2"/>
        <v>2718.5744694246796</v>
      </c>
      <c r="E15" s="7">
        <f t="shared" si="3"/>
        <v>147189.04512962772</v>
      </c>
    </row>
    <row r="16" spans="1:5" x14ac:dyDescent="0.25">
      <c r="A16" s="10" t="s">
        <v>69</v>
      </c>
      <c r="B16" s="7">
        <f t="shared" si="0"/>
        <v>9089.6483023844066</v>
      </c>
      <c r="C16" s="7">
        <f t="shared" si="1"/>
        <v>6255.5344180091788</v>
      </c>
      <c r="D16" s="7">
        <f t="shared" si="2"/>
        <v>2834.1138843752278</v>
      </c>
      <c r="E16" s="7">
        <f t="shared" si="3"/>
        <v>144354.93124525249</v>
      </c>
    </row>
    <row r="17" spans="1:5" x14ac:dyDescent="0.25">
      <c r="A17" s="10" t="s">
        <v>70</v>
      </c>
      <c r="B17" s="7">
        <f t="shared" si="0"/>
        <v>9089.6483023844066</v>
      </c>
      <c r="C17" s="7">
        <f t="shared" si="1"/>
        <v>6135.0845779232313</v>
      </c>
      <c r="D17" s="7">
        <f t="shared" si="2"/>
        <v>2954.5637244611753</v>
      </c>
      <c r="E17" s="7">
        <f t="shared" si="3"/>
        <v>141400.3675207913</v>
      </c>
    </row>
    <row r="18" spans="1:5" x14ac:dyDescent="0.25">
      <c r="A18" s="10" t="s">
        <v>71</v>
      </c>
      <c r="B18" s="7">
        <f t="shared" si="0"/>
        <v>9089.6483023844066</v>
      </c>
      <c r="C18" s="7">
        <f t="shared" si="1"/>
        <v>6009.5156196336311</v>
      </c>
      <c r="D18" s="7">
        <f t="shared" si="2"/>
        <v>3080.1326827507755</v>
      </c>
      <c r="E18" s="7">
        <f t="shared" si="3"/>
        <v>138320.23483804052</v>
      </c>
    </row>
    <row r="19" spans="1:5" x14ac:dyDescent="0.25">
      <c r="A19" s="10" t="s">
        <v>87</v>
      </c>
      <c r="B19" s="7">
        <f t="shared" si="0"/>
        <v>9089.6483023844066</v>
      </c>
      <c r="C19" s="7">
        <f t="shared" si="1"/>
        <v>5878.6099806167222</v>
      </c>
      <c r="D19" s="7">
        <f t="shared" si="2"/>
        <v>3211.0383217676845</v>
      </c>
      <c r="E19" s="7">
        <f t="shared" si="3"/>
        <v>135109.19651627284</v>
      </c>
    </row>
    <row r="20" spans="1:5" x14ac:dyDescent="0.25">
      <c r="A20" s="10" t="s">
        <v>88</v>
      </c>
      <c r="B20" s="7">
        <f t="shared" si="0"/>
        <v>9089.6483023844066</v>
      </c>
      <c r="C20" s="7">
        <f t="shared" si="1"/>
        <v>5742.1408519415963</v>
      </c>
      <c r="D20" s="7">
        <f t="shared" si="2"/>
        <v>3347.5074504428103</v>
      </c>
      <c r="E20" s="7">
        <f t="shared" si="3"/>
        <v>131761.68906583003</v>
      </c>
    </row>
    <row r="21" spans="1:5" x14ac:dyDescent="0.25">
      <c r="A21" s="10" t="s">
        <v>89</v>
      </c>
      <c r="B21" s="7">
        <f t="shared" si="0"/>
        <v>9089.6483023844066</v>
      </c>
      <c r="C21" s="7">
        <f t="shared" si="1"/>
        <v>5599.8717852977761</v>
      </c>
      <c r="D21" s="7">
        <f t="shared" si="2"/>
        <v>3489.7765170866305</v>
      </c>
      <c r="E21" s="7">
        <f t="shared" si="3"/>
        <v>128271.91254874339</v>
      </c>
    </row>
    <row r="22" spans="1:5" x14ac:dyDescent="0.25">
      <c r="A22" s="10" t="s">
        <v>90</v>
      </c>
      <c r="B22" s="7">
        <f t="shared" si="0"/>
        <v>9089.6483023844066</v>
      </c>
      <c r="C22" s="7">
        <f t="shared" si="1"/>
        <v>5451.5562833215945</v>
      </c>
      <c r="D22" s="7">
        <f t="shared" si="2"/>
        <v>3638.0920190628121</v>
      </c>
      <c r="E22" s="7">
        <f t="shared" si="3"/>
        <v>124633.82052968058</v>
      </c>
    </row>
    <row r="23" spans="1:5" x14ac:dyDescent="0.25">
      <c r="A23" s="10" t="s">
        <v>91</v>
      </c>
      <c r="B23" s="7">
        <f t="shared" si="0"/>
        <v>9089.6483023844066</v>
      </c>
      <c r="C23" s="7">
        <f t="shared" si="1"/>
        <v>5296.9373725114256</v>
      </c>
      <c r="D23" s="7">
        <f t="shared" si="2"/>
        <v>3792.7109298729811</v>
      </c>
      <c r="E23" s="7">
        <f t="shared" si="3"/>
        <v>120841.10959980761</v>
      </c>
    </row>
    <row r="24" spans="1:5" x14ac:dyDescent="0.25">
      <c r="A24" s="10" t="s">
        <v>92</v>
      </c>
      <c r="B24" s="7">
        <f t="shared" si="0"/>
        <v>9089.6483023844066</v>
      </c>
      <c r="C24" s="7">
        <f t="shared" si="1"/>
        <v>5135.7471579918238</v>
      </c>
      <c r="D24" s="7">
        <f t="shared" si="2"/>
        <v>3953.9011443925829</v>
      </c>
      <c r="E24" s="7">
        <f t="shared" si="3"/>
        <v>116887.20845541502</v>
      </c>
    </row>
    <row r="25" spans="1:5" x14ac:dyDescent="0.25">
      <c r="A25" s="10" t="s">
        <v>93</v>
      </c>
      <c r="B25" s="7">
        <f t="shared" si="0"/>
        <v>9089.6483023844066</v>
      </c>
      <c r="C25" s="7">
        <f t="shared" si="1"/>
        <v>4967.7063593551384</v>
      </c>
      <c r="D25" s="7">
        <f t="shared" si="2"/>
        <v>4121.9419430292683</v>
      </c>
      <c r="E25" s="7">
        <f t="shared" si="3"/>
        <v>112765.26651238576</v>
      </c>
    </row>
    <row r="26" spans="1:5" x14ac:dyDescent="0.25">
      <c r="A26" s="10" t="s">
        <v>94</v>
      </c>
      <c r="B26" s="7">
        <f t="shared" si="0"/>
        <v>9089.6483023844066</v>
      </c>
      <c r="C26" s="7">
        <f t="shared" si="1"/>
        <v>4792.5238267763953</v>
      </c>
      <c r="D26" s="7">
        <f t="shared" si="2"/>
        <v>4297.1244756080114</v>
      </c>
      <c r="E26" s="7">
        <f t="shared" si="3"/>
        <v>108468.14203677775</v>
      </c>
    </row>
    <row r="27" spans="1:5" x14ac:dyDescent="0.25">
      <c r="A27" s="10" t="s">
        <v>95</v>
      </c>
      <c r="B27" s="7">
        <f t="shared" si="0"/>
        <v>9089.6483023844066</v>
      </c>
      <c r="C27" s="7">
        <f t="shared" si="1"/>
        <v>4609.8960365630546</v>
      </c>
      <c r="D27" s="7">
        <f t="shared" si="2"/>
        <v>4479.752265821352</v>
      </c>
      <c r="E27" s="7">
        <f t="shared" si="3"/>
        <v>103988.38977095639</v>
      </c>
    </row>
    <row r="28" spans="1:5" x14ac:dyDescent="0.25">
      <c r="A28" s="10" t="s">
        <v>96</v>
      </c>
      <c r="B28" s="7">
        <f t="shared" si="0"/>
        <v>9089.6483023844066</v>
      </c>
      <c r="C28" s="7">
        <f t="shared" si="1"/>
        <v>4419.5065652656467</v>
      </c>
      <c r="D28" s="7">
        <f t="shared" si="2"/>
        <v>4670.1417371187599</v>
      </c>
      <c r="E28" s="7">
        <f t="shared" si="3"/>
        <v>99318.248033837634</v>
      </c>
    </row>
    <row r="29" spans="1:5" x14ac:dyDescent="0.25">
      <c r="A29" s="10" t="s">
        <v>97</v>
      </c>
      <c r="B29" s="7">
        <f t="shared" si="0"/>
        <v>9089.6483023844066</v>
      </c>
      <c r="C29" s="7">
        <f t="shared" si="1"/>
        <v>4221.0255414380999</v>
      </c>
      <c r="D29" s="7">
        <f t="shared" si="2"/>
        <v>4868.6227609463067</v>
      </c>
      <c r="E29" s="7">
        <f t="shared" si="3"/>
        <v>94449.625272891324</v>
      </c>
    </row>
    <row r="30" spans="1:5" x14ac:dyDescent="0.25">
      <c r="A30" s="10" t="s">
        <v>98</v>
      </c>
      <c r="B30" s="7">
        <f t="shared" si="0"/>
        <v>9089.6483023844066</v>
      </c>
      <c r="C30" s="7">
        <f t="shared" si="1"/>
        <v>4014.1090740978816</v>
      </c>
      <c r="D30" s="7">
        <f t="shared" si="2"/>
        <v>5075.539228286525</v>
      </c>
      <c r="E30" s="7">
        <f t="shared" si="3"/>
        <v>89374.086044604803</v>
      </c>
    </row>
    <row r="31" spans="1:5" x14ac:dyDescent="0.25">
      <c r="A31" s="10" t="s">
        <v>99</v>
      </c>
      <c r="B31" s="7">
        <f t="shared" si="0"/>
        <v>9089.6483023844066</v>
      </c>
      <c r="C31" s="7">
        <f t="shared" si="1"/>
        <v>3798.3986568957043</v>
      </c>
      <c r="D31" s="7">
        <f t="shared" si="2"/>
        <v>5291.2496454887023</v>
      </c>
      <c r="E31" s="7">
        <f t="shared" si="3"/>
        <v>84082.836399116102</v>
      </c>
    </row>
    <row r="32" spans="1:5" x14ac:dyDescent="0.25">
      <c r="A32" s="10" t="s">
        <v>100</v>
      </c>
      <c r="B32" s="7">
        <f t="shared" si="0"/>
        <v>9089.6483023844066</v>
      </c>
      <c r="C32" s="7">
        <f t="shared" si="1"/>
        <v>3573.5205469624348</v>
      </c>
      <c r="D32" s="7">
        <f t="shared" si="2"/>
        <v>5516.1277554219723</v>
      </c>
      <c r="E32" s="7">
        <f t="shared" si="3"/>
        <v>78566.708643694132</v>
      </c>
    </row>
    <row r="33" spans="1:5" x14ac:dyDescent="0.25">
      <c r="A33" s="10" t="s">
        <v>101</v>
      </c>
      <c r="B33" s="7">
        <f t="shared" si="0"/>
        <v>9089.6483023844066</v>
      </c>
      <c r="C33" s="7">
        <f t="shared" si="1"/>
        <v>3339.0851173570009</v>
      </c>
      <c r="D33" s="7">
        <f t="shared" si="2"/>
        <v>5750.5631850274058</v>
      </c>
      <c r="E33" s="7">
        <f t="shared" si="3"/>
        <v>72816.145458666724</v>
      </c>
    </row>
    <row r="34" spans="1:5" x14ac:dyDescent="0.25">
      <c r="A34" s="10" t="s">
        <v>102</v>
      </c>
      <c r="B34" s="7">
        <f t="shared" si="0"/>
        <v>9089.6483023844066</v>
      </c>
      <c r="C34" s="7">
        <f t="shared" si="1"/>
        <v>3094.686181993336</v>
      </c>
      <c r="D34" s="7">
        <f t="shared" si="2"/>
        <v>5994.9621203910701</v>
      </c>
      <c r="E34" s="7">
        <f t="shared" si="3"/>
        <v>66821.183338275659</v>
      </c>
    </row>
    <row r="35" spans="1:5" x14ac:dyDescent="0.25">
      <c r="A35" s="10" t="s">
        <v>103</v>
      </c>
      <c r="B35" s="7">
        <f t="shared" si="0"/>
        <v>9089.6483023844066</v>
      </c>
      <c r="C35" s="7">
        <f t="shared" si="1"/>
        <v>2839.9002918767155</v>
      </c>
      <c r="D35" s="7">
        <f t="shared" si="2"/>
        <v>6249.7480105076911</v>
      </c>
      <c r="E35" s="7">
        <f t="shared" si="3"/>
        <v>60571.435327767969</v>
      </c>
    </row>
    <row r="36" spans="1:5" x14ac:dyDescent="0.25">
      <c r="A36" s="10" t="s">
        <v>104</v>
      </c>
      <c r="B36" s="7">
        <f t="shared" si="0"/>
        <v>9089.6483023844066</v>
      </c>
      <c r="C36" s="7">
        <f t="shared" si="1"/>
        <v>2574.2860014301391</v>
      </c>
      <c r="D36" s="7">
        <f t="shared" si="2"/>
        <v>6515.362300954268</v>
      </c>
      <c r="E36" s="7">
        <f t="shared" si="3"/>
        <v>54056.073026813698</v>
      </c>
    </row>
    <row r="37" spans="1:5" x14ac:dyDescent="0.25">
      <c r="A37" s="10" t="s">
        <v>105</v>
      </c>
      <c r="B37" s="7">
        <f t="shared" si="0"/>
        <v>9089.6483023844066</v>
      </c>
      <c r="C37" s="7">
        <f t="shared" si="1"/>
        <v>2297.3831036395823</v>
      </c>
      <c r="D37" s="7">
        <f t="shared" si="2"/>
        <v>6792.2651987448244</v>
      </c>
      <c r="E37" s="7">
        <f t="shared" si="3"/>
        <v>47263.807828068871</v>
      </c>
    </row>
    <row r="38" spans="1:5" x14ac:dyDescent="0.25">
      <c r="A38" s="10" t="s">
        <v>106</v>
      </c>
      <c r="B38" s="7">
        <f t="shared" si="0"/>
        <v>9089.6483023844066</v>
      </c>
      <c r="C38" s="7">
        <f t="shared" si="1"/>
        <v>2008.7118326929271</v>
      </c>
      <c r="D38" s="7">
        <f t="shared" si="2"/>
        <v>7080.9364696914799</v>
      </c>
      <c r="E38" s="7">
        <f t="shared" si="3"/>
        <v>40182.871358377393</v>
      </c>
    </row>
    <row r="39" spans="1:5" x14ac:dyDescent="0.25">
      <c r="A39" s="10" t="s">
        <v>107</v>
      </c>
      <c r="B39" s="7">
        <f t="shared" si="0"/>
        <v>9089.6483023844066</v>
      </c>
      <c r="C39" s="7">
        <f t="shared" si="1"/>
        <v>1707.7720327310394</v>
      </c>
      <c r="D39" s="7">
        <f t="shared" si="2"/>
        <v>7381.8762696533668</v>
      </c>
      <c r="E39" s="7">
        <f t="shared" si="3"/>
        <v>32800.995088724027</v>
      </c>
    </row>
    <row r="40" spans="1:5" x14ac:dyDescent="0.25">
      <c r="A40" s="10" t="s">
        <v>108</v>
      </c>
      <c r="B40" s="7">
        <f t="shared" si="0"/>
        <v>9089.6483023844066</v>
      </c>
      <c r="C40" s="7">
        <f t="shared" si="1"/>
        <v>1394.0422912707713</v>
      </c>
      <c r="D40" s="7">
        <f t="shared" si="2"/>
        <v>7695.6060111136358</v>
      </c>
      <c r="E40" s="7">
        <f t="shared" si="3"/>
        <v>25105.389077610391</v>
      </c>
    </row>
    <row r="41" spans="1:5" x14ac:dyDescent="0.25">
      <c r="A41" s="10" t="s">
        <v>109</v>
      </c>
      <c r="B41" s="7">
        <f t="shared" si="0"/>
        <v>9089.6483023844066</v>
      </c>
      <c r="C41" s="7">
        <f t="shared" si="1"/>
        <v>1066.9790357984416</v>
      </c>
      <c r="D41" s="7">
        <f t="shared" si="2"/>
        <v>8022.6692665859646</v>
      </c>
      <c r="E41" s="7">
        <f t="shared" si="3"/>
        <v>17082.719811024428</v>
      </c>
    </row>
    <row r="42" spans="1:5" x14ac:dyDescent="0.25">
      <c r="A42" s="10" t="s">
        <v>110</v>
      </c>
      <c r="B42" s="7">
        <f t="shared" si="0"/>
        <v>9089.6483023844066</v>
      </c>
      <c r="C42" s="7">
        <f t="shared" si="1"/>
        <v>726.01559196853827</v>
      </c>
      <c r="D42" s="7">
        <f t="shared" si="2"/>
        <v>8363.6327104158681</v>
      </c>
      <c r="E42" s="7">
        <f t="shared" si="3"/>
        <v>8719.0871006085599</v>
      </c>
    </row>
    <row r="43" spans="1:5" x14ac:dyDescent="0.25">
      <c r="A43" s="10" t="s">
        <v>111</v>
      </c>
      <c r="B43" s="7">
        <f t="shared" si="0"/>
        <v>9089.6483023844066</v>
      </c>
      <c r="C43" s="7">
        <f t="shared" si="1"/>
        <v>370.56120177586382</v>
      </c>
      <c r="D43" s="7">
        <f t="shared" si="2"/>
        <v>8719.0871006085436</v>
      </c>
      <c r="E43" s="7">
        <f t="shared" si="3"/>
        <v>1.6370904631912708E-11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Y151"/>
  <sheetViews>
    <sheetView topLeftCell="A16" zoomScale="60" zoomScaleNormal="60" zoomScaleSheetLayoutView="50" workbookViewId="0">
      <selection activeCell="I38" sqref="I38"/>
    </sheetView>
  </sheetViews>
  <sheetFormatPr defaultRowHeight="15" x14ac:dyDescent="0.25"/>
  <cols>
    <col min="1" max="1" width="20.42578125" customWidth="1"/>
    <col min="2" max="2" width="11.28515625" customWidth="1"/>
    <col min="4" max="4" width="15.28515625" customWidth="1"/>
    <col min="5" max="5" width="10.42578125" customWidth="1"/>
    <col min="7" max="7" width="11.7109375" customWidth="1"/>
    <col min="8" max="8" width="15" customWidth="1"/>
    <col min="9" max="9" width="11" customWidth="1"/>
    <col min="10" max="10" width="11.5703125" customWidth="1"/>
    <col min="11" max="11" width="11.28515625" customWidth="1"/>
    <col min="12" max="12" width="11" customWidth="1"/>
    <col min="13" max="13" width="13.42578125" customWidth="1"/>
    <col min="14" max="15" width="11.5703125" customWidth="1"/>
    <col min="16" max="16" width="12.28515625" bestFit="1" customWidth="1"/>
    <col min="17" max="17" width="12.28515625" customWidth="1"/>
    <col min="18" max="18" width="13.28515625" customWidth="1"/>
    <col min="19" max="19" width="10.5703125" customWidth="1"/>
  </cols>
  <sheetData>
    <row r="2" spans="1:51" x14ac:dyDescent="0.25">
      <c r="H2" t="s">
        <v>60</v>
      </c>
      <c r="I2" t="s">
        <v>63</v>
      </c>
      <c r="J2" t="s">
        <v>64</v>
      </c>
      <c r="K2" t="s">
        <v>65</v>
      </c>
      <c r="L2" t="s">
        <v>66</v>
      </c>
      <c r="M2" t="s">
        <v>67</v>
      </c>
      <c r="N2" t="s">
        <v>68</v>
      </c>
      <c r="O2" t="s">
        <v>69</v>
      </c>
      <c r="P2" t="s">
        <v>70</v>
      </c>
      <c r="Q2" t="s">
        <v>71</v>
      </c>
    </row>
    <row r="3" spans="1:51" ht="15.75" x14ac:dyDescent="0.25">
      <c r="A3" s="3" t="s">
        <v>0</v>
      </c>
      <c r="B3" s="3"/>
      <c r="C3" s="3"/>
      <c r="H3">
        <v>174826</v>
      </c>
      <c r="I3" s="7">
        <f>H3*(1+$R$3)</f>
        <v>181819.04</v>
      </c>
      <c r="J3" s="7">
        <f t="shared" ref="J3:Q3" si="0">I3*(1+$R$3)</f>
        <v>189091.80160000001</v>
      </c>
      <c r="K3" s="7">
        <f>J3*(1+$R$3)</f>
        <v>196655.47366400002</v>
      </c>
      <c r="L3" s="7">
        <f>K3*(1+$R$3)</f>
        <v>204521.69261056001</v>
      </c>
      <c r="M3" s="7">
        <f t="shared" si="0"/>
        <v>212702.56031498243</v>
      </c>
      <c r="N3" s="7">
        <f t="shared" si="0"/>
        <v>221210.66272758174</v>
      </c>
      <c r="O3" s="7">
        <f t="shared" si="0"/>
        <v>230059.08923668502</v>
      </c>
      <c r="P3" s="7">
        <f t="shared" si="0"/>
        <v>239261.45280615243</v>
      </c>
      <c r="Q3" s="7">
        <f t="shared" si="0"/>
        <v>248831.91091839853</v>
      </c>
      <c r="R3" s="5">
        <v>0.04</v>
      </c>
      <c r="S3" t="s">
        <v>72</v>
      </c>
    </row>
    <row r="4" spans="1:51" ht="15.75" x14ac:dyDescent="0.25">
      <c r="A4" s="3" t="s">
        <v>62</v>
      </c>
      <c r="B4" s="3"/>
      <c r="C4" s="3"/>
      <c r="H4">
        <v>3.5</v>
      </c>
      <c r="I4" s="8">
        <f>H4*(1+$R$4)</f>
        <v>3.71</v>
      </c>
      <c r="J4" s="8">
        <f t="shared" ref="J4:Q4" si="1">I4*(1+$R$4)</f>
        <v>3.9326000000000003</v>
      </c>
      <c r="K4" s="8">
        <f t="shared" si="1"/>
        <v>4.1685560000000006</v>
      </c>
      <c r="L4" s="8">
        <f t="shared" si="1"/>
        <v>4.4186693600000009</v>
      </c>
      <c r="M4" s="8">
        <f t="shared" si="1"/>
        <v>4.6837895216000014</v>
      </c>
      <c r="N4" s="8">
        <f t="shared" si="1"/>
        <v>4.9648168928960015</v>
      </c>
      <c r="O4" s="8">
        <f t="shared" si="1"/>
        <v>5.2627059064697619</v>
      </c>
      <c r="P4" s="8">
        <f t="shared" si="1"/>
        <v>5.5784682608579477</v>
      </c>
      <c r="Q4" s="8">
        <f t="shared" si="1"/>
        <v>5.9131763565094246</v>
      </c>
      <c r="R4" s="5">
        <v>0.06</v>
      </c>
      <c r="S4" t="s">
        <v>72</v>
      </c>
      <c r="T4" s="13" t="s">
        <v>117</v>
      </c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</row>
    <row r="5" spans="1:51" ht="15.75" x14ac:dyDescent="0.25">
      <c r="A5" s="3" t="s">
        <v>61</v>
      </c>
      <c r="B5" s="3"/>
      <c r="C5" s="3"/>
      <c r="H5" s="5">
        <v>0.3</v>
      </c>
      <c r="I5" s="5">
        <f>H5</f>
        <v>0.3</v>
      </c>
      <c r="J5" s="5">
        <f t="shared" ref="J5:Q5" si="2">I5</f>
        <v>0.3</v>
      </c>
      <c r="K5" s="5">
        <f t="shared" si="2"/>
        <v>0.3</v>
      </c>
      <c r="L5" s="5">
        <f t="shared" si="2"/>
        <v>0.3</v>
      </c>
      <c r="M5" s="5">
        <f t="shared" si="2"/>
        <v>0.3</v>
      </c>
      <c r="N5" s="5">
        <f t="shared" si="2"/>
        <v>0.3</v>
      </c>
      <c r="O5" s="5">
        <f t="shared" si="2"/>
        <v>0.3</v>
      </c>
      <c r="P5" s="5">
        <f t="shared" si="2"/>
        <v>0.3</v>
      </c>
      <c r="Q5" s="5">
        <f t="shared" si="2"/>
        <v>0.3</v>
      </c>
      <c r="R5" s="5"/>
    </row>
    <row r="6" spans="1:51" ht="15.75" x14ac:dyDescent="0.25">
      <c r="A6" s="3" t="s">
        <v>1</v>
      </c>
      <c r="B6" s="3"/>
      <c r="C6" s="3"/>
      <c r="H6" s="5">
        <v>0.02</v>
      </c>
      <c r="I6" s="5">
        <f>H6</f>
        <v>0.02</v>
      </c>
      <c r="J6" s="5">
        <f t="shared" ref="J6:Q6" si="3">I6</f>
        <v>0.02</v>
      </c>
      <c r="K6" s="5">
        <f t="shared" si="3"/>
        <v>0.02</v>
      </c>
      <c r="L6" s="5">
        <f t="shared" si="3"/>
        <v>0.02</v>
      </c>
      <c r="M6" s="5">
        <f t="shared" si="3"/>
        <v>0.02</v>
      </c>
      <c r="N6" s="5">
        <f t="shared" si="3"/>
        <v>0.02</v>
      </c>
      <c r="O6" s="5">
        <f t="shared" si="3"/>
        <v>0.02</v>
      </c>
      <c r="P6" s="5">
        <f t="shared" si="3"/>
        <v>0.02</v>
      </c>
      <c r="Q6" s="5">
        <f t="shared" si="3"/>
        <v>0.02</v>
      </c>
      <c r="R6" s="5"/>
    </row>
    <row r="7" spans="1:51" ht="15.75" x14ac:dyDescent="0.25">
      <c r="A7" s="3"/>
      <c r="B7" s="3"/>
      <c r="C7" s="3"/>
    </row>
    <row r="8" spans="1:51" ht="15.75" x14ac:dyDescent="0.25">
      <c r="A8" s="3" t="s">
        <v>2</v>
      </c>
      <c r="B8" s="3"/>
      <c r="C8" s="3"/>
      <c r="H8">
        <v>3744</v>
      </c>
      <c r="I8">
        <f>H8</f>
        <v>3744</v>
      </c>
      <c r="J8">
        <f t="shared" ref="J8:Q8" si="4">I8</f>
        <v>3744</v>
      </c>
      <c r="K8">
        <f t="shared" si="4"/>
        <v>3744</v>
      </c>
      <c r="L8">
        <f t="shared" si="4"/>
        <v>3744</v>
      </c>
      <c r="M8">
        <f t="shared" si="4"/>
        <v>3744</v>
      </c>
      <c r="N8">
        <f t="shared" si="4"/>
        <v>3744</v>
      </c>
      <c r="O8">
        <f t="shared" si="4"/>
        <v>3744</v>
      </c>
      <c r="P8">
        <f t="shared" si="4"/>
        <v>3744</v>
      </c>
      <c r="Q8">
        <f t="shared" si="4"/>
        <v>3744</v>
      </c>
    </row>
    <row r="9" spans="1:51" ht="15.75" x14ac:dyDescent="0.25">
      <c r="A9" s="3" t="s">
        <v>3</v>
      </c>
      <c r="B9" s="3"/>
      <c r="C9" s="3"/>
      <c r="H9">
        <v>20</v>
      </c>
      <c r="I9" s="7">
        <f>H9*(1+$R$9)</f>
        <v>20.6</v>
      </c>
      <c r="J9" s="7">
        <f t="shared" ref="J9:Q9" si="5">I9*(1+$R$9)</f>
        <v>21.218000000000004</v>
      </c>
      <c r="K9" s="7">
        <f t="shared" si="5"/>
        <v>21.854540000000004</v>
      </c>
      <c r="L9" s="7">
        <f t="shared" si="5"/>
        <v>22.510176200000004</v>
      </c>
      <c r="M9" s="7">
        <f t="shared" si="5"/>
        <v>23.185481486000004</v>
      </c>
      <c r="N9" s="7">
        <f t="shared" si="5"/>
        <v>23.881045930580004</v>
      </c>
      <c r="O9" s="7">
        <f t="shared" si="5"/>
        <v>24.597477308497407</v>
      </c>
      <c r="P9" s="7">
        <f t="shared" si="5"/>
        <v>25.335401627752329</v>
      </c>
      <c r="Q9" s="7">
        <f t="shared" si="5"/>
        <v>26.095463676584899</v>
      </c>
      <c r="R9" s="5">
        <v>0.03</v>
      </c>
      <c r="S9" t="s">
        <v>72</v>
      </c>
    </row>
    <row r="10" spans="1:51" ht="15.75" x14ac:dyDescent="0.25">
      <c r="A10" s="3"/>
      <c r="B10" s="3"/>
      <c r="C10" s="3"/>
    </row>
    <row r="11" spans="1:51" ht="15.75" x14ac:dyDescent="0.25">
      <c r="A11" s="3" t="s">
        <v>4</v>
      </c>
      <c r="B11" s="3"/>
      <c r="C11" s="3"/>
      <c r="H11">
        <v>15300</v>
      </c>
      <c r="T11" s="14" t="s">
        <v>118</v>
      </c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</row>
    <row r="12" spans="1:51" ht="15.75" x14ac:dyDescent="0.25">
      <c r="A12" s="3" t="s">
        <v>5</v>
      </c>
      <c r="B12" s="3"/>
      <c r="C12" s="3"/>
      <c r="H12">
        <v>0.5</v>
      </c>
    </row>
    <row r="13" spans="1:51" ht="15.75" x14ac:dyDescent="0.25">
      <c r="A13" s="3" t="s">
        <v>6</v>
      </c>
      <c r="B13" s="3"/>
      <c r="C13" s="3"/>
      <c r="H13">
        <v>100</v>
      </c>
    </row>
    <row r="14" spans="1:51" ht="15.75" x14ac:dyDescent="0.25">
      <c r="A14" s="3" t="s">
        <v>7</v>
      </c>
      <c r="B14" s="3"/>
      <c r="C14" s="3"/>
      <c r="H14">
        <v>2000</v>
      </c>
    </row>
    <row r="15" spans="1:51" ht="15.75" x14ac:dyDescent="0.25">
      <c r="A15" s="3"/>
      <c r="B15" s="3"/>
      <c r="C15" s="3"/>
    </row>
    <row r="16" spans="1:51" ht="15.75" x14ac:dyDescent="0.25">
      <c r="A16" s="3" t="s">
        <v>8</v>
      </c>
      <c r="B16" s="3"/>
      <c r="C16" s="3"/>
      <c r="H16" s="6">
        <v>1.2E-2</v>
      </c>
      <c r="I16" s="6">
        <f>H16*(1+$R$16)</f>
        <v>1.227E-2</v>
      </c>
      <c r="J16" s="6">
        <f t="shared" ref="J16:Q16" si="6">I16*(1+$R$16)</f>
        <v>1.2546074999999999E-2</v>
      </c>
      <c r="K16" s="6">
        <f t="shared" si="6"/>
        <v>1.2828361687499998E-2</v>
      </c>
      <c r="L16" s="6">
        <f t="shared" si="6"/>
        <v>1.3116999825468748E-2</v>
      </c>
      <c r="M16" s="6">
        <f t="shared" si="6"/>
        <v>1.3412132321541793E-2</v>
      </c>
      <c r="N16" s="6">
        <f t="shared" si="6"/>
        <v>1.3713905298776483E-2</v>
      </c>
      <c r="O16" s="6">
        <f t="shared" si="6"/>
        <v>1.4022468167998953E-2</v>
      </c>
      <c r="P16" s="6">
        <f t="shared" si="6"/>
        <v>1.4337973701778929E-2</v>
      </c>
      <c r="Q16" s="6">
        <f t="shared" si="6"/>
        <v>1.4660578110068954E-2</v>
      </c>
      <c r="R16" s="6">
        <v>2.2499999999999999E-2</v>
      </c>
      <c r="S16" t="s">
        <v>72</v>
      </c>
    </row>
    <row r="17" spans="1:51" ht="15.75" x14ac:dyDescent="0.25">
      <c r="A17" s="3" t="s">
        <v>9</v>
      </c>
      <c r="B17" s="3"/>
      <c r="C17" s="3"/>
      <c r="H17" s="6">
        <v>0.02</v>
      </c>
      <c r="I17" s="6">
        <f>H17*(1+$R$17)</f>
        <v>2.1000000000000001E-2</v>
      </c>
      <c r="J17" s="6">
        <f t="shared" ref="J17:Q17" si="7">I17*(1+$R$17)</f>
        <v>2.2050000000000004E-2</v>
      </c>
      <c r="K17" s="6">
        <f t="shared" si="7"/>
        <v>2.3152500000000006E-2</v>
      </c>
      <c r="L17" s="6">
        <f t="shared" si="7"/>
        <v>2.4310125000000009E-2</v>
      </c>
      <c r="M17" s="6">
        <f t="shared" si="7"/>
        <v>2.552563125000001E-2</v>
      </c>
      <c r="N17" s="6">
        <f t="shared" si="7"/>
        <v>2.6801912812500012E-2</v>
      </c>
      <c r="O17" s="6">
        <f t="shared" si="7"/>
        <v>2.8142008453125013E-2</v>
      </c>
      <c r="P17" s="6">
        <f t="shared" si="7"/>
        <v>2.9549108875781264E-2</v>
      </c>
      <c r="Q17" s="6">
        <f t="shared" si="7"/>
        <v>3.1026564319570328E-2</v>
      </c>
      <c r="R17" s="5">
        <v>0.05</v>
      </c>
      <c r="S17" t="s">
        <v>72</v>
      </c>
    </row>
    <row r="18" spans="1:51" ht="15.75" x14ac:dyDescent="0.25">
      <c r="A18" s="1"/>
      <c r="B18" s="3"/>
      <c r="C18" s="3"/>
    </row>
    <row r="19" spans="1:51" ht="15.75" x14ac:dyDescent="0.25">
      <c r="A19" s="3" t="s">
        <v>10</v>
      </c>
      <c r="B19" s="3"/>
      <c r="C19" s="3"/>
      <c r="H19" s="6">
        <v>4.2500000000000003E-2</v>
      </c>
      <c r="I19" s="6"/>
      <c r="J19" s="6"/>
      <c r="K19" s="6"/>
      <c r="L19" s="6"/>
      <c r="M19" s="6"/>
      <c r="N19" s="6"/>
      <c r="O19" s="6"/>
      <c r="P19" s="6"/>
      <c r="Q19" s="6"/>
    </row>
    <row r="20" spans="1:51" ht="15.75" x14ac:dyDescent="0.25">
      <c r="A20" s="3" t="s">
        <v>11</v>
      </c>
      <c r="B20" s="3"/>
      <c r="C20" s="3"/>
      <c r="H20">
        <v>35</v>
      </c>
    </row>
    <row r="21" spans="1:51" ht="15.75" x14ac:dyDescent="0.25">
      <c r="A21" s="3" t="s">
        <v>12</v>
      </c>
      <c r="B21" s="3"/>
      <c r="C21" s="3"/>
      <c r="H21" s="5">
        <v>0.79</v>
      </c>
    </row>
    <row r="22" spans="1:51" ht="15.75" x14ac:dyDescent="0.25">
      <c r="A22" s="3" t="s">
        <v>13</v>
      </c>
      <c r="B22" s="3"/>
      <c r="C22" s="3"/>
      <c r="H22" s="7">
        <f>(H69+H70)*H21</f>
        <v>164043.5</v>
      </c>
    </row>
    <row r="23" spans="1:51" ht="15.75" x14ac:dyDescent="0.25">
      <c r="A23" s="3" t="s">
        <v>14</v>
      </c>
      <c r="B23" s="3"/>
      <c r="C23" s="3"/>
      <c r="H23" s="5">
        <v>7.0000000000000007E-2</v>
      </c>
      <c r="I23" s="5">
        <f>H23</f>
        <v>7.0000000000000007E-2</v>
      </c>
      <c r="J23" s="5">
        <f t="shared" ref="J23:Q24" si="8">I23</f>
        <v>7.0000000000000007E-2</v>
      </c>
      <c r="K23" s="5">
        <f t="shared" si="8"/>
        <v>7.0000000000000007E-2</v>
      </c>
      <c r="L23" s="5">
        <f t="shared" si="8"/>
        <v>7.0000000000000007E-2</v>
      </c>
      <c r="M23" s="5">
        <f t="shared" si="8"/>
        <v>7.0000000000000007E-2</v>
      </c>
      <c r="N23" s="5">
        <f t="shared" si="8"/>
        <v>7.0000000000000007E-2</v>
      </c>
      <c r="O23" s="5">
        <f t="shared" si="8"/>
        <v>7.0000000000000007E-2</v>
      </c>
      <c r="P23" s="5">
        <f t="shared" si="8"/>
        <v>7.0000000000000007E-2</v>
      </c>
      <c r="Q23" s="5">
        <f t="shared" si="8"/>
        <v>7.0000000000000007E-2</v>
      </c>
      <c r="T23" s="14" t="s">
        <v>119</v>
      </c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</row>
    <row r="24" spans="1:51" ht="15.75" x14ac:dyDescent="0.25">
      <c r="A24" s="3" t="s">
        <v>15</v>
      </c>
      <c r="B24" s="3"/>
      <c r="C24" s="3"/>
      <c r="H24" s="5">
        <v>0.3</v>
      </c>
      <c r="I24" s="5">
        <f>H24</f>
        <v>0.3</v>
      </c>
      <c r="J24" s="5">
        <f t="shared" si="8"/>
        <v>0.3</v>
      </c>
      <c r="K24" s="5">
        <f t="shared" si="8"/>
        <v>0.3</v>
      </c>
      <c r="L24" s="5">
        <f t="shared" si="8"/>
        <v>0.3</v>
      </c>
      <c r="M24" s="5">
        <f t="shared" si="8"/>
        <v>0.3</v>
      </c>
      <c r="N24" s="5">
        <f t="shared" si="8"/>
        <v>0.3</v>
      </c>
      <c r="O24" s="5">
        <f t="shared" si="8"/>
        <v>0.3</v>
      </c>
      <c r="P24" s="5">
        <f t="shared" si="8"/>
        <v>0.3</v>
      </c>
      <c r="Q24" s="5">
        <f t="shared" si="8"/>
        <v>0.3</v>
      </c>
    </row>
    <row r="25" spans="1:51" ht="15.75" x14ac:dyDescent="0.25">
      <c r="A25" s="3" t="s">
        <v>16</v>
      </c>
      <c r="B25" s="3"/>
      <c r="C25" s="3"/>
      <c r="H25" s="12">
        <f>H75*H24</f>
        <v>209217.81310524032</v>
      </c>
      <c r="I25" s="5"/>
      <c r="J25" s="5"/>
      <c r="K25" s="5"/>
      <c r="L25" s="5"/>
      <c r="M25" s="5"/>
      <c r="N25" s="5"/>
      <c r="O25" s="5"/>
      <c r="P25" s="5"/>
      <c r="Q25" s="5"/>
    </row>
    <row r="26" spans="1:51" ht="15.75" x14ac:dyDescent="0.25">
      <c r="A26" s="1"/>
      <c r="B26" s="3"/>
      <c r="C26" s="3"/>
    </row>
    <row r="27" spans="1:51" ht="15.75" x14ac:dyDescent="0.25">
      <c r="A27" s="4" t="s">
        <v>17</v>
      </c>
      <c r="B27" s="4"/>
      <c r="C27" s="4"/>
      <c r="H27">
        <v>120</v>
      </c>
      <c r="I27" s="7">
        <f>H27*(1+$R$27)</f>
        <v>115.19999999999999</v>
      </c>
      <c r="J27" s="7">
        <f t="shared" ref="J27:Q27" si="9">I27*(1+$R$27)</f>
        <v>110.59199999999998</v>
      </c>
      <c r="K27" s="7">
        <f t="shared" si="9"/>
        <v>106.16831999999998</v>
      </c>
      <c r="L27" s="7">
        <f t="shared" si="9"/>
        <v>101.92158719999998</v>
      </c>
      <c r="M27" s="7">
        <f t="shared" si="9"/>
        <v>97.844723711999976</v>
      </c>
      <c r="N27" s="7">
        <f t="shared" si="9"/>
        <v>93.930934763519971</v>
      </c>
      <c r="O27" s="7">
        <f t="shared" si="9"/>
        <v>90.173697372979163</v>
      </c>
      <c r="P27" s="7">
        <f t="shared" si="9"/>
        <v>86.56674947805999</v>
      </c>
      <c r="Q27" s="7">
        <f t="shared" si="9"/>
        <v>83.104079498937594</v>
      </c>
      <c r="R27" s="5">
        <v>-0.04</v>
      </c>
      <c r="S27" t="s">
        <v>73</v>
      </c>
    </row>
    <row r="28" spans="1:51" ht="15.75" x14ac:dyDescent="0.25">
      <c r="A28" s="4" t="s">
        <v>18</v>
      </c>
      <c r="B28" s="4"/>
      <c r="C28" s="4"/>
      <c r="H28" s="9">
        <v>5</v>
      </c>
      <c r="I28" s="9">
        <f>H28*(1+$R$28)</f>
        <v>5.0999999999999996</v>
      </c>
      <c r="J28" s="9">
        <f t="shared" ref="J28:Q28" si="10">I28*(1+$R$28)</f>
        <v>5.202</v>
      </c>
      <c r="K28" s="9">
        <f t="shared" si="10"/>
        <v>5.3060400000000003</v>
      </c>
      <c r="L28" s="9">
        <f t="shared" si="10"/>
        <v>5.4121608000000005</v>
      </c>
      <c r="M28" s="9">
        <f t="shared" si="10"/>
        <v>5.5204040160000005</v>
      </c>
      <c r="N28" s="9">
        <f t="shared" si="10"/>
        <v>5.6308120963200006</v>
      </c>
      <c r="O28" s="9">
        <f t="shared" si="10"/>
        <v>5.7434283382464004</v>
      </c>
      <c r="P28" s="9">
        <f t="shared" si="10"/>
        <v>5.8582969050113283</v>
      </c>
      <c r="Q28" s="9">
        <f t="shared" si="10"/>
        <v>5.9754628431115551</v>
      </c>
      <c r="R28" s="5">
        <v>0.02</v>
      </c>
      <c r="S28" t="s">
        <v>72</v>
      </c>
    </row>
    <row r="29" spans="1:51" ht="15.75" x14ac:dyDescent="0.25">
      <c r="A29" s="4" t="s">
        <v>19</v>
      </c>
      <c r="B29" s="4"/>
      <c r="C29" s="4"/>
      <c r="H29" s="9">
        <v>4</v>
      </c>
      <c r="I29" s="9">
        <f>H29*(1+$R$29)</f>
        <v>4.12</v>
      </c>
      <c r="J29" s="9">
        <f t="shared" ref="J29:Q29" si="11">I29*(1+$R$29)</f>
        <v>4.2435999999999998</v>
      </c>
      <c r="K29" s="9">
        <f t="shared" si="11"/>
        <v>4.370908</v>
      </c>
      <c r="L29" s="9">
        <f t="shared" si="11"/>
        <v>4.5020352400000005</v>
      </c>
      <c r="M29" s="9">
        <f t="shared" si="11"/>
        <v>4.6370962972000003</v>
      </c>
      <c r="N29" s="9">
        <f t="shared" si="11"/>
        <v>4.7762091861160005</v>
      </c>
      <c r="O29" s="9">
        <f t="shared" si="11"/>
        <v>4.9194954616994808</v>
      </c>
      <c r="P29" s="9">
        <f t="shared" si="11"/>
        <v>5.0670803255504655</v>
      </c>
      <c r="Q29" s="9">
        <f t="shared" si="11"/>
        <v>5.2190927353169796</v>
      </c>
      <c r="R29" s="5">
        <v>0.03</v>
      </c>
      <c r="S29" t="s">
        <v>72</v>
      </c>
    </row>
    <row r="30" spans="1:51" ht="15.75" x14ac:dyDescent="0.25">
      <c r="A30" s="4" t="s">
        <v>121</v>
      </c>
      <c r="B30" s="4"/>
      <c r="C30" s="4"/>
      <c r="H30" s="9">
        <f>H67/H81</f>
        <v>4.8245593257119888</v>
      </c>
      <c r="I30" s="9">
        <f t="shared" ref="I30:Q30" si="12">I67/I81</f>
        <v>7.7416281670550324</v>
      </c>
      <c r="J30" s="9">
        <f t="shared" si="12"/>
        <v>10.343341726134627</v>
      </c>
      <c r="K30" s="9">
        <f t="shared" si="12"/>
        <v>12.671077585665762</v>
      </c>
      <c r="L30" s="9">
        <f t="shared" si="12"/>
        <v>14.759533668188066</v>
      </c>
      <c r="M30" s="9">
        <f t="shared" si="12"/>
        <v>16.638019951077112</v>
      </c>
      <c r="N30" s="9">
        <f t="shared" si="12"/>
        <v>18.331460967432218</v>
      </c>
      <c r="O30" s="9">
        <f t="shared" si="12"/>
        <v>19.861181987737488</v>
      </c>
      <c r="P30" s="9">
        <f t="shared" si="12"/>
        <v>21.245531507661401</v>
      </c>
      <c r="Q30" s="9">
        <f t="shared" si="12"/>
        <v>22.500378525320738</v>
      </c>
    </row>
    <row r="31" spans="1:51" ht="15.75" x14ac:dyDescent="0.25">
      <c r="A31" s="4" t="s">
        <v>20</v>
      </c>
      <c r="B31" s="4"/>
      <c r="C31" s="4"/>
      <c r="H31" s="5">
        <f>8.92%+21%</f>
        <v>0.29920000000000002</v>
      </c>
      <c r="I31" s="5">
        <f>H31</f>
        <v>0.29920000000000002</v>
      </c>
      <c r="J31" s="5">
        <f t="shared" ref="J31:Q31" si="13">I31</f>
        <v>0.29920000000000002</v>
      </c>
      <c r="K31" s="5">
        <f t="shared" si="13"/>
        <v>0.29920000000000002</v>
      </c>
      <c r="L31" s="5">
        <f t="shared" si="13"/>
        <v>0.29920000000000002</v>
      </c>
      <c r="M31" s="5">
        <f t="shared" si="13"/>
        <v>0.29920000000000002</v>
      </c>
      <c r="N31" s="5">
        <f t="shared" si="13"/>
        <v>0.29920000000000002</v>
      </c>
      <c r="O31" s="5">
        <f t="shared" si="13"/>
        <v>0.29920000000000002</v>
      </c>
      <c r="P31" s="5">
        <f t="shared" si="13"/>
        <v>0.29920000000000002</v>
      </c>
      <c r="Q31" s="5">
        <f t="shared" si="13"/>
        <v>0.29920000000000002</v>
      </c>
    </row>
    <row r="32" spans="1:51" ht="15.75" x14ac:dyDescent="0.25">
      <c r="A32" s="4" t="s">
        <v>77</v>
      </c>
      <c r="B32" s="4"/>
      <c r="C32" s="4"/>
      <c r="H32">
        <v>40</v>
      </c>
      <c r="I32">
        <f>H32</f>
        <v>40</v>
      </c>
      <c r="J32">
        <f t="shared" ref="J32:Q32" si="14">I32</f>
        <v>40</v>
      </c>
      <c r="K32">
        <f t="shared" si="14"/>
        <v>40</v>
      </c>
      <c r="L32">
        <f t="shared" si="14"/>
        <v>40</v>
      </c>
      <c r="M32">
        <f t="shared" si="14"/>
        <v>40</v>
      </c>
      <c r="N32">
        <f t="shared" si="14"/>
        <v>40</v>
      </c>
      <c r="O32">
        <f t="shared" si="14"/>
        <v>40</v>
      </c>
      <c r="P32">
        <f t="shared" si="14"/>
        <v>40</v>
      </c>
      <c r="Q32">
        <f t="shared" si="14"/>
        <v>40</v>
      </c>
    </row>
    <row r="33" spans="1:51" ht="15.75" x14ac:dyDescent="0.25">
      <c r="A33" s="4" t="s">
        <v>78</v>
      </c>
      <c r="B33" s="4"/>
      <c r="C33" s="4"/>
      <c r="H33">
        <v>6</v>
      </c>
      <c r="I33">
        <f>H33</f>
        <v>6</v>
      </c>
      <c r="J33">
        <f t="shared" ref="J33:Q33" si="15">I33</f>
        <v>6</v>
      </c>
      <c r="K33">
        <f t="shared" si="15"/>
        <v>6</v>
      </c>
      <c r="L33">
        <f t="shared" si="15"/>
        <v>6</v>
      </c>
      <c r="M33">
        <f t="shared" si="15"/>
        <v>6</v>
      </c>
      <c r="N33">
        <f t="shared" si="15"/>
        <v>6</v>
      </c>
      <c r="O33">
        <f t="shared" si="15"/>
        <v>6</v>
      </c>
      <c r="P33">
        <f t="shared" si="15"/>
        <v>6</v>
      </c>
      <c r="Q33">
        <f t="shared" si="15"/>
        <v>6</v>
      </c>
    </row>
    <row r="34" spans="1:51" ht="15.75" x14ac:dyDescent="0.25">
      <c r="A34" s="4" t="s">
        <v>75</v>
      </c>
      <c r="B34" s="4"/>
      <c r="C34" s="4"/>
      <c r="H34" s="5">
        <v>0.08</v>
      </c>
      <c r="I34" s="5">
        <f>H34</f>
        <v>0.08</v>
      </c>
      <c r="J34" s="5">
        <f t="shared" ref="J34:Q35" si="16">I34</f>
        <v>0.08</v>
      </c>
      <c r="K34" s="5">
        <f t="shared" si="16"/>
        <v>0.08</v>
      </c>
      <c r="L34" s="5">
        <f t="shared" si="16"/>
        <v>0.08</v>
      </c>
      <c r="M34" s="5">
        <f t="shared" si="16"/>
        <v>0.08</v>
      </c>
      <c r="N34" s="5">
        <f t="shared" si="16"/>
        <v>0.08</v>
      </c>
      <c r="O34" s="5">
        <f t="shared" si="16"/>
        <v>0.08</v>
      </c>
      <c r="P34" s="5">
        <f t="shared" si="16"/>
        <v>0.08</v>
      </c>
      <c r="Q34" s="5">
        <f t="shared" si="16"/>
        <v>0.08</v>
      </c>
      <c r="T34" s="14" t="s">
        <v>120</v>
      </c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</row>
    <row r="35" spans="1:51" ht="15.75" x14ac:dyDescent="0.25">
      <c r="A35" s="4" t="s">
        <v>74</v>
      </c>
      <c r="B35" s="4"/>
      <c r="C35" s="4"/>
      <c r="H35" s="5">
        <v>0.03</v>
      </c>
      <c r="I35" s="5">
        <f>H35</f>
        <v>0.03</v>
      </c>
      <c r="J35" s="5">
        <f t="shared" si="16"/>
        <v>0.03</v>
      </c>
      <c r="K35" s="5">
        <f t="shared" si="16"/>
        <v>0.03</v>
      </c>
      <c r="L35" s="5">
        <f t="shared" si="16"/>
        <v>0.03</v>
      </c>
      <c r="M35" s="5">
        <f t="shared" si="16"/>
        <v>0.03</v>
      </c>
      <c r="N35" s="5">
        <f t="shared" si="16"/>
        <v>0.03</v>
      </c>
      <c r="O35" s="5">
        <f t="shared" si="16"/>
        <v>0.03</v>
      </c>
      <c r="P35" s="5">
        <f t="shared" si="16"/>
        <v>0.03</v>
      </c>
      <c r="Q35" s="5">
        <f t="shared" si="16"/>
        <v>0.03</v>
      </c>
    </row>
    <row r="36" spans="1:51" ht="15.75" x14ac:dyDescent="0.25">
      <c r="A36" s="4"/>
      <c r="B36" s="4"/>
      <c r="C36" s="4"/>
    </row>
    <row r="37" spans="1:51" ht="15.75" x14ac:dyDescent="0.25">
      <c r="A37" s="2" t="s">
        <v>21</v>
      </c>
      <c r="B37" s="3"/>
      <c r="C37" s="3"/>
    </row>
    <row r="38" spans="1:51" ht="15.75" x14ac:dyDescent="0.25">
      <c r="A38" s="3" t="s">
        <v>22</v>
      </c>
      <c r="B38" s="3"/>
      <c r="C38" s="3"/>
      <c r="H38" s="7">
        <f>H3*H4</f>
        <v>611891</v>
      </c>
      <c r="I38" s="7">
        <f t="shared" ref="I38:Q38" si="17">I3*I4</f>
        <v>674548.63840000005</v>
      </c>
      <c r="J38" s="7">
        <f t="shared" si="17"/>
        <v>743622.41897216009</v>
      </c>
      <c r="K38" s="7">
        <f t="shared" si="17"/>
        <v>819769.35467490938</v>
      </c>
      <c r="L38" s="7">
        <f t="shared" si="17"/>
        <v>903713.73659362015</v>
      </c>
      <c r="M38" s="7">
        <f t="shared" si="17"/>
        <v>996254.02322080696</v>
      </c>
      <c r="N38" s="7">
        <f t="shared" si="17"/>
        <v>1098270.4351986176</v>
      </c>
      <c r="O38" s="7">
        <f t="shared" si="17"/>
        <v>1210733.3277629563</v>
      </c>
      <c r="P38" s="7">
        <f t="shared" si="17"/>
        <v>1334712.4205258831</v>
      </c>
      <c r="Q38" s="7">
        <f t="shared" si="17"/>
        <v>1471386.9723877336</v>
      </c>
    </row>
    <row r="39" spans="1:51" ht="15.75" x14ac:dyDescent="0.25">
      <c r="A39" s="3" t="s">
        <v>23</v>
      </c>
      <c r="B39" s="3"/>
      <c r="C39" s="3"/>
      <c r="H39" s="7">
        <f>H38*H5</f>
        <v>183567.3</v>
      </c>
      <c r="I39" s="7">
        <f t="shared" ref="I39:Q39" si="18">I38*I5</f>
        <v>202364.59152000002</v>
      </c>
      <c r="J39" s="7">
        <f t="shared" si="18"/>
        <v>223086.72569164803</v>
      </c>
      <c r="K39" s="7">
        <f t="shared" si="18"/>
        <v>245930.80640247281</v>
      </c>
      <c r="L39" s="7">
        <f t="shared" si="18"/>
        <v>271114.12097808602</v>
      </c>
      <c r="M39" s="7">
        <f t="shared" si="18"/>
        <v>298876.20696624205</v>
      </c>
      <c r="N39" s="7">
        <f t="shared" si="18"/>
        <v>329481.13055958529</v>
      </c>
      <c r="O39" s="7">
        <f t="shared" si="18"/>
        <v>363219.99832888687</v>
      </c>
      <c r="P39" s="7">
        <f t="shared" si="18"/>
        <v>400413.7261577649</v>
      </c>
      <c r="Q39" s="7">
        <f t="shared" si="18"/>
        <v>441416.09171632008</v>
      </c>
    </row>
    <row r="40" spans="1:51" ht="15.75" x14ac:dyDescent="0.25">
      <c r="A40" s="3" t="s">
        <v>24</v>
      </c>
      <c r="B40" s="3"/>
      <c r="C40" s="3"/>
      <c r="H40" s="7">
        <f>H38-H39</f>
        <v>428323.7</v>
      </c>
      <c r="I40" s="7">
        <f t="shared" ref="I40:Q40" si="19">I38-I39</f>
        <v>472184.04688000004</v>
      </c>
      <c r="J40" s="7">
        <f t="shared" si="19"/>
        <v>520535.69328051206</v>
      </c>
      <c r="K40" s="7">
        <f t="shared" si="19"/>
        <v>573838.5482724366</v>
      </c>
      <c r="L40" s="7">
        <f t="shared" si="19"/>
        <v>632599.61561553413</v>
      </c>
      <c r="M40" s="7">
        <f t="shared" si="19"/>
        <v>697377.81625456491</v>
      </c>
      <c r="N40" s="7">
        <f t="shared" si="19"/>
        <v>768789.30463903234</v>
      </c>
      <c r="O40" s="7">
        <f t="shared" si="19"/>
        <v>847513.32943406934</v>
      </c>
      <c r="P40" s="7">
        <f t="shared" si="19"/>
        <v>934298.69436811819</v>
      </c>
      <c r="Q40" s="7">
        <f t="shared" si="19"/>
        <v>1029970.8806714136</v>
      </c>
    </row>
    <row r="41" spans="1:51" ht="15.75" x14ac:dyDescent="0.25">
      <c r="A41" s="3"/>
      <c r="B41" s="3"/>
      <c r="C41" s="3"/>
    </row>
    <row r="42" spans="1:51" ht="15.75" x14ac:dyDescent="0.25">
      <c r="A42" s="3" t="s">
        <v>25</v>
      </c>
      <c r="B42" s="3"/>
      <c r="C42" s="3"/>
    </row>
    <row r="43" spans="1:51" ht="15.75" x14ac:dyDescent="0.25">
      <c r="A43" s="3"/>
      <c r="B43" s="3" t="s">
        <v>26</v>
      </c>
      <c r="C43" s="3"/>
      <c r="H43" s="7">
        <f>H8*H9</f>
        <v>74880</v>
      </c>
      <c r="I43" s="7">
        <f t="shared" ref="I43:Q43" si="20">I8*I9</f>
        <v>77126.400000000009</v>
      </c>
      <c r="J43" s="7">
        <f t="shared" si="20"/>
        <v>79440.19200000001</v>
      </c>
      <c r="K43" s="7">
        <f t="shared" si="20"/>
        <v>81823.397760000007</v>
      </c>
      <c r="L43" s="7">
        <f t="shared" si="20"/>
        <v>84278.09969280001</v>
      </c>
      <c r="M43" s="7">
        <f t="shared" si="20"/>
        <v>86806.442683584013</v>
      </c>
      <c r="N43" s="7">
        <f t="shared" si="20"/>
        <v>89410.635964091533</v>
      </c>
      <c r="O43" s="7">
        <f t="shared" si="20"/>
        <v>92092.955043014284</v>
      </c>
      <c r="P43" s="7">
        <f t="shared" si="20"/>
        <v>94855.743694304721</v>
      </c>
      <c r="Q43" s="7">
        <f t="shared" si="20"/>
        <v>97701.416005133855</v>
      </c>
    </row>
    <row r="44" spans="1:51" ht="15.75" x14ac:dyDescent="0.25">
      <c r="A44" s="3"/>
      <c r="B44" s="3" t="s">
        <v>27</v>
      </c>
      <c r="C44" s="3"/>
      <c r="H44" s="7">
        <f>H38*H6</f>
        <v>12237.82</v>
      </c>
      <c r="I44" s="7">
        <f t="shared" ref="I44:Q44" si="21">I38*I6</f>
        <v>13490.972768000001</v>
      </c>
      <c r="J44" s="7">
        <f t="shared" si="21"/>
        <v>14872.448379443202</v>
      </c>
      <c r="K44" s="7">
        <f t="shared" si="21"/>
        <v>16395.38709349819</v>
      </c>
      <c r="L44" s="7">
        <f t="shared" si="21"/>
        <v>18074.274731872403</v>
      </c>
      <c r="M44" s="7">
        <f t="shared" si="21"/>
        <v>19925.08046441614</v>
      </c>
      <c r="N44" s="7">
        <f t="shared" si="21"/>
        <v>21965.408703972353</v>
      </c>
      <c r="O44" s="7">
        <f t="shared" si="21"/>
        <v>24214.666555259126</v>
      </c>
      <c r="P44" s="7">
        <f t="shared" si="21"/>
        <v>26694.248410517663</v>
      </c>
      <c r="Q44" s="7">
        <f t="shared" si="21"/>
        <v>29427.739447754673</v>
      </c>
    </row>
    <row r="45" spans="1:51" ht="15.75" x14ac:dyDescent="0.25">
      <c r="A45" s="1"/>
      <c r="B45" s="3" t="s">
        <v>28</v>
      </c>
      <c r="C45" s="3"/>
      <c r="H45" s="7">
        <f>H16*H70</f>
        <v>2400</v>
      </c>
      <c r="I45" s="7">
        <f t="shared" ref="I45:Q45" si="22">I16*I70</f>
        <v>2454</v>
      </c>
      <c r="J45" s="7">
        <f t="shared" si="22"/>
        <v>2509.2149999999997</v>
      </c>
      <c r="K45" s="7">
        <f t="shared" si="22"/>
        <v>2565.6723374999997</v>
      </c>
      <c r="L45" s="7">
        <f t="shared" si="22"/>
        <v>2623.3999650937494</v>
      </c>
      <c r="M45" s="7">
        <f t="shared" si="22"/>
        <v>2682.4264643083588</v>
      </c>
      <c r="N45" s="7">
        <f t="shared" si="22"/>
        <v>2742.7810597552966</v>
      </c>
      <c r="O45" s="7">
        <f t="shared" si="22"/>
        <v>2804.4936335997904</v>
      </c>
      <c r="P45" s="7">
        <f t="shared" si="22"/>
        <v>2867.5947403557857</v>
      </c>
      <c r="Q45" s="7">
        <f t="shared" si="22"/>
        <v>2932.1156220137909</v>
      </c>
    </row>
    <row r="46" spans="1:51" ht="15.75" x14ac:dyDescent="0.25">
      <c r="A46" s="1"/>
      <c r="B46" s="3" t="s">
        <v>29</v>
      </c>
      <c r="C46" s="3"/>
      <c r="H46" s="7">
        <f>H17*$H$14</f>
        <v>40</v>
      </c>
      <c r="I46" s="7">
        <f t="shared" ref="I46:Q46" si="23">I17*$H$14</f>
        <v>42</v>
      </c>
      <c r="J46" s="7">
        <f t="shared" si="23"/>
        <v>44.100000000000009</v>
      </c>
      <c r="K46" s="7">
        <f t="shared" si="23"/>
        <v>46.305000000000014</v>
      </c>
      <c r="L46" s="7">
        <f t="shared" si="23"/>
        <v>48.62025000000002</v>
      </c>
      <c r="M46" s="7">
        <f t="shared" si="23"/>
        <v>51.051262500000021</v>
      </c>
      <c r="N46" s="7">
        <f t="shared" si="23"/>
        <v>53.603825625000027</v>
      </c>
      <c r="O46" s="7">
        <f t="shared" si="23"/>
        <v>56.284016906250024</v>
      </c>
      <c r="P46" s="7">
        <f t="shared" si="23"/>
        <v>59.09821775156253</v>
      </c>
      <c r="Q46" s="7">
        <f t="shared" si="23"/>
        <v>62.05312863914066</v>
      </c>
    </row>
    <row r="47" spans="1:51" ht="15.75" x14ac:dyDescent="0.25">
      <c r="A47" s="3"/>
      <c r="B47" s="3" t="s">
        <v>82</v>
      </c>
      <c r="C47" s="3"/>
      <c r="H47" s="7">
        <f>H70/H32</f>
        <v>5000</v>
      </c>
      <c r="I47" s="7">
        <f>I70/I32</f>
        <v>5000</v>
      </c>
      <c r="J47" s="7">
        <f t="shared" ref="J47:Q47" si="24">J70/J32</f>
        <v>5000</v>
      </c>
      <c r="K47" s="7">
        <f t="shared" si="24"/>
        <v>5000</v>
      </c>
      <c r="L47" s="7">
        <f t="shared" si="24"/>
        <v>5000</v>
      </c>
      <c r="M47" s="7">
        <f t="shared" si="24"/>
        <v>5000</v>
      </c>
      <c r="N47" s="7">
        <f t="shared" si="24"/>
        <v>5000</v>
      </c>
      <c r="O47" s="7">
        <f t="shared" si="24"/>
        <v>5000</v>
      </c>
      <c r="P47" s="7">
        <f t="shared" si="24"/>
        <v>5000</v>
      </c>
      <c r="Q47" s="7">
        <f t="shared" si="24"/>
        <v>5000</v>
      </c>
    </row>
    <row r="48" spans="1:51" ht="15.75" x14ac:dyDescent="0.25">
      <c r="A48" s="3"/>
      <c r="B48" s="3" t="s">
        <v>81</v>
      </c>
      <c r="C48" s="3"/>
      <c r="H48" s="7">
        <f>H72/H33</f>
        <v>3059.4549999999999</v>
      </c>
      <c r="I48" s="7">
        <f>I72/I33</f>
        <v>3372.7431919999999</v>
      </c>
      <c r="J48" s="7">
        <f t="shared" ref="J48:Q48" si="25">J72/J33</f>
        <v>3718.1120948608004</v>
      </c>
      <c r="K48" s="7">
        <f t="shared" si="25"/>
        <v>4098.8467733745465</v>
      </c>
      <c r="L48" s="7">
        <f t="shared" si="25"/>
        <v>4518.5686829681008</v>
      </c>
      <c r="M48" s="7">
        <f t="shared" si="25"/>
        <v>4981.2701161040341</v>
      </c>
      <c r="N48" s="7">
        <f t="shared" si="25"/>
        <v>5491.3521759930882</v>
      </c>
      <c r="O48" s="7">
        <f t="shared" si="25"/>
        <v>6053.6666388147814</v>
      </c>
      <c r="P48" s="7">
        <f t="shared" si="25"/>
        <v>6673.5621026294148</v>
      </c>
      <c r="Q48" s="7">
        <f t="shared" si="25"/>
        <v>7356.9348619386683</v>
      </c>
    </row>
    <row r="49" spans="1:17" ht="15.75" x14ac:dyDescent="0.25">
      <c r="A49" s="3" t="s">
        <v>30</v>
      </c>
      <c r="B49" s="3"/>
      <c r="C49" s="3"/>
      <c r="H49" s="7">
        <f>SUM(H43:H48)</f>
        <v>97617.275000000009</v>
      </c>
      <c r="I49" s="7">
        <f>SUM(I43:I48)</f>
        <v>101486.11596000001</v>
      </c>
      <c r="J49" s="7">
        <f>SUM(J43:J48)</f>
        <v>105584.06747430401</v>
      </c>
      <c r="K49" s="7">
        <f t="shared" ref="K49:Q49" si="26">SUM(K43:K48)</f>
        <v>109929.60896437273</v>
      </c>
      <c r="L49" s="7">
        <f t="shared" si="26"/>
        <v>114542.96332273427</v>
      </c>
      <c r="M49" s="7">
        <f t="shared" si="26"/>
        <v>119446.27099091254</v>
      </c>
      <c r="N49" s="7">
        <f t="shared" si="26"/>
        <v>124663.78172943728</v>
      </c>
      <c r="O49" s="7">
        <f t="shared" si="26"/>
        <v>130222.06588759425</v>
      </c>
      <c r="P49" s="7">
        <f t="shared" si="26"/>
        <v>136150.24716555915</v>
      </c>
      <c r="Q49" s="7">
        <f t="shared" si="26"/>
        <v>142480.25906548012</v>
      </c>
    </row>
    <row r="50" spans="1:17" ht="15.75" x14ac:dyDescent="0.25">
      <c r="A50" s="3"/>
      <c r="B50" s="3"/>
      <c r="C50" s="3"/>
    </row>
    <row r="51" spans="1:17" ht="15.75" x14ac:dyDescent="0.25">
      <c r="A51" s="3" t="s">
        <v>31</v>
      </c>
      <c r="B51" s="3"/>
      <c r="C51" s="3"/>
      <c r="H51" s="7">
        <f>H40-H49</f>
        <v>330706.42499999999</v>
      </c>
      <c r="I51" s="7">
        <f>I40-I49</f>
        <v>370697.93092000001</v>
      </c>
      <c r="J51" s="7">
        <f t="shared" ref="J51:Q51" si="27">J40-J49</f>
        <v>414951.62580620806</v>
      </c>
      <c r="K51" s="7">
        <f t="shared" si="27"/>
        <v>463908.93930806388</v>
      </c>
      <c r="L51" s="7">
        <f t="shared" si="27"/>
        <v>518056.65229279984</v>
      </c>
      <c r="M51" s="7">
        <f t="shared" si="27"/>
        <v>577931.54526365234</v>
      </c>
      <c r="N51" s="7">
        <f t="shared" si="27"/>
        <v>644125.52290959505</v>
      </c>
      <c r="O51" s="7">
        <f t="shared" si="27"/>
        <v>717291.26354647509</v>
      </c>
      <c r="P51" s="7">
        <f t="shared" si="27"/>
        <v>798148.44720255909</v>
      </c>
      <c r="Q51" s="7">
        <f t="shared" si="27"/>
        <v>887490.62160593353</v>
      </c>
    </row>
    <row r="52" spans="1:17" ht="15.75" x14ac:dyDescent="0.25">
      <c r="A52" s="3"/>
      <c r="B52" s="3"/>
      <c r="C52" s="3"/>
    </row>
    <row r="53" spans="1:17" ht="15.75" x14ac:dyDescent="0.25">
      <c r="A53" s="3" t="s">
        <v>32</v>
      </c>
      <c r="B53" s="3"/>
      <c r="C53" s="3"/>
      <c r="H53" s="7">
        <f>'Amortization Table'!C9</f>
        <v>6971.8487500000001</v>
      </c>
      <c r="I53" s="7">
        <f>'Amortization Table'!C10</f>
        <v>6881.842269023663</v>
      </c>
      <c r="J53" s="7">
        <f>'Amortization Table'!C11</f>
        <v>6788.0105126058315</v>
      </c>
      <c r="K53" s="7">
        <f>'Amortization Table'!C12</f>
        <v>6690.1909065402415</v>
      </c>
      <c r="L53" s="7">
        <f>'Amortization Table'!C13</f>
        <v>6588.2139672168641</v>
      </c>
      <c r="M53" s="7">
        <f>'Amortization Table'!C14</f>
        <v>6481.9030079722434</v>
      </c>
      <c r="N53" s="7">
        <f>'Amortization Table'!C15</f>
        <v>6371.073832959727</v>
      </c>
      <c r="O53" s="7">
        <f>'Amortization Table'!C16</f>
        <v>6255.5344180091788</v>
      </c>
      <c r="P53" s="7">
        <f>'Amortization Table'!C17</f>
        <v>6135.0845779232313</v>
      </c>
      <c r="Q53" s="7">
        <f>'Amortization Table'!C18</f>
        <v>6009.5156196336311</v>
      </c>
    </row>
    <row r="54" spans="1:17" ht="15.75" x14ac:dyDescent="0.25">
      <c r="A54" s="3" t="s">
        <v>33</v>
      </c>
      <c r="B54" s="3"/>
      <c r="C54" s="3"/>
      <c r="H54">
        <f>H84*H23</f>
        <v>0</v>
      </c>
      <c r="I54">
        <f t="shared" ref="I54:Q54" si="28">I84*I23</f>
        <v>0</v>
      </c>
      <c r="J54">
        <f t="shared" si="28"/>
        <v>0</v>
      </c>
      <c r="K54">
        <f t="shared" si="28"/>
        <v>0</v>
      </c>
      <c r="L54">
        <f t="shared" si="28"/>
        <v>0</v>
      </c>
      <c r="M54">
        <f t="shared" si="28"/>
        <v>0</v>
      </c>
      <c r="N54">
        <f t="shared" si="28"/>
        <v>0</v>
      </c>
      <c r="O54">
        <f t="shared" si="28"/>
        <v>0</v>
      </c>
      <c r="P54">
        <f>P84*P23</f>
        <v>0</v>
      </c>
      <c r="Q54">
        <f t="shared" si="28"/>
        <v>0</v>
      </c>
    </row>
    <row r="55" spans="1:17" ht="15.75" x14ac:dyDescent="0.25">
      <c r="A55" s="3"/>
      <c r="B55" s="3"/>
      <c r="C55" s="3"/>
    </row>
    <row r="56" spans="1:17" ht="15.75" x14ac:dyDescent="0.25">
      <c r="A56" s="3" t="s">
        <v>34</v>
      </c>
      <c r="B56" s="3"/>
      <c r="C56" s="3"/>
      <c r="H56" s="7">
        <f>H51-H53-H54</f>
        <v>323734.57624999998</v>
      </c>
      <c r="I56" s="7">
        <f>I51-I53-I54</f>
        <v>363816.08865097637</v>
      </c>
      <c r="J56" s="7">
        <f t="shared" ref="J56:Q56" si="29">J51-J53-J54</f>
        <v>408163.61529360223</v>
      </c>
      <c r="K56" s="7">
        <f t="shared" si="29"/>
        <v>457218.74840152363</v>
      </c>
      <c r="L56" s="7">
        <f t="shared" si="29"/>
        <v>511468.438325583</v>
      </c>
      <c r="M56" s="7">
        <f t="shared" si="29"/>
        <v>571449.64225568005</v>
      </c>
      <c r="N56" s="7">
        <f t="shared" si="29"/>
        <v>637754.4490766353</v>
      </c>
      <c r="O56" s="7">
        <f t="shared" si="29"/>
        <v>711035.72912846587</v>
      </c>
      <c r="P56" s="7">
        <f t="shared" si="29"/>
        <v>792013.36262463592</v>
      </c>
      <c r="Q56" s="7">
        <f t="shared" si="29"/>
        <v>881481.10598629992</v>
      </c>
    </row>
    <row r="57" spans="1:17" ht="15.75" x14ac:dyDescent="0.25">
      <c r="A57" s="3" t="s">
        <v>35</v>
      </c>
      <c r="B57" s="3"/>
      <c r="C57" s="3"/>
      <c r="H57" s="7">
        <f>H56*H31</f>
        <v>96861.385214000009</v>
      </c>
      <c r="I57" s="7">
        <f>I56*I31</f>
        <v>108853.77372437213</v>
      </c>
      <c r="J57" s="7">
        <f t="shared" ref="J57:Q57" si="30">J56*J31</f>
        <v>122122.5536958458</v>
      </c>
      <c r="K57" s="7">
        <f t="shared" si="30"/>
        <v>136799.84952173589</v>
      </c>
      <c r="L57" s="7">
        <f t="shared" si="30"/>
        <v>153031.35674701445</v>
      </c>
      <c r="M57" s="7">
        <f t="shared" si="30"/>
        <v>170977.73296289949</v>
      </c>
      <c r="N57" s="7">
        <f t="shared" si="30"/>
        <v>190816.1311637293</v>
      </c>
      <c r="O57" s="7">
        <f t="shared" si="30"/>
        <v>212741.89015523699</v>
      </c>
      <c r="P57" s="7">
        <f t="shared" si="30"/>
        <v>236970.39809729109</v>
      </c>
      <c r="Q57" s="7">
        <f t="shared" si="30"/>
        <v>263739.14691110095</v>
      </c>
    </row>
    <row r="58" spans="1:17" ht="15.75" x14ac:dyDescent="0.25">
      <c r="A58" s="3" t="s">
        <v>36</v>
      </c>
      <c r="B58" s="3"/>
      <c r="C58" s="3"/>
      <c r="H58" s="7">
        <f>H56-H57</f>
        <v>226873.19103599997</v>
      </c>
      <c r="I58" s="7">
        <f t="shared" ref="I58:Q58" si="31">I56-I57</f>
        <v>254962.31492660422</v>
      </c>
      <c r="J58" s="7">
        <f t="shared" si="31"/>
        <v>286041.06159775646</v>
      </c>
      <c r="K58" s="7">
        <f t="shared" si="31"/>
        <v>320418.89887978777</v>
      </c>
      <c r="L58" s="7">
        <f t="shared" si="31"/>
        <v>358437.08157856856</v>
      </c>
      <c r="M58" s="7">
        <f t="shared" si="31"/>
        <v>400471.90929278056</v>
      </c>
      <c r="N58" s="7">
        <f t="shared" si="31"/>
        <v>446938.317912906</v>
      </c>
      <c r="O58" s="7">
        <f t="shared" si="31"/>
        <v>498293.83897322888</v>
      </c>
      <c r="P58" s="7">
        <f t="shared" si="31"/>
        <v>555042.9645273448</v>
      </c>
      <c r="Q58" s="7">
        <f t="shared" si="31"/>
        <v>617741.95907519897</v>
      </c>
    </row>
    <row r="59" spans="1:17" ht="15.75" x14ac:dyDescent="0.25">
      <c r="A59" s="3"/>
      <c r="B59" s="3"/>
      <c r="C59" s="3"/>
    </row>
    <row r="60" spans="1:17" ht="15.75" x14ac:dyDescent="0.25">
      <c r="A60" s="2" t="s">
        <v>37</v>
      </c>
      <c r="B60" s="3"/>
      <c r="C60" s="3"/>
    </row>
    <row r="61" spans="1:17" ht="15.75" x14ac:dyDescent="0.25">
      <c r="A61" s="3" t="s">
        <v>38</v>
      </c>
      <c r="B61" s="3"/>
      <c r="C61" s="3"/>
    </row>
    <row r="62" spans="1:17" ht="15.75" x14ac:dyDescent="0.25">
      <c r="A62" s="3" t="s">
        <v>39</v>
      </c>
      <c r="B62" s="3"/>
      <c r="C62" s="3"/>
    </row>
    <row r="63" spans="1:17" ht="15.75" x14ac:dyDescent="0.25">
      <c r="A63" s="3"/>
      <c r="B63" s="3" t="s">
        <v>40</v>
      </c>
      <c r="C63" s="3"/>
      <c r="H63" s="7">
        <f>H34*H38</f>
        <v>48951.28</v>
      </c>
      <c r="I63" s="7">
        <f t="shared" ref="I63:Q63" si="32">I34*I38</f>
        <v>53963.891072000006</v>
      </c>
      <c r="J63" s="7">
        <f t="shared" si="32"/>
        <v>59489.793517772807</v>
      </c>
      <c r="K63" s="7">
        <f t="shared" si="32"/>
        <v>65581.548373992759</v>
      </c>
      <c r="L63" s="7">
        <f t="shared" si="32"/>
        <v>72297.098927489613</v>
      </c>
      <c r="M63" s="7">
        <f t="shared" si="32"/>
        <v>79700.32185766456</v>
      </c>
      <c r="N63" s="7">
        <f t="shared" si="32"/>
        <v>87861.634815889411</v>
      </c>
      <c r="O63" s="7">
        <f t="shared" si="32"/>
        <v>96858.666221036503</v>
      </c>
      <c r="P63" s="7">
        <f t="shared" si="32"/>
        <v>106776.99364207065</v>
      </c>
      <c r="Q63" s="7">
        <f t="shared" si="32"/>
        <v>117710.95779101869</v>
      </c>
    </row>
    <row r="64" spans="1:17" ht="15.75" x14ac:dyDescent="0.25">
      <c r="A64" s="3"/>
      <c r="B64" s="3" t="s">
        <v>41</v>
      </c>
      <c r="C64" s="3"/>
      <c r="H64" s="11">
        <v>363437.6074055956</v>
      </c>
      <c r="I64" s="11">
        <v>739147.79329239496</v>
      </c>
      <c r="J64" s="11">
        <v>1160312.5674410521</v>
      </c>
      <c r="K64" s="11">
        <v>1631769.3533015444</v>
      </c>
      <c r="L64" s="11">
        <v>2158856.3529389836</v>
      </c>
      <c r="M64" s="11">
        <v>2747463.9613333442</v>
      </c>
      <c r="N64" s="11">
        <v>3404091.4443676006</v>
      </c>
      <c r="O64" s="11">
        <v>4135909.4186807284</v>
      </c>
      <c r="P64" s="11">
        <v>4950828.7265328206</v>
      </c>
      <c r="Q64" s="11">
        <v>5857576.3594092261</v>
      </c>
    </row>
    <row r="65" spans="1:17" ht="15.75" x14ac:dyDescent="0.25">
      <c r="A65" s="3"/>
      <c r="B65" s="3" t="s">
        <v>42</v>
      </c>
      <c r="C65" s="3"/>
      <c r="H65" s="7">
        <f>H38/365*H29</f>
        <v>6705.6547945205475</v>
      </c>
      <c r="I65" s="7">
        <f t="shared" ref="I65:Q65" si="33">I38/365*I29</f>
        <v>7614.0832608438359</v>
      </c>
      <c r="J65" s="7">
        <f t="shared" si="33"/>
        <v>8645.5783483568721</v>
      </c>
      <c r="K65" s="7">
        <f t="shared" si="33"/>
        <v>9816.8121383654761</v>
      </c>
      <c r="L65" s="7">
        <f t="shared" si="33"/>
        <v>11146.715312374126</v>
      </c>
      <c r="M65" s="7">
        <f t="shared" si="33"/>
        <v>12656.783129172074</v>
      </c>
      <c r="N65" s="7">
        <f t="shared" si="33"/>
        <v>14371.422853247273</v>
      </c>
      <c r="O65" s="7">
        <f t="shared" si="33"/>
        <v>16318.348250022393</v>
      </c>
      <c r="P65" s="7">
        <f t="shared" si="33"/>
        <v>18529.027524149427</v>
      </c>
      <c r="Q65" s="7">
        <f t="shared" si="33"/>
        <v>21039.191940901001</v>
      </c>
    </row>
    <row r="66" spans="1:17" ht="15.75" x14ac:dyDescent="0.25">
      <c r="A66" s="3"/>
      <c r="B66" s="3" t="s">
        <v>43</v>
      </c>
      <c r="C66" s="3"/>
      <c r="H66" s="7">
        <f>H27*H39/365</f>
        <v>60350.893150684933</v>
      </c>
      <c r="I66" s="7">
        <f t="shared" ref="I66:Q66" si="34">I27*I39/365</f>
        <v>63869.591624942463</v>
      </c>
      <c r="J66" s="7">
        <f t="shared" si="34"/>
        <v>67593.444295043111</v>
      </c>
      <c r="K66" s="7">
        <f t="shared" si="34"/>
        <v>71534.412471221309</v>
      </c>
      <c r="L66" s="7">
        <f t="shared" si="34"/>
        <v>75705.154855943387</v>
      </c>
      <c r="M66" s="7">
        <f t="shared" si="34"/>
        <v>80119.06820466432</v>
      </c>
      <c r="N66" s="7">
        <f t="shared" si="34"/>
        <v>84790.330357269078</v>
      </c>
      <c r="O66" s="7">
        <f t="shared" si="34"/>
        <v>89733.945778419293</v>
      </c>
      <c r="P66" s="7">
        <f t="shared" si="34"/>
        <v>94965.793753084261</v>
      </c>
      <c r="Q66" s="7">
        <f t="shared" si="34"/>
        <v>100502.67939206409</v>
      </c>
    </row>
    <row r="67" spans="1:17" ht="15.75" x14ac:dyDescent="0.25">
      <c r="A67" s="3" t="s">
        <v>44</v>
      </c>
      <c r="B67" s="3"/>
      <c r="C67" s="3"/>
      <c r="H67" s="7">
        <f>SUM(H63:H66)</f>
        <v>479445.4353508011</v>
      </c>
      <c r="I67" s="7">
        <f t="shared" ref="I67:Q67" si="35">SUM(I63:I66)</f>
        <v>864595.35925018135</v>
      </c>
      <c r="J67" s="7">
        <f t="shared" si="35"/>
        <v>1296041.3836022248</v>
      </c>
      <c r="K67" s="7">
        <f t="shared" si="35"/>
        <v>1778702.1262851241</v>
      </c>
      <c r="L67" s="7">
        <f t="shared" si="35"/>
        <v>2318005.3220347906</v>
      </c>
      <c r="M67" s="7">
        <f t="shared" si="35"/>
        <v>2919940.1345248451</v>
      </c>
      <c r="N67" s="7">
        <f t="shared" si="35"/>
        <v>3591114.8323940062</v>
      </c>
      <c r="O67" s="7">
        <f t="shared" si="35"/>
        <v>4338820.3789302064</v>
      </c>
      <c r="P67" s="7">
        <f t="shared" si="35"/>
        <v>5171100.5414521247</v>
      </c>
      <c r="Q67" s="7">
        <f t="shared" si="35"/>
        <v>6096829.1885332093</v>
      </c>
    </row>
    <row r="68" spans="1:17" ht="15.75" x14ac:dyDescent="0.25">
      <c r="A68" s="3"/>
      <c r="B68" s="3"/>
      <c r="C68" s="3"/>
    </row>
    <row r="69" spans="1:17" ht="15.75" x14ac:dyDescent="0.25">
      <c r="A69" s="3"/>
      <c r="B69" s="3" t="s">
        <v>45</v>
      </c>
      <c r="C69" s="3"/>
      <c r="H69">
        <f>$H$11*$H$12</f>
        <v>7650</v>
      </c>
      <c r="I69">
        <f t="shared" ref="I69:Q69" si="36">$H$11*$H$12</f>
        <v>7650</v>
      </c>
      <c r="J69">
        <f t="shared" si="36"/>
        <v>7650</v>
      </c>
      <c r="K69">
        <f t="shared" si="36"/>
        <v>7650</v>
      </c>
      <c r="L69">
        <f t="shared" si="36"/>
        <v>7650</v>
      </c>
      <c r="M69">
        <f t="shared" si="36"/>
        <v>7650</v>
      </c>
      <c r="N69">
        <f t="shared" si="36"/>
        <v>7650</v>
      </c>
      <c r="O69">
        <f t="shared" si="36"/>
        <v>7650</v>
      </c>
      <c r="P69">
        <f t="shared" si="36"/>
        <v>7650</v>
      </c>
      <c r="Q69">
        <f t="shared" si="36"/>
        <v>7650</v>
      </c>
    </row>
    <row r="70" spans="1:17" ht="15.75" x14ac:dyDescent="0.25">
      <c r="A70" s="3"/>
      <c r="B70" s="3" t="s">
        <v>46</v>
      </c>
      <c r="C70" s="3"/>
      <c r="H70">
        <f>$H$13*$H$14</f>
        <v>200000</v>
      </c>
      <c r="I70">
        <f t="shared" ref="I70:Q70" si="37">$H$13*$H$14</f>
        <v>200000</v>
      </c>
      <c r="J70">
        <f t="shared" si="37"/>
        <v>200000</v>
      </c>
      <c r="K70">
        <f t="shared" si="37"/>
        <v>200000</v>
      </c>
      <c r="L70">
        <f t="shared" si="37"/>
        <v>200000</v>
      </c>
      <c r="M70">
        <f t="shared" si="37"/>
        <v>200000</v>
      </c>
      <c r="N70">
        <f t="shared" si="37"/>
        <v>200000</v>
      </c>
      <c r="O70">
        <f t="shared" si="37"/>
        <v>200000</v>
      </c>
      <c r="P70">
        <f t="shared" si="37"/>
        <v>200000</v>
      </c>
      <c r="Q70">
        <f t="shared" si="37"/>
        <v>200000</v>
      </c>
    </row>
    <row r="71" spans="1:17" ht="15.75" x14ac:dyDescent="0.25">
      <c r="A71" s="3"/>
      <c r="B71" s="3" t="s">
        <v>79</v>
      </c>
      <c r="C71" s="3"/>
      <c r="H71" s="7">
        <f>H47</f>
        <v>5000</v>
      </c>
      <c r="I71" s="7">
        <f>H71+I47</f>
        <v>10000</v>
      </c>
      <c r="J71" s="7">
        <f t="shared" ref="J71:Q71" si="38">I71+J47</f>
        <v>15000</v>
      </c>
      <c r="K71" s="7">
        <f t="shared" si="38"/>
        <v>20000</v>
      </c>
      <c r="L71" s="7">
        <f t="shared" si="38"/>
        <v>25000</v>
      </c>
      <c r="M71" s="7">
        <f t="shared" si="38"/>
        <v>30000</v>
      </c>
      <c r="N71" s="7">
        <f t="shared" si="38"/>
        <v>35000</v>
      </c>
      <c r="O71" s="7">
        <f t="shared" si="38"/>
        <v>40000</v>
      </c>
      <c r="P71" s="7">
        <f t="shared" si="38"/>
        <v>45000</v>
      </c>
      <c r="Q71" s="7">
        <f t="shared" si="38"/>
        <v>50000</v>
      </c>
    </row>
    <row r="72" spans="1:17" ht="15.75" x14ac:dyDescent="0.25">
      <c r="A72" s="3"/>
      <c r="B72" s="3" t="s">
        <v>76</v>
      </c>
      <c r="C72" s="3"/>
      <c r="H72" s="7">
        <f>H35*H38</f>
        <v>18356.73</v>
      </c>
      <c r="I72" s="7">
        <f>I35*I38</f>
        <v>20236.459151999999</v>
      </c>
      <c r="J72" s="7">
        <f t="shared" ref="J72:Q72" si="39">J35*J38</f>
        <v>22308.672569164803</v>
      </c>
      <c r="K72" s="7">
        <f t="shared" si="39"/>
        <v>24593.080640247281</v>
      </c>
      <c r="L72" s="7">
        <f t="shared" si="39"/>
        <v>27111.412097808603</v>
      </c>
      <c r="M72" s="7">
        <f t="shared" si="39"/>
        <v>29887.620696624206</v>
      </c>
      <c r="N72" s="7">
        <f t="shared" si="39"/>
        <v>32948.113055958529</v>
      </c>
      <c r="O72" s="7">
        <f t="shared" si="39"/>
        <v>36321.999832888687</v>
      </c>
      <c r="P72" s="7">
        <f t="shared" si="39"/>
        <v>40041.37261577649</v>
      </c>
      <c r="Q72" s="7">
        <f t="shared" si="39"/>
        <v>44141.609171632008</v>
      </c>
    </row>
    <row r="73" spans="1:17" ht="15.75" x14ac:dyDescent="0.25">
      <c r="A73" s="3"/>
      <c r="B73" s="3" t="s">
        <v>80</v>
      </c>
      <c r="C73" s="3"/>
      <c r="H73" s="7">
        <f>H48</f>
        <v>3059.4549999999999</v>
      </c>
      <c r="I73" s="7">
        <f>H73+I48</f>
        <v>6432.1981919999998</v>
      </c>
      <c r="J73" s="7">
        <f t="shared" ref="J73:Q73" si="40">I73+J48</f>
        <v>10150.3102868608</v>
      </c>
      <c r="K73" s="7">
        <f t="shared" si="40"/>
        <v>14249.157060235346</v>
      </c>
      <c r="L73" s="7">
        <f t="shared" si="40"/>
        <v>18767.725743203446</v>
      </c>
      <c r="M73" s="7">
        <f t="shared" si="40"/>
        <v>23748.995859307481</v>
      </c>
      <c r="N73" s="7">
        <f t="shared" si="40"/>
        <v>29240.348035300569</v>
      </c>
      <c r="O73" s="7">
        <f t="shared" si="40"/>
        <v>35294.014674115351</v>
      </c>
      <c r="P73" s="7">
        <f t="shared" si="40"/>
        <v>41967.576776744769</v>
      </c>
      <c r="Q73" s="7">
        <f t="shared" si="40"/>
        <v>49324.511638683434</v>
      </c>
    </row>
    <row r="74" spans="1:17" ht="15.75" x14ac:dyDescent="0.25">
      <c r="A74" s="3"/>
      <c r="B74" s="3"/>
      <c r="C74" s="3"/>
    </row>
    <row r="75" spans="1:17" ht="15.75" x14ac:dyDescent="0.25">
      <c r="A75" s="3" t="s">
        <v>47</v>
      </c>
      <c r="B75" s="3"/>
      <c r="C75" s="3"/>
      <c r="H75" s="7">
        <f>H63+H64+H65+H66+H69+H70-H71+H72-H73</f>
        <v>697392.71035080112</v>
      </c>
      <c r="I75" s="7">
        <f>I63+I64+I65+I66+I69+I70-I71+I72-I73</f>
        <v>1076049.6202101815</v>
      </c>
      <c r="J75" s="7">
        <f t="shared" ref="J75:Q75" si="41">J63+J64+J65+J66+J69+J70-J71+J72-J73</f>
        <v>1500849.7458845286</v>
      </c>
      <c r="K75" s="7">
        <f t="shared" si="41"/>
        <v>1976696.0498651362</v>
      </c>
      <c r="L75" s="7">
        <f t="shared" si="41"/>
        <v>2508999.0083893957</v>
      </c>
      <c r="M75" s="7">
        <f t="shared" si="41"/>
        <v>3103728.7593621616</v>
      </c>
      <c r="N75" s="7">
        <f t="shared" si="41"/>
        <v>3767472.597414664</v>
      </c>
      <c r="O75" s="7">
        <f t="shared" si="41"/>
        <v>4507498.3640889805</v>
      </c>
      <c r="P75" s="7">
        <f t="shared" si="41"/>
        <v>5331824.3372911569</v>
      </c>
      <c r="Q75" s="7">
        <f t="shared" si="41"/>
        <v>6249296.2860661577</v>
      </c>
    </row>
    <row r="76" spans="1:17" ht="15.75" x14ac:dyDescent="0.25">
      <c r="A76" s="3"/>
      <c r="B76" s="3"/>
      <c r="C76" s="3"/>
    </row>
    <row r="77" spans="1:17" ht="15.75" x14ac:dyDescent="0.25">
      <c r="A77" s="3" t="s">
        <v>48</v>
      </c>
      <c r="B77" s="3"/>
      <c r="C77" s="3"/>
    </row>
    <row r="78" spans="1:17" ht="15.75" x14ac:dyDescent="0.25">
      <c r="A78" s="3" t="s">
        <v>49</v>
      </c>
      <c r="B78" s="3"/>
      <c r="C78" s="3"/>
    </row>
    <row r="79" spans="1:17" ht="15.75" x14ac:dyDescent="0.25">
      <c r="A79" s="3"/>
      <c r="B79" s="3" t="s">
        <v>50</v>
      </c>
      <c r="C79" s="3"/>
      <c r="H79" s="7">
        <f>H39*H28/365</f>
        <v>2514.6205479452055</v>
      </c>
      <c r="I79" s="7">
        <f t="shared" ref="I79:Q79" si="42">I39*I28/365</f>
        <v>2827.5600458958902</v>
      </c>
      <c r="J79" s="7">
        <f t="shared" si="42"/>
        <v>3179.4442384875424</v>
      </c>
      <c r="K79" s="7">
        <f t="shared" si="42"/>
        <v>3575.1197150788412</v>
      </c>
      <c r="L79" s="7">
        <f t="shared" si="42"/>
        <v>4020.0362133809722</v>
      </c>
      <c r="M79" s="7">
        <f t="shared" si="42"/>
        <v>4520.3216800638083</v>
      </c>
      <c r="N79" s="7">
        <f t="shared" si="42"/>
        <v>5082.8666725043895</v>
      </c>
      <c r="O79" s="7">
        <f t="shared" si="42"/>
        <v>5715.4192641642167</v>
      </c>
      <c r="P79" s="7">
        <f t="shared" si="42"/>
        <v>6426.6917607509249</v>
      </c>
      <c r="Q79" s="7">
        <f t="shared" si="42"/>
        <v>7226.4806969928568</v>
      </c>
    </row>
    <row r="80" spans="1:17" ht="15.75" x14ac:dyDescent="0.25">
      <c r="A80" s="3"/>
      <c r="B80" s="3" t="s">
        <v>51</v>
      </c>
      <c r="C80" s="3"/>
      <c r="H80" s="7">
        <f>H57</f>
        <v>96861.385214000009</v>
      </c>
      <c r="I80" s="7">
        <f>I57</f>
        <v>108853.77372437213</v>
      </c>
      <c r="J80" s="7">
        <f t="shared" ref="J80:P80" si="43">J57</f>
        <v>122122.5536958458</v>
      </c>
      <c r="K80" s="7">
        <f t="shared" si="43"/>
        <v>136799.84952173589</v>
      </c>
      <c r="L80" s="7">
        <f t="shared" si="43"/>
        <v>153031.35674701445</v>
      </c>
      <c r="M80" s="7">
        <f t="shared" si="43"/>
        <v>170977.73296289949</v>
      </c>
      <c r="N80" s="7">
        <f t="shared" si="43"/>
        <v>190816.1311637293</v>
      </c>
      <c r="O80" s="7">
        <f t="shared" si="43"/>
        <v>212741.89015523699</v>
      </c>
      <c r="P80" s="7">
        <f t="shared" si="43"/>
        <v>236970.39809729109</v>
      </c>
      <c r="Q80" s="7">
        <f>Q57</f>
        <v>263739.14691110095</v>
      </c>
    </row>
    <row r="81" spans="1:18" ht="15.75" x14ac:dyDescent="0.25">
      <c r="A81" s="3" t="s">
        <v>52</v>
      </c>
      <c r="B81" s="3"/>
      <c r="C81" s="3"/>
      <c r="H81" s="7">
        <f>H79+H80</f>
        <v>99376.005761945213</v>
      </c>
      <c r="I81" s="7">
        <f t="shared" ref="I81:P81" si="44">I79+I80</f>
        <v>111681.33377026803</v>
      </c>
      <c r="J81" s="7">
        <f t="shared" si="44"/>
        <v>125301.99793433334</v>
      </c>
      <c r="K81" s="7">
        <f t="shared" si="44"/>
        <v>140374.96923681474</v>
      </c>
      <c r="L81" s="7">
        <f t="shared" si="44"/>
        <v>157051.39296039543</v>
      </c>
      <c r="M81" s="7">
        <f t="shared" si="44"/>
        <v>175498.05464296331</v>
      </c>
      <c r="N81" s="7">
        <f t="shared" si="44"/>
        <v>195898.9978362337</v>
      </c>
      <c r="O81" s="7">
        <f t="shared" si="44"/>
        <v>218457.30941940122</v>
      </c>
      <c r="P81" s="7">
        <f t="shared" si="44"/>
        <v>243397.08985804202</v>
      </c>
      <c r="Q81" s="7">
        <f>Q79+Q80</f>
        <v>270965.62760809378</v>
      </c>
    </row>
    <row r="82" spans="1:18" ht="15.75" x14ac:dyDescent="0.25">
      <c r="A82" s="3"/>
      <c r="B82" s="3"/>
      <c r="C82" s="3"/>
    </row>
    <row r="83" spans="1:18" ht="15.75" x14ac:dyDescent="0.25">
      <c r="A83" s="3" t="s">
        <v>53</v>
      </c>
      <c r="B83" s="3"/>
      <c r="C83" s="3"/>
      <c r="H83" s="7">
        <f>'Amortization Table'!E9</f>
        <v>161925.70044761559</v>
      </c>
      <c r="I83" s="7">
        <f>'Amortization Table'!E10</f>
        <v>159717.89441425484</v>
      </c>
      <c r="J83" s="7">
        <f>'Amortization Table'!E11</f>
        <v>157416.25662447626</v>
      </c>
      <c r="K83" s="7">
        <f>'Amortization Table'!E12</f>
        <v>155016.7992286321</v>
      </c>
      <c r="L83" s="7">
        <f>'Amortization Table'!E13</f>
        <v>152515.36489346455</v>
      </c>
      <c r="M83" s="7">
        <f>'Amortization Table'!E14</f>
        <v>149907.61959905238</v>
      </c>
      <c r="N83" s="7">
        <f>'Amortization Table'!E15</f>
        <v>147189.04512962772</v>
      </c>
      <c r="O83" s="7">
        <f>'Amortization Table'!E16</f>
        <v>144354.93124525249</v>
      </c>
      <c r="P83" s="7">
        <f>'Amortization Table'!E17</f>
        <v>141400.3675207913</v>
      </c>
      <c r="Q83" s="7">
        <f>'Amortization Table'!E18</f>
        <v>138320.23483804052</v>
      </c>
    </row>
    <row r="84" spans="1:18" ht="15.75" x14ac:dyDescent="0.25">
      <c r="A84" s="3" t="s">
        <v>54</v>
      </c>
      <c r="B84" s="3"/>
      <c r="C84" s="3"/>
    </row>
    <row r="85" spans="1:18" ht="15.75" x14ac:dyDescent="0.25">
      <c r="A85" s="3"/>
      <c r="B85" s="3"/>
      <c r="C85" s="3"/>
    </row>
    <row r="86" spans="1:18" ht="15.75" x14ac:dyDescent="0.25">
      <c r="A86" s="3" t="s">
        <v>55</v>
      </c>
      <c r="B86" s="3"/>
      <c r="C86" s="3"/>
      <c r="H86" s="7">
        <f>H81+H83+H84</f>
        <v>261301.7062095608</v>
      </c>
      <c r="I86" s="7">
        <f t="shared" ref="I86:Q86" si="45">I81+I83+I84</f>
        <v>271399.22818452289</v>
      </c>
      <c r="J86" s="7">
        <f t="shared" si="45"/>
        <v>282718.25455880957</v>
      </c>
      <c r="K86" s="7">
        <f t="shared" si="45"/>
        <v>295391.76846544683</v>
      </c>
      <c r="L86" s="7">
        <f t="shared" si="45"/>
        <v>309566.75785385998</v>
      </c>
      <c r="M86" s="7">
        <f t="shared" si="45"/>
        <v>325405.6742420157</v>
      </c>
      <c r="N86" s="7">
        <f t="shared" si="45"/>
        <v>343088.04296586139</v>
      </c>
      <c r="O86" s="7">
        <f t="shared" si="45"/>
        <v>362812.24066465371</v>
      </c>
      <c r="P86" s="7">
        <f t="shared" si="45"/>
        <v>384797.45737883332</v>
      </c>
      <c r="Q86" s="7">
        <f t="shared" si="45"/>
        <v>409285.86244613433</v>
      </c>
    </row>
    <row r="87" spans="1:18" ht="15.75" x14ac:dyDescent="0.25">
      <c r="A87" s="3"/>
      <c r="B87" s="3"/>
      <c r="C87" s="3"/>
    </row>
    <row r="88" spans="1:18" ht="15.75" x14ac:dyDescent="0.25">
      <c r="A88" s="3" t="s">
        <v>56</v>
      </c>
      <c r="B88" s="3"/>
      <c r="C88" s="3"/>
      <c r="H88" s="7">
        <f>H24*H75</f>
        <v>209217.81310524032</v>
      </c>
      <c r="I88" s="7">
        <f t="shared" ref="I88:Q88" si="46">I24*I75</f>
        <v>322814.88606305444</v>
      </c>
      <c r="J88" s="7">
        <f t="shared" si="46"/>
        <v>450254.92376535857</v>
      </c>
      <c r="K88" s="7">
        <f t="shared" si="46"/>
        <v>593008.81495954085</v>
      </c>
      <c r="L88" s="7">
        <f t="shared" si="46"/>
        <v>752699.70251681865</v>
      </c>
      <c r="M88" s="7">
        <f t="shared" si="46"/>
        <v>931118.62780864851</v>
      </c>
      <c r="N88" s="7">
        <f t="shared" si="46"/>
        <v>1130241.7792243992</v>
      </c>
      <c r="O88" s="7">
        <f t="shared" si="46"/>
        <v>1352249.509226694</v>
      </c>
      <c r="P88" s="7">
        <f>P24*P75</f>
        <v>1599547.3011873469</v>
      </c>
      <c r="Q88" s="7">
        <f t="shared" si="46"/>
        <v>1874788.8858198472</v>
      </c>
    </row>
    <row r="89" spans="1:18" ht="15.75" x14ac:dyDescent="0.25">
      <c r="A89" s="3" t="s">
        <v>57</v>
      </c>
      <c r="B89" s="3"/>
      <c r="C89" s="3"/>
      <c r="H89" s="7">
        <f>H58</f>
        <v>226873.19103599997</v>
      </c>
      <c r="I89" s="7">
        <f>H89+I58</f>
        <v>481835.50596260419</v>
      </c>
      <c r="J89" s="7">
        <f t="shared" ref="J89:Q89" si="47">I89+J58</f>
        <v>767876.56756036065</v>
      </c>
      <c r="K89" s="7">
        <f>J89+K58</f>
        <v>1088295.4664401484</v>
      </c>
      <c r="L89" s="7">
        <f t="shared" si="47"/>
        <v>1446732.548018717</v>
      </c>
      <c r="M89" s="7">
        <f t="shared" si="47"/>
        <v>1847204.4573114975</v>
      </c>
      <c r="N89" s="7">
        <f t="shared" si="47"/>
        <v>2294142.7752244035</v>
      </c>
      <c r="O89" s="7">
        <f t="shared" si="47"/>
        <v>2792436.6141976323</v>
      </c>
      <c r="P89" s="7">
        <f t="shared" si="47"/>
        <v>3347479.5787249771</v>
      </c>
      <c r="Q89" s="7">
        <f t="shared" si="47"/>
        <v>3965221.5378001761</v>
      </c>
    </row>
    <row r="90" spans="1:18" ht="15.75" x14ac:dyDescent="0.25">
      <c r="A90" s="3"/>
      <c r="B90" s="3"/>
      <c r="C90" s="3"/>
    </row>
    <row r="91" spans="1:18" ht="15.75" x14ac:dyDescent="0.25">
      <c r="A91" s="3" t="s">
        <v>58</v>
      </c>
      <c r="B91" s="3"/>
      <c r="C91" s="3"/>
      <c r="H91" s="7">
        <f>H86+H88+H89</f>
        <v>697392.710350801</v>
      </c>
      <c r="I91" s="7">
        <f t="shared" ref="I91:Q91" si="48">I86+I88+I89</f>
        <v>1076049.6202101815</v>
      </c>
      <c r="J91" s="7">
        <f t="shared" si="48"/>
        <v>1500849.7458845288</v>
      </c>
      <c r="K91" s="7">
        <f t="shared" si="48"/>
        <v>1976696.0498651362</v>
      </c>
      <c r="L91" s="7">
        <f t="shared" si="48"/>
        <v>2508999.0083893957</v>
      </c>
      <c r="M91" s="7">
        <f t="shared" si="48"/>
        <v>3103728.7593621616</v>
      </c>
      <c r="N91" s="7">
        <f t="shared" si="48"/>
        <v>3767472.597414664</v>
      </c>
      <c r="O91" s="7">
        <f t="shared" si="48"/>
        <v>4507498.3640889805</v>
      </c>
      <c r="P91" s="7">
        <f t="shared" si="48"/>
        <v>5331824.3372911569</v>
      </c>
      <c r="Q91" s="7">
        <f t="shared" si="48"/>
        <v>6249296.2860661577</v>
      </c>
    </row>
    <row r="92" spans="1:18" ht="15.75" x14ac:dyDescent="0.25">
      <c r="A92" s="3"/>
      <c r="B92" s="3"/>
      <c r="C92" s="3"/>
    </row>
    <row r="93" spans="1:18" ht="15.75" x14ac:dyDescent="0.25">
      <c r="A93" s="3" t="s">
        <v>59</v>
      </c>
      <c r="B93" s="3"/>
      <c r="C93" s="3"/>
      <c r="H93" s="7">
        <f>H91-H75</f>
        <v>0</v>
      </c>
      <c r="I93" s="7">
        <f t="shared" ref="I93:Q93" si="49">I91-I75</f>
        <v>0</v>
      </c>
      <c r="J93" s="7">
        <f t="shared" si="49"/>
        <v>0</v>
      </c>
      <c r="K93" s="7">
        <f t="shared" si="49"/>
        <v>0</v>
      </c>
      <c r="L93" s="7">
        <f t="shared" si="49"/>
        <v>0</v>
      </c>
      <c r="M93" s="7">
        <f t="shared" si="49"/>
        <v>0</v>
      </c>
      <c r="N93" s="7">
        <f t="shared" si="49"/>
        <v>0</v>
      </c>
      <c r="O93" s="7">
        <f t="shared" si="49"/>
        <v>0</v>
      </c>
      <c r="P93" s="7">
        <f t="shared" si="49"/>
        <v>0</v>
      </c>
      <c r="Q93" s="7">
        <f t="shared" si="49"/>
        <v>0</v>
      </c>
      <c r="R93" s="7"/>
    </row>
    <row r="96" spans="1:18" x14ac:dyDescent="0.25">
      <c r="H96" s="29">
        <f>H88+H89</f>
        <v>436091.00414124026</v>
      </c>
      <c r="I96" s="29">
        <f t="shared" ref="I96:Q96" si="50">I88+I89</f>
        <v>804650.39202565863</v>
      </c>
      <c r="J96" s="29">
        <f t="shared" si="50"/>
        <v>1218131.4913257193</v>
      </c>
      <c r="K96" s="29">
        <f t="shared" si="50"/>
        <v>1681304.2813996891</v>
      </c>
      <c r="L96" s="29">
        <f t="shared" si="50"/>
        <v>2199432.2505355356</v>
      </c>
      <c r="M96" s="29">
        <f t="shared" si="50"/>
        <v>2778323.0851201462</v>
      </c>
      <c r="N96" s="29">
        <f t="shared" si="50"/>
        <v>3424384.554448803</v>
      </c>
      <c r="O96" s="29">
        <f t="shared" si="50"/>
        <v>4144686.1234243261</v>
      </c>
      <c r="P96" s="29">
        <f t="shared" si="50"/>
        <v>4947026.8799123242</v>
      </c>
      <c r="Q96" s="29">
        <f t="shared" si="50"/>
        <v>5840010.4236200228</v>
      </c>
    </row>
    <row r="97" spans="1:19" ht="15.75" x14ac:dyDescent="0.25">
      <c r="A97" s="15" t="s">
        <v>122</v>
      </c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</row>
    <row r="98" spans="1:19" ht="15.75" x14ac:dyDescent="0.25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</row>
    <row r="99" spans="1:19" ht="15.75" x14ac:dyDescent="0.25">
      <c r="A99" s="15" t="s">
        <v>123</v>
      </c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</row>
    <row r="100" spans="1:19" ht="15.75" x14ac:dyDescent="0.25">
      <c r="A100" s="16"/>
      <c r="B100" s="16" t="s">
        <v>124</v>
      </c>
      <c r="C100" s="16"/>
      <c r="D100" s="16"/>
      <c r="E100" s="17"/>
      <c r="F100" s="17"/>
      <c r="G100" s="17"/>
      <c r="H100" s="17">
        <f>H38-H39-H43-H44-H45-H46</f>
        <v>338765.88</v>
      </c>
      <c r="I100" s="17">
        <f t="shared" ref="I100:Q100" si="51">I38-I39-I43-I44-I45-I46</f>
        <v>379070.67411200004</v>
      </c>
      <c r="J100" s="17">
        <f t="shared" si="51"/>
        <v>423669.73790106887</v>
      </c>
      <c r="K100" s="17">
        <f t="shared" si="51"/>
        <v>473007.78608143842</v>
      </c>
      <c r="L100" s="17">
        <f t="shared" si="51"/>
        <v>527575.22097576805</v>
      </c>
      <c r="M100" s="17">
        <f t="shared" si="51"/>
        <v>587912.81537975627</v>
      </c>
      <c r="N100" s="17">
        <f t="shared" si="51"/>
        <v>654616.8750855882</v>
      </c>
      <c r="O100" s="17">
        <f t="shared" si="51"/>
        <v>728344.93018528982</v>
      </c>
      <c r="P100" s="17">
        <f t="shared" si="51"/>
        <v>809822.00930518843</v>
      </c>
      <c r="Q100" s="17">
        <f t="shared" si="51"/>
        <v>899847.55646787211</v>
      </c>
    </row>
    <row r="101" spans="1:19" ht="15.75" x14ac:dyDescent="0.25">
      <c r="A101" s="16"/>
      <c r="B101" s="16" t="s">
        <v>125</v>
      </c>
      <c r="C101" s="16"/>
      <c r="D101" s="16"/>
      <c r="E101" s="17"/>
      <c r="F101" s="17"/>
      <c r="G101" s="17"/>
      <c r="H101" s="17">
        <f>H47+H48</f>
        <v>8059.4549999999999</v>
      </c>
      <c r="I101" s="17">
        <f t="shared" ref="I101:Q101" si="52">I47+I48</f>
        <v>8372.7431919999999</v>
      </c>
      <c r="J101" s="17">
        <f t="shared" si="52"/>
        <v>8718.1120948608004</v>
      </c>
      <c r="K101" s="17">
        <f t="shared" si="52"/>
        <v>9098.8467733745456</v>
      </c>
      <c r="L101" s="17">
        <f t="shared" si="52"/>
        <v>9518.5686829680999</v>
      </c>
      <c r="M101" s="17">
        <f t="shared" si="52"/>
        <v>9981.270116104035</v>
      </c>
      <c r="N101" s="17">
        <f t="shared" si="52"/>
        <v>10491.352175993088</v>
      </c>
      <c r="O101" s="17">
        <f t="shared" si="52"/>
        <v>11053.666638814782</v>
      </c>
      <c r="P101" s="17">
        <f t="shared" si="52"/>
        <v>11673.562102629414</v>
      </c>
      <c r="Q101" s="17">
        <f t="shared" si="52"/>
        <v>12356.934861938669</v>
      </c>
    </row>
    <row r="102" spans="1:19" ht="15.75" x14ac:dyDescent="0.25">
      <c r="A102" s="16"/>
      <c r="B102" s="16" t="s">
        <v>126</v>
      </c>
      <c r="C102" s="16"/>
      <c r="D102" s="16"/>
      <c r="E102" s="17"/>
      <c r="F102" s="17"/>
      <c r="G102" s="17"/>
      <c r="H102" s="17">
        <f>H100-H101</f>
        <v>330706.42499999999</v>
      </c>
      <c r="I102" s="17">
        <f t="shared" ref="I102:Q102" si="53">I100-I101</f>
        <v>370697.93092000001</v>
      </c>
      <c r="J102" s="17">
        <f t="shared" si="53"/>
        <v>414951.62580620806</v>
      </c>
      <c r="K102" s="17">
        <f t="shared" si="53"/>
        <v>463908.93930806388</v>
      </c>
      <c r="L102" s="17">
        <f t="shared" si="53"/>
        <v>518056.65229279996</v>
      </c>
      <c r="M102" s="17">
        <f t="shared" si="53"/>
        <v>577931.54526365222</v>
      </c>
      <c r="N102" s="17">
        <f t="shared" si="53"/>
        <v>644125.52290959517</v>
      </c>
      <c r="O102" s="17">
        <f t="shared" si="53"/>
        <v>717291.26354647509</v>
      </c>
      <c r="P102" s="17">
        <f t="shared" si="53"/>
        <v>798148.44720255898</v>
      </c>
      <c r="Q102" s="17">
        <f t="shared" si="53"/>
        <v>887490.62160593341</v>
      </c>
    </row>
    <row r="103" spans="1:19" ht="15.75" x14ac:dyDescent="0.25">
      <c r="A103" s="16"/>
      <c r="B103" s="16" t="s">
        <v>127</v>
      </c>
      <c r="C103" s="16"/>
      <c r="D103" s="16"/>
      <c r="E103" s="17"/>
      <c r="F103" s="17"/>
      <c r="G103" s="21"/>
      <c r="H103" s="21">
        <f>H102*H31</f>
        <v>98947.362359999999</v>
      </c>
      <c r="I103" s="21">
        <f t="shared" ref="I103:Q103" si="54">I102*I31</f>
        <v>110912.82093126401</v>
      </c>
      <c r="J103" s="21">
        <f t="shared" si="54"/>
        <v>124153.52644121746</v>
      </c>
      <c r="K103" s="21">
        <f t="shared" si="54"/>
        <v>138801.55464097272</v>
      </c>
      <c r="L103" s="21">
        <f t="shared" si="54"/>
        <v>155002.55036600577</v>
      </c>
      <c r="M103" s="21">
        <f t="shared" si="54"/>
        <v>172917.11834288476</v>
      </c>
      <c r="N103" s="21">
        <f t="shared" si="54"/>
        <v>192722.3564545509</v>
      </c>
      <c r="O103" s="21">
        <f t="shared" si="54"/>
        <v>214613.54605310535</v>
      </c>
      <c r="P103" s="21">
        <f t="shared" si="54"/>
        <v>238806.01540300567</v>
      </c>
      <c r="Q103" s="21">
        <f t="shared" si="54"/>
        <v>265537.1939844953</v>
      </c>
    </row>
    <row r="104" spans="1:19" ht="15.75" x14ac:dyDescent="0.25">
      <c r="A104" s="16"/>
      <c r="B104" s="16" t="s">
        <v>128</v>
      </c>
      <c r="C104" s="16"/>
      <c r="D104" s="16"/>
      <c r="E104" s="17"/>
      <c r="F104" s="17"/>
      <c r="G104" s="17"/>
      <c r="H104" s="17">
        <f>H100-H103</f>
        <v>239818.51764000001</v>
      </c>
      <c r="I104" s="17">
        <f t="shared" ref="I104:Q104" si="55">I100-I103</f>
        <v>268157.85318073601</v>
      </c>
      <c r="J104" s="17">
        <f t="shared" si="55"/>
        <v>299516.21145985142</v>
      </c>
      <c r="K104" s="17">
        <f t="shared" si="55"/>
        <v>334206.23144046566</v>
      </c>
      <c r="L104" s="17">
        <f t="shared" si="55"/>
        <v>372572.67060976231</v>
      </c>
      <c r="M104" s="17">
        <f t="shared" si="55"/>
        <v>414995.69703687151</v>
      </c>
      <c r="N104" s="17">
        <f t="shared" si="55"/>
        <v>461894.51863103732</v>
      </c>
      <c r="O104" s="17">
        <f t="shared" si="55"/>
        <v>513731.38413218444</v>
      </c>
      <c r="P104" s="17">
        <f t="shared" si="55"/>
        <v>571015.99390218279</v>
      </c>
      <c r="Q104" s="17">
        <f t="shared" si="55"/>
        <v>634310.36248337687</v>
      </c>
    </row>
    <row r="105" spans="1:19" ht="15.75" x14ac:dyDescent="0.25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</row>
    <row r="106" spans="1:19" ht="15.75" x14ac:dyDescent="0.25">
      <c r="A106" s="15" t="s">
        <v>129</v>
      </c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</row>
    <row r="107" spans="1:19" ht="15.75" x14ac:dyDescent="0.25">
      <c r="A107" s="16" t="s">
        <v>130</v>
      </c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</row>
    <row r="108" spans="1:19" ht="15.75" x14ac:dyDescent="0.25">
      <c r="A108" s="16"/>
      <c r="B108" s="16" t="s">
        <v>40</v>
      </c>
      <c r="C108" s="16"/>
      <c r="D108" s="18"/>
      <c r="E108" s="18"/>
      <c r="F108" s="18"/>
      <c r="G108" s="18">
        <f>-(H63-G63)</f>
        <v>-48951.28</v>
      </c>
      <c r="H108" s="22">
        <f t="shared" ref="H108:Q109" si="56">-(I63-H63)</f>
        <v>-5012.611072000007</v>
      </c>
      <c r="I108" s="18">
        <f t="shared" ref="I108:Q108" si="57">-(J63-I63)</f>
        <v>-5525.902445772801</v>
      </c>
      <c r="J108" s="18">
        <f t="shared" si="57"/>
        <v>-6091.7548562199518</v>
      </c>
      <c r="K108" s="18">
        <f t="shared" si="57"/>
        <v>-6715.5505534968543</v>
      </c>
      <c r="L108" s="18">
        <f t="shared" si="57"/>
        <v>-7403.2229301749467</v>
      </c>
      <c r="M108" s="18">
        <f t="shared" si="57"/>
        <v>-8161.3129582248512</v>
      </c>
      <c r="N108" s="18">
        <f t="shared" si="57"/>
        <v>-8997.0314051470923</v>
      </c>
      <c r="O108" s="18">
        <f t="shared" si="57"/>
        <v>-9918.3274210341478</v>
      </c>
      <c r="P108" s="18">
        <f t="shared" si="57"/>
        <v>-10933.964148948042</v>
      </c>
      <c r="Q108" s="18">
        <f t="shared" si="57"/>
        <v>117710.95779101869</v>
      </c>
      <c r="R108" s="18">
        <f>SUM(G108:Q108)</f>
        <v>0</v>
      </c>
      <c r="S108" s="16"/>
    </row>
    <row r="109" spans="1:19" ht="15.75" x14ac:dyDescent="0.25">
      <c r="A109" s="16"/>
      <c r="B109" s="16" t="s">
        <v>41</v>
      </c>
      <c r="C109" s="16"/>
      <c r="D109" s="18"/>
      <c r="E109" s="18"/>
      <c r="F109" s="18"/>
      <c r="G109" s="22">
        <f>-(H64-G64)</f>
        <v>-363437.6074055956</v>
      </c>
      <c r="H109" s="22">
        <f t="shared" si="56"/>
        <v>-375710.18588679936</v>
      </c>
      <c r="I109" s="22">
        <f t="shared" si="56"/>
        <v>-421164.7741486571</v>
      </c>
      <c r="J109" s="22">
        <f t="shared" si="56"/>
        <v>-471456.78586049238</v>
      </c>
      <c r="K109" s="22">
        <f t="shared" si="56"/>
        <v>-527086.99963743915</v>
      </c>
      <c r="L109" s="22">
        <f t="shared" si="56"/>
        <v>-588607.60839436064</v>
      </c>
      <c r="M109" s="22">
        <f t="shared" si="56"/>
        <v>-656627.48303425638</v>
      </c>
      <c r="N109" s="22">
        <f t="shared" si="56"/>
        <v>-731817.97431312781</v>
      </c>
      <c r="O109" s="22">
        <f t="shared" si="56"/>
        <v>-814919.3078520922</v>
      </c>
      <c r="P109" s="22">
        <f t="shared" si="56"/>
        <v>-906747.63287640549</v>
      </c>
      <c r="Q109" s="22">
        <f t="shared" si="56"/>
        <v>5857576.3594092261</v>
      </c>
      <c r="R109" s="18">
        <f t="shared" ref="R109:R113" si="58">SUM(G109:Q109)</f>
        <v>0</v>
      </c>
      <c r="S109" s="16"/>
    </row>
    <row r="110" spans="1:19" ht="15.75" x14ac:dyDescent="0.25">
      <c r="A110" s="16"/>
      <c r="B110" s="16" t="s">
        <v>42</v>
      </c>
      <c r="C110" s="16"/>
      <c r="D110" s="18"/>
      <c r="E110" s="18"/>
      <c r="F110" s="18"/>
      <c r="G110" s="18">
        <f>-(H65-G65)</f>
        <v>-6705.6547945205475</v>
      </c>
      <c r="H110" s="18">
        <f t="shared" ref="H110:Q110" si="59">-(I65-H65)</f>
        <v>-908.42846632328838</v>
      </c>
      <c r="I110" s="18">
        <f t="shared" si="59"/>
        <v>-1031.4950875130362</v>
      </c>
      <c r="J110" s="18">
        <f t="shared" si="59"/>
        <v>-1171.233790008604</v>
      </c>
      <c r="K110" s="18">
        <f t="shared" si="59"/>
        <v>-1329.9031740086502</v>
      </c>
      <c r="L110" s="18">
        <f t="shared" si="59"/>
        <v>-1510.0678167979477</v>
      </c>
      <c r="M110" s="18">
        <f t="shared" si="59"/>
        <v>-1714.6397240751994</v>
      </c>
      <c r="N110" s="18">
        <f t="shared" si="59"/>
        <v>-1946.9253967751192</v>
      </c>
      <c r="O110" s="18">
        <f t="shared" si="59"/>
        <v>-2210.6792741270347</v>
      </c>
      <c r="P110" s="18">
        <f t="shared" si="59"/>
        <v>-2510.1644167515733</v>
      </c>
      <c r="Q110" s="18">
        <f t="shared" si="59"/>
        <v>21039.191940901001</v>
      </c>
      <c r="R110" s="18">
        <f t="shared" si="58"/>
        <v>0</v>
      </c>
      <c r="S110" s="16"/>
    </row>
    <row r="111" spans="1:19" ht="15.75" x14ac:dyDescent="0.25">
      <c r="A111" s="16"/>
      <c r="B111" s="16" t="s">
        <v>43</v>
      </c>
      <c r="C111" s="16"/>
      <c r="D111" s="18"/>
      <c r="E111" s="18"/>
      <c r="F111" s="18"/>
      <c r="G111" s="18">
        <f t="shared" ref="G111:Q111" si="60">-(H66-G66)</f>
        <v>-60350.893150684933</v>
      </c>
      <c r="H111" s="18">
        <f t="shared" si="60"/>
        <v>-3518.6984742575296</v>
      </c>
      <c r="I111" s="18">
        <f t="shared" si="60"/>
        <v>-3723.8526701006485</v>
      </c>
      <c r="J111" s="18">
        <f t="shared" si="60"/>
        <v>-3940.9681761781976</v>
      </c>
      <c r="K111" s="18">
        <f t="shared" si="60"/>
        <v>-4170.742384722078</v>
      </c>
      <c r="L111" s="18">
        <f t="shared" si="60"/>
        <v>-4413.9133487209328</v>
      </c>
      <c r="M111" s="18">
        <f t="shared" si="60"/>
        <v>-4671.2621526047587</v>
      </c>
      <c r="N111" s="18">
        <f t="shared" si="60"/>
        <v>-4943.6154211502144</v>
      </c>
      <c r="O111" s="18">
        <f t="shared" si="60"/>
        <v>-5231.8479746649682</v>
      </c>
      <c r="P111" s="18">
        <f t="shared" si="60"/>
        <v>-5536.8856389798311</v>
      </c>
      <c r="Q111" s="18">
        <f t="shared" si="60"/>
        <v>100502.67939206409</v>
      </c>
      <c r="R111" s="18">
        <f t="shared" si="58"/>
        <v>0</v>
      </c>
      <c r="S111" s="16"/>
    </row>
    <row r="112" spans="1:19" ht="15.75" x14ac:dyDescent="0.25">
      <c r="A112" s="16"/>
      <c r="B112" s="16" t="s">
        <v>50</v>
      </c>
      <c r="C112" s="16"/>
      <c r="D112" s="18"/>
      <c r="E112" s="18"/>
      <c r="F112" s="18"/>
      <c r="G112" s="18">
        <f>H79-G79</f>
        <v>2514.6205479452055</v>
      </c>
      <c r="H112" s="18">
        <f t="shared" ref="H112:Q112" si="61">I79-H79</f>
        <v>312.93949795068465</v>
      </c>
      <c r="I112" s="18">
        <f t="shared" si="61"/>
        <v>351.88419259165221</v>
      </c>
      <c r="J112" s="18">
        <f t="shared" si="61"/>
        <v>395.67547659129878</v>
      </c>
      <c r="K112" s="18">
        <f t="shared" si="61"/>
        <v>444.916498302131</v>
      </c>
      <c r="L112" s="18">
        <f t="shared" si="61"/>
        <v>500.28546668283616</v>
      </c>
      <c r="M112" s="18">
        <f t="shared" si="61"/>
        <v>562.54499244058115</v>
      </c>
      <c r="N112" s="18">
        <f t="shared" si="61"/>
        <v>632.55259165982716</v>
      </c>
      <c r="O112" s="18">
        <f t="shared" si="61"/>
        <v>711.27249658670826</v>
      </c>
      <c r="P112" s="18">
        <f t="shared" si="61"/>
        <v>799.78893624193188</v>
      </c>
      <c r="Q112" s="18">
        <f t="shared" si="61"/>
        <v>-7226.4806969928568</v>
      </c>
      <c r="R112" s="18">
        <f t="shared" si="58"/>
        <v>0</v>
      </c>
      <c r="S112" s="16"/>
    </row>
    <row r="113" spans="1:51" ht="15.75" x14ac:dyDescent="0.25">
      <c r="A113" s="16"/>
      <c r="B113" s="16" t="s">
        <v>51</v>
      </c>
      <c r="C113" s="16"/>
      <c r="D113" s="18"/>
      <c r="E113" s="18"/>
      <c r="F113" s="18"/>
      <c r="G113" s="18">
        <f>H103-G103</f>
        <v>98947.362359999999</v>
      </c>
      <c r="H113" s="18">
        <f t="shared" ref="H113:Q113" si="62">I103-H103</f>
        <v>11965.458571264011</v>
      </c>
      <c r="I113" s="18">
        <f t="shared" si="62"/>
        <v>13240.705509953448</v>
      </c>
      <c r="J113" s="18">
        <f t="shared" si="62"/>
        <v>14648.028199755267</v>
      </c>
      <c r="K113" s="18">
        <f t="shared" si="62"/>
        <v>16200.995725033048</v>
      </c>
      <c r="L113" s="18">
        <f t="shared" si="62"/>
        <v>17914.567976878985</v>
      </c>
      <c r="M113" s="18">
        <f t="shared" si="62"/>
        <v>19805.238111666142</v>
      </c>
      <c r="N113" s="18">
        <f t="shared" si="62"/>
        <v>21891.189598554454</v>
      </c>
      <c r="O113" s="18">
        <f t="shared" si="62"/>
        <v>24192.469349900319</v>
      </c>
      <c r="P113" s="18">
        <f t="shared" si="62"/>
        <v>26731.178581489628</v>
      </c>
      <c r="Q113" s="18">
        <f t="shared" si="62"/>
        <v>-265537.1939844953</v>
      </c>
      <c r="R113" s="18">
        <f t="shared" si="58"/>
        <v>0</v>
      </c>
      <c r="S113" s="16"/>
    </row>
    <row r="114" spans="1:51" ht="15.75" x14ac:dyDescent="0.25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R114" s="16"/>
      <c r="S114" s="16"/>
    </row>
    <row r="115" spans="1:51" ht="15.75" x14ac:dyDescent="0.25">
      <c r="A115" s="16" t="s">
        <v>131</v>
      </c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R115" s="16"/>
      <c r="S115" s="16"/>
    </row>
    <row r="116" spans="1:51" ht="15.75" x14ac:dyDescent="0.25">
      <c r="A116" s="16"/>
      <c r="B116" s="16" t="s">
        <v>45</v>
      </c>
      <c r="C116" s="16"/>
      <c r="D116" s="18"/>
      <c r="E116" s="18"/>
      <c r="F116" s="18"/>
      <c r="G116" s="18">
        <f>-(H69-G69)</f>
        <v>-7650</v>
      </c>
      <c r="H116" s="18">
        <f>-(H69-G69)</f>
        <v>-7650</v>
      </c>
      <c r="I116" s="18">
        <f t="shared" ref="I116:P116" si="63">-(J69-I69)</f>
        <v>0</v>
      </c>
      <c r="J116" s="18">
        <f t="shared" si="63"/>
        <v>0</v>
      </c>
      <c r="K116" s="18">
        <f t="shared" si="63"/>
        <v>0</v>
      </c>
      <c r="L116" s="18">
        <f t="shared" si="63"/>
        <v>0</v>
      </c>
      <c r="M116" s="18">
        <f t="shared" si="63"/>
        <v>0</v>
      </c>
      <c r="N116" s="18">
        <f t="shared" si="63"/>
        <v>0</v>
      </c>
      <c r="O116" s="18">
        <f t="shared" si="63"/>
        <v>0</v>
      </c>
      <c r="P116" s="18">
        <f t="shared" si="63"/>
        <v>0</v>
      </c>
      <c r="Q116" s="23">
        <f>-(R69-Q69)</f>
        <v>7650</v>
      </c>
      <c r="R116" s="16" t="s">
        <v>165</v>
      </c>
      <c r="S116" s="36">
        <f>S117*(1+0.35)</f>
        <v>10327.5</v>
      </c>
    </row>
    <row r="117" spans="1:51" ht="15.75" x14ac:dyDescent="0.25">
      <c r="A117" s="16"/>
      <c r="B117" s="16" t="s">
        <v>132</v>
      </c>
      <c r="C117" s="16"/>
      <c r="D117" s="16"/>
      <c r="E117" s="16"/>
      <c r="F117" s="16"/>
      <c r="H117" s="16"/>
      <c r="I117" s="16"/>
      <c r="J117" s="16"/>
      <c r="K117" s="16"/>
      <c r="L117" s="16"/>
      <c r="M117" s="16"/>
      <c r="N117" s="18"/>
      <c r="O117" s="16"/>
      <c r="Q117" s="35">
        <f>S118</f>
        <v>2677.5</v>
      </c>
      <c r="R117" s="16" t="s">
        <v>133</v>
      </c>
      <c r="S117" s="36">
        <f>Q69</f>
        <v>7650</v>
      </c>
    </row>
    <row r="118" spans="1:51" ht="15.75" x14ac:dyDescent="0.25">
      <c r="A118" s="16"/>
      <c r="B118" s="16" t="s">
        <v>134</v>
      </c>
      <c r="C118" s="16"/>
      <c r="D118" s="16"/>
      <c r="E118" s="16"/>
      <c r="F118" s="16"/>
      <c r="H118" s="16"/>
      <c r="I118" s="16"/>
      <c r="J118" s="16"/>
      <c r="K118" s="16"/>
      <c r="L118" s="16"/>
      <c r="M118" s="16"/>
      <c r="N118" s="18"/>
      <c r="O118" s="16"/>
      <c r="Q118" s="35">
        <f>-S118*Q31</f>
        <v>-801.10800000000006</v>
      </c>
      <c r="R118" s="16" t="s">
        <v>135</v>
      </c>
      <c r="S118" s="36">
        <f>S116-S117</f>
        <v>2677.5</v>
      </c>
    </row>
    <row r="119" spans="1:51" ht="15.75" x14ac:dyDescent="0.25">
      <c r="A119" s="16"/>
      <c r="B119" s="16"/>
      <c r="C119" s="16"/>
      <c r="D119" s="16"/>
      <c r="E119" s="16"/>
      <c r="F119" s="16"/>
      <c r="H119" s="16"/>
      <c r="I119" s="16"/>
      <c r="J119" s="16"/>
      <c r="K119" s="16"/>
      <c r="L119" s="16"/>
      <c r="M119" s="16"/>
      <c r="N119" s="16"/>
      <c r="O119" s="16"/>
      <c r="Q119" s="35"/>
      <c r="R119" s="16"/>
      <c r="S119" s="16"/>
    </row>
    <row r="120" spans="1:51" ht="15.75" x14ac:dyDescent="0.25">
      <c r="A120" s="16"/>
      <c r="B120" s="16" t="s">
        <v>46</v>
      </c>
      <c r="C120" s="16"/>
      <c r="D120" s="18"/>
      <c r="E120" s="18"/>
      <c r="F120" s="18"/>
      <c r="G120" s="18">
        <f>-(H70-G70)</f>
        <v>-200000</v>
      </c>
      <c r="H120" s="18">
        <f>-(H70-G70)</f>
        <v>-200000</v>
      </c>
      <c r="I120" s="18">
        <f t="shared" ref="I120:Q120" si="64">-(J70-I70)</f>
        <v>0</v>
      </c>
      <c r="J120" s="18">
        <f t="shared" si="64"/>
        <v>0</v>
      </c>
      <c r="K120" s="18">
        <f t="shared" si="64"/>
        <v>0</v>
      </c>
      <c r="L120" s="18">
        <f t="shared" si="64"/>
        <v>0</v>
      </c>
      <c r="M120" s="18">
        <f t="shared" si="64"/>
        <v>0</v>
      </c>
      <c r="N120" s="18">
        <f t="shared" si="64"/>
        <v>0</v>
      </c>
      <c r="O120" s="18">
        <f t="shared" si="64"/>
        <v>0</v>
      </c>
      <c r="P120" s="18">
        <f t="shared" si="64"/>
        <v>0</v>
      </c>
      <c r="Q120" s="24">
        <f t="shared" si="64"/>
        <v>200000</v>
      </c>
      <c r="R120" s="16"/>
      <c r="S120" s="36">
        <f>Q120+Q121</f>
        <v>270000</v>
      </c>
    </row>
    <row r="121" spans="1:51" ht="15.75" x14ac:dyDescent="0.25">
      <c r="A121" s="16"/>
      <c r="B121" s="16" t="s">
        <v>132</v>
      </c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7"/>
      <c r="O121" s="16"/>
      <c r="Q121" s="35">
        <f>Q120*0.35</f>
        <v>70000</v>
      </c>
      <c r="R121" s="16" t="s">
        <v>133</v>
      </c>
      <c r="S121" s="36">
        <f>Q70-Q71</f>
        <v>150000</v>
      </c>
      <c r="T121" t="s">
        <v>166</v>
      </c>
    </row>
    <row r="122" spans="1:51" ht="15.75" x14ac:dyDescent="0.25">
      <c r="A122" s="16"/>
      <c r="B122" s="16" t="s">
        <v>134</v>
      </c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8"/>
      <c r="O122" s="16"/>
      <c r="Q122" s="35">
        <f>-S122*Q31</f>
        <v>-35904</v>
      </c>
      <c r="R122" s="16" t="s">
        <v>135</v>
      </c>
      <c r="S122" s="37">
        <f>S120-S121</f>
        <v>120000</v>
      </c>
    </row>
    <row r="123" spans="1:51" ht="15.75" x14ac:dyDescent="0.25">
      <c r="A123" s="16"/>
      <c r="B123" s="16"/>
      <c r="C123" s="16"/>
      <c r="D123" s="16"/>
      <c r="E123" s="16"/>
      <c r="F123" s="16"/>
      <c r="G123" s="16">
        <v>-15757.07</v>
      </c>
      <c r="H123" s="32" t="s">
        <v>164</v>
      </c>
      <c r="I123" s="32"/>
      <c r="J123" s="32"/>
      <c r="K123" s="32"/>
      <c r="L123" s="32"/>
      <c r="M123" s="32"/>
      <c r="N123" s="33"/>
      <c r="O123" s="32"/>
      <c r="P123" s="32"/>
      <c r="Q123" s="34"/>
      <c r="R123" s="14"/>
      <c r="S123" s="14"/>
      <c r="T123" s="14"/>
      <c r="U123" s="14"/>
      <c r="V123" s="14"/>
      <c r="W123" s="14"/>
      <c r="X123" s="14"/>
    </row>
    <row r="124" spans="1:51" ht="15.75" x14ac:dyDescent="0.25">
      <c r="A124" s="16" t="s">
        <v>136</v>
      </c>
      <c r="B124" s="16"/>
      <c r="C124" s="16"/>
      <c r="D124" s="18"/>
      <c r="E124" s="18"/>
      <c r="F124" s="18"/>
      <c r="G124" s="18"/>
      <c r="H124" s="30"/>
      <c r="I124" s="18"/>
      <c r="J124" s="18"/>
      <c r="K124" s="18"/>
      <c r="L124" s="18"/>
      <c r="M124" s="18"/>
      <c r="N124" s="18"/>
      <c r="O124" s="16"/>
      <c r="P124" s="16"/>
      <c r="Q124" s="16"/>
    </row>
    <row r="125" spans="1:51" ht="15.75" x14ac:dyDescent="0.25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</row>
    <row r="126" spans="1:51" ht="15.75" x14ac:dyDescent="0.25">
      <c r="A126" s="15" t="s">
        <v>137</v>
      </c>
      <c r="B126" s="16"/>
      <c r="C126" s="16"/>
      <c r="D126" s="17"/>
      <c r="E126" s="17"/>
      <c r="F126" s="17"/>
      <c r="G126" s="17">
        <f>SUM(G104:G125)</f>
        <v>-601390.52244285587</v>
      </c>
      <c r="H126" s="17">
        <f t="shared" ref="H126:Q126" si="65">SUM(H104:H125)</f>
        <v>-340703.00819016545</v>
      </c>
      <c r="I126" s="17">
        <f t="shared" si="65"/>
        <v>-149695.58146876248</v>
      </c>
      <c r="J126" s="17">
        <f t="shared" si="65"/>
        <v>-168100.82754670113</v>
      </c>
      <c r="K126" s="17">
        <f t="shared" si="65"/>
        <v>-188451.0520858659</v>
      </c>
      <c r="L126" s="17">
        <f t="shared" si="65"/>
        <v>-210947.28843673033</v>
      </c>
      <c r="M126" s="17">
        <f t="shared" si="65"/>
        <v>-235811.21772818296</v>
      </c>
      <c r="N126" s="17">
        <f t="shared" si="65"/>
        <v>-263287.28571494867</v>
      </c>
      <c r="O126" s="17">
        <f t="shared" si="65"/>
        <v>-293645.03654324694</v>
      </c>
      <c r="P126" s="17">
        <f t="shared" si="65"/>
        <v>-327181.68566117063</v>
      </c>
      <c r="Q126" s="17">
        <f t="shared" si="65"/>
        <v>6701998.2683350984</v>
      </c>
      <c r="S126" s="14" t="s">
        <v>167</v>
      </c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14"/>
      <c r="AX126" s="14"/>
      <c r="AY126" s="14"/>
    </row>
    <row r="127" spans="1:51" ht="15.75" x14ac:dyDescent="0.25">
      <c r="A127" s="15" t="s">
        <v>138</v>
      </c>
      <c r="B127" s="16"/>
      <c r="C127" s="16"/>
      <c r="D127" s="19">
        <f>E151</f>
        <v>0.14369092046845186</v>
      </c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</row>
    <row r="128" spans="1:51" ht="15.75" x14ac:dyDescent="0.25">
      <c r="A128" s="15" t="s">
        <v>139</v>
      </c>
      <c r="B128" s="16"/>
      <c r="C128" s="16"/>
      <c r="D128" s="20">
        <f>IRR(G126:Q126)</f>
        <v>0.14369092069360012</v>
      </c>
      <c r="E128" s="16"/>
      <c r="F128" s="16"/>
      <c r="G128" s="16"/>
      <c r="H128" s="32" t="s">
        <v>163</v>
      </c>
      <c r="I128" s="32"/>
      <c r="J128" s="32"/>
      <c r="K128" s="32"/>
      <c r="L128" s="32"/>
      <c r="M128" s="32"/>
      <c r="N128" s="32"/>
      <c r="O128" s="32"/>
      <c r="P128" s="32"/>
      <c r="Q128" s="32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</row>
    <row r="129" spans="1:17" ht="15.75" x14ac:dyDescent="0.25">
      <c r="A129" s="15" t="s">
        <v>140</v>
      </c>
      <c r="B129" s="16"/>
      <c r="C129" s="16"/>
      <c r="D129" s="30">
        <f>NPV(D127,H126:Q126)+G126</f>
        <v>2.4854566436260939E-3</v>
      </c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</row>
    <row r="131" spans="1:17" ht="15.75" x14ac:dyDescent="0.25">
      <c r="A131" s="15" t="s">
        <v>141</v>
      </c>
      <c r="B131" s="16"/>
      <c r="C131" s="16"/>
      <c r="D131" s="16"/>
      <c r="E131" s="16"/>
      <c r="F131" s="16"/>
    </row>
    <row r="132" spans="1:17" ht="15.75" x14ac:dyDescent="0.25">
      <c r="A132" s="16" t="s">
        <v>142</v>
      </c>
      <c r="B132" s="25">
        <f>H51/(H53+H54)</f>
        <v>47.434538077149192</v>
      </c>
      <c r="C132" s="16" t="s">
        <v>143</v>
      </c>
      <c r="D132" s="16"/>
      <c r="E132" s="16"/>
      <c r="F132" s="16"/>
    </row>
    <row r="133" spans="1:17" ht="15.75" x14ac:dyDescent="0.25">
      <c r="A133" s="16" t="s">
        <v>144</v>
      </c>
      <c r="B133" s="26" t="s">
        <v>162</v>
      </c>
      <c r="C133" s="16"/>
      <c r="D133" s="16"/>
      <c r="E133" s="16"/>
      <c r="F133" s="16"/>
    </row>
    <row r="134" spans="1:17" ht="15.75" x14ac:dyDescent="0.25">
      <c r="A134" s="16" t="s">
        <v>145</v>
      </c>
      <c r="B134" s="19">
        <v>5.4000000000000003E-3</v>
      </c>
      <c r="C134" s="16"/>
      <c r="D134" s="16"/>
      <c r="E134" s="16"/>
      <c r="F134" s="16"/>
    </row>
    <row r="135" spans="1:17" ht="15.75" x14ac:dyDescent="0.25">
      <c r="A135" s="16" t="s">
        <v>146</v>
      </c>
      <c r="B135" s="19">
        <v>0.03</v>
      </c>
      <c r="C135" s="16"/>
      <c r="D135" s="16"/>
      <c r="E135" s="16"/>
      <c r="F135" s="16"/>
    </row>
    <row r="136" spans="1:17" ht="15.75" x14ac:dyDescent="0.25">
      <c r="A136" s="16" t="s">
        <v>147</v>
      </c>
      <c r="B136" s="19">
        <f>'Amortization Table'!D3</f>
        <v>4.2500000000000003E-2</v>
      </c>
      <c r="C136" s="16" t="s">
        <v>148</v>
      </c>
      <c r="D136" s="16"/>
      <c r="E136" s="16"/>
      <c r="F136" s="16"/>
    </row>
    <row r="137" spans="1:17" ht="15.75" x14ac:dyDescent="0.25">
      <c r="A137" s="16" t="s">
        <v>54</v>
      </c>
      <c r="B137" s="31">
        <f>B136+3%</f>
        <v>7.2500000000000009E-2</v>
      </c>
      <c r="C137" s="16" t="s">
        <v>149</v>
      </c>
      <c r="D137" s="16"/>
      <c r="E137" s="16"/>
      <c r="F137" s="16"/>
    </row>
    <row r="138" spans="1:17" ht="15.75" x14ac:dyDescent="0.25">
      <c r="A138" s="16"/>
      <c r="B138" s="16"/>
      <c r="C138" s="16"/>
      <c r="D138" s="16"/>
      <c r="E138" s="16"/>
      <c r="F138" s="16"/>
    </row>
    <row r="139" spans="1:17" ht="15.75" x14ac:dyDescent="0.25">
      <c r="A139" s="15" t="s">
        <v>150</v>
      </c>
      <c r="B139" s="16"/>
      <c r="C139" s="16"/>
      <c r="D139" s="16"/>
      <c r="E139" s="16"/>
      <c r="F139" s="16"/>
    </row>
    <row r="140" spans="1:17" ht="15.75" x14ac:dyDescent="0.25">
      <c r="A140" s="16" t="s">
        <v>151</v>
      </c>
      <c r="B140" s="19">
        <f>AVERAGE(H31:Q31)</f>
        <v>0.29919999999999997</v>
      </c>
      <c r="C140" s="16"/>
      <c r="D140" s="16"/>
      <c r="E140" s="16"/>
      <c r="F140" s="16"/>
    </row>
    <row r="141" spans="1:17" ht="15.75" x14ac:dyDescent="0.25">
      <c r="A141" s="16" t="s">
        <v>152</v>
      </c>
      <c r="B141" s="16">
        <v>2.1</v>
      </c>
      <c r="C141" s="16"/>
      <c r="D141" s="16"/>
      <c r="E141" s="16"/>
      <c r="F141" s="16"/>
      <c r="I141" t="s">
        <v>160</v>
      </c>
      <c r="J141" s="9">
        <f>B148/B149</f>
        <v>5.4879594965730506E-2</v>
      </c>
    </row>
    <row r="142" spans="1:17" ht="15.75" x14ac:dyDescent="0.25">
      <c r="A142" s="16" t="s">
        <v>153</v>
      </c>
      <c r="B142" s="25">
        <f>B141*(1+J141*J142)</f>
        <v>2.1807652023191664</v>
      </c>
      <c r="C142" s="16"/>
      <c r="D142" s="16"/>
      <c r="E142" s="16"/>
      <c r="F142" s="16"/>
      <c r="I142" t="s">
        <v>161</v>
      </c>
      <c r="J142" s="6">
        <f>1-B140</f>
        <v>0.70080000000000009</v>
      </c>
    </row>
    <row r="143" spans="1:17" ht="15.75" x14ac:dyDescent="0.25">
      <c r="A143" s="16" t="s">
        <v>154</v>
      </c>
      <c r="B143" s="19">
        <v>8.5000000000000006E-2</v>
      </c>
      <c r="C143" s="16"/>
      <c r="D143" s="16"/>
      <c r="E143" s="16"/>
      <c r="F143" s="16"/>
    </row>
    <row r="144" spans="1:17" ht="15.75" x14ac:dyDescent="0.25">
      <c r="A144" s="16" t="s">
        <v>146</v>
      </c>
      <c r="B144" s="19">
        <v>0.03</v>
      </c>
      <c r="C144" s="16"/>
      <c r="D144" s="16"/>
      <c r="E144" s="16"/>
      <c r="F144" s="16"/>
    </row>
    <row r="145" spans="1:6" ht="15.75" x14ac:dyDescent="0.25">
      <c r="A145" s="16" t="s">
        <v>155</v>
      </c>
      <c r="B145" s="27">
        <f>B144+B142*(B143-B144)</f>
        <v>0.14994208612755416</v>
      </c>
      <c r="C145" s="16"/>
      <c r="D145" s="16"/>
      <c r="E145" s="16"/>
      <c r="F145" s="16"/>
    </row>
    <row r="146" spans="1:6" ht="15.75" x14ac:dyDescent="0.25">
      <c r="A146" s="16"/>
      <c r="B146" s="16"/>
      <c r="C146" s="16"/>
      <c r="D146" s="16"/>
      <c r="E146" s="16"/>
      <c r="F146" s="16"/>
    </row>
    <row r="147" spans="1:6" ht="15.75" x14ac:dyDescent="0.25">
      <c r="A147" s="16" t="s">
        <v>156</v>
      </c>
      <c r="B147" s="16" t="s">
        <v>157</v>
      </c>
      <c r="C147" s="16" t="s">
        <v>116</v>
      </c>
      <c r="D147" s="16" t="s">
        <v>158</v>
      </c>
      <c r="E147" s="16" t="s">
        <v>159</v>
      </c>
      <c r="F147" s="16"/>
    </row>
    <row r="148" spans="1:6" ht="15.75" x14ac:dyDescent="0.25">
      <c r="A148" s="18">
        <f>AVERAGE(H83:Q83)</f>
        <v>150776.42139412079</v>
      </c>
      <c r="B148" s="27">
        <f>A148/(A148+A149)</f>
        <v>5.2024510880327869E-2</v>
      </c>
      <c r="C148" s="19">
        <f>'Amortization Table'!D3</f>
        <v>4.2500000000000003E-2</v>
      </c>
      <c r="D148" s="27">
        <f>C148*(1-B140)</f>
        <v>2.9784000000000005E-2</v>
      </c>
      <c r="E148" s="27">
        <f>B148*D148</f>
        <v>1.5494980320596855E-3</v>
      </c>
      <c r="F148" s="16"/>
    </row>
    <row r="149" spans="1:6" ht="15.75" x14ac:dyDescent="0.25">
      <c r="A149" s="18">
        <f>AVERAGE(H96:Q96)</f>
        <v>2747404.0485953465</v>
      </c>
      <c r="B149" s="27">
        <f>A149/(A148+A149)</f>
        <v>0.94797548911967211</v>
      </c>
      <c r="C149" s="19">
        <f>B145</f>
        <v>0.14994208612755416</v>
      </c>
      <c r="D149" s="27">
        <f>C149</f>
        <v>0.14994208612755416</v>
      </c>
      <c r="E149" s="27">
        <f>B149*D149</f>
        <v>0.14214142243639216</v>
      </c>
      <c r="F149" s="16"/>
    </row>
    <row r="150" spans="1:6" ht="15.75" x14ac:dyDescent="0.25">
      <c r="A150" s="16"/>
      <c r="B150" s="27"/>
      <c r="C150" s="16"/>
      <c r="D150" s="27"/>
      <c r="E150" s="27"/>
      <c r="F150" s="16"/>
    </row>
    <row r="151" spans="1:6" ht="15.75" x14ac:dyDescent="0.25">
      <c r="A151" s="18">
        <f>SUM(A148:A149)</f>
        <v>2898180.4699894674</v>
      </c>
      <c r="B151" s="27">
        <f>SUM(B148:B150)</f>
        <v>1</v>
      </c>
      <c r="C151" s="16"/>
      <c r="D151" s="16"/>
      <c r="E151" s="28">
        <f>SUM(E148:E149)</f>
        <v>0.14369092046845186</v>
      </c>
      <c r="F151" s="15" t="s">
        <v>138</v>
      </c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71E75-8615-4E3A-A29D-D78FDE102CE2}">
  <sheetPr>
    <pageSetUpPr fitToPage="1"/>
  </sheetPr>
  <dimension ref="A1:Q34"/>
  <sheetViews>
    <sheetView zoomScale="90" zoomScaleNormal="90" workbookViewId="0">
      <selection activeCell="C19" sqref="C19"/>
    </sheetView>
  </sheetViews>
  <sheetFormatPr defaultColWidth="9.140625" defaultRowHeight="15.75" x14ac:dyDescent="0.25"/>
  <cols>
    <col min="1" max="1" width="19" style="39" customWidth="1"/>
    <col min="2" max="2" width="27.85546875" style="39" customWidth="1"/>
    <col min="3" max="3" width="14.42578125" style="39" customWidth="1"/>
    <col min="4" max="4" width="15.7109375" style="39" customWidth="1"/>
    <col min="5" max="5" width="16.7109375" style="39" customWidth="1"/>
    <col min="6" max="6" width="17.85546875" style="39" customWidth="1"/>
    <col min="7" max="7" width="14.7109375" style="39" customWidth="1"/>
    <col min="8" max="8" width="13.85546875" style="39" customWidth="1"/>
    <col min="9" max="9" width="13.42578125" style="39" customWidth="1"/>
    <col min="10" max="10" width="13.7109375" style="39" customWidth="1"/>
    <col min="11" max="11" width="12.42578125" style="39" customWidth="1"/>
    <col min="12" max="12" width="13.28515625" style="39" customWidth="1"/>
    <col min="13" max="13" width="12.5703125" style="39" customWidth="1"/>
    <col min="14" max="15" width="15.140625" style="39" bestFit="1" customWidth="1"/>
    <col min="16" max="16" width="16.28515625" style="39" bestFit="1" customWidth="1"/>
    <col min="17" max="17" width="19.28515625" style="39" bestFit="1" customWidth="1"/>
    <col min="18" max="16384" width="9.140625" style="39"/>
  </cols>
  <sheetData>
    <row r="1" spans="1:17" x14ac:dyDescent="0.25">
      <c r="A1" s="38" t="s">
        <v>168</v>
      </c>
    </row>
    <row r="2" spans="1:17" s="41" customFormat="1" x14ac:dyDescent="0.25">
      <c r="A2" s="40"/>
    </row>
    <row r="3" spans="1:17" x14ac:dyDescent="0.25">
      <c r="A3" s="38"/>
      <c r="C3" s="42">
        <v>0</v>
      </c>
      <c r="D3" s="42">
        <v>1</v>
      </c>
      <c r="E3" s="42">
        <v>2</v>
      </c>
      <c r="F3" s="42">
        <v>3</v>
      </c>
      <c r="G3" s="42">
        <v>4</v>
      </c>
      <c r="H3" s="42">
        <v>5</v>
      </c>
      <c r="I3" s="42">
        <v>6</v>
      </c>
      <c r="J3" s="42">
        <v>7</v>
      </c>
      <c r="K3" s="42">
        <v>8</v>
      </c>
      <c r="L3" s="42">
        <v>9</v>
      </c>
      <c r="M3" s="42">
        <v>10</v>
      </c>
      <c r="N3" s="42"/>
      <c r="O3" s="42"/>
      <c r="P3" s="42"/>
      <c r="Q3" s="42"/>
    </row>
    <row r="4" spans="1:17" x14ac:dyDescent="0.25">
      <c r="A4" s="38" t="s">
        <v>169</v>
      </c>
      <c r="C4" s="43">
        <f>'Prank Place'!G126</f>
        <v>-601390.52244285587</v>
      </c>
      <c r="D4" s="43">
        <f>'Prank Place'!H126</f>
        <v>-340703.00819016545</v>
      </c>
      <c r="E4" s="43">
        <f>'Prank Place'!I126</f>
        <v>-149695.58146876248</v>
      </c>
      <c r="F4" s="43">
        <f>'Prank Place'!J126</f>
        <v>-168100.82754670113</v>
      </c>
      <c r="G4" s="43">
        <f>'Prank Place'!K126</f>
        <v>-188451.0520858659</v>
      </c>
      <c r="H4" s="43">
        <f>'Prank Place'!L126</f>
        <v>-210947.28843673033</v>
      </c>
      <c r="I4" s="43">
        <f>'Prank Place'!M126</f>
        <v>-235811.21772818296</v>
      </c>
      <c r="J4" s="43">
        <f>'Prank Place'!N126</f>
        <v>-263287.28571494867</v>
      </c>
      <c r="K4" s="43">
        <f>'Prank Place'!O126</f>
        <v>-293645.03654324694</v>
      </c>
      <c r="L4" s="43">
        <f>'Prank Place'!P126</f>
        <v>-327181.68566117063</v>
      </c>
      <c r="M4" s="43">
        <f>'Prank Place'!Q126</f>
        <v>6701998.2683350984</v>
      </c>
    </row>
    <row r="5" spans="1:17" x14ac:dyDescent="0.25">
      <c r="A5" s="38" t="s">
        <v>139</v>
      </c>
      <c r="C5" s="44">
        <f>IRR(C4:M4)</f>
        <v>0.14369092069360012</v>
      </c>
    </row>
    <row r="6" spans="1:17" x14ac:dyDescent="0.25">
      <c r="A6" s="45" t="s">
        <v>170</v>
      </c>
      <c r="C6" s="46">
        <f>'Prank Place'!D127</f>
        <v>0.14369092046845186</v>
      </c>
    </row>
    <row r="7" spans="1:17" x14ac:dyDescent="0.25">
      <c r="A7" s="45" t="s">
        <v>171</v>
      </c>
      <c r="C7" s="47">
        <f>NPV(C6,D4:M4)+C4</f>
        <v>2.4854566436260939E-3</v>
      </c>
    </row>
    <row r="8" spans="1:17" x14ac:dyDescent="0.25">
      <c r="A8" s="45"/>
      <c r="C8" s="47"/>
    </row>
    <row r="9" spans="1:17" x14ac:dyDescent="0.25">
      <c r="A9" s="39" t="s">
        <v>172</v>
      </c>
      <c r="C9" s="47"/>
    </row>
    <row r="10" spans="1:17" x14ac:dyDescent="0.25">
      <c r="A10" s="45"/>
      <c r="C10" s="47"/>
    </row>
    <row r="11" spans="1:17" x14ac:dyDescent="0.25">
      <c r="A11" s="45"/>
      <c r="C11" s="46"/>
    </row>
    <row r="12" spans="1:17" x14ac:dyDescent="0.25">
      <c r="A12" s="45" t="s">
        <v>173</v>
      </c>
      <c r="C12" s="48">
        <f>'Prank Place'!B144</f>
        <v>0.03</v>
      </c>
    </row>
    <row r="13" spans="1:17" x14ac:dyDescent="0.25">
      <c r="A13" s="45" t="s">
        <v>174</v>
      </c>
      <c r="C13" s="49">
        <f>'Prank Place'!B142</f>
        <v>2.1807652023191664</v>
      </c>
    </row>
    <row r="14" spans="1:17" x14ac:dyDescent="0.25">
      <c r="A14" s="45"/>
      <c r="C14" s="48"/>
    </row>
    <row r="15" spans="1:17" s="41" customFormat="1" x14ac:dyDescent="0.25">
      <c r="B15" s="50"/>
      <c r="E15" s="51"/>
    </row>
    <row r="16" spans="1:17" x14ac:dyDescent="0.25">
      <c r="A16" s="45" t="s">
        <v>175</v>
      </c>
    </row>
    <row r="18" spans="1:17" x14ac:dyDescent="0.25">
      <c r="C18" s="42">
        <v>0</v>
      </c>
      <c r="D18" s="42">
        <v>1</v>
      </c>
      <c r="E18" s="42">
        <v>2</v>
      </c>
      <c r="F18" s="42">
        <v>3</v>
      </c>
      <c r="G18" s="42">
        <v>4</v>
      </c>
      <c r="H18" s="42">
        <v>5</v>
      </c>
      <c r="I18" s="42">
        <v>6</v>
      </c>
      <c r="J18" s="42">
        <v>7</v>
      </c>
      <c r="K18" s="42">
        <v>8</v>
      </c>
      <c r="L18" s="42">
        <v>9</v>
      </c>
      <c r="M18" s="42">
        <v>10</v>
      </c>
      <c r="N18" s="39">
        <v>11</v>
      </c>
      <c r="O18" s="39">
        <v>12</v>
      </c>
    </row>
    <row r="19" spans="1:17" x14ac:dyDescent="0.25">
      <c r="B19" s="44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</row>
    <row r="20" spans="1:17" x14ac:dyDescent="0.25">
      <c r="A20" s="52" t="s">
        <v>176</v>
      </c>
      <c r="E20" s="53">
        <f>C4</f>
        <v>-601390.52244285587</v>
      </c>
    </row>
    <row r="21" spans="1:17" x14ac:dyDescent="0.25">
      <c r="A21" s="54"/>
      <c r="C21" s="55"/>
      <c r="E21" s="55"/>
      <c r="F21" s="55"/>
      <c r="G21" s="55"/>
      <c r="H21" s="56"/>
      <c r="I21" s="56"/>
      <c r="J21" s="56"/>
      <c r="K21" s="56"/>
      <c r="L21" s="56"/>
      <c r="M21" s="56"/>
      <c r="N21" s="56"/>
    </row>
    <row r="22" spans="1:17" x14ac:dyDescent="0.25">
      <c r="A22" s="39" t="s">
        <v>177</v>
      </c>
      <c r="C22" s="70">
        <v>0</v>
      </c>
      <c r="D22" s="71">
        <v>0</v>
      </c>
      <c r="E22" s="70">
        <v>0</v>
      </c>
      <c r="F22" s="70">
        <f t="shared" ref="F22:O22" si="0">D4</f>
        <v>-340703.00819016545</v>
      </c>
      <c r="G22" s="70">
        <f t="shared" si="0"/>
        <v>-149695.58146876248</v>
      </c>
      <c r="H22" s="70">
        <f t="shared" si="0"/>
        <v>-168100.82754670113</v>
      </c>
      <c r="I22" s="70">
        <f t="shared" si="0"/>
        <v>-188451.0520858659</v>
      </c>
      <c r="J22" s="70">
        <f t="shared" si="0"/>
        <v>-210947.28843673033</v>
      </c>
      <c r="K22" s="70">
        <f t="shared" si="0"/>
        <v>-235811.21772818296</v>
      </c>
      <c r="L22" s="70">
        <f t="shared" si="0"/>
        <v>-263287.28571494867</v>
      </c>
      <c r="M22" s="70">
        <f t="shared" si="0"/>
        <v>-293645.03654324694</v>
      </c>
      <c r="N22" s="70">
        <f t="shared" si="0"/>
        <v>-327181.68566117063</v>
      </c>
      <c r="O22" s="70">
        <f t="shared" si="0"/>
        <v>6701998.2683350984</v>
      </c>
    </row>
    <row r="23" spans="1:17" x14ac:dyDescent="0.25">
      <c r="A23" s="52" t="s">
        <v>140</v>
      </c>
      <c r="C23" s="70">
        <f>NPV(C6,D22:O22)</f>
        <v>459768.52270985401</v>
      </c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2"/>
      <c r="O23" s="72"/>
    </row>
    <row r="24" spans="1:17" x14ac:dyDescent="0.25">
      <c r="A24" s="57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</row>
    <row r="26" spans="1:17" x14ac:dyDescent="0.25">
      <c r="A26" s="39" t="s">
        <v>178</v>
      </c>
    </row>
    <row r="27" spans="1:17" x14ac:dyDescent="0.25">
      <c r="A27" s="58" t="s">
        <v>179</v>
      </c>
      <c r="B27" s="58" t="s">
        <v>180</v>
      </c>
      <c r="C27" s="58" t="s">
        <v>181</v>
      </c>
      <c r="D27" s="58" t="s">
        <v>182</v>
      </c>
      <c r="E27" s="58" t="s">
        <v>183</v>
      </c>
      <c r="F27" s="58" t="s">
        <v>184</v>
      </c>
    </row>
    <row r="28" spans="1:17" x14ac:dyDescent="0.25">
      <c r="A28" s="59">
        <f>C23</f>
        <v>459768.52270985401</v>
      </c>
      <c r="B28" s="59">
        <f>-E20</f>
        <v>601390.52244285587</v>
      </c>
      <c r="C28" s="58">
        <v>2</v>
      </c>
      <c r="D28" s="60">
        <v>0.5</v>
      </c>
      <c r="E28" s="60">
        <v>0.03</v>
      </c>
      <c r="F28" s="61">
        <f>(A28*_xlfn.NORM.DIST((LN(A28/B28)+(E28+((D28^2)/2))*C28)/(D28*SQRT(C28)),0,1,TRUE))-((B28*EXP(-E28*C28))*_xlfn.NORM.DIST((LN(A28/B28)+(E28+((D28^2)/2))*C28)/(D28*SQRT(C28))-(D28*(SQRT(C28))),0,1,TRUE))</f>
        <v>94317.461347692035</v>
      </c>
    </row>
    <row r="30" spans="1:17" x14ac:dyDescent="0.25">
      <c r="A30" s="39" t="s">
        <v>199</v>
      </c>
      <c r="B30" s="53"/>
      <c r="C30" s="62"/>
    </row>
    <row r="31" spans="1:17" x14ac:dyDescent="0.25">
      <c r="B31" s="53"/>
      <c r="C31" s="43"/>
    </row>
    <row r="32" spans="1:17" x14ac:dyDescent="0.25">
      <c r="B32" s="45"/>
      <c r="C32" s="63"/>
      <c r="D32" s="45"/>
    </row>
    <row r="33" spans="2:3" x14ac:dyDescent="0.25">
      <c r="B33" s="53"/>
      <c r="C33" s="43"/>
    </row>
    <row r="34" spans="2:3" x14ac:dyDescent="0.25">
      <c r="C34" s="43"/>
    </row>
  </sheetData>
  <pageMargins left="0.7" right="0.7" top="0.75" bottom="0.75" header="0.3" footer="0.3"/>
  <pageSetup scale="4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DABC3-8A41-4333-A8E4-AABBDAEABCF9}">
  <dimension ref="A1:Q48"/>
  <sheetViews>
    <sheetView tabSelected="1" zoomScaleNormal="100" workbookViewId="0">
      <selection activeCell="P4" sqref="P4"/>
    </sheetView>
  </sheetViews>
  <sheetFormatPr defaultColWidth="9.140625" defaultRowHeight="15.75" x14ac:dyDescent="0.25"/>
  <cols>
    <col min="1" max="1" width="19" style="39" customWidth="1"/>
    <col min="2" max="2" width="32.7109375" style="39" customWidth="1"/>
    <col min="3" max="3" width="17" style="39" customWidth="1"/>
    <col min="4" max="4" width="15.7109375" style="39" customWidth="1"/>
    <col min="5" max="5" width="17.5703125" style="39" customWidth="1"/>
    <col min="6" max="6" width="17.85546875" style="39" customWidth="1"/>
    <col min="7" max="7" width="14.7109375" style="39" customWidth="1"/>
    <col min="8" max="8" width="13.85546875" style="39" customWidth="1"/>
    <col min="9" max="9" width="13.42578125" style="39" customWidth="1"/>
    <col min="10" max="10" width="13.7109375" style="39" customWidth="1"/>
    <col min="11" max="11" width="12.42578125" style="39" customWidth="1"/>
    <col min="12" max="12" width="13.28515625" style="39" customWidth="1"/>
    <col min="13" max="13" width="12.5703125" style="39" customWidth="1"/>
    <col min="14" max="15" width="15.140625" style="39" bestFit="1" customWidth="1"/>
    <col min="16" max="16" width="16.28515625" style="39" bestFit="1" customWidth="1"/>
    <col min="17" max="17" width="19.28515625" style="39" bestFit="1" customWidth="1"/>
    <col min="18" max="16384" width="9.140625" style="39"/>
  </cols>
  <sheetData>
    <row r="1" spans="1:17" x14ac:dyDescent="0.25">
      <c r="A1" s="38" t="s">
        <v>185</v>
      </c>
    </row>
    <row r="2" spans="1:17" s="41" customFormat="1" x14ac:dyDescent="0.25">
      <c r="A2" s="40"/>
    </row>
    <row r="3" spans="1:17" x14ac:dyDescent="0.25">
      <c r="A3" s="38"/>
      <c r="C3" s="42">
        <v>0</v>
      </c>
      <c r="D3" s="42">
        <v>1</v>
      </c>
      <c r="E3" s="42">
        <v>2</v>
      </c>
      <c r="F3" s="42">
        <v>3</v>
      </c>
      <c r="G3" s="42">
        <v>4</v>
      </c>
      <c r="H3" s="42">
        <v>5</v>
      </c>
      <c r="I3" s="42">
        <v>6</v>
      </c>
      <c r="J3" s="42">
        <v>7</v>
      </c>
      <c r="K3" s="42">
        <v>8</v>
      </c>
      <c r="L3" s="42">
        <v>9</v>
      </c>
      <c r="M3" s="42">
        <v>10</v>
      </c>
      <c r="N3" s="42"/>
      <c r="O3" s="42"/>
      <c r="P3" s="42"/>
      <c r="Q3" s="42"/>
    </row>
    <row r="4" spans="1:17" x14ac:dyDescent="0.25">
      <c r="A4" s="38" t="s">
        <v>169</v>
      </c>
      <c r="C4" s="43">
        <f>'Prank Place'!G126</f>
        <v>-601390.52244285587</v>
      </c>
      <c r="D4" s="43">
        <f>'Prank Place'!H126</f>
        <v>-340703.00819016545</v>
      </c>
      <c r="E4" s="43">
        <f>'Prank Place'!I126</f>
        <v>-149695.58146876248</v>
      </c>
      <c r="F4" s="43">
        <f>'Prank Place'!J126</f>
        <v>-168100.82754670113</v>
      </c>
      <c r="G4" s="43">
        <f>'Prank Place'!K126</f>
        <v>-188451.0520858659</v>
      </c>
      <c r="H4" s="43">
        <f>'Prank Place'!L126</f>
        <v>-210947.28843673033</v>
      </c>
      <c r="I4" s="43">
        <f>'Prank Place'!M126</f>
        <v>-235811.21772818296</v>
      </c>
      <c r="J4" s="43">
        <f>'Prank Place'!N126</f>
        <v>-263287.28571494867</v>
      </c>
      <c r="K4" s="43">
        <f>'Prank Place'!O126</f>
        <v>-293645.03654324694</v>
      </c>
      <c r="L4" s="43">
        <f>'Prank Place'!P126</f>
        <v>-327181.68566117063</v>
      </c>
      <c r="M4" s="43">
        <f>'Prank Place'!Q126</f>
        <v>6701998.2683350984</v>
      </c>
    </row>
    <row r="5" spans="1:17" x14ac:dyDescent="0.25">
      <c r="A5" s="38"/>
      <c r="C5" s="44"/>
    </row>
    <row r="6" spans="1:17" x14ac:dyDescent="0.25">
      <c r="A6" s="45" t="s">
        <v>170</v>
      </c>
      <c r="C6" s="46">
        <f>'Prank Place'!D127</f>
        <v>0.14369092046845186</v>
      </c>
    </row>
    <row r="7" spans="1:17" x14ac:dyDescent="0.25">
      <c r="A7" s="45"/>
      <c r="C7" s="47"/>
    </row>
    <row r="8" spans="1:17" x14ac:dyDescent="0.25">
      <c r="A8" s="45"/>
      <c r="C8" s="47"/>
    </row>
    <row r="9" spans="1:17" x14ac:dyDescent="0.25">
      <c r="A9" s="39" t="s">
        <v>200</v>
      </c>
      <c r="C9" s="47"/>
    </row>
    <row r="10" spans="1:17" s="41" customFormat="1" x14ac:dyDescent="0.25">
      <c r="B10" s="50"/>
      <c r="E10" s="51"/>
    </row>
    <row r="11" spans="1:17" x14ac:dyDescent="0.25">
      <c r="A11" s="45" t="s">
        <v>186</v>
      </c>
    </row>
    <row r="13" spans="1:17" x14ac:dyDescent="0.25">
      <c r="C13" s="42">
        <v>0</v>
      </c>
      <c r="D13" s="42">
        <v>1</v>
      </c>
      <c r="E13" s="42">
        <v>2</v>
      </c>
      <c r="F13" s="42">
        <v>3</v>
      </c>
      <c r="G13" s="42">
        <v>4</v>
      </c>
      <c r="H13" s="42">
        <v>5</v>
      </c>
      <c r="I13" s="42">
        <v>6</v>
      </c>
      <c r="J13" s="42">
        <v>7</v>
      </c>
      <c r="K13" s="42">
        <v>8</v>
      </c>
      <c r="L13" s="42">
        <v>9</v>
      </c>
      <c r="M13" s="42">
        <v>10</v>
      </c>
    </row>
    <row r="14" spans="1:17" x14ac:dyDescent="0.25">
      <c r="A14" s="45" t="s">
        <v>187</v>
      </c>
    </row>
    <row r="15" spans="1:17" x14ac:dyDescent="0.25">
      <c r="A15" s="39" t="s">
        <v>188</v>
      </c>
      <c r="C15" s="43">
        <f t="shared" ref="C15:M15" si="0">C4</f>
        <v>-601390.52244285587</v>
      </c>
      <c r="D15" s="43">
        <f t="shared" si="0"/>
        <v>-340703.00819016545</v>
      </c>
      <c r="E15" s="43">
        <f t="shared" si="0"/>
        <v>-149695.58146876248</v>
      </c>
      <c r="F15" s="43">
        <f t="shared" si="0"/>
        <v>-168100.82754670113</v>
      </c>
      <c r="G15" s="43">
        <f t="shared" si="0"/>
        <v>-188451.0520858659</v>
      </c>
      <c r="H15" s="43">
        <f t="shared" si="0"/>
        <v>-210947.28843673033</v>
      </c>
      <c r="I15" s="43">
        <f t="shared" si="0"/>
        <v>-235811.21772818296</v>
      </c>
      <c r="J15" s="43">
        <f t="shared" si="0"/>
        <v>-263287.28571494867</v>
      </c>
      <c r="K15" s="43">
        <f t="shared" si="0"/>
        <v>-293645.03654324694</v>
      </c>
      <c r="L15" s="43">
        <f t="shared" si="0"/>
        <v>-327181.68566117063</v>
      </c>
      <c r="M15" s="43">
        <f t="shared" si="0"/>
        <v>6701998.2683350984</v>
      </c>
      <c r="N15" s="43"/>
      <c r="O15" s="43"/>
    </row>
    <row r="16" spans="1:17" x14ac:dyDescent="0.25">
      <c r="A16" s="39" t="s">
        <v>189</v>
      </c>
      <c r="C16" s="43"/>
      <c r="D16" s="43"/>
      <c r="E16" s="43"/>
      <c r="F16" s="43"/>
      <c r="G16" s="43">
        <v>-250000</v>
      </c>
      <c r="H16" s="43"/>
      <c r="I16" s="43"/>
      <c r="J16" s="43"/>
      <c r="K16" s="43"/>
      <c r="L16" s="43"/>
      <c r="M16" s="43"/>
      <c r="N16" s="43"/>
      <c r="O16" s="43"/>
    </row>
    <row r="17" spans="1:15" x14ac:dyDescent="0.25">
      <c r="A17" s="39" t="s">
        <v>190</v>
      </c>
      <c r="C17" s="43"/>
      <c r="D17" s="43"/>
      <c r="E17" s="43"/>
      <c r="F17" s="43"/>
      <c r="G17" s="43"/>
      <c r="H17" s="43">
        <v>40000</v>
      </c>
      <c r="I17" s="43">
        <v>41000</v>
      </c>
      <c r="J17" s="43">
        <v>42000</v>
      </c>
      <c r="K17" s="43">
        <v>42000</v>
      </c>
      <c r="L17" s="43">
        <v>42000</v>
      </c>
      <c r="M17" s="43">
        <v>42000</v>
      </c>
      <c r="N17" s="43"/>
      <c r="O17" s="43"/>
    </row>
    <row r="18" spans="1:15" x14ac:dyDescent="0.25">
      <c r="A18" s="39" t="s">
        <v>191</v>
      </c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>
        <v>300000</v>
      </c>
      <c r="N18" s="43"/>
      <c r="O18" s="43"/>
    </row>
    <row r="19" spans="1:15" x14ac:dyDescent="0.25">
      <c r="A19" s="39" t="s">
        <v>192</v>
      </c>
      <c r="C19" s="43">
        <f>SUM(C15:C18)</f>
        <v>-601390.52244285587</v>
      </c>
      <c r="D19" s="43">
        <f t="shared" ref="D19:M19" si="1">SUM(D15:D18)</f>
        <v>-340703.00819016545</v>
      </c>
      <c r="E19" s="43">
        <f t="shared" si="1"/>
        <v>-149695.58146876248</v>
      </c>
      <c r="F19" s="43">
        <f t="shared" si="1"/>
        <v>-168100.82754670113</v>
      </c>
      <c r="G19" s="43">
        <f t="shared" si="1"/>
        <v>-438451.05208586587</v>
      </c>
      <c r="H19" s="43">
        <f t="shared" si="1"/>
        <v>-170947.28843673033</v>
      </c>
      <c r="I19" s="43">
        <f t="shared" si="1"/>
        <v>-194811.21772818296</v>
      </c>
      <c r="J19" s="43">
        <f t="shared" si="1"/>
        <v>-221287.28571494867</v>
      </c>
      <c r="K19" s="43">
        <f t="shared" si="1"/>
        <v>-251645.03654324694</v>
      </c>
      <c r="L19" s="43">
        <f t="shared" si="1"/>
        <v>-285181.68566117063</v>
      </c>
      <c r="M19" s="43">
        <f t="shared" si="1"/>
        <v>7043998.2683350984</v>
      </c>
      <c r="N19" s="43"/>
      <c r="O19" s="43"/>
    </row>
    <row r="20" spans="1:15" x14ac:dyDescent="0.25">
      <c r="A20" s="39" t="s">
        <v>140</v>
      </c>
      <c r="C20" s="43">
        <f>NPV($C$6,D19:M19)+C19</f>
        <v>25263.375497181318</v>
      </c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</row>
    <row r="21" spans="1:15" x14ac:dyDescent="0.25">
      <c r="A21" s="39" t="s">
        <v>193</v>
      </c>
      <c r="C21" s="64">
        <f>F40</f>
        <v>0.27999999999999997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</row>
    <row r="22" spans="1:15" x14ac:dyDescent="0.25"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</row>
    <row r="23" spans="1:15" x14ac:dyDescent="0.25">
      <c r="A23" s="45" t="s">
        <v>194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</row>
    <row r="24" spans="1:15" x14ac:dyDescent="0.25">
      <c r="A24" s="39" t="s">
        <v>188</v>
      </c>
      <c r="C24" s="43">
        <f>C4</f>
        <v>-601390.52244285587</v>
      </c>
      <c r="D24" s="43">
        <f t="shared" ref="D24:M24" si="2">D4</f>
        <v>-340703.00819016545</v>
      </c>
      <c r="E24" s="43">
        <f t="shared" si="2"/>
        <v>-149695.58146876248</v>
      </c>
      <c r="F24" s="43">
        <f t="shared" si="2"/>
        <v>-168100.82754670113</v>
      </c>
      <c r="G24" s="43">
        <f t="shared" si="2"/>
        <v>-188451.0520858659</v>
      </c>
      <c r="H24" s="43">
        <f t="shared" si="2"/>
        <v>-210947.28843673033</v>
      </c>
      <c r="I24" s="43">
        <f t="shared" si="2"/>
        <v>-235811.21772818296</v>
      </c>
      <c r="J24" s="43">
        <f t="shared" si="2"/>
        <v>-263287.28571494867</v>
      </c>
      <c r="K24" s="43">
        <f t="shared" si="2"/>
        <v>-293645.03654324694</v>
      </c>
      <c r="L24" s="43">
        <f t="shared" si="2"/>
        <v>-327181.68566117063</v>
      </c>
      <c r="M24" s="43">
        <f t="shared" si="2"/>
        <v>6701998.2683350984</v>
      </c>
      <c r="N24" s="43"/>
      <c r="O24" s="43"/>
    </row>
    <row r="25" spans="1:15" x14ac:dyDescent="0.25">
      <c r="A25" s="39" t="s">
        <v>189</v>
      </c>
      <c r="C25" s="43"/>
      <c r="D25" s="43"/>
      <c r="E25" s="43"/>
      <c r="F25" s="43"/>
      <c r="G25" s="43">
        <f>G16</f>
        <v>-250000</v>
      </c>
      <c r="H25" s="43"/>
      <c r="I25" s="43"/>
      <c r="J25" s="43"/>
      <c r="K25" s="43"/>
      <c r="L25" s="43"/>
      <c r="M25" s="43"/>
      <c r="N25" s="43"/>
      <c r="O25" s="43"/>
    </row>
    <row r="26" spans="1:15" x14ac:dyDescent="0.25">
      <c r="A26" s="39" t="s">
        <v>190</v>
      </c>
      <c r="C26" s="43"/>
      <c r="D26" s="43"/>
      <c r="E26" s="43"/>
      <c r="F26" s="43"/>
      <c r="G26" s="43"/>
      <c r="H26" s="43">
        <v>3000</v>
      </c>
      <c r="I26" s="43">
        <v>3100</v>
      </c>
      <c r="J26" s="43">
        <v>3200</v>
      </c>
      <c r="K26" s="43">
        <v>3200</v>
      </c>
      <c r="L26" s="43">
        <v>3200</v>
      </c>
      <c r="M26" s="43">
        <v>3200</v>
      </c>
      <c r="N26" s="43"/>
      <c r="O26" s="43"/>
    </row>
    <row r="27" spans="1:15" x14ac:dyDescent="0.25">
      <c r="A27" s="39" t="s">
        <v>191</v>
      </c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>
        <v>250000</v>
      </c>
      <c r="N27" s="43"/>
      <c r="O27" s="43"/>
    </row>
    <row r="28" spans="1:15" x14ac:dyDescent="0.25">
      <c r="A28" s="39" t="s">
        <v>192</v>
      </c>
      <c r="C28" s="43">
        <f>SUM(C24:C27)</f>
        <v>-601390.52244285587</v>
      </c>
      <c r="D28" s="43">
        <f t="shared" ref="D28:M28" si="3">SUM(D24:D27)</f>
        <v>-340703.00819016545</v>
      </c>
      <c r="E28" s="43">
        <f t="shared" si="3"/>
        <v>-149695.58146876248</v>
      </c>
      <c r="F28" s="43">
        <f t="shared" si="3"/>
        <v>-168100.82754670113</v>
      </c>
      <c r="G28" s="43">
        <f t="shared" si="3"/>
        <v>-438451.05208586587</v>
      </c>
      <c r="H28" s="43">
        <f t="shared" si="3"/>
        <v>-207947.28843673033</v>
      </c>
      <c r="I28" s="43">
        <f t="shared" si="3"/>
        <v>-232711.21772818296</v>
      </c>
      <c r="J28" s="43">
        <f t="shared" si="3"/>
        <v>-260087.28571494867</v>
      </c>
      <c r="K28" s="43">
        <f t="shared" si="3"/>
        <v>-290445.03654324694</v>
      </c>
      <c r="L28" s="43">
        <f t="shared" si="3"/>
        <v>-323981.68566117063</v>
      </c>
      <c r="M28" s="43">
        <f t="shared" si="3"/>
        <v>6955198.2683350984</v>
      </c>
      <c r="N28" s="43"/>
      <c r="O28" s="43"/>
    </row>
    <row r="29" spans="1:15" x14ac:dyDescent="0.25">
      <c r="A29" s="39" t="s">
        <v>140</v>
      </c>
      <c r="C29" s="73">
        <f>NPV($C$6,D28:M28)+C28</f>
        <v>-73774.308503433829</v>
      </c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</row>
    <row r="30" spans="1:15" x14ac:dyDescent="0.25">
      <c r="A30" s="39" t="s">
        <v>193</v>
      </c>
      <c r="C30" s="64">
        <f>F44</f>
        <v>0.42</v>
      </c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</row>
    <row r="31" spans="1:15" x14ac:dyDescent="0.25"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</row>
    <row r="32" spans="1:15" x14ac:dyDescent="0.25">
      <c r="A32" s="45" t="s">
        <v>195</v>
      </c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</row>
    <row r="33" spans="1:15" x14ac:dyDescent="0.25">
      <c r="A33" s="39" t="s">
        <v>196</v>
      </c>
      <c r="C33" s="43">
        <f>C4</f>
        <v>-601390.52244285587</v>
      </c>
      <c r="D33" s="43">
        <f>0.8*D4</f>
        <v>-272562.40655213239</v>
      </c>
      <c r="E33" s="43">
        <f>0.8*E4</f>
        <v>-119756.46517500999</v>
      </c>
      <c r="F33" s="43">
        <f>0.8*F4</f>
        <v>-134480.66203736092</v>
      </c>
      <c r="G33" s="43">
        <f>0.4*G4</f>
        <v>-75380.420834346369</v>
      </c>
      <c r="H33" s="43"/>
      <c r="I33" s="43"/>
      <c r="J33" s="43"/>
      <c r="K33" s="43"/>
      <c r="L33" s="43"/>
      <c r="M33" s="43"/>
      <c r="N33" s="43"/>
      <c r="O33" s="43"/>
    </row>
    <row r="34" spans="1:15" x14ac:dyDescent="0.25">
      <c r="A34" s="39" t="s">
        <v>140</v>
      </c>
      <c r="C34" s="43">
        <f>NPV($C$6,D33:G33)+C33</f>
        <v>-1065216.2195466659</v>
      </c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</row>
    <row r="35" spans="1:15" x14ac:dyDescent="0.25">
      <c r="A35" s="39" t="s">
        <v>193</v>
      </c>
      <c r="C35" s="64">
        <f>F46</f>
        <v>0.3</v>
      </c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</row>
    <row r="36" spans="1:15" x14ac:dyDescent="0.25"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</row>
    <row r="37" spans="1:15" x14ac:dyDescent="0.25">
      <c r="A37" s="39" t="s">
        <v>197</v>
      </c>
      <c r="C37" s="73">
        <f>C21*C20+C30*C29+C35*C34</f>
        <v>-343476.3302962312</v>
      </c>
      <c r="D37" s="43"/>
      <c r="E37" s="43"/>
      <c r="F37" s="43"/>
      <c r="G37" s="43"/>
      <c r="H37" s="43"/>
      <c r="I37" s="43"/>
      <c r="J37" s="43"/>
      <c r="K37" s="43"/>
      <c r="L37" s="43"/>
      <c r="M37" s="43"/>
    </row>
    <row r="38" spans="1:15" x14ac:dyDescent="0.25">
      <c r="E38" s="43"/>
      <c r="F38" s="43"/>
      <c r="G38" s="43"/>
      <c r="H38" s="43"/>
      <c r="I38" s="43"/>
      <c r="J38" s="43"/>
      <c r="K38" s="43"/>
      <c r="L38" s="43"/>
      <c r="M38" s="43"/>
    </row>
    <row r="39" spans="1:15" x14ac:dyDescent="0.25">
      <c r="D39" s="43"/>
      <c r="E39" s="43"/>
      <c r="G39" s="43"/>
      <c r="H39" s="43"/>
      <c r="I39" s="43"/>
      <c r="J39" s="43"/>
      <c r="K39" s="43"/>
      <c r="L39" s="43"/>
      <c r="M39" s="43"/>
    </row>
    <row r="40" spans="1:15" x14ac:dyDescent="0.25">
      <c r="D40" s="64">
        <v>0.4</v>
      </c>
      <c r="E40" s="43" t="s">
        <v>203</v>
      </c>
      <c r="F40" s="54">
        <f>D40*C42</f>
        <v>0.27999999999999997</v>
      </c>
      <c r="G40" s="43"/>
      <c r="H40" s="43"/>
      <c r="I40" s="43"/>
      <c r="J40" s="43"/>
      <c r="K40" s="43"/>
      <c r="L40" s="43"/>
      <c r="M40" s="43"/>
    </row>
    <row r="41" spans="1:15" x14ac:dyDescent="0.25">
      <c r="B41" s="43"/>
      <c r="C41" s="43" t="s">
        <v>201</v>
      </c>
      <c r="D41" s="65"/>
      <c r="E41" s="43"/>
      <c r="F41" s="54"/>
      <c r="G41" s="43"/>
      <c r="H41" s="43"/>
      <c r="I41" s="43"/>
      <c r="J41" s="43"/>
      <c r="K41" s="43"/>
      <c r="L41" s="43"/>
      <c r="M41" s="43"/>
    </row>
    <row r="42" spans="1:15" x14ac:dyDescent="0.25">
      <c r="B42" s="43"/>
      <c r="C42" s="64">
        <v>0.7</v>
      </c>
      <c r="D42" s="66"/>
      <c r="F42" s="54"/>
    </row>
    <row r="43" spans="1:15" x14ac:dyDescent="0.25">
      <c r="A43" s="39" t="s">
        <v>198</v>
      </c>
      <c r="B43" s="43"/>
      <c r="C43" s="65"/>
      <c r="D43" s="67"/>
      <c r="F43" s="54"/>
    </row>
    <row r="44" spans="1:15" x14ac:dyDescent="0.25">
      <c r="B44" s="43"/>
      <c r="C44" s="68"/>
      <c r="D44" s="54">
        <v>0.6</v>
      </c>
      <c r="E44" s="39" t="s">
        <v>204</v>
      </c>
      <c r="F44" s="54">
        <f>D44*C42</f>
        <v>0.42</v>
      </c>
    </row>
    <row r="45" spans="1:15" x14ac:dyDescent="0.25">
      <c r="C45" s="67"/>
      <c r="F45" s="54"/>
    </row>
    <row r="46" spans="1:15" x14ac:dyDescent="0.25">
      <c r="C46" s="54">
        <v>0.3</v>
      </c>
      <c r="F46" s="54">
        <f>C46</f>
        <v>0.3</v>
      </c>
    </row>
    <row r="47" spans="1:15" x14ac:dyDescent="0.25">
      <c r="C47" s="39" t="s">
        <v>202</v>
      </c>
      <c r="F47" s="69"/>
    </row>
    <row r="48" spans="1:15" x14ac:dyDescent="0.25">
      <c r="F48" s="54">
        <f>SUM(F40:F46)</f>
        <v>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Amortization Table</vt:lpstr>
      <vt:lpstr>Prank Place</vt:lpstr>
      <vt:lpstr>Real Option 1</vt:lpstr>
      <vt:lpstr>Real Option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2023-09-14T20:34:16Z</dcterms:modified>
</cp:coreProperties>
</file>