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200" windowHeight="7350" activeTab="2"/>
  </bookViews>
  <sheets>
    <sheet name="Spreadsheet" sheetId="1" r:id="rId1"/>
    <sheet name="Mortgage" sheetId="3" r:id="rId2"/>
    <sheet name="Options" sheetId="4" r:id="rId3"/>
  </sheets>
  <calcPr calcId="152511"/>
</workbook>
</file>

<file path=xl/calcChain.xml><?xml version="1.0" encoding="utf-8"?>
<calcChain xmlns="http://schemas.openxmlformats.org/spreadsheetml/2006/main">
  <c r="D108" i="1" l="1"/>
  <c r="D7" i="4"/>
  <c r="C12" i="4" l="1"/>
  <c r="C18" i="4" s="1"/>
  <c r="C15" i="4"/>
  <c r="N11" i="4"/>
  <c r="M11" i="4"/>
  <c r="L11" i="4"/>
  <c r="K11" i="4"/>
  <c r="J11" i="4"/>
  <c r="I11" i="4"/>
  <c r="H11" i="4"/>
  <c r="G11" i="4"/>
  <c r="F11" i="4"/>
  <c r="E11" i="4"/>
  <c r="D11" i="4"/>
  <c r="C11" i="4"/>
  <c r="N14" i="4"/>
  <c r="M14" i="4"/>
  <c r="L14" i="4"/>
  <c r="K14" i="4"/>
  <c r="J14" i="4"/>
  <c r="I14" i="4"/>
  <c r="H14" i="4"/>
  <c r="G14" i="4"/>
  <c r="F14" i="4"/>
  <c r="E14" i="4"/>
  <c r="D14" i="4"/>
  <c r="C14" i="4"/>
  <c r="D32" i="1"/>
  <c r="E101" i="1" l="1"/>
  <c r="D101" i="1"/>
  <c r="D37" i="1"/>
  <c r="D33" i="1"/>
  <c r="D59" i="1" l="1"/>
  <c r="D60" i="1" s="1"/>
  <c r="B3" i="3"/>
  <c r="B1" i="3"/>
  <c r="B9" i="3" s="1"/>
  <c r="D36" i="1"/>
  <c r="E32" i="1"/>
  <c r="E36" i="1" s="1"/>
  <c r="B7" i="3" l="1"/>
  <c r="B29" i="3"/>
  <c r="B17" i="3"/>
  <c r="B36" i="3"/>
  <c r="B32" i="3"/>
  <c r="B28" i="3"/>
  <c r="B24" i="3"/>
  <c r="B16" i="3"/>
  <c r="B13" i="3"/>
  <c r="B35" i="3"/>
  <c r="B31" i="3"/>
  <c r="B27" i="3"/>
  <c r="B21" i="3"/>
  <c r="B12" i="3"/>
  <c r="B33" i="3"/>
  <c r="B25" i="3"/>
  <c r="B34" i="3"/>
  <c r="B30" i="3"/>
  <c r="B26" i="3"/>
  <c r="B20" i="3"/>
  <c r="B8" i="3"/>
  <c r="B23" i="3"/>
  <c r="B19" i="3"/>
  <c r="B15" i="3"/>
  <c r="B11" i="3"/>
  <c r="C7" i="3"/>
  <c r="D7" i="3" s="1"/>
  <c r="E7" i="3" s="1"/>
  <c r="B22" i="3"/>
  <c r="B18" i="3"/>
  <c r="B14" i="3"/>
  <c r="B10" i="3"/>
  <c r="G72" i="1"/>
  <c r="H72" i="1" s="1"/>
  <c r="I72" i="1" s="1"/>
  <c r="J72" i="1" s="1"/>
  <c r="K72" i="1" s="1"/>
  <c r="L72" i="1" s="1"/>
  <c r="M72" i="1" s="1"/>
  <c r="N72" i="1" s="1"/>
  <c r="E72" i="1"/>
  <c r="F72" i="1" s="1"/>
  <c r="E65" i="1"/>
  <c r="F65" i="1" s="1"/>
  <c r="G65" i="1" s="1"/>
  <c r="H65" i="1" s="1"/>
  <c r="I65" i="1" s="1"/>
  <c r="J65" i="1" s="1"/>
  <c r="K65" i="1" s="1"/>
  <c r="L65" i="1" s="1"/>
  <c r="M65" i="1" s="1"/>
  <c r="D64" i="1"/>
  <c r="D66" i="1" s="1"/>
  <c r="E58" i="1"/>
  <c r="E57" i="1"/>
  <c r="F57" i="1" s="1"/>
  <c r="G57" i="1" s="1"/>
  <c r="E56" i="1"/>
  <c r="D52" i="1"/>
  <c r="D91" i="1" s="1"/>
  <c r="E50" i="1"/>
  <c r="N39" i="1"/>
  <c r="M39" i="1"/>
  <c r="L39" i="1"/>
  <c r="K39" i="1"/>
  <c r="J39" i="1"/>
  <c r="I39" i="1"/>
  <c r="H39" i="1"/>
  <c r="G39" i="1"/>
  <c r="F39" i="1"/>
  <c r="E39" i="1"/>
  <c r="D39" i="1"/>
  <c r="E33" i="1"/>
  <c r="D26" i="1"/>
  <c r="E26" i="1" s="1"/>
  <c r="F26" i="1" s="1"/>
  <c r="G26" i="1" s="1"/>
  <c r="D54" i="1" l="1"/>
  <c r="D62" i="1" s="1"/>
  <c r="E37" i="1"/>
  <c r="E59" i="1" s="1"/>
  <c r="F58" i="1"/>
  <c r="E60" i="1"/>
  <c r="C8" i="3"/>
  <c r="D8" i="3" s="1"/>
  <c r="E8" i="3" s="1"/>
  <c r="C9" i="3" s="1"/>
  <c r="D9" i="3" s="1"/>
  <c r="E9" i="3" s="1"/>
  <c r="C10" i="3" s="1"/>
  <c r="D10" i="3" s="1"/>
  <c r="E10" i="3" s="1"/>
  <c r="C11" i="3" s="1"/>
  <c r="D11" i="3" s="1"/>
  <c r="E11" i="3" s="1"/>
  <c r="D34" i="1"/>
  <c r="D25" i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D24" i="1"/>
  <c r="E24" i="1" s="1"/>
  <c r="F24" i="1" s="1"/>
  <c r="F56" i="1"/>
  <c r="F50" i="1"/>
  <c r="H26" i="1"/>
  <c r="H57" i="1"/>
  <c r="G58" i="1" l="1"/>
  <c r="F37" i="1"/>
  <c r="F59" i="1" s="1"/>
  <c r="F60" i="1"/>
  <c r="C12" i="3"/>
  <c r="D12" i="3" s="1"/>
  <c r="E12" i="3" s="1"/>
  <c r="E53" i="1"/>
  <c r="E64" i="1"/>
  <c r="E66" i="1" s="1"/>
  <c r="I26" i="1"/>
  <c r="G24" i="1"/>
  <c r="G50" i="1"/>
  <c r="G56" i="1"/>
  <c r="E34" i="1"/>
  <c r="F32" i="1"/>
  <c r="I57" i="1"/>
  <c r="E52" i="1"/>
  <c r="E91" i="1" l="1"/>
  <c r="D99" i="1" s="1"/>
  <c r="H58" i="1"/>
  <c r="F101" i="1"/>
  <c r="G37" i="1"/>
  <c r="G59" i="1" s="1"/>
  <c r="F52" i="1"/>
  <c r="F36" i="1"/>
  <c r="G60" i="1"/>
  <c r="C13" i="3"/>
  <c r="D13" i="3" s="1"/>
  <c r="E13" i="3" s="1"/>
  <c r="E54" i="1"/>
  <c r="E62" i="1" s="1"/>
  <c r="J26" i="1"/>
  <c r="J57" i="1"/>
  <c r="H56" i="1"/>
  <c r="G32" i="1"/>
  <c r="G36" i="1" s="1"/>
  <c r="F33" i="1"/>
  <c r="F34" i="1" s="1"/>
  <c r="H50" i="1"/>
  <c r="H24" i="1"/>
  <c r="I58" i="1" l="1"/>
  <c r="G101" i="1"/>
  <c r="H37" i="1"/>
  <c r="H59" i="1" s="1"/>
  <c r="C14" i="3"/>
  <c r="D14" i="3" s="1"/>
  <c r="E14" i="3" s="1"/>
  <c r="H32" i="1"/>
  <c r="G33" i="1"/>
  <c r="I56" i="1"/>
  <c r="G52" i="1"/>
  <c r="K57" i="1"/>
  <c r="I50" i="1"/>
  <c r="I24" i="1"/>
  <c r="F64" i="1"/>
  <c r="F66" i="1" s="1"/>
  <c r="F53" i="1"/>
  <c r="F54" i="1" s="1"/>
  <c r="F62" i="1" s="1"/>
  <c r="K26" i="1"/>
  <c r="H60" i="1" l="1"/>
  <c r="J58" i="1"/>
  <c r="H101" i="1"/>
  <c r="I37" i="1"/>
  <c r="I59" i="1" s="1"/>
  <c r="H52" i="1"/>
  <c r="H36" i="1"/>
  <c r="F91" i="1"/>
  <c r="E99" i="1" s="1"/>
  <c r="C15" i="3"/>
  <c r="D15" i="3" s="1"/>
  <c r="E15" i="3" s="1"/>
  <c r="I32" i="1"/>
  <c r="I36" i="1" s="1"/>
  <c r="H33" i="1"/>
  <c r="H34" i="1" s="1"/>
  <c r="G64" i="1"/>
  <c r="G66" i="1" s="1"/>
  <c r="G53" i="1"/>
  <c r="G54" i="1" s="1"/>
  <c r="G62" i="1" s="1"/>
  <c r="J50" i="1"/>
  <c r="J56" i="1"/>
  <c r="L26" i="1"/>
  <c r="J24" i="1"/>
  <c r="L57" i="1"/>
  <c r="M57" i="1" s="1"/>
  <c r="N57" i="1" s="1"/>
  <c r="G34" i="1"/>
  <c r="I60" i="1" l="1"/>
  <c r="K58" i="1"/>
  <c r="I101" i="1"/>
  <c r="J37" i="1"/>
  <c r="J59" i="1" s="1"/>
  <c r="G91" i="1"/>
  <c r="F99" i="1" s="1"/>
  <c r="C16" i="3"/>
  <c r="D16" i="3" s="1"/>
  <c r="E16" i="3" s="1"/>
  <c r="J32" i="1"/>
  <c r="I33" i="1"/>
  <c r="I34" i="1" s="1"/>
  <c r="K24" i="1"/>
  <c r="M26" i="1"/>
  <c r="K56" i="1"/>
  <c r="H64" i="1"/>
  <c r="H66" i="1" s="1"/>
  <c r="H53" i="1"/>
  <c r="H54" i="1" s="1"/>
  <c r="H62" i="1" s="1"/>
  <c r="K50" i="1"/>
  <c r="I52" i="1"/>
  <c r="J60" i="1" l="1"/>
  <c r="J52" i="1"/>
  <c r="J36" i="1"/>
  <c r="L58" i="1"/>
  <c r="J101" i="1"/>
  <c r="K37" i="1"/>
  <c r="K59" i="1" s="1"/>
  <c r="H91" i="1"/>
  <c r="G99" i="1" s="1"/>
  <c r="C17" i="3"/>
  <c r="D17" i="3" s="1"/>
  <c r="E17" i="3" s="1"/>
  <c r="L56" i="1"/>
  <c r="L24" i="1"/>
  <c r="N26" i="1"/>
  <c r="I64" i="1"/>
  <c r="I66" i="1" s="1"/>
  <c r="I53" i="1"/>
  <c r="I54" i="1" s="1"/>
  <c r="I62" i="1" s="1"/>
  <c r="L50" i="1"/>
  <c r="K32" i="1"/>
  <c r="J33" i="1"/>
  <c r="K60" i="1" l="1"/>
  <c r="K52" i="1"/>
  <c r="K36" i="1"/>
  <c r="I91" i="1"/>
  <c r="H99" i="1" s="1"/>
  <c r="K101" i="1"/>
  <c r="L37" i="1"/>
  <c r="L59" i="1" s="1"/>
  <c r="M58" i="1"/>
  <c r="C18" i="3"/>
  <c r="D18" i="3" s="1"/>
  <c r="E18" i="3" s="1"/>
  <c r="J64" i="1"/>
  <c r="J66" i="1" s="1"/>
  <c r="J53" i="1"/>
  <c r="J54" i="1" s="1"/>
  <c r="J62" i="1" s="1"/>
  <c r="M24" i="1"/>
  <c r="L32" i="1"/>
  <c r="L36" i="1" s="1"/>
  <c r="K33" i="1"/>
  <c r="K34" i="1" s="1"/>
  <c r="M50" i="1"/>
  <c r="J34" i="1"/>
  <c r="M56" i="1"/>
  <c r="L60" i="1" l="1"/>
  <c r="J91" i="1"/>
  <c r="I99" i="1" s="1"/>
  <c r="L101" i="1"/>
  <c r="M37" i="1"/>
  <c r="M59" i="1" s="1"/>
  <c r="N58" i="1"/>
  <c r="C19" i="3"/>
  <c r="D19" i="3" s="1"/>
  <c r="E19" i="3" s="1"/>
  <c r="N50" i="1"/>
  <c r="M32" i="1"/>
  <c r="M36" i="1" s="1"/>
  <c r="L33" i="1"/>
  <c r="L34" i="1" s="1"/>
  <c r="L52" i="1"/>
  <c r="N56" i="1"/>
  <c r="K64" i="1"/>
  <c r="K66" i="1" s="1"/>
  <c r="K53" i="1"/>
  <c r="K54" i="1" s="1"/>
  <c r="K62" i="1" s="1"/>
  <c r="N24" i="1"/>
  <c r="M60" i="1" l="1"/>
  <c r="N37" i="1"/>
  <c r="N59" i="1" s="1"/>
  <c r="N60" i="1" s="1"/>
  <c r="M101" i="1"/>
  <c r="N101" i="1"/>
  <c r="K91" i="1"/>
  <c r="J99" i="1" s="1"/>
  <c r="C20" i="3"/>
  <c r="D20" i="3" s="1"/>
  <c r="E20" i="3" s="1"/>
  <c r="N32" i="1"/>
  <c r="M33" i="1"/>
  <c r="M34" i="1" s="1"/>
  <c r="M52" i="1"/>
  <c r="L64" i="1"/>
  <c r="L66" i="1" s="1"/>
  <c r="L53" i="1"/>
  <c r="L54" i="1" s="1"/>
  <c r="L62" i="1" s="1"/>
  <c r="N52" i="1" l="1"/>
  <c r="N36" i="1"/>
  <c r="L91" i="1"/>
  <c r="K99" i="1" s="1"/>
  <c r="C21" i="3"/>
  <c r="D21" i="3" s="1"/>
  <c r="E21" i="3" s="1"/>
  <c r="M64" i="1"/>
  <c r="M66" i="1" s="1"/>
  <c r="M53" i="1"/>
  <c r="M54" i="1" s="1"/>
  <c r="M62" i="1" s="1"/>
  <c r="N33" i="1"/>
  <c r="N34" i="1" s="1"/>
  <c r="M91" i="1" l="1"/>
  <c r="L99" i="1" s="1"/>
  <c r="C22" i="3"/>
  <c r="D22" i="3" s="1"/>
  <c r="E22" i="3" s="1"/>
  <c r="N64" i="1"/>
  <c r="N66" i="1" s="1"/>
  <c r="N53" i="1"/>
  <c r="N54" i="1" s="1"/>
  <c r="N62" i="1" s="1"/>
  <c r="N91" i="1" l="1"/>
  <c r="M99" i="1" s="1"/>
  <c r="C23" i="3"/>
  <c r="D23" i="3" s="1"/>
  <c r="E23" i="3" s="1"/>
  <c r="N99" i="1" l="1"/>
  <c r="C24" i="3"/>
  <c r="D24" i="3" s="1"/>
  <c r="E24" i="3" s="1"/>
  <c r="C25" i="3" l="1"/>
  <c r="D25" i="3" s="1"/>
  <c r="E25" i="3" s="1"/>
  <c r="C26" i="3" l="1"/>
  <c r="D26" i="3" l="1"/>
  <c r="E26" i="3" s="1"/>
  <c r="D68" i="1" s="1"/>
  <c r="D70" i="1" s="1"/>
  <c r="D38" i="1"/>
  <c r="D40" i="1" s="1"/>
  <c r="D42" i="1" s="1"/>
  <c r="D44" i="1" s="1"/>
  <c r="D97" i="1" l="1"/>
  <c r="D103" i="1" s="1"/>
  <c r="D45" i="1"/>
  <c r="D73" i="1" s="1"/>
  <c r="G80" i="1" s="1"/>
  <c r="G81" i="1" s="1"/>
  <c r="C27" i="3"/>
  <c r="E38" i="1" s="1"/>
  <c r="E40" i="1" s="1"/>
  <c r="E42" i="1" s="1"/>
  <c r="E44" i="1" s="1"/>
  <c r="E97" i="1" s="1"/>
  <c r="D75" i="1" l="1"/>
  <c r="D78" i="1" s="1"/>
  <c r="D85" i="1"/>
  <c r="D86" i="1" s="1"/>
  <c r="D87" i="1" s="1"/>
  <c r="D106" i="1" s="1"/>
  <c r="D27" i="3"/>
  <c r="E27" i="3" s="1"/>
  <c r="E68" i="1" s="1"/>
  <c r="E70" i="1" s="1"/>
  <c r="E45" i="1"/>
  <c r="E73" i="1" s="1"/>
  <c r="E103" i="1"/>
  <c r="E75" i="1" l="1"/>
  <c r="E78" i="1" s="1"/>
  <c r="C28" i="3"/>
  <c r="D28" i="3" l="1"/>
  <c r="E28" i="3" s="1"/>
  <c r="F38" i="1"/>
  <c r="F40" i="1" s="1"/>
  <c r="F42" i="1" s="1"/>
  <c r="F44" i="1" l="1"/>
  <c r="F68" i="1"/>
  <c r="F70" i="1" s="1"/>
  <c r="C29" i="3"/>
  <c r="F97" i="1" l="1"/>
  <c r="F103" i="1" s="1"/>
  <c r="F45" i="1"/>
  <c r="F73" i="1" s="1"/>
  <c r="F75" i="1" s="1"/>
  <c r="F78" i="1" s="1"/>
  <c r="G38" i="1"/>
  <c r="G40" i="1" s="1"/>
  <c r="G42" i="1" s="1"/>
  <c r="D29" i="3"/>
  <c r="E29" i="3" s="1"/>
  <c r="G68" i="1" l="1"/>
  <c r="G70" i="1" s="1"/>
  <c r="C30" i="3"/>
  <c r="G44" i="1"/>
  <c r="G97" i="1" l="1"/>
  <c r="G103" i="1" s="1"/>
  <c r="G45" i="1"/>
  <c r="G73" i="1" s="1"/>
  <c r="G75" i="1" s="1"/>
  <c r="G78" i="1" s="1"/>
  <c r="D30" i="3"/>
  <c r="E30" i="3" s="1"/>
  <c r="H38" i="1"/>
  <c r="H40" i="1" s="1"/>
  <c r="H42" i="1" s="1"/>
  <c r="H44" i="1" l="1"/>
  <c r="H68" i="1"/>
  <c r="H70" i="1" s="1"/>
  <c r="C31" i="3"/>
  <c r="H97" i="1" l="1"/>
  <c r="H103" i="1" s="1"/>
  <c r="H45" i="1"/>
  <c r="H73" i="1" s="1"/>
  <c r="H75" i="1" s="1"/>
  <c r="H78" i="1" s="1"/>
  <c r="D31" i="3"/>
  <c r="E31" i="3" s="1"/>
  <c r="I38" i="1"/>
  <c r="I40" i="1" s="1"/>
  <c r="I42" i="1" s="1"/>
  <c r="I44" i="1" l="1"/>
  <c r="I68" i="1"/>
  <c r="I70" i="1" s="1"/>
  <c r="C32" i="3"/>
  <c r="I97" i="1" l="1"/>
  <c r="I103" i="1" s="1"/>
  <c r="I45" i="1"/>
  <c r="I73" i="1" s="1"/>
  <c r="I75" i="1" s="1"/>
  <c r="I78" i="1" s="1"/>
  <c r="J38" i="1"/>
  <c r="J40" i="1" s="1"/>
  <c r="J42" i="1" s="1"/>
  <c r="D32" i="3"/>
  <c r="E32" i="3" s="1"/>
  <c r="C33" i="3" l="1"/>
  <c r="J68" i="1"/>
  <c r="J70" i="1" s="1"/>
  <c r="J44" i="1"/>
  <c r="J97" i="1" l="1"/>
  <c r="J103" i="1" s="1"/>
  <c r="J45" i="1"/>
  <c r="J73" i="1" s="1"/>
  <c r="J75" i="1" s="1"/>
  <c r="J78" i="1" s="1"/>
  <c r="D33" i="3"/>
  <c r="E33" i="3" s="1"/>
  <c r="K38" i="1"/>
  <c r="K40" i="1" s="1"/>
  <c r="K42" i="1" s="1"/>
  <c r="K44" i="1" l="1"/>
  <c r="K68" i="1"/>
  <c r="K70" i="1" s="1"/>
  <c r="C34" i="3"/>
  <c r="K97" i="1" l="1"/>
  <c r="K103" i="1" s="1"/>
  <c r="L38" i="1"/>
  <c r="L40" i="1" s="1"/>
  <c r="L42" i="1" s="1"/>
  <c r="D34" i="3"/>
  <c r="E34" i="3" s="1"/>
  <c r="K45" i="1"/>
  <c r="K73" i="1" s="1"/>
  <c r="K75" i="1" s="1"/>
  <c r="K78" i="1" s="1"/>
  <c r="L44" i="1" l="1"/>
  <c r="C35" i="3"/>
  <c r="L68" i="1"/>
  <c r="L70" i="1" s="1"/>
  <c r="L97" i="1" l="1"/>
  <c r="L103" i="1" s="1"/>
  <c r="L45" i="1"/>
  <c r="L73" i="1" s="1"/>
  <c r="L75" i="1" s="1"/>
  <c r="L78" i="1" s="1"/>
  <c r="D35" i="3"/>
  <c r="E35" i="3" s="1"/>
  <c r="M38" i="1"/>
  <c r="M40" i="1" s="1"/>
  <c r="M42" i="1" s="1"/>
  <c r="M44" i="1" l="1"/>
  <c r="M68" i="1"/>
  <c r="M70" i="1" s="1"/>
  <c r="C36" i="3"/>
  <c r="M97" i="1" l="1"/>
  <c r="M103" i="1" s="1"/>
  <c r="M45" i="1"/>
  <c r="M73" i="1" s="1"/>
  <c r="M75" i="1" s="1"/>
  <c r="M78" i="1" s="1"/>
  <c r="N38" i="1"/>
  <c r="N40" i="1" s="1"/>
  <c r="N42" i="1" s="1"/>
  <c r="D36" i="3"/>
  <c r="E36" i="3" s="1"/>
  <c r="N68" i="1" s="1"/>
  <c r="N70" i="1" s="1"/>
  <c r="N44" i="1" l="1"/>
  <c r="N97" i="1" l="1"/>
  <c r="N103" i="1" s="1"/>
  <c r="D104" i="1" s="1"/>
  <c r="N45" i="1"/>
  <c r="N73" i="1" s="1"/>
  <c r="N75" i="1" s="1"/>
  <c r="N78" i="1" s="1"/>
</calcChain>
</file>

<file path=xl/sharedStrings.xml><?xml version="1.0" encoding="utf-8"?>
<sst xmlns="http://schemas.openxmlformats.org/spreadsheetml/2006/main" count="100" uniqueCount="89">
  <si>
    <t>Blue Ribbon Trophies</t>
  </si>
  <si>
    <t>Samples of mortage rates:</t>
  </si>
  <si>
    <t>Assumptions</t>
  </si>
  <si>
    <t>depreciation years (building)</t>
  </si>
  <si>
    <t>depreciation years (equipment)</t>
  </si>
  <si>
    <t>average mortgage rate</t>
  </si>
  <si>
    <t>extra bank loan rate</t>
  </si>
  <si>
    <t>Years in Business</t>
  </si>
  <si>
    <t>average COGS of trophies</t>
  </si>
  <si>
    <t>inventory</t>
  </si>
  <si>
    <t>Average Selling Price</t>
  </si>
  <si>
    <t>Estimated Sales (units)</t>
  </si>
  <si>
    <t>Nevada Tax Rate</t>
  </si>
  <si>
    <t>Federal Tax Rate</t>
  </si>
  <si>
    <t>Ratios</t>
  </si>
  <si>
    <t>Days A/R</t>
  </si>
  <si>
    <t>Days A/P</t>
  </si>
  <si>
    <t>Year</t>
  </si>
  <si>
    <t>Income Statement</t>
  </si>
  <si>
    <t>Sales</t>
  </si>
  <si>
    <t>Cost of Goods Sold</t>
  </si>
  <si>
    <t>Gross Profit</t>
  </si>
  <si>
    <t>Selling General and Administrative Expenses</t>
  </si>
  <si>
    <t>Depreciation Expense</t>
  </si>
  <si>
    <t>Mortgage Interest Expense</t>
  </si>
  <si>
    <t>Extra Bank Loan Expense</t>
  </si>
  <si>
    <t>Total Expenses</t>
  </si>
  <si>
    <t>Operating Income</t>
  </si>
  <si>
    <t>Income Tax</t>
  </si>
  <si>
    <t>Net Income</t>
  </si>
  <si>
    <t>Balance Sheet</t>
  </si>
  <si>
    <t>Assets</t>
  </si>
  <si>
    <t>Minimum Cash</t>
  </si>
  <si>
    <t>Extra Cash</t>
  </si>
  <si>
    <t>Accounts Receivable</t>
  </si>
  <si>
    <t>Inventories</t>
  </si>
  <si>
    <t>Total Current Assets</t>
  </si>
  <si>
    <t>Land</t>
  </si>
  <si>
    <t>Building</t>
  </si>
  <si>
    <t>Equipment</t>
  </si>
  <si>
    <t>Accumulated Depr.</t>
  </si>
  <si>
    <t>Net PPE</t>
  </si>
  <si>
    <t>Total Assets</t>
  </si>
  <si>
    <t>Accounts Payable</t>
  </si>
  <si>
    <t>Other Payables</t>
  </si>
  <si>
    <t>Total Current Liabilities</t>
  </si>
  <si>
    <t>Mortgage Debt</t>
  </si>
  <si>
    <t>Extra Bank Loan</t>
  </si>
  <si>
    <t>Total Long Term Debt</t>
  </si>
  <si>
    <t>Common Stock</t>
  </si>
  <si>
    <t>Retained Earnings</t>
  </si>
  <si>
    <t>Total Liabilities and Shareholders Equity</t>
  </si>
  <si>
    <t>DFN</t>
  </si>
  <si>
    <t>T bills</t>
  </si>
  <si>
    <t>Debt %</t>
  </si>
  <si>
    <t>EMRP</t>
  </si>
  <si>
    <t>Equity %</t>
  </si>
  <si>
    <t>S&amp;P500</t>
  </si>
  <si>
    <t>Beta</t>
  </si>
  <si>
    <t>Unlevered Beta</t>
  </si>
  <si>
    <t>Re-levered Beta</t>
  </si>
  <si>
    <t>CAPM</t>
  </si>
  <si>
    <t>WACC</t>
  </si>
  <si>
    <t>Population of Las Vegas</t>
  </si>
  <si>
    <t>Population of USA</t>
  </si>
  <si>
    <t>Total trophy stores in Vegas</t>
  </si>
  <si>
    <t>Selling General and Admin Expense</t>
  </si>
  <si>
    <t>Rate</t>
  </si>
  <si>
    <t>Principal</t>
  </si>
  <si>
    <t>Years</t>
  </si>
  <si>
    <t>PMT</t>
  </si>
  <si>
    <t>Interest</t>
  </si>
  <si>
    <t>Amort</t>
  </si>
  <si>
    <t>Total Free Cash Flow</t>
  </si>
  <si>
    <t>IRR</t>
  </si>
  <si>
    <t>Working Capital</t>
  </si>
  <si>
    <t>Cash from Operations</t>
  </si>
  <si>
    <t>NPV</t>
  </si>
  <si>
    <t>Cash Change from WC</t>
  </si>
  <si>
    <t>A/R</t>
  </si>
  <si>
    <t>Inventory</t>
  </si>
  <si>
    <t>A/P</t>
  </si>
  <si>
    <t>Other Pay</t>
  </si>
  <si>
    <t>Purchase Price</t>
  </si>
  <si>
    <t>The size of the trophy market in the US is $2.4 billion/year.</t>
  </si>
  <si>
    <t>Expansion (75%)</t>
  </si>
  <si>
    <t>Total Cash Flow</t>
  </si>
  <si>
    <t>No Change (25%)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</si>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</sst>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9" x14ac:knownFonts="1">
    <font>
      <sz val="10"/>
      <color rgb="FF00000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9" fontId="3" fillId="0" borderId="0" xfId="0" applyNumberFormat="1" applyFont="1" applyAlignment="1"/>
    <xf numFmtId="10" fontId="3" fillId="0" borderId="0" xfId="0" applyNumberFormat="1" applyFont="1" applyAlignment="1"/>
    <xf numFmtId="0" fontId="3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3" fontId="3" fillId="0" borderId="0" xfId="0" applyNumberFormat="1" applyFont="1" applyAlignment="1"/>
    <xf numFmtId="3" fontId="3" fillId="0" borderId="0" xfId="0" applyNumberFormat="1" applyFont="1" applyAlignment="1"/>
    <xf numFmtId="3" fontId="3" fillId="0" borderId="1" xfId="0" applyNumberFormat="1" applyFont="1" applyBorder="1" applyAlignment="1"/>
    <xf numFmtId="0" fontId="3" fillId="0" borderId="0" xfId="0" applyFont="1" applyAlignment="1"/>
    <xf numFmtId="1" fontId="3" fillId="0" borderId="0" xfId="0" applyNumberFormat="1" applyFont="1" applyAlignment="1"/>
    <xf numFmtId="3" fontId="3" fillId="0" borderId="0" xfId="0" applyNumberFormat="1" applyFont="1" applyAlignment="1"/>
    <xf numFmtId="3" fontId="3" fillId="0" borderId="0" xfId="0" applyNumberFormat="1" applyFont="1"/>
    <xf numFmtId="9" fontId="3" fillId="0" borderId="0" xfId="0" applyNumberFormat="1" applyFont="1" applyAlignment="1"/>
    <xf numFmtId="2" fontId="3" fillId="0" borderId="0" xfId="0" applyNumberFormat="1" applyFont="1"/>
    <xf numFmtId="10" fontId="3" fillId="0" borderId="0" xfId="0" applyNumberFormat="1" applyFont="1"/>
    <xf numFmtId="0" fontId="3" fillId="0" borderId="0" xfId="0" applyFont="1" applyAlignment="1"/>
    <xf numFmtId="0" fontId="0" fillId="0" borderId="0" xfId="0" applyFont="1" applyAlignment="1"/>
    <xf numFmtId="6" fontId="3" fillId="0" borderId="0" xfId="0" applyNumberFormat="1" applyFont="1" applyAlignment="1">
      <alignment horizontal="right"/>
    </xf>
    <xf numFmtId="6" fontId="0" fillId="0" borderId="0" xfId="0" applyNumberFormat="1" applyFont="1" applyAlignment="1"/>
    <xf numFmtId="9" fontId="3" fillId="0" borderId="0" xfId="2" applyFont="1" applyAlignment="1">
      <alignment horizontal="right"/>
    </xf>
    <xf numFmtId="164" fontId="3" fillId="0" borderId="0" xfId="2" applyNumberFormat="1" applyFont="1" applyAlignment="1">
      <alignment horizontal="right"/>
    </xf>
    <xf numFmtId="10" fontId="0" fillId="0" borderId="0" xfId="0" applyNumberFormat="1" applyFont="1" applyAlignment="1"/>
    <xf numFmtId="165" fontId="0" fillId="0" borderId="0" xfId="1" applyNumberFormat="1" applyFont="1" applyAlignment="1"/>
    <xf numFmtId="0" fontId="6" fillId="0" borderId="0" xfId="0" applyFont="1"/>
    <xf numFmtId="0" fontId="7" fillId="0" borderId="0" xfId="0" applyFont="1"/>
    <xf numFmtId="3" fontId="0" fillId="0" borderId="0" xfId="0" applyNumberFormat="1" applyFont="1" applyAlignment="1"/>
    <xf numFmtId="0" fontId="3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2" fillId="0" borderId="0" xfId="0" applyFont="1"/>
    <xf numFmtId="6" fontId="6" fillId="0" borderId="0" xfId="0" applyNumberFormat="1" applyFont="1"/>
    <xf numFmtId="6" fontId="3" fillId="0" borderId="0" xfId="0" applyNumberFormat="1" applyFont="1"/>
    <xf numFmtId="0" fontId="8" fillId="0" borderId="0" xfId="0" applyFont="1" applyAlignment="1"/>
    <xf numFmtId="8" fontId="0" fillId="0" borderId="0" xfId="0" applyNumberFormat="1" applyFont="1" applyAlignment="1"/>
    <xf numFmtId="0" fontId="8" fillId="0" borderId="2" xfId="0" applyFont="1" applyBorder="1" applyAlignment="1"/>
    <xf numFmtId="0" fontId="3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6"/>
  <sheetViews>
    <sheetView topLeftCell="A87" zoomScale="60" zoomScaleNormal="60" workbookViewId="0">
      <selection activeCell="D109" sqref="D109"/>
    </sheetView>
  </sheetViews>
  <sheetFormatPr defaultColWidth="14.42578125" defaultRowHeight="15.75" customHeight="1" x14ac:dyDescent="0.2"/>
  <cols>
    <col min="1" max="1" width="2.42578125" customWidth="1"/>
    <col min="2" max="2" width="38.42578125" customWidth="1"/>
    <col min="3" max="3" width="18.28515625" style="41" customWidth="1"/>
    <col min="4" max="4" width="15.7109375" bestFit="1" customWidth="1"/>
  </cols>
  <sheetData>
    <row r="1" spans="1:28" ht="15.75" customHeight="1" x14ac:dyDescent="0.25">
      <c r="A1" s="2"/>
      <c r="B1" s="54" t="s">
        <v>0</v>
      </c>
      <c r="C1" s="54"/>
      <c r="D1" s="53"/>
      <c r="E1" s="53"/>
      <c r="F1" s="52" t="s">
        <v>1</v>
      </c>
      <c r="G1" s="53"/>
      <c r="H1" s="53"/>
      <c r="I1" s="4">
        <v>0.04</v>
      </c>
      <c r="J1" s="5">
        <v>4.4299999999999999E-2</v>
      </c>
      <c r="K1" s="5">
        <v>4.2999999999999997E-2</v>
      </c>
      <c r="L1" s="5">
        <v>4.1799999999999997E-2</v>
      </c>
      <c r="M1" s="6"/>
      <c r="N1" s="6"/>
      <c r="O1" s="6"/>
      <c r="P1" s="6"/>
      <c r="Q1" s="6"/>
      <c r="R1" s="6"/>
      <c r="S1" s="6"/>
      <c r="T1" s="6"/>
      <c r="U1" s="7"/>
      <c r="V1" s="7"/>
      <c r="W1" s="7"/>
      <c r="X1" s="7"/>
      <c r="Y1" s="7"/>
      <c r="Z1" s="7"/>
      <c r="AA1" s="7"/>
      <c r="AB1" s="7"/>
    </row>
    <row r="2" spans="1:28" ht="15.75" customHeight="1" x14ac:dyDescent="0.25">
      <c r="A2" s="8"/>
      <c r="B2" s="8"/>
      <c r="C2" s="42"/>
      <c r="D2" s="8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  <c r="V2" s="7"/>
      <c r="W2" s="7"/>
      <c r="X2" s="7"/>
      <c r="Y2" s="7"/>
      <c r="Z2" s="7"/>
      <c r="AA2" s="7"/>
      <c r="AB2" s="7"/>
    </row>
    <row r="3" spans="1:28" ht="15.75" customHeight="1" x14ac:dyDescent="0.25">
      <c r="A3" s="9"/>
      <c r="B3" s="9" t="s">
        <v>2</v>
      </c>
      <c r="C3" s="12"/>
      <c r="D3" s="8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7"/>
      <c r="W3" s="7"/>
      <c r="X3" s="7"/>
      <c r="Y3" s="7"/>
      <c r="Z3" s="7"/>
      <c r="AA3" s="7"/>
      <c r="AB3" s="7"/>
    </row>
    <row r="4" spans="1:28" ht="15.75" customHeight="1" x14ac:dyDescent="0.2">
      <c r="A4" s="10"/>
      <c r="B4" s="10" t="s">
        <v>3</v>
      </c>
      <c r="C4" s="10"/>
      <c r="D4" s="11">
        <v>27.5</v>
      </c>
      <c r="E4" s="12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7"/>
      <c r="W4" s="7"/>
      <c r="X4" s="7"/>
      <c r="Y4" s="7"/>
      <c r="Z4" s="7"/>
      <c r="AA4" s="7"/>
      <c r="AB4" s="7"/>
    </row>
    <row r="5" spans="1:28" ht="15.75" customHeight="1" x14ac:dyDescent="0.2">
      <c r="A5" s="10"/>
      <c r="B5" s="10" t="s">
        <v>4</v>
      </c>
      <c r="C5" s="10"/>
      <c r="D5" s="11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  <c r="V5" s="7"/>
      <c r="W5" s="7"/>
      <c r="X5" s="7"/>
      <c r="Y5" s="7"/>
      <c r="Z5" s="7"/>
      <c r="AA5" s="7"/>
      <c r="AB5" s="7"/>
    </row>
    <row r="6" spans="1:28" ht="15.75" customHeight="1" x14ac:dyDescent="0.2">
      <c r="A6" s="10"/>
      <c r="B6" s="10" t="s">
        <v>5</v>
      </c>
      <c r="C6" s="10"/>
      <c r="D6" s="13">
        <v>4.2799999999999998E-2</v>
      </c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7"/>
      <c r="V6" s="7"/>
      <c r="W6" s="7"/>
      <c r="X6" s="7"/>
      <c r="Y6" s="7"/>
      <c r="Z6" s="7"/>
      <c r="AA6" s="7"/>
      <c r="AB6" s="7"/>
    </row>
    <row r="7" spans="1:28" ht="15.75" customHeight="1" x14ac:dyDescent="0.2">
      <c r="A7" s="10"/>
      <c r="B7" s="10" t="s">
        <v>6</v>
      </c>
      <c r="C7" s="10"/>
      <c r="D7" s="13">
        <v>8.5999999999999993E-2</v>
      </c>
      <c r="E7" s="1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7"/>
      <c r="W7" s="7"/>
      <c r="X7" s="7"/>
      <c r="Y7" s="7"/>
      <c r="Z7" s="7"/>
      <c r="AA7" s="7"/>
      <c r="AB7" s="7"/>
    </row>
    <row r="8" spans="1:28" ht="15.75" customHeight="1" x14ac:dyDescent="0.2">
      <c r="A8" s="10"/>
      <c r="B8" s="10" t="s">
        <v>7</v>
      </c>
      <c r="C8" s="10"/>
      <c r="D8" s="11">
        <v>21</v>
      </c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7"/>
      <c r="W8" s="7"/>
      <c r="X8" s="7"/>
      <c r="Y8" s="7"/>
      <c r="Z8" s="7"/>
      <c r="AA8" s="7"/>
      <c r="AB8" s="7"/>
    </row>
    <row r="9" spans="1:28" ht="15.75" customHeight="1" x14ac:dyDescent="0.2">
      <c r="A9" s="10"/>
      <c r="B9" s="10" t="s">
        <v>8</v>
      </c>
      <c r="C9" s="10"/>
      <c r="D9" s="11">
        <v>9</v>
      </c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7"/>
      <c r="Y9" s="7"/>
      <c r="Z9" s="7"/>
      <c r="AA9" s="7"/>
      <c r="AB9" s="7"/>
    </row>
    <row r="10" spans="1:28" ht="15.75" customHeight="1" x14ac:dyDescent="0.2">
      <c r="A10" s="10"/>
      <c r="B10" s="10" t="s">
        <v>9</v>
      </c>
      <c r="C10" s="10"/>
      <c r="D10" s="14">
        <v>150000</v>
      </c>
      <c r="E10" s="12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7"/>
      <c r="V10" s="7"/>
      <c r="W10" s="7"/>
      <c r="X10" s="7"/>
      <c r="Y10" s="7"/>
      <c r="Z10" s="7"/>
      <c r="AA10" s="7"/>
      <c r="AB10" s="7"/>
    </row>
    <row r="11" spans="1:28" ht="15.75" customHeight="1" x14ac:dyDescent="0.2">
      <c r="A11" s="12"/>
      <c r="B11" s="10" t="s">
        <v>10</v>
      </c>
      <c r="C11" s="10"/>
      <c r="D11" s="14">
        <v>30</v>
      </c>
      <c r="E11" s="12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7"/>
      <c r="Y11" s="7"/>
      <c r="Z11" s="7"/>
      <c r="AA11" s="7"/>
      <c r="AB11" s="7"/>
    </row>
    <row r="12" spans="1:28" ht="15.75" customHeight="1" x14ac:dyDescent="0.2">
      <c r="A12" s="12"/>
      <c r="B12" s="10" t="s">
        <v>11</v>
      </c>
      <c r="C12" s="10"/>
      <c r="D12" s="14">
        <v>14557</v>
      </c>
      <c r="E12" s="1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7"/>
      <c r="Y12" s="7"/>
      <c r="Z12" s="7"/>
      <c r="AA12" s="7"/>
      <c r="AB12" s="7"/>
    </row>
    <row r="13" spans="1:28" ht="15.75" customHeight="1" x14ac:dyDescent="0.2">
      <c r="A13" s="12"/>
      <c r="B13" s="10" t="s">
        <v>12</v>
      </c>
      <c r="C13" s="10"/>
      <c r="D13" s="11">
        <v>0</v>
      </c>
      <c r="E13" s="1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7"/>
      <c r="Y13" s="7"/>
      <c r="Z13" s="7"/>
      <c r="AA13" s="7"/>
      <c r="AB13" s="7"/>
    </row>
    <row r="14" spans="1:28" ht="15.75" customHeight="1" x14ac:dyDescent="0.2">
      <c r="A14" s="12"/>
      <c r="B14" s="10" t="s">
        <v>13</v>
      </c>
      <c r="C14" s="10"/>
      <c r="D14" s="33">
        <v>0.35</v>
      </c>
      <c r="E14" s="1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7"/>
      <c r="Y14" s="7"/>
      <c r="Z14" s="7"/>
      <c r="AA14" s="7"/>
      <c r="AB14" s="7"/>
    </row>
    <row r="15" spans="1:28" s="30" customFormat="1" ht="15.75" customHeight="1" x14ac:dyDescent="0.2">
      <c r="A15" s="12"/>
      <c r="B15" s="1" t="s">
        <v>84</v>
      </c>
      <c r="C15" s="1"/>
      <c r="D15" s="31">
        <v>2400000000</v>
      </c>
      <c r="E15" s="12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7"/>
      <c r="V15" s="7"/>
      <c r="W15" s="7"/>
      <c r="X15" s="7"/>
      <c r="Y15" s="7"/>
      <c r="Z15" s="7"/>
      <c r="AA15" s="7"/>
      <c r="AB15" s="7"/>
    </row>
    <row r="16" spans="1:28" s="30" customFormat="1" ht="15.75" customHeight="1" x14ac:dyDescent="0.2">
      <c r="A16" s="12"/>
      <c r="B16" s="1" t="s">
        <v>63</v>
      </c>
      <c r="C16" s="1"/>
      <c r="D16" s="11">
        <v>603488</v>
      </c>
      <c r="E16" s="12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"/>
      <c r="V16" s="7"/>
      <c r="W16" s="7"/>
      <c r="X16" s="7"/>
      <c r="Y16" s="7"/>
      <c r="Z16" s="7"/>
      <c r="AA16" s="7"/>
      <c r="AB16" s="7"/>
    </row>
    <row r="17" spans="1:28" s="30" customFormat="1" ht="15.75" customHeight="1" x14ac:dyDescent="0.2">
      <c r="A17" s="12"/>
      <c r="B17" s="1" t="s">
        <v>64</v>
      </c>
      <c r="C17" s="1"/>
      <c r="D17" s="11">
        <v>318900000</v>
      </c>
      <c r="E17" s="12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7"/>
      <c r="V17" s="7"/>
      <c r="W17" s="7"/>
      <c r="X17" s="7"/>
      <c r="Y17" s="7"/>
      <c r="Z17" s="7"/>
      <c r="AA17" s="7"/>
      <c r="AB17" s="7"/>
    </row>
    <row r="18" spans="1:28" s="30" customFormat="1" ht="15.75" customHeight="1" x14ac:dyDescent="0.2">
      <c r="A18" s="12"/>
      <c r="B18" s="1" t="s">
        <v>65</v>
      </c>
      <c r="C18" s="1"/>
      <c r="D18" s="11">
        <v>13</v>
      </c>
      <c r="E18" s="12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7"/>
      <c r="V18" s="7"/>
      <c r="W18" s="7"/>
      <c r="X18" s="7"/>
      <c r="Y18" s="7"/>
      <c r="Z18" s="7"/>
      <c r="AA18" s="7"/>
      <c r="AB18" s="7"/>
    </row>
    <row r="19" spans="1:28" s="30" customFormat="1" ht="15.75" customHeight="1" x14ac:dyDescent="0.2">
      <c r="A19" s="12"/>
      <c r="B19" s="1" t="s">
        <v>66</v>
      </c>
      <c r="C19" s="1"/>
      <c r="D19" s="34">
        <v>0.57323068679601286</v>
      </c>
      <c r="E19" s="12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7"/>
      <c r="V19" s="7"/>
      <c r="W19" s="7"/>
      <c r="X19" s="7"/>
      <c r="Y19" s="7"/>
      <c r="Z19" s="7"/>
      <c r="AA19" s="7"/>
      <c r="AB19" s="7"/>
    </row>
    <row r="20" spans="1:28" s="30" customFormat="1" ht="15.75" customHeight="1" x14ac:dyDescent="0.2">
      <c r="A20" s="12"/>
      <c r="B20" s="10" t="s">
        <v>83</v>
      </c>
      <c r="C20" s="10"/>
      <c r="D20" s="31">
        <v>150000</v>
      </c>
      <c r="E20" s="12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7"/>
      <c r="V20" s="7"/>
      <c r="W20" s="7"/>
      <c r="X20" s="7"/>
      <c r="Y20" s="7"/>
      <c r="Z20" s="7"/>
      <c r="AA20" s="7"/>
      <c r="AB20" s="7"/>
    </row>
    <row r="21" spans="1:28" s="30" customFormat="1" ht="15.75" customHeight="1" x14ac:dyDescent="0.2">
      <c r="A21" s="12"/>
      <c r="B21" s="10"/>
      <c r="C21" s="10"/>
      <c r="D21" s="11"/>
      <c r="E21" s="12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7"/>
      <c r="V21" s="7"/>
      <c r="W21" s="7"/>
      <c r="X21" s="7"/>
      <c r="Y21" s="7"/>
      <c r="Z21" s="7"/>
      <c r="AA21" s="7"/>
      <c r="AB21" s="7"/>
    </row>
    <row r="22" spans="1:28" ht="15.75" customHeight="1" x14ac:dyDescent="0.2">
      <c r="A22" s="12"/>
      <c r="B22" s="12"/>
      <c r="C22" s="12"/>
      <c r="D22" s="12"/>
      <c r="E22" s="1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7"/>
      <c r="W22" s="7"/>
      <c r="X22" s="7"/>
      <c r="Y22" s="7"/>
      <c r="Z22" s="7"/>
      <c r="AA22" s="7"/>
      <c r="AB22" s="7"/>
    </row>
    <row r="23" spans="1:28" ht="15.75" customHeight="1" x14ac:dyDescent="0.25">
      <c r="A23" s="12"/>
      <c r="B23" s="15" t="s">
        <v>14</v>
      </c>
      <c r="C23" s="15"/>
      <c r="D23" s="12"/>
      <c r="E23" s="1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7"/>
      <c r="V23" s="7"/>
      <c r="W23" s="7"/>
      <c r="X23" s="7"/>
      <c r="Y23" s="7"/>
      <c r="Z23" s="7"/>
      <c r="AA23" s="7"/>
      <c r="AB23" s="7"/>
    </row>
    <row r="24" spans="1:28" ht="15.75" customHeight="1" x14ac:dyDescent="0.2">
      <c r="A24" s="12"/>
      <c r="B24" s="10" t="s">
        <v>15</v>
      </c>
      <c r="C24" s="10"/>
      <c r="D24" s="16">
        <f>D52/(D32/365)</f>
        <v>60.833333333333329</v>
      </c>
      <c r="E24" s="16">
        <f t="shared" ref="E24:N24" si="0">D24</f>
        <v>60.833333333333329</v>
      </c>
      <c r="F24" s="16">
        <f t="shared" si="0"/>
        <v>60.833333333333329</v>
      </c>
      <c r="G24" s="16">
        <f t="shared" si="0"/>
        <v>60.833333333333329</v>
      </c>
      <c r="H24" s="16">
        <f t="shared" si="0"/>
        <v>60.833333333333329</v>
      </c>
      <c r="I24" s="16">
        <f t="shared" si="0"/>
        <v>60.833333333333329</v>
      </c>
      <c r="J24" s="16">
        <f t="shared" si="0"/>
        <v>60.833333333333329</v>
      </c>
      <c r="K24" s="16">
        <f t="shared" si="0"/>
        <v>60.833333333333329</v>
      </c>
      <c r="L24" s="16">
        <f t="shared" si="0"/>
        <v>60.833333333333329</v>
      </c>
      <c r="M24" s="16">
        <f t="shared" si="0"/>
        <v>60.833333333333329</v>
      </c>
      <c r="N24" s="16">
        <f t="shared" si="0"/>
        <v>60.833333333333329</v>
      </c>
      <c r="O24" s="6"/>
      <c r="P24" s="6"/>
      <c r="Q24" s="6"/>
      <c r="R24" s="6"/>
      <c r="S24" s="6"/>
      <c r="T24" s="6"/>
      <c r="U24" s="7"/>
      <c r="V24" s="7"/>
      <c r="W24" s="7"/>
      <c r="X24" s="7"/>
      <c r="Y24" s="7"/>
      <c r="Z24" s="7"/>
      <c r="AA24" s="7"/>
      <c r="AB24" s="7"/>
    </row>
    <row r="25" spans="1:28" ht="15.75" customHeight="1" x14ac:dyDescent="0.2">
      <c r="A25" s="12"/>
      <c r="B25" s="10" t="s">
        <v>16</v>
      </c>
      <c r="C25" s="10"/>
      <c r="D25" s="16">
        <f>D64/(D33/365)</f>
        <v>19.418605925990686</v>
      </c>
      <c r="E25" s="16">
        <f t="shared" ref="E25:N25" si="1">D25</f>
        <v>19.418605925990686</v>
      </c>
      <c r="F25" s="16">
        <f t="shared" si="1"/>
        <v>19.418605925990686</v>
      </c>
      <c r="G25" s="16">
        <f t="shared" si="1"/>
        <v>19.418605925990686</v>
      </c>
      <c r="H25" s="16">
        <f t="shared" si="1"/>
        <v>19.418605925990686</v>
      </c>
      <c r="I25" s="16">
        <f t="shared" si="1"/>
        <v>19.418605925990686</v>
      </c>
      <c r="J25" s="16">
        <f t="shared" si="1"/>
        <v>19.418605925990686</v>
      </c>
      <c r="K25" s="16">
        <f t="shared" si="1"/>
        <v>19.418605925990686</v>
      </c>
      <c r="L25" s="16">
        <f t="shared" si="1"/>
        <v>19.418605925990686</v>
      </c>
      <c r="M25" s="16">
        <f t="shared" si="1"/>
        <v>19.418605925990686</v>
      </c>
      <c r="N25" s="16">
        <f t="shared" si="1"/>
        <v>19.418605925990686</v>
      </c>
      <c r="O25" s="6"/>
      <c r="P25" s="6"/>
      <c r="Q25" s="6"/>
      <c r="R25" s="6"/>
      <c r="S25" s="6"/>
      <c r="T25" s="6"/>
      <c r="U25" s="7"/>
      <c r="V25" s="7"/>
      <c r="W25" s="7"/>
      <c r="X25" s="7"/>
      <c r="Y25" s="7"/>
      <c r="Z25" s="7"/>
      <c r="AA25" s="7"/>
      <c r="AB25" s="7"/>
    </row>
    <row r="26" spans="1:28" ht="15.75" customHeight="1" x14ac:dyDescent="0.2">
      <c r="A26" s="12"/>
      <c r="B26" s="10"/>
      <c r="C26" s="10"/>
      <c r="D26" s="16">
        <f>D53/(D33/365)</f>
        <v>417.89746055734923</v>
      </c>
      <c r="E26" s="16">
        <f t="shared" ref="E26:N26" si="2">D26</f>
        <v>417.89746055734923</v>
      </c>
      <c r="F26" s="16">
        <f t="shared" si="2"/>
        <v>417.89746055734923</v>
      </c>
      <c r="G26" s="16">
        <f t="shared" si="2"/>
        <v>417.89746055734923</v>
      </c>
      <c r="H26" s="16">
        <f t="shared" si="2"/>
        <v>417.89746055734923</v>
      </c>
      <c r="I26" s="16">
        <f t="shared" si="2"/>
        <v>417.89746055734923</v>
      </c>
      <c r="J26" s="16">
        <f t="shared" si="2"/>
        <v>417.89746055734923</v>
      </c>
      <c r="K26" s="16">
        <f t="shared" si="2"/>
        <v>417.89746055734923</v>
      </c>
      <c r="L26" s="16">
        <f t="shared" si="2"/>
        <v>417.89746055734923</v>
      </c>
      <c r="M26" s="16">
        <f t="shared" si="2"/>
        <v>417.89746055734923</v>
      </c>
      <c r="N26" s="16">
        <f t="shared" si="2"/>
        <v>417.89746055734923</v>
      </c>
      <c r="O26" s="6"/>
      <c r="P26" s="6"/>
      <c r="Q26" s="6"/>
      <c r="R26" s="6"/>
      <c r="S26" s="6"/>
      <c r="T26" s="6"/>
      <c r="U26" s="7"/>
      <c r="V26" s="7"/>
      <c r="W26" s="7"/>
      <c r="X26" s="7"/>
      <c r="Y26" s="7"/>
      <c r="Z26" s="7"/>
      <c r="AA26" s="7"/>
      <c r="AB26" s="7"/>
    </row>
    <row r="27" spans="1:28" ht="15.75" customHeight="1" x14ac:dyDescent="0.2">
      <c r="A27" s="12"/>
      <c r="B27" s="12"/>
      <c r="C27" s="12"/>
      <c r="D27" s="12"/>
      <c r="E27" s="12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7"/>
      <c r="V27" s="7"/>
      <c r="W27" s="7"/>
      <c r="X27" s="7"/>
      <c r="Y27" s="7"/>
      <c r="Z27" s="7"/>
      <c r="AA27" s="7"/>
      <c r="AB27" s="7"/>
    </row>
    <row r="28" spans="1:28" ht="15.75" customHeight="1" x14ac:dyDescent="0.2">
      <c r="A28" s="12"/>
      <c r="B28" s="12"/>
      <c r="C28" s="12"/>
      <c r="D28" s="12"/>
      <c r="E28" s="12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V28" s="7"/>
      <c r="W28" s="7"/>
      <c r="X28" s="7"/>
      <c r="Y28" s="7"/>
      <c r="Z28" s="7"/>
      <c r="AA28" s="7"/>
      <c r="AB28" s="7"/>
    </row>
    <row r="29" spans="1:28" ht="14.25" x14ac:dyDescent="0.2">
      <c r="A29" s="9"/>
      <c r="B29" s="9" t="s">
        <v>17</v>
      </c>
      <c r="C29" s="12"/>
      <c r="D29" s="10">
        <v>2015</v>
      </c>
      <c r="E29" s="10">
        <v>2016</v>
      </c>
      <c r="F29" s="10">
        <v>2017</v>
      </c>
      <c r="G29" s="10">
        <v>2018</v>
      </c>
      <c r="H29" s="10">
        <v>2019</v>
      </c>
      <c r="I29" s="10">
        <v>2020</v>
      </c>
      <c r="J29" s="10">
        <v>2021</v>
      </c>
      <c r="K29" s="10">
        <v>2022</v>
      </c>
      <c r="L29" s="10">
        <v>2023</v>
      </c>
      <c r="M29" s="10">
        <v>2024</v>
      </c>
      <c r="N29" s="10">
        <v>2025</v>
      </c>
      <c r="O29" s="17"/>
      <c r="P29" s="17"/>
      <c r="Q29" s="17"/>
      <c r="R29" s="17"/>
      <c r="S29" s="17"/>
      <c r="T29" s="17"/>
      <c r="U29" s="7"/>
      <c r="V29" s="7"/>
      <c r="W29" s="7"/>
      <c r="X29" s="7"/>
      <c r="Y29" s="7"/>
      <c r="Z29" s="7"/>
      <c r="AA29" s="7"/>
      <c r="AB29" s="7"/>
    </row>
    <row r="30" spans="1:28" ht="15" x14ac:dyDescent="0.25">
      <c r="A30" s="12"/>
      <c r="B30" s="12"/>
      <c r="C30" s="12"/>
      <c r="D30" s="8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7"/>
      <c r="V30" s="7"/>
      <c r="W30" s="7"/>
      <c r="X30" s="7"/>
      <c r="Y30" s="7"/>
      <c r="Z30" s="7"/>
      <c r="AA30" s="7"/>
      <c r="AB30" s="7"/>
    </row>
    <row r="31" spans="1:28" ht="15" x14ac:dyDescent="0.25">
      <c r="A31" s="18"/>
      <c r="B31" s="18" t="s">
        <v>18</v>
      </c>
      <c r="C31" s="18"/>
      <c r="D31" s="19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7"/>
      <c r="V31" s="7"/>
      <c r="W31" s="7"/>
      <c r="X31" s="7"/>
      <c r="Y31" s="7"/>
      <c r="Z31" s="7"/>
      <c r="AA31" s="7"/>
      <c r="AB31" s="7"/>
    </row>
    <row r="32" spans="1:28" ht="14.25" x14ac:dyDescent="0.2">
      <c r="A32" s="3"/>
      <c r="B32" s="3" t="s">
        <v>19</v>
      </c>
      <c r="C32" s="40"/>
      <c r="D32" s="20">
        <f>(D16/D17)/D18*D15</f>
        <v>349367.10326362256</v>
      </c>
      <c r="E32" s="19">
        <f>D32*1.002</f>
        <v>350065.8374701498</v>
      </c>
      <c r="F32" s="19">
        <f t="shared" ref="F32:N32" si="3">E32*1.002</f>
        <v>350765.96914509009</v>
      </c>
      <c r="G32" s="19">
        <f t="shared" si="3"/>
        <v>351467.50108338025</v>
      </c>
      <c r="H32" s="19">
        <f t="shared" si="3"/>
        <v>352170.43608554703</v>
      </c>
      <c r="I32" s="19">
        <f t="shared" si="3"/>
        <v>352874.77695771813</v>
      </c>
      <c r="J32" s="19">
        <f t="shared" si="3"/>
        <v>353580.52651163359</v>
      </c>
      <c r="K32" s="19">
        <f t="shared" si="3"/>
        <v>354287.68756465684</v>
      </c>
      <c r="L32" s="19">
        <f t="shared" si="3"/>
        <v>354996.26293978613</v>
      </c>
      <c r="M32" s="19">
        <f t="shared" si="3"/>
        <v>355706.25546566572</v>
      </c>
      <c r="N32" s="19">
        <f t="shared" si="3"/>
        <v>356417.66797659703</v>
      </c>
      <c r="O32" s="6"/>
      <c r="P32" s="6"/>
      <c r="Q32" s="6"/>
      <c r="R32" s="6"/>
      <c r="S32" s="6"/>
      <c r="T32" s="6"/>
      <c r="U32" s="7"/>
      <c r="V32" s="7"/>
      <c r="W32" s="7"/>
      <c r="X32" s="7"/>
      <c r="Y32" s="7"/>
      <c r="Z32" s="7"/>
      <c r="AA32" s="7"/>
      <c r="AB32" s="7"/>
    </row>
    <row r="33" spans="1:28" ht="14.25" x14ac:dyDescent="0.2">
      <c r="A33" s="3"/>
      <c r="B33" s="3" t="s">
        <v>20</v>
      </c>
      <c r="C33" s="40"/>
      <c r="D33" s="21">
        <f>14557*D9</f>
        <v>131013</v>
      </c>
      <c r="E33" s="21">
        <f t="shared" ref="E33:N33" si="4">$D$33/$D$32*E32</f>
        <v>131275.02600000001</v>
      </c>
      <c r="F33" s="21">
        <f t="shared" si="4"/>
        <v>131537.57605199999</v>
      </c>
      <c r="G33" s="21">
        <f t="shared" si="4"/>
        <v>131800.65120410401</v>
      </c>
      <c r="H33" s="21">
        <f t="shared" si="4"/>
        <v>132064.25250651222</v>
      </c>
      <c r="I33" s="21">
        <f t="shared" si="4"/>
        <v>132328.38101152523</v>
      </c>
      <c r="J33" s="21">
        <f t="shared" si="4"/>
        <v>132593.03777354831</v>
      </c>
      <c r="K33" s="21">
        <f t="shared" si="4"/>
        <v>132858.22384909538</v>
      </c>
      <c r="L33" s="21">
        <f t="shared" si="4"/>
        <v>133123.94029679356</v>
      </c>
      <c r="M33" s="21">
        <f t="shared" si="4"/>
        <v>133390.18817738717</v>
      </c>
      <c r="N33" s="21">
        <f t="shared" si="4"/>
        <v>133656.96855374193</v>
      </c>
      <c r="O33" s="6"/>
      <c r="P33" s="6"/>
      <c r="Q33" s="6"/>
      <c r="R33" s="6"/>
      <c r="S33" s="6"/>
      <c r="T33" s="6"/>
      <c r="U33" s="7"/>
      <c r="V33" s="7"/>
      <c r="W33" s="7"/>
      <c r="X33" s="7"/>
      <c r="Y33" s="7"/>
      <c r="Z33" s="7"/>
      <c r="AA33" s="7"/>
      <c r="AB33" s="7"/>
    </row>
    <row r="34" spans="1:28" ht="14.25" x14ac:dyDescent="0.2">
      <c r="A34" s="6"/>
      <c r="B34" s="3" t="s">
        <v>21</v>
      </c>
      <c r="C34" s="40"/>
      <c r="D34" s="19">
        <f>D32-D33</f>
        <v>218354.10326362256</v>
      </c>
      <c r="E34" s="19">
        <f t="shared" ref="E34:N34" si="5">E32-E33</f>
        <v>218790.81147014978</v>
      </c>
      <c r="F34" s="19">
        <f t="shared" si="5"/>
        <v>219228.3930930901</v>
      </c>
      <c r="G34" s="19">
        <f t="shared" si="5"/>
        <v>219666.84987927624</v>
      </c>
      <c r="H34" s="19">
        <f t="shared" si="5"/>
        <v>220106.18357903481</v>
      </c>
      <c r="I34" s="19">
        <f t="shared" si="5"/>
        <v>220546.3959461929</v>
      </c>
      <c r="J34" s="19">
        <f t="shared" si="5"/>
        <v>220987.48873808529</v>
      </c>
      <c r="K34" s="19">
        <f t="shared" si="5"/>
        <v>221429.46371556146</v>
      </c>
      <c r="L34" s="19">
        <f t="shared" si="5"/>
        <v>221872.32264299257</v>
      </c>
      <c r="M34" s="19">
        <f t="shared" si="5"/>
        <v>222316.06728827854</v>
      </c>
      <c r="N34" s="19">
        <f t="shared" si="5"/>
        <v>222760.6994228551</v>
      </c>
      <c r="O34" s="6"/>
      <c r="P34" s="6"/>
      <c r="Q34" s="6"/>
      <c r="R34" s="6"/>
      <c r="S34" s="6"/>
      <c r="T34" s="6"/>
      <c r="U34" s="7"/>
      <c r="V34" s="7"/>
      <c r="W34" s="7"/>
      <c r="X34" s="7"/>
      <c r="Y34" s="7"/>
      <c r="Z34" s="7"/>
      <c r="AA34" s="7"/>
      <c r="AB34" s="7"/>
    </row>
    <row r="35" spans="1:28" ht="14.25" x14ac:dyDescent="0.2">
      <c r="A35" s="3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7"/>
      <c r="V35" s="7"/>
      <c r="W35" s="7"/>
      <c r="X35" s="7"/>
      <c r="Y35" s="7"/>
      <c r="Z35" s="7"/>
      <c r="AA35" s="7"/>
      <c r="AB35" s="7"/>
    </row>
    <row r="36" spans="1:28" ht="14.25" x14ac:dyDescent="0.2">
      <c r="A36" s="3"/>
      <c r="B36" s="1" t="s">
        <v>22</v>
      </c>
      <c r="C36" s="1"/>
      <c r="D36" s="20">
        <f>D32*$D$19</f>
        <v>200267.9445477399</v>
      </c>
      <c r="E36" s="24">
        <f t="shared" ref="E36:N36" si="6">E32*$D$19</f>
        <v>200668.48043683538</v>
      </c>
      <c r="F36" s="24">
        <f t="shared" si="6"/>
        <v>201069.81739770903</v>
      </c>
      <c r="G36" s="24">
        <f t="shared" si="6"/>
        <v>201471.95703250446</v>
      </c>
      <c r="H36" s="24">
        <f t="shared" si="6"/>
        <v>201874.90094656948</v>
      </c>
      <c r="I36" s="24">
        <f t="shared" si="6"/>
        <v>202278.65074846262</v>
      </c>
      <c r="J36" s="24">
        <f t="shared" si="6"/>
        <v>202683.20804995956</v>
      </c>
      <c r="K36" s="24">
        <f t="shared" si="6"/>
        <v>203088.57446605945</v>
      </c>
      <c r="L36" s="24">
        <f t="shared" si="6"/>
        <v>203494.75161499158</v>
      </c>
      <c r="M36" s="24">
        <f t="shared" si="6"/>
        <v>203901.74111822157</v>
      </c>
      <c r="N36" s="24">
        <f t="shared" si="6"/>
        <v>204309.544600458</v>
      </c>
      <c r="O36" s="19"/>
      <c r="P36" s="6"/>
      <c r="Q36" s="6"/>
      <c r="R36" s="6"/>
      <c r="S36" s="6"/>
      <c r="T36" s="6"/>
      <c r="U36" s="7"/>
      <c r="V36" s="7"/>
      <c r="W36" s="7"/>
      <c r="X36" s="7"/>
      <c r="Y36" s="7"/>
      <c r="Z36" s="7"/>
      <c r="AA36" s="7"/>
      <c r="AB36" s="7"/>
    </row>
    <row r="37" spans="1:28" ht="14.25" x14ac:dyDescent="0.2">
      <c r="A37" s="6"/>
      <c r="B37" s="3" t="s">
        <v>23</v>
      </c>
      <c r="C37" s="40"/>
      <c r="D37" s="20">
        <f t="shared" ref="D37:K37" si="7">(D57/$D$4)+(D58/$D$5)</f>
        <v>5936.363636363636</v>
      </c>
      <c r="E37" s="20">
        <f t="shared" si="7"/>
        <v>5936.363636363636</v>
      </c>
      <c r="F37" s="20">
        <f t="shared" si="7"/>
        <v>5936.363636363636</v>
      </c>
      <c r="G37" s="20">
        <f t="shared" si="7"/>
        <v>5936.363636363636</v>
      </c>
      <c r="H37" s="20">
        <f t="shared" si="7"/>
        <v>5936.363636363636</v>
      </c>
      <c r="I37" s="20">
        <f t="shared" si="7"/>
        <v>6636.363636363636</v>
      </c>
      <c r="J37" s="20">
        <f t="shared" si="7"/>
        <v>6636.363636363636</v>
      </c>
      <c r="K37" s="20">
        <f t="shared" si="7"/>
        <v>6636.363636363636</v>
      </c>
      <c r="L37" s="20">
        <f t="shared" ref="L37:N37" si="8">(L58/$D$5)</f>
        <v>1400</v>
      </c>
      <c r="M37" s="20">
        <f t="shared" si="8"/>
        <v>2100</v>
      </c>
      <c r="N37" s="20">
        <f t="shared" si="8"/>
        <v>2100</v>
      </c>
      <c r="O37" s="6"/>
      <c r="P37" s="6"/>
      <c r="Q37" s="6"/>
      <c r="R37" s="6"/>
      <c r="S37" s="6"/>
      <c r="T37" s="6"/>
      <c r="U37" s="7"/>
      <c r="V37" s="7"/>
      <c r="W37" s="7"/>
      <c r="X37" s="7"/>
      <c r="Y37" s="7"/>
      <c r="Z37" s="7"/>
      <c r="AA37" s="7"/>
      <c r="AB37" s="7"/>
    </row>
    <row r="38" spans="1:28" ht="14.25" x14ac:dyDescent="0.2">
      <c r="A38" s="6"/>
      <c r="B38" s="3" t="s">
        <v>24</v>
      </c>
      <c r="C38" s="40"/>
      <c r="D38" s="19">
        <f>Mortgage!C26</f>
        <v>3181.1871741378277</v>
      </c>
      <c r="E38" s="19">
        <f>Mortgage!C27</f>
        <v>2948.7078990040691</v>
      </c>
      <c r="F38" s="19">
        <f>Mortgage!C28</f>
        <v>2706.2785108945855</v>
      </c>
      <c r="G38" s="19">
        <f>Mortgage!C29</f>
        <v>2453.4731449740161</v>
      </c>
      <c r="H38" s="24">
        <f>Mortgage!C30</f>
        <v>2189.8477093920465</v>
      </c>
      <c r="I38" s="19">
        <f>Mortgage!C31</f>
        <v>1914.939105167168</v>
      </c>
      <c r="J38" s="19">
        <f>Mortgage!C32</f>
        <v>1628.264412681465</v>
      </c>
      <c r="K38" s="19">
        <f>Mortgage!C33</f>
        <v>1329.3200433573741</v>
      </c>
      <c r="L38" s="19">
        <f>Mortgage!C34</f>
        <v>1017.5808550262121</v>
      </c>
      <c r="M38" s="19">
        <f>Mortgage!C35</f>
        <v>692.49922943447632</v>
      </c>
      <c r="N38" s="19">
        <f>Mortgage!C36</f>
        <v>353.50411026741426</v>
      </c>
      <c r="O38" s="6"/>
      <c r="P38" s="6"/>
      <c r="Q38" s="6"/>
      <c r="R38" s="6"/>
      <c r="S38" s="6"/>
      <c r="T38" s="6"/>
      <c r="U38" s="7"/>
      <c r="V38" s="7"/>
      <c r="W38" s="7"/>
      <c r="X38" s="7"/>
      <c r="Y38" s="7"/>
      <c r="Z38" s="7"/>
      <c r="AA38" s="7"/>
      <c r="AB38" s="7"/>
    </row>
    <row r="39" spans="1:28" ht="14.25" x14ac:dyDescent="0.2">
      <c r="A39" s="6"/>
      <c r="B39" s="3" t="s">
        <v>25</v>
      </c>
      <c r="C39" s="40"/>
      <c r="D39" s="21">
        <f t="shared" ref="D39:N39" si="9">$D$7*D69</f>
        <v>0</v>
      </c>
      <c r="E39" s="21">
        <f t="shared" si="9"/>
        <v>0</v>
      </c>
      <c r="F39" s="21">
        <f t="shared" si="9"/>
        <v>0</v>
      </c>
      <c r="G39" s="21">
        <f t="shared" si="9"/>
        <v>0</v>
      </c>
      <c r="H39" s="21">
        <f t="shared" si="9"/>
        <v>0</v>
      </c>
      <c r="I39" s="21">
        <f t="shared" si="9"/>
        <v>0</v>
      </c>
      <c r="J39" s="21">
        <f t="shared" si="9"/>
        <v>0</v>
      </c>
      <c r="K39" s="21">
        <f t="shared" si="9"/>
        <v>0</v>
      </c>
      <c r="L39" s="21">
        <f t="shared" si="9"/>
        <v>0</v>
      </c>
      <c r="M39" s="21">
        <f t="shared" si="9"/>
        <v>0</v>
      </c>
      <c r="N39" s="21">
        <f t="shared" si="9"/>
        <v>0</v>
      </c>
      <c r="O39" s="6"/>
      <c r="P39" s="6"/>
      <c r="Q39" s="6"/>
      <c r="R39" s="6"/>
      <c r="S39" s="6"/>
      <c r="T39" s="6"/>
      <c r="U39" s="7"/>
      <c r="V39" s="7"/>
      <c r="W39" s="7"/>
      <c r="X39" s="7"/>
      <c r="Y39" s="7"/>
      <c r="Z39" s="7"/>
      <c r="AA39" s="7"/>
      <c r="AB39" s="7"/>
    </row>
    <row r="40" spans="1:28" ht="14.25" x14ac:dyDescent="0.2">
      <c r="A40" s="3" t="s">
        <v>26</v>
      </c>
      <c r="B40" s="6"/>
      <c r="C40" s="40"/>
      <c r="D40" s="19">
        <f t="shared" ref="D40:N40" si="10">SUM(D36:D39)</f>
        <v>209385.49535824137</v>
      </c>
      <c r="E40" s="19">
        <f t="shared" si="10"/>
        <v>209553.5519722031</v>
      </c>
      <c r="F40" s="19">
        <f t="shared" si="10"/>
        <v>209712.45954496728</v>
      </c>
      <c r="G40" s="19">
        <f t="shared" si="10"/>
        <v>209861.79381384212</v>
      </c>
      <c r="H40" s="19">
        <f t="shared" si="10"/>
        <v>210001.11229232518</v>
      </c>
      <c r="I40" s="19">
        <f t="shared" si="10"/>
        <v>210829.95348999344</v>
      </c>
      <c r="J40" s="19">
        <f t="shared" si="10"/>
        <v>210947.83609900466</v>
      </c>
      <c r="K40" s="19">
        <f t="shared" si="10"/>
        <v>211054.25814578048</v>
      </c>
      <c r="L40" s="19">
        <f t="shared" si="10"/>
        <v>205912.33247001778</v>
      </c>
      <c r="M40" s="19">
        <f t="shared" si="10"/>
        <v>206694.24034765604</v>
      </c>
      <c r="N40" s="19">
        <f t="shared" si="10"/>
        <v>206763.04871072542</v>
      </c>
      <c r="O40" s="6"/>
      <c r="P40" s="6"/>
      <c r="Q40" s="6"/>
      <c r="R40" s="6"/>
      <c r="S40" s="6"/>
      <c r="T40" s="6"/>
      <c r="U40" s="7"/>
      <c r="V40" s="7"/>
      <c r="W40" s="7"/>
      <c r="X40" s="7"/>
      <c r="Y40" s="7"/>
      <c r="Z40" s="7"/>
      <c r="AA40" s="7"/>
      <c r="AB40" s="7"/>
    </row>
    <row r="41" spans="1:28" ht="14.25" x14ac:dyDescent="0.2">
      <c r="A41" s="6"/>
      <c r="B41" s="6"/>
      <c r="C41" s="40"/>
      <c r="D41" s="19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7"/>
      <c r="V41" s="7"/>
      <c r="W41" s="7"/>
      <c r="X41" s="7"/>
      <c r="Y41" s="7"/>
      <c r="Z41" s="7"/>
      <c r="AA41" s="7"/>
      <c r="AB41" s="7"/>
    </row>
    <row r="42" spans="1:28" ht="14.25" x14ac:dyDescent="0.2">
      <c r="A42" s="6"/>
      <c r="B42" s="3" t="s">
        <v>27</v>
      </c>
      <c r="C42" s="40"/>
      <c r="D42" s="19">
        <f t="shared" ref="D42:N42" si="11">D34-D40</f>
        <v>8968.6079053811845</v>
      </c>
      <c r="E42" s="19">
        <f t="shared" si="11"/>
        <v>9237.2594979466812</v>
      </c>
      <c r="F42" s="19">
        <f t="shared" si="11"/>
        <v>9515.933548122819</v>
      </c>
      <c r="G42" s="19">
        <f t="shared" si="11"/>
        <v>9805.0560654341243</v>
      </c>
      <c r="H42" s="19">
        <f t="shared" si="11"/>
        <v>10105.07128670963</v>
      </c>
      <c r="I42" s="19">
        <f t="shared" si="11"/>
        <v>9716.4424561994674</v>
      </c>
      <c r="J42" s="19">
        <f t="shared" si="11"/>
        <v>10039.652639080625</v>
      </c>
      <c r="K42" s="19">
        <f t="shared" si="11"/>
        <v>10375.205569780985</v>
      </c>
      <c r="L42" s="19">
        <f t="shared" si="11"/>
        <v>15959.990172974794</v>
      </c>
      <c r="M42" s="19">
        <f t="shared" si="11"/>
        <v>15621.826940622501</v>
      </c>
      <c r="N42" s="19">
        <f t="shared" si="11"/>
        <v>15997.650712129689</v>
      </c>
      <c r="O42" s="6"/>
      <c r="P42" s="6"/>
      <c r="Q42" s="6"/>
      <c r="R42" s="6"/>
      <c r="S42" s="6"/>
      <c r="T42" s="6"/>
      <c r="U42" s="7"/>
      <c r="V42" s="7"/>
      <c r="W42" s="7"/>
      <c r="X42" s="7"/>
      <c r="Y42" s="7"/>
      <c r="Z42" s="7"/>
      <c r="AA42" s="7"/>
      <c r="AB42" s="7"/>
    </row>
    <row r="43" spans="1:28" ht="14.25" x14ac:dyDescent="0.2">
      <c r="A43" s="6"/>
      <c r="B43" s="6"/>
      <c r="C43" s="40"/>
      <c r="D43" s="19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7"/>
      <c r="V43" s="7"/>
      <c r="W43" s="7"/>
      <c r="X43" s="7"/>
      <c r="Y43" s="7"/>
      <c r="Z43" s="7"/>
      <c r="AA43" s="7"/>
      <c r="AB43" s="7"/>
    </row>
    <row r="44" spans="1:28" ht="14.25" x14ac:dyDescent="0.2">
      <c r="A44" s="6"/>
      <c r="B44" s="3" t="s">
        <v>28</v>
      </c>
      <c r="C44" s="40"/>
      <c r="D44" s="21">
        <f t="shared" ref="D44:N44" si="12">D42*$D$14</f>
        <v>3139.0127668834143</v>
      </c>
      <c r="E44" s="21">
        <f t="shared" si="12"/>
        <v>3233.0408242813382</v>
      </c>
      <c r="F44" s="21">
        <f t="shared" si="12"/>
        <v>3330.5767418429864</v>
      </c>
      <c r="G44" s="21">
        <f t="shared" si="12"/>
        <v>3431.7696229019434</v>
      </c>
      <c r="H44" s="21">
        <f t="shared" si="12"/>
        <v>3536.7749503483701</v>
      </c>
      <c r="I44" s="21">
        <f t="shared" si="12"/>
        <v>3400.7548596698134</v>
      </c>
      <c r="J44" s="21">
        <f t="shared" si="12"/>
        <v>3513.8784236782185</v>
      </c>
      <c r="K44" s="21">
        <f t="shared" si="12"/>
        <v>3631.3219494233444</v>
      </c>
      <c r="L44" s="21">
        <f t="shared" si="12"/>
        <v>5585.996560541178</v>
      </c>
      <c r="M44" s="21">
        <f t="shared" si="12"/>
        <v>5467.6394292178747</v>
      </c>
      <c r="N44" s="21">
        <f t="shared" si="12"/>
        <v>5599.1777492453912</v>
      </c>
      <c r="O44" s="6"/>
      <c r="P44" s="6"/>
      <c r="Q44" s="6"/>
      <c r="R44" s="6"/>
      <c r="S44" s="6"/>
      <c r="T44" s="6"/>
      <c r="U44" s="7"/>
      <c r="V44" s="7"/>
      <c r="W44" s="7"/>
      <c r="X44" s="7"/>
      <c r="Y44" s="7"/>
      <c r="Z44" s="7"/>
      <c r="AA44" s="7"/>
      <c r="AB44" s="7"/>
    </row>
    <row r="45" spans="1:28" ht="14.25" x14ac:dyDescent="0.2">
      <c r="A45" s="3" t="s">
        <v>29</v>
      </c>
      <c r="B45" s="6"/>
      <c r="C45" s="40"/>
      <c r="D45" s="19">
        <f t="shared" ref="D45:N45" si="13">D42-D44</f>
        <v>5829.5951384977707</v>
      </c>
      <c r="E45" s="19">
        <f t="shared" si="13"/>
        <v>6004.218673665343</v>
      </c>
      <c r="F45" s="19">
        <f t="shared" si="13"/>
        <v>6185.3568062798331</v>
      </c>
      <c r="G45" s="19">
        <f t="shared" si="13"/>
        <v>6373.2864425321804</v>
      </c>
      <c r="H45" s="19">
        <f t="shared" si="13"/>
        <v>6568.2963363612598</v>
      </c>
      <c r="I45" s="19">
        <f t="shared" si="13"/>
        <v>6315.687596529654</v>
      </c>
      <c r="J45" s="19">
        <f t="shared" si="13"/>
        <v>6525.7742154024063</v>
      </c>
      <c r="K45" s="19">
        <f t="shared" si="13"/>
        <v>6743.8836203576402</v>
      </c>
      <c r="L45" s="19">
        <f t="shared" si="13"/>
        <v>10373.993612433616</v>
      </c>
      <c r="M45" s="19">
        <f t="shared" si="13"/>
        <v>10154.187511404627</v>
      </c>
      <c r="N45" s="19">
        <f t="shared" si="13"/>
        <v>10398.472962884298</v>
      </c>
      <c r="O45" s="6"/>
      <c r="P45" s="6"/>
      <c r="Q45" s="6"/>
      <c r="R45" s="6"/>
      <c r="S45" s="6"/>
      <c r="T45" s="6"/>
      <c r="U45" s="7"/>
      <c r="V45" s="7"/>
      <c r="W45" s="7"/>
      <c r="X45" s="7"/>
      <c r="Y45" s="7"/>
      <c r="Z45" s="7"/>
      <c r="AA45" s="7"/>
      <c r="AB45" s="7"/>
    </row>
    <row r="46" spans="1:28" ht="14.25" x14ac:dyDescent="0.2">
      <c r="A46" s="6"/>
      <c r="B46" s="6"/>
      <c r="C46" s="40"/>
      <c r="D46" s="19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7"/>
      <c r="V46" s="7"/>
      <c r="W46" s="7"/>
      <c r="X46" s="7"/>
      <c r="Y46" s="7"/>
      <c r="Z46" s="7"/>
      <c r="AA46" s="7"/>
      <c r="AB46" s="7"/>
    </row>
    <row r="47" spans="1:28" ht="15" x14ac:dyDescent="0.25">
      <c r="A47" s="18" t="s">
        <v>30</v>
      </c>
      <c r="B47" s="7"/>
      <c r="C47" s="7"/>
      <c r="D47" s="19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7"/>
      <c r="V47" s="7"/>
      <c r="W47" s="7"/>
      <c r="X47" s="7"/>
      <c r="Y47" s="7"/>
      <c r="Z47" s="7"/>
      <c r="AA47" s="7"/>
      <c r="AB47" s="7"/>
    </row>
    <row r="48" spans="1:28" ht="15" x14ac:dyDescent="0.25">
      <c r="A48" s="18" t="s">
        <v>31</v>
      </c>
      <c r="B48" s="7"/>
      <c r="C48" s="7"/>
      <c r="D48" s="19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7"/>
      <c r="V48" s="7"/>
      <c r="W48" s="7"/>
      <c r="X48" s="7"/>
      <c r="Y48" s="7"/>
      <c r="Z48" s="7"/>
      <c r="AA48" s="7"/>
      <c r="AB48" s="7"/>
    </row>
    <row r="49" spans="1:28" ht="14.25" x14ac:dyDescent="0.2">
      <c r="A49" s="6"/>
      <c r="B49" s="6"/>
      <c r="C49" s="40"/>
      <c r="D49" s="19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7"/>
      <c r="V49" s="7"/>
      <c r="W49" s="7"/>
      <c r="X49" s="7"/>
      <c r="Y49" s="7"/>
      <c r="Z49" s="7"/>
      <c r="AA49" s="7"/>
      <c r="AB49" s="7"/>
    </row>
    <row r="50" spans="1:28" ht="14.25" x14ac:dyDescent="0.2">
      <c r="A50" s="3"/>
      <c r="B50" s="3" t="s">
        <v>32</v>
      </c>
      <c r="C50" s="24"/>
      <c r="D50" s="20">
        <v>2500</v>
      </c>
      <c r="E50" s="19">
        <f t="shared" ref="E50:N50" si="14">D50</f>
        <v>2500</v>
      </c>
      <c r="F50" s="19">
        <f t="shared" si="14"/>
        <v>2500</v>
      </c>
      <c r="G50" s="19">
        <f t="shared" si="14"/>
        <v>2500</v>
      </c>
      <c r="H50" s="19">
        <f t="shared" si="14"/>
        <v>2500</v>
      </c>
      <c r="I50" s="19">
        <f t="shared" si="14"/>
        <v>2500</v>
      </c>
      <c r="J50" s="19">
        <f t="shared" si="14"/>
        <v>2500</v>
      </c>
      <c r="K50" s="19">
        <f t="shared" si="14"/>
        <v>2500</v>
      </c>
      <c r="L50" s="19">
        <f t="shared" si="14"/>
        <v>2500</v>
      </c>
      <c r="M50" s="19">
        <f t="shared" si="14"/>
        <v>2500</v>
      </c>
      <c r="N50" s="19">
        <f t="shared" si="14"/>
        <v>2500</v>
      </c>
      <c r="O50" s="6"/>
      <c r="P50" s="6"/>
      <c r="Q50" s="6"/>
      <c r="R50" s="6"/>
      <c r="S50" s="6"/>
      <c r="T50" s="6"/>
      <c r="U50" s="7"/>
      <c r="V50" s="7"/>
      <c r="W50" s="7"/>
      <c r="X50" s="7"/>
      <c r="Y50" s="7"/>
      <c r="Z50" s="7"/>
      <c r="AA50" s="7"/>
      <c r="AB50" s="7"/>
    </row>
    <row r="51" spans="1:28" ht="14.25" x14ac:dyDescent="0.2">
      <c r="A51" s="3"/>
      <c r="B51" s="3" t="s">
        <v>33</v>
      </c>
      <c r="C51" s="24"/>
      <c r="D51" s="20">
        <v>40841</v>
      </c>
      <c r="E51" s="3">
        <v>50941</v>
      </c>
      <c r="F51" s="3">
        <v>61191</v>
      </c>
      <c r="G51" s="3">
        <v>71597</v>
      </c>
      <c r="H51" s="3">
        <v>82167</v>
      </c>
      <c r="I51" s="3">
        <v>89653</v>
      </c>
      <c r="J51" s="3">
        <v>100819</v>
      </c>
      <c r="K51" s="3">
        <v>112173</v>
      </c>
      <c r="L51" s="3">
        <v>121891</v>
      </c>
      <c r="M51" s="3">
        <v>128561</v>
      </c>
      <c r="N51" s="3">
        <v>1244</v>
      </c>
      <c r="O51" s="6"/>
      <c r="P51" s="6"/>
      <c r="Q51" s="6"/>
      <c r="R51" s="6"/>
      <c r="S51" s="6"/>
      <c r="T51" s="6"/>
      <c r="U51" s="7"/>
      <c r="V51" s="7"/>
      <c r="W51" s="7"/>
      <c r="X51" s="7"/>
      <c r="Y51" s="7"/>
      <c r="Z51" s="7"/>
      <c r="AA51" s="7"/>
      <c r="AB51" s="7"/>
    </row>
    <row r="52" spans="1:28" ht="14.25" x14ac:dyDescent="0.2">
      <c r="A52" s="3"/>
      <c r="B52" s="3" t="s">
        <v>34</v>
      </c>
      <c r="C52" s="24"/>
      <c r="D52" s="19">
        <f>D32*1/6</f>
        <v>58227.850543937093</v>
      </c>
      <c r="E52" s="19">
        <f t="shared" ref="E52:N52" si="15">E24*(E32/365)</f>
        <v>58344.306245024964</v>
      </c>
      <c r="F52" s="19">
        <f t="shared" si="15"/>
        <v>58460.994857515012</v>
      </c>
      <c r="G52" s="19">
        <f t="shared" si="15"/>
        <v>58577.916847230037</v>
      </c>
      <c r="H52" s="19">
        <f t="shared" si="15"/>
        <v>58695.072680924495</v>
      </c>
      <c r="I52" s="19">
        <f t="shared" si="15"/>
        <v>58812.462826286355</v>
      </c>
      <c r="J52" s="19">
        <f t="shared" si="15"/>
        <v>58930.087751938925</v>
      </c>
      <c r="K52" s="19">
        <f t="shared" si="15"/>
        <v>59047.947927442801</v>
      </c>
      <c r="L52" s="19">
        <f t="shared" si="15"/>
        <v>59166.043823297689</v>
      </c>
      <c r="M52" s="19">
        <f t="shared" si="15"/>
        <v>59284.375910944276</v>
      </c>
      <c r="N52" s="19">
        <f t="shared" si="15"/>
        <v>59402.944662766167</v>
      </c>
      <c r="O52" s="6"/>
      <c r="P52" s="6"/>
      <c r="Q52" s="6"/>
      <c r="R52" s="6"/>
      <c r="S52" s="6"/>
      <c r="T52" s="6"/>
      <c r="U52" s="7"/>
      <c r="V52" s="7"/>
      <c r="W52" s="7"/>
      <c r="X52" s="7"/>
      <c r="Y52" s="7"/>
      <c r="Z52" s="7"/>
      <c r="AA52" s="7"/>
      <c r="AB52" s="7"/>
    </row>
    <row r="53" spans="1:28" ht="14.25" x14ac:dyDescent="0.2">
      <c r="A53" s="3"/>
      <c r="B53" s="3" t="s">
        <v>35</v>
      </c>
      <c r="C53" s="24"/>
      <c r="D53" s="20">
        <v>150000</v>
      </c>
      <c r="E53" s="20">
        <f t="shared" ref="E53:N53" si="16">E26*E33/365</f>
        <v>150300</v>
      </c>
      <c r="F53" s="20">
        <f t="shared" si="16"/>
        <v>150600.59999999998</v>
      </c>
      <c r="G53" s="20">
        <f t="shared" si="16"/>
        <v>150901.80120000002</v>
      </c>
      <c r="H53" s="20">
        <f t="shared" si="16"/>
        <v>151203.60480239999</v>
      </c>
      <c r="I53" s="20">
        <f t="shared" si="16"/>
        <v>151506.01201200476</v>
      </c>
      <c r="J53" s="20">
        <f t="shared" si="16"/>
        <v>151809.02403602883</v>
      </c>
      <c r="K53" s="20">
        <f t="shared" si="16"/>
        <v>152112.64208410084</v>
      </c>
      <c r="L53" s="20">
        <f t="shared" si="16"/>
        <v>152416.86736826904</v>
      </c>
      <c r="M53" s="20">
        <f t="shared" si="16"/>
        <v>152721.70110300562</v>
      </c>
      <c r="N53" s="20">
        <f t="shared" si="16"/>
        <v>153027.14450521162</v>
      </c>
      <c r="O53" s="6"/>
      <c r="P53" s="6"/>
      <c r="Q53" s="6"/>
      <c r="R53" s="6"/>
      <c r="S53" s="6"/>
      <c r="T53" s="6"/>
      <c r="U53" s="7"/>
      <c r="V53" s="7"/>
      <c r="W53" s="7"/>
      <c r="X53" s="7"/>
      <c r="Y53" s="7"/>
      <c r="Z53" s="7"/>
      <c r="AA53" s="7"/>
      <c r="AB53" s="7"/>
    </row>
    <row r="54" spans="1:28" ht="14.25" x14ac:dyDescent="0.2">
      <c r="A54" s="3" t="s">
        <v>36</v>
      </c>
      <c r="B54" s="6"/>
      <c r="C54" s="24"/>
      <c r="D54" s="19">
        <f t="shared" ref="D54:N54" si="17">SUM(D50:D53)</f>
        <v>251568.85054393709</v>
      </c>
      <c r="E54" s="19">
        <f t="shared" si="17"/>
        <v>262085.30624502496</v>
      </c>
      <c r="F54" s="19">
        <f t="shared" si="17"/>
        <v>272752.59485751495</v>
      </c>
      <c r="G54" s="19">
        <f t="shared" si="17"/>
        <v>283576.71804723004</v>
      </c>
      <c r="H54" s="19">
        <f t="shared" si="17"/>
        <v>294565.67748332449</v>
      </c>
      <c r="I54" s="19">
        <f t="shared" si="17"/>
        <v>302471.47483829112</v>
      </c>
      <c r="J54" s="19">
        <f t="shared" si="17"/>
        <v>314058.11178796773</v>
      </c>
      <c r="K54" s="19">
        <f t="shared" si="17"/>
        <v>325833.59001154359</v>
      </c>
      <c r="L54" s="19">
        <f t="shared" si="17"/>
        <v>335973.91119156673</v>
      </c>
      <c r="M54" s="19">
        <f t="shared" si="17"/>
        <v>343067.07701394986</v>
      </c>
      <c r="N54" s="19">
        <f t="shared" si="17"/>
        <v>216174.0891679778</v>
      </c>
      <c r="O54" s="6"/>
      <c r="P54" s="6"/>
      <c r="Q54" s="6"/>
      <c r="R54" s="6"/>
      <c r="S54" s="6"/>
      <c r="T54" s="6"/>
      <c r="U54" s="7"/>
      <c r="V54" s="7"/>
      <c r="W54" s="7"/>
      <c r="X54" s="7"/>
      <c r="Y54" s="7"/>
      <c r="Z54" s="7"/>
      <c r="AA54" s="7"/>
      <c r="AB54" s="7"/>
    </row>
    <row r="55" spans="1:28" ht="14.25" x14ac:dyDescent="0.2">
      <c r="A55" s="6"/>
      <c r="B55" s="6"/>
      <c r="C55" s="40"/>
      <c r="D55" s="19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7"/>
      <c r="V55" s="7"/>
      <c r="W55" s="7"/>
      <c r="X55" s="7"/>
      <c r="Y55" s="7"/>
      <c r="Z55" s="7"/>
      <c r="AA55" s="7"/>
      <c r="AB55" s="7"/>
    </row>
    <row r="56" spans="1:28" ht="14.25" x14ac:dyDescent="0.2">
      <c r="A56" s="3"/>
      <c r="B56" s="3" t="s">
        <v>37</v>
      </c>
      <c r="C56" s="24"/>
      <c r="D56" s="20">
        <v>6428</v>
      </c>
      <c r="E56" s="19">
        <f t="shared" ref="E56:N56" si="18">D56</f>
        <v>6428</v>
      </c>
      <c r="F56" s="19">
        <f t="shared" si="18"/>
        <v>6428</v>
      </c>
      <c r="G56" s="19">
        <f t="shared" si="18"/>
        <v>6428</v>
      </c>
      <c r="H56" s="19">
        <f t="shared" si="18"/>
        <v>6428</v>
      </c>
      <c r="I56" s="19">
        <f t="shared" si="18"/>
        <v>6428</v>
      </c>
      <c r="J56" s="19">
        <f t="shared" si="18"/>
        <v>6428</v>
      </c>
      <c r="K56" s="19">
        <f t="shared" si="18"/>
        <v>6428</v>
      </c>
      <c r="L56" s="19">
        <f t="shared" si="18"/>
        <v>6428</v>
      </c>
      <c r="M56" s="19">
        <f t="shared" si="18"/>
        <v>6428</v>
      </c>
      <c r="N56" s="19">
        <f t="shared" si="18"/>
        <v>6428</v>
      </c>
      <c r="O56" s="6"/>
      <c r="P56" s="6"/>
      <c r="Q56" s="6"/>
      <c r="R56" s="6"/>
      <c r="S56" s="6"/>
      <c r="T56" s="6"/>
      <c r="U56" s="7"/>
      <c r="V56" s="7"/>
      <c r="W56" s="7"/>
      <c r="X56" s="7"/>
      <c r="Y56" s="7"/>
      <c r="Z56" s="7"/>
      <c r="AA56" s="7"/>
      <c r="AB56" s="7"/>
    </row>
    <row r="57" spans="1:28" ht="14.25" x14ac:dyDescent="0.2">
      <c r="A57" s="3"/>
      <c r="B57" s="3" t="s">
        <v>38</v>
      </c>
      <c r="C57" s="24"/>
      <c r="D57" s="20">
        <v>144000</v>
      </c>
      <c r="E57" s="19">
        <f t="shared" ref="E57:N57" si="19">D57</f>
        <v>144000</v>
      </c>
      <c r="F57" s="19">
        <f t="shared" si="19"/>
        <v>144000</v>
      </c>
      <c r="G57" s="19">
        <f t="shared" si="19"/>
        <v>144000</v>
      </c>
      <c r="H57" s="19">
        <f t="shared" si="19"/>
        <v>144000</v>
      </c>
      <c r="I57" s="19">
        <f t="shared" si="19"/>
        <v>144000</v>
      </c>
      <c r="J57" s="19">
        <f t="shared" si="19"/>
        <v>144000</v>
      </c>
      <c r="K57" s="19">
        <f t="shared" si="19"/>
        <v>144000</v>
      </c>
      <c r="L57" s="19">
        <f t="shared" si="19"/>
        <v>144000</v>
      </c>
      <c r="M57" s="19">
        <f t="shared" si="19"/>
        <v>144000</v>
      </c>
      <c r="N57" s="19">
        <f t="shared" si="19"/>
        <v>144000</v>
      </c>
      <c r="O57" s="6"/>
      <c r="P57" s="6"/>
      <c r="Q57" s="6"/>
      <c r="R57" s="6"/>
      <c r="S57" s="6"/>
      <c r="T57" s="6"/>
      <c r="U57" s="7"/>
      <c r="V57" s="7"/>
      <c r="W57" s="7"/>
      <c r="X57" s="7"/>
      <c r="Y57" s="7"/>
      <c r="Z57" s="7"/>
      <c r="AA57" s="7"/>
      <c r="AB57" s="7"/>
    </row>
    <row r="58" spans="1:28" ht="14.25" x14ac:dyDescent="0.2">
      <c r="A58" s="3"/>
      <c r="B58" s="3" t="s">
        <v>39</v>
      </c>
      <c r="C58" s="24"/>
      <c r="D58" s="20">
        <v>3500</v>
      </c>
      <c r="E58" s="19">
        <f t="shared" ref="E58:H58" si="20">D58</f>
        <v>3500</v>
      </c>
      <c r="F58" s="19">
        <f t="shared" si="20"/>
        <v>3500</v>
      </c>
      <c r="G58" s="19">
        <f t="shared" si="20"/>
        <v>3500</v>
      </c>
      <c r="H58" s="19">
        <f t="shared" si="20"/>
        <v>3500</v>
      </c>
      <c r="I58" s="19">
        <f>H58+3500</f>
        <v>7000</v>
      </c>
      <c r="J58" s="19">
        <f t="shared" ref="J58:L58" si="21">I58</f>
        <v>7000</v>
      </c>
      <c r="K58" s="19">
        <f t="shared" si="21"/>
        <v>7000</v>
      </c>
      <c r="L58" s="19">
        <f t="shared" si="21"/>
        <v>7000</v>
      </c>
      <c r="M58" s="19">
        <f>L58+3500</f>
        <v>10500</v>
      </c>
      <c r="N58" s="19">
        <f>M58</f>
        <v>10500</v>
      </c>
      <c r="O58" s="6"/>
      <c r="P58" s="6"/>
      <c r="Q58" s="6"/>
      <c r="R58" s="6"/>
      <c r="S58" s="6"/>
      <c r="T58" s="6"/>
      <c r="U58" s="7"/>
      <c r="V58" s="7"/>
      <c r="W58" s="7"/>
      <c r="X58" s="7"/>
      <c r="Y58" s="7"/>
      <c r="Z58" s="7"/>
      <c r="AA58" s="7"/>
      <c r="AB58" s="7"/>
    </row>
    <row r="59" spans="1:28" ht="14.25" x14ac:dyDescent="0.2">
      <c r="A59" s="3"/>
      <c r="B59" s="3" t="s">
        <v>40</v>
      </c>
      <c r="C59" s="24"/>
      <c r="D59" s="20">
        <f>-(-(D57/$D$4*21)+(D58/$D$5))</f>
        <v>109263.63636363635</v>
      </c>
      <c r="E59" s="20">
        <f>D59+E37</f>
        <v>115199.99999999999</v>
      </c>
      <c r="F59" s="24">
        <f t="shared" ref="F59:N59" si="22">E59+F37</f>
        <v>121136.36363636362</v>
      </c>
      <c r="G59" s="24">
        <f t="shared" si="22"/>
        <v>127072.72727272725</v>
      </c>
      <c r="H59" s="24">
        <f t="shared" si="22"/>
        <v>133009.09090909088</v>
      </c>
      <c r="I59" s="24">
        <f t="shared" si="22"/>
        <v>139645.45454545453</v>
      </c>
      <c r="J59" s="24">
        <f t="shared" si="22"/>
        <v>146281.81818181818</v>
      </c>
      <c r="K59" s="24">
        <f t="shared" si="22"/>
        <v>152918.18181818182</v>
      </c>
      <c r="L59" s="24">
        <f t="shared" si="22"/>
        <v>154318.18181818182</v>
      </c>
      <c r="M59" s="24">
        <f t="shared" si="22"/>
        <v>156418.18181818182</v>
      </c>
      <c r="N59" s="24">
        <f t="shared" si="22"/>
        <v>158518.18181818182</v>
      </c>
      <c r="O59" s="6"/>
      <c r="P59" s="6"/>
      <c r="Q59" s="6"/>
      <c r="R59" s="6"/>
      <c r="S59" s="6"/>
      <c r="T59" s="6"/>
      <c r="U59" s="7"/>
      <c r="V59" s="7"/>
      <c r="W59" s="7"/>
      <c r="X59" s="7"/>
      <c r="Y59" s="7"/>
      <c r="Z59" s="7"/>
      <c r="AA59" s="7"/>
      <c r="AB59" s="7"/>
    </row>
    <row r="60" spans="1:28" ht="14.25" x14ac:dyDescent="0.2">
      <c r="A60" s="3" t="s">
        <v>41</v>
      </c>
      <c r="B60" s="7"/>
      <c r="C60" s="25"/>
      <c r="D60" s="19">
        <f>SUM(D56:D58)-D59</f>
        <v>44664.363636363647</v>
      </c>
      <c r="E60" s="24">
        <f t="shared" ref="E60:N60" si="23">SUM(E56:E58)-E59</f>
        <v>38728.000000000015</v>
      </c>
      <c r="F60" s="24">
        <f t="shared" si="23"/>
        <v>32791.636363636382</v>
      </c>
      <c r="G60" s="24">
        <f t="shared" si="23"/>
        <v>26855.27272727275</v>
      </c>
      <c r="H60" s="24">
        <f t="shared" si="23"/>
        <v>20918.909090909117</v>
      </c>
      <c r="I60" s="24">
        <f t="shared" si="23"/>
        <v>17782.54545454547</v>
      </c>
      <c r="J60" s="24">
        <f t="shared" si="23"/>
        <v>11146.181818181823</v>
      </c>
      <c r="K60" s="24">
        <f t="shared" si="23"/>
        <v>4509.8181818181765</v>
      </c>
      <c r="L60" s="24">
        <f t="shared" si="23"/>
        <v>3109.8181818181765</v>
      </c>
      <c r="M60" s="24">
        <f t="shared" si="23"/>
        <v>4509.8181818181765</v>
      </c>
      <c r="N60" s="24">
        <f t="shared" si="23"/>
        <v>2409.8181818181765</v>
      </c>
      <c r="O60" s="6"/>
      <c r="P60" s="6"/>
      <c r="Q60" s="6"/>
      <c r="R60" s="6"/>
      <c r="S60" s="6"/>
      <c r="T60" s="6"/>
      <c r="U60" s="7"/>
      <c r="V60" s="7"/>
      <c r="W60" s="7"/>
      <c r="X60" s="7"/>
      <c r="Y60" s="7"/>
      <c r="Z60" s="7"/>
      <c r="AA60" s="7"/>
      <c r="AB60" s="7"/>
    </row>
    <row r="61" spans="1:28" ht="14.25" x14ac:dyDescent="0.2">
      <c r="A61" s="6"/>
      <c r="B61" s="6"/>
      <c r="C61" s="40"/>
      <c r="D61" s="19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7"/>
      <c r="V61" s="7"/>
      <c r="W61" s="7"/>
      <c r="X61" s="7"/>
      <c r="Y61" s="7"/>
      <c r="Z61" s="7"/>
      <c r="AA61" s="7"/>
      <c r="AB61" s="7"/>
    </row>
    <row r="62" spans="1:28" ht="15" x14ac:dyDescent="0.25">
      <c r="A62" s="18" t="s">
        <v>42</v>
      </c>
      <c r="B62" s="7"/>
      <c r="C62" s="25"/>
      <c r="D62" s="19">
        <f t="shared" ref="D62:N62" si="24">D60+D54</f>
        <v>296233.21418030071</v>
      </c>
      <c r="E62" s="19">
        <f t="shared" si="24"/>
        <v>300813.30624502496</v>
      </c>
      <c r="F62" s="19">
        <f t="shared" si="24"/>
        <v>305544.23122115131</v>
      </c>
      <c r="G62" s="19">
        <f t="shared" si="24"/>
        <v>310431.9907745028</v>
      </c>
      <c r="H62" s="19">
        <f t="shared" si="24"/>
        <v>315484.5865742336</v>
      </c>
      <c r="I62" s="19">
        <f t="shared" si="24"/>
        <v>320254.02029283659</v>
      </c>
      <c r="J62" s="19">
        <f t="shared" si="24"/>
        <v>325204.29360614956</v>
      </c>
      <c r="K62" s="19">
        <f t="shared" si="24"/>
        <v>330343.40819336177</v>
      </c>
      <c r="L62" s="19">
        <f t="shared" si="24"/>
        <v>339083.72937338491</v>
      </c>
      <c r="M62" s="19">
        <f t="shared" si="24"/>
        <v>347576.89519576804</v>
      </c>
      <c r="N62" s="19">
        <f t="shared" si="24"/>
        <v>218583.90734979598</v>
      </c>
      <c r="O62" s="6"/>
      <c r="P62" s="6"/>
      <c r="Q62" s="6"/>
      <c r="R62" s="6"/>
      <c r="S62" s="6"/>
      <c r="T62" s="6"/>
      <c r="U62" s="7"/>
      <c r="V62" s="7"/>
      <c r="W62" s="7"/>
      <c r="X62" s="7"/>
      <c r="Y62" s="7"/>
      <c r="Z62" s="7"/>
      <c r="AA62" s="7"/>
      <c r="AB62" s="7"/>
    </row>
    <row r="63" spans="1:28" ht="14.25" x14ac:dyDescent="0.2">
      <c r="A63" s="6"/>
      <c r="B63" s="6"/>
      <c r="C63" s="40"/>
      <c r="D63" s="19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7"/>
      <c r="V63" s="7"/>
      <c r="W63" s="7"/>
      <c r="X63" s="7"/>
      <c r="Y63" s="7"/>
      <c r="Z63" s="7"/>
      <c r="AA63" s="7"/>
      <c r="AB63" s="7"/>
    </row>
    <row r="64" spans="1:28" ht="15" x14ac:dyDescent="0.25">
      <c r="A64" s="18"/>
      <c r="B64" s="22" t="s">
        <v>43</v>
      </c>
      <c r="C64" s="24"/>
      <c r="D64" s="19">
        <f>(D56+D57)/27.5+1500</f>
        <v>6970.1090909090908</v>
      </c>
      <c r="E64" s="23">
        <f t="shared" ref="E64:N64" si="25">E33/365*E25</f>
        <v>6984.0493090909094</v>
      </c>
      <c r="F64" s="23">
        <f t="shared" si="25"/>
        <v>6998.0174077090896</v>
      </c>
      <c r="G64" s="23">
        <f t="shared" si="25"/>
        <v>7012.0134425245087</v>
      </c>
      <c r="H64" s="23">
        <f t="shared" si="25"/>
        <v>7026.0374694095572</v>
      </c>
      <c r="I64" s="23">
        <f t="shared" si="25"/>
        <v>7040.0895443483751</v>
      </c>
      <c r="J64" s="23">
        <f t="shared" si="25"/>
        <v>7054.1697234370731</v>
      </c>
      <c r="K64" s="23">
        <f t="shared" si="25"/>
        <v>7068.2780628839473</v>
      </c>
      <c r="L64" s="23">
        <f t="shared" si="25"/>
        <v>7082.4146190097144</v>
      </c>
      <c r="M64" s="23">
        <f t="shared" si="25"/>
        <v>7096.5794482477349</v>
      </c>
      <c r="N64" s="23">
        <f t="shared" si="25"/>
        <v>7110.7726071442303</v>
      </c>
      <c r="O64" s="6"/>
      <c r="P64" s="6"/>
      <c r="Q64" s="6"/>
      <c r="R64" s="6"/>
      <c r="S64" s="6"/>
      <c r="T64" s="6"/>
      <c r="U64" s="7"/>
      <c r="V64" s="7"/>
      <c r="W64" s="7"/>
      <c r="X64" s="7"/>
      <c r="Y64" s="7"/>
      <c r="Z64" s="7"/>
      <c r="AA64" s="7"/>
      <c r="AB64" s="7"/>
    </row>
    <row r="65" spans="1:28" ht="14.25" x14ac:dyDescent="0.2">
      <c r="A65" s="7"/>
      <c r="B65" s="22" t="s">
        <v>44</v>
      </c>
      <c r="C65" s="24"/>
      <c r="D65" s="24">
        <v>84538</v>
      </c>
      <c r="E65" s="25">
        <f t="shared" ref="E65:M65" si="26">D65*1.05</f>
        <v>88764.900000000009</v>
      </c>
      <c r="F65" s="25">
        <f t="shared" si="26"/>
        <v>93203.145000000019</v>
      </c>
      <c r="G65" s="25">
        <f t="shared" si="26"/>
        <v>97863.302250000022</v>
      </c>
      <c r="H65" s="25">
        <f t="shared" si="26"/>
        <v>102756.46736250003</v>
      </c>
      <c r="I65" s="25">
        <f t="shared" si="26"/>
        <v>107894.29073062504</v>
      </c>
      <c r="J65" s="25">
        <f t="shared" si="26"/>
        <v>113289.0052671563</v>
      </c>
      <c r="K65" s="25">
        <f t="shared" si="26"/>
        <v>118953.45553051413</v>
      </c>
      <c r="L65" s="25">
        <f t="shared" si="26"/>
        <v>124901.12830703983</v>
      </c>
      <c r="M65" s="25">
        <f t="shared" si="26"/>
        <v>131146.18472239183</v>
      </c>
      <c r="N65" s="25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14.25" x14ac:dyDescent="0.2">
      <c r="A66" s="22" t="s">
        <v>45</v>
      </c>
      <c r="B66" s="7"/>
      <c r="C66" s="24"/>
      <c r="D66" s="25">
        <f t="shared" ref="D66:N66" si="27">SUM(D64:D65)</f>
        <v>91508.109090909085</v>
      </c>
      <c r="E66" s="25">
        <f t="shared" si="27"/>
        <v>95748.949309090924</v>
      </c>
      <c r="F66" s="25">
        <f t="shared" si="27"/>
        <v>100201.16240770911</v>
      </c>
      <c r="G66" s="25">
        <f t="shared" si="27"/>
        <v>104875.31569252453</v>
      </c>
      <c r="H66" s="25">
        <f t="shared" si="27"/>
        <v>109782.50483190958</v>
      </c>
      <c r="I66" s="25">
        <f t="shared" si="27"/>
        <v>114934.38027497342</v>
      </c>
      <c r="J66" s="25">
        <f t="shared" si="27"/>
        <v>120343.17499059337</v>
      </c>
      <c r="K66" s="25">
        <f t="shared" si="27"/>
        <v>126021.73359339808</v>
      </c>
      <c r="L66" s="25">
        <f t="shared" si="27"/>
        <v>131983.54292604956</v>
      </c>
      <c r="M66" s="25">
        <f t="shared" si="27"/>
        <v>138242.76417063957</v>
      </c>
      <c r="N66" s="25">
        <f t="shared" si="27"/>
        <v>7110.7726071442303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14.25" x14ac:dyDescent="0.2">
      <c r="A67" s="7"/>
      <c r="B67" s="7"/>
      <c r="C67" s="7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14.25" x14ac:dyDescent="0.2">
      <c r="A68" s="7"/>
      <c r="B68" s="22" t="s">
        <v>46</v>
      </c>
      <c r="C68" s="24"/>
      <c r="D68" s="25">
        <f>Mortgage!E26</f>
        <v>68895.044369253956</v>
      </c>
      <c r="E68" s="25">
        <f>Mortgage!E27</f>
        <v>63230.806329312749</v>
      </c>
      <c r="F68" s="25">
        <f>Mortgage!E28</f>
        <v>57324.138901262064</v>
      </c>
      <c r="G68" s="25">
        <f>Mortgage!E29</f>
        <v>51164.666107290803</v>
      </c>
      <c r="H68" s="25">
        <f>Mortgage!E30</f>
        <v>44741.567877737572</v>
      </c>
      <c r="I68" s="25">
        <f>Mortgage!E31</f>
        <v>38043.561043959467</v>
      </c>
      <c r="J68" s="25">
        <f>Mortgage!E32</f>
        <v>31058.879517695659</v>
      </c>
      <c r="K68" s="25">
        <f>Mortgage!E33</f>
        <v>23775.253622107761</v>
      </c>
      <c r="L68" s="25">
        <f>Mortgage!E34</f>
        <v>16179.888538188699</v>
      </c>
      <c r="M68" s="25">
        <f>Mortgage!E35</f>
        <v>8259.4418286779037</v>
      </c>
      <c r="N68" s="25">
        <f>Mortgage!E36</f>
        <v>4.5474735088646412E-11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14.25" x14ac:dyDescent="0.2">
      <c r="A69" s="7"/>
      <c r="B69" s="22" t="s">
        <v>47</v>
      </c>
      <c r="C69" s="24"/>
      <c r="D69" s="24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14.25" x14ac:dyDescent="0.2">
      <c r="A70" s="22" t="s">
        <v>48</v>
      </c>
      <c r="B70" s="7"/>
      <c r="C70" s="24"/>
      <c r="D70" s="25">
        <f t="shared" ref="D70:N70" si="28">SUM(D68:D69)</f>
        <v>68895.044369253956</v>
      </c>
      <c r="E70" s="25">
        <f t="shared" si="28"/>
        <v>63230.806329312749</v>
      </c>
      <c r="F70" s="25">
        <f t="shared" si="28"/>
        <v>57324.138901262064</v>
      </c>
      <c r="G70" s="25">
        <f t="shared" si="28"/>
        <v>51164.666107290803</v>
      </c>
      <c r="H70" s="25">
        <f t="shared" si="28"/>
        <v>44741.567877737572</v>
      </c>
      <c r="I70" s="25">
        <f t="shared" si="28"/>
        <v>38043.561043959467</v>
      </c>
      <c r="J70" s="25">
        <f t="shared" si="28"/>
        <v>31058.879517695659</v>
      </c>
      <c r="K70" s="25">
        <f t="shared" si="28"/>
        <v>23775.253622107761</v>
      </c>
      <c r="L70" s="25">
        <f t="shared" si="28"/>
        <v>16179.888538188699</v>
      </c>
      <c r="M70" s="25">
        <f t="shared" si="28"/>
        <v>8259.4418286779037</v>
      </c>
      <c r="N70" s="25">
        <f t="shared" si="28"/>
        <v>4.5474735088646412E-11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14.25" x14ac:dyDescent="0.2">
      <c r="A71" s="7"/>
      <c r="B71" s="7"/>
      <c r="C71" s="7"/>
      <c r="D71" s="25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14.25" x14ac:dyDescent="0.2">
      <c r="A72" s="7"/>
      <c r="B72" s="22" t="s">
        <v>49</v>
      </c>
      <c r="C72" s="24"/>
      <c r="D72" s="24">
        <v>30000</v>
      </c>
      <c r="E72" s="24">
        <f t="shared" ref="E72:N72" si="29">D72</f>
        <v>30000</v>
      </c>
      <c r="F72" s="24">
        <f t="shared" si="29"/>
        <v>30000</v>
      </c>
      <c r="G72" s="24">
        <f t="shared" si="29"/>
        <v>30000</v>
      </c>
      <c r="H72" s="24">
        <f t="shared" si="29"/>
        <v>30000</v>
      </c>
      <c r="I72" s="24">
        <f t="shared" si="29"/>
        <v>30000</v>
      </c>
      <c r="J72" s="24">
        <f t="shared" si="29"/>
        <v>30000</v>
      </c>
      <c r="K72" s="24">
        <f t="shared" si="29"/>
        <v>30000</v>
      </c>
      <c r="L72" s="24">
        <f t="shared" si="29"/>
        <v>30000</v>
      </c>
      <c r="M72" s="24">
        <f t="shared" si="29"/>
        <v>30000</v>
      </c>
      <c r="N72" s="24">
        <f t="shared" si="29"/>
        <v>30000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14.25" x14ac:dyDescent="0.2">
      <c r="A73" s="7"/>
      <c r="B73" s="22" t="s">
        <v>50</v>
      </c>
      <c r="C73" s="24"/>
      <c r="D73" s="24">
        <f>100000+D45</f>
        <v>105829.59513849777</v>
      </c>
      <c r="E73" s="25">
        <f t="shared" ref="E73:N73" si="30">D73+E45</f>
        <v>111833.81381216311</v>
      </c>
      <c r="F73" s="25">
        <f t="shared" si="30"/>
        <v>118019.17061844293</v>
      </c>
      <c r="G73" s="25">
        <f t="shared" si="30"/>
        <v>124392.45706097511</v>
      </c>
      <c r="H73" s="25">
        <f t="shared" si="30"/>
        <v>130960.75339733638</v>
      </c>
      <c r="I73" s="25">
        <f t="shared" si="30"/>
        <v>137276.44099386604</v>
      </c>
      <c r="J73" s="25">
        <f t="shared" si="30"/>
        <v>143802.21520926844</v>
      </c>
      <c r="K73" s="25">
        <f t="shared" si="30"/>
        <v>150546.09882962608</v>
      </c>
      <c r="L73" s="25">
        <f t="shared" si="30"/>
        <v>160920.09244205969</v>
      </c>
      <c r="M73" s="25">
        <f t="shared" si="30"/>
        <v>171074.27995346431</v>
      </c>
      <c r="N73" s="25">
        <f t="shared" si="30"/>
        <v>181472.7529163486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14.25" x14ac:dyDescent="0.2">
      <c r="A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15" x14ac:dyDescent="0.25">
      <c r="A75" s="18" t="s">
        <v>51</v>
      </c>
      <c r="B75" s="7"/>
      <c r="C75" s="25"/>
      <c r="D75" s="25">
        <f t="shared" ref="D75:N75" si="31">D66+D70+D73+D72</f>
        <v>296232.74859866081</v>
      </c>
      <c r="E75" s="25">
        <f t="shared" si="31"/>
        <v>300813.56945056678</v>
      </c>
      <c r="F75" s="25">
        <f t="shared" si="31"/>
        <v>305544.47192741412</v>
      </c>
      <c r="G75" s="25">
        <f t="shared" si="31"/>
        <v>310432.43886079045</v>
      </c>
      <c r="H75" s="25">
        <f t="shared" si="31"/>
        <v>315484.82610698353</v>
      </c>
      <c r="I75" s="25">
        <f t="shared" si="31"/>
        <v>320254.38231279893</v>
      </c>
      <c r="J75" s="25">
        <f t="shared" si="31"/>
        <v>325204.26971755747</v>
      </c>
      <c r="K75" s="25">
        <f t="shared" si="31"/>
        <v>330343.0860451319</v>
      </c>
      <c r="L75" s="25">
        <f t="shared" si="31"/>
        <v>339083.52390629798</v>
      </c>
      <c r="M75" s="25">
        <f t="shared" si="31"/>
        <v>347576.48595278175</v>
      </c>
      <c r="N75" s="25">
        <f t="shared" si="31"/>
        <v>218583.52552349289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14.25" x14ac:dyDescent="0.2">
      <c r="A76" s="7"/>
      <c r="B76" s="7"/>
      <c r="C76" s="7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14.25" x14ac:dyDescent="0.2">
      <c r="A77" s="7"/>
      <c r="B77" s="7"/>
      <c r="C77" s="7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14.25" x14ac:dyDescent="0.2">
      <c r="A78" s="7"/>
      <c r="B78" s="22" t="s">
        <v>52</v>
      </c>
      <c r="C78" s="40"/>
      <c r="D78" s="25">
        <f t="shared" ref="D78:N78" si="32">D62-D75</f>
        <v>0.46558163990266621</v>
      </c>
      <c r="E78" s="25">
        <f t="shared" si="32"/>
        <v>-0.26320554182166234</v>
      </c>
      <c r="F78" s="25">
        <f t="shared" si="32"/>
        <v>-0.24070626281900331</v>
      </c>
      <c r="G78" s="25">
        <f t="shared" si="32"/>
        <v>-0.44808628765167668</v>
      </c>
      <c r="H78" s="25">
        <f t="shared" si="32"/>
        <v>-0.2395327499252744</v>
      </c>
      <c r="I78" s="25">
        <f t="shared" si="32"/>
        <v>-0.36201996234012768</v>
      </c>
      <c r="J78" s="25">
        <f t="shared" si="32"/>
        <v>2.3888592084404081E-2</v>
      </c>
      <c r="K78" s="25">
        <f t="shared" si="32"/>
        <v>0.32214822986861691</v>
      </c>
      <c r="L78" s="25">
        <f t="shared" si="32"/>
        <v>0.20546708692563698</v>
      </c>
      <c r="M78" s="25">
        <f t="shared" si="32"/>
        <v>0.40924298629397526</v>
      </c>
      <c r="N78" s="25">
        <f t="shared" si="32"/>
        <v>0.38182630308438092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14.2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14.25" x14ac:dyDescent="0.2">
      <c r="A80" s="7"/>
      <c r="B80" s="22" t="s">
        <v>53</v>
      </c>
      <c r="C80" s="40"/>
      <c r="D80" s="26">
        <v>0.02</v>
      </c>
      <c r="E80" s="7"/>
      <c r="F80" s="22" t="s">
        <v>54</v>
      </c>
      <c r="G80" s="27">
        <f>D70/(D70+D72+D73)</f>
        <v>0.33652541547958276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14.25" x14ac:dyDescent="0.2">
      <c r="A81" s="7"/>
      <c r="B81" s="22" t="s">
        <v>55</v>
      </c>
      <c r="C81" s="40"/>
      <c r="D81" s="26">
        <v>7.0000000000000007E-2</v>
      </c>
      <c r="E81" s="7"/>
      <c r="F81" s="22" t="s">
        <v>56</v>
      </c>
      <c r="G81" s="27">
        <f>1-G80</f>
        <v>0.6634745845204173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14.25" x14ac:dyDescent="0.2">
      <c r="A82" s="7"/>
      <c r="B82" s="22" t="s">
        <v>57</v>
      </c>
      <c r="C82" s="40"/>
      <c r="D82" s="26">
        <v>0.09</v>
      </c>
      <c r="E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14.25" x14ac:dyDescent="0.2">
      <c r="A83" s="7"/>
      <c r="B83" s="22" t="s">
        <v>58</v>
      </c>
      <c r="C83" s="40"/>
      <c r="D83" s="22">
        <v>1.07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14.25" x14ac:dyDescent="0.2">
      <c r="A84" s="7"/>
      <c r="B84" s="22" t="s">
        <v>59</v>
      </c>
      <c r="C84" s="40"/>
      <c r="D84" s="22">
        <v>0.81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4.25" x14ac:dyDescent="0.2">
      <c r="A85" s="7"/>
      <c r="B85" s="22" t="s">
        <v>60</v>
      </c>
      <c r="C85" s="40"/>
      <c r="D85" s="27">
        <f>D84*(1+(1-0.35)*((D70)/(D72+D73)))</f>
        <v>1.0770496133293075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4.25" x14ac:dyDescent="0.2">
      <c r="A86" s="7"/>
      <c r="B86" s="22" t="s">
        <v>61</v>
      </c>
      <c r="C86" s="40"/>
      <c r="D86" s="28">
        <f>D80+(D85*D81)</f>
        <v>9.5393472933051532E-2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14.25" x14ac:dyDescent="0.2">
      <c r="A87" s="7"/>
      <c r="B87" s="22" t="s">
        <v>62</v>
      </c>
      <c r="C87" s="40"/>
      <c r="D87" s="28">
        <f>D86*G81+((G80*D6)*(1-D14))</f>
        <v>7.2653281878858028E-2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14.2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14.2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14.2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14.25" x14ac:dyDescent="0.2">
      <c r="A91" s="7"/>
      <c r="B91" s="38" t="s">
        <v>75</v>
      </c>
      <c r="C91" s="38"/>
      <c r="D91" s="25">
        <f>D52+D53-D64-D65</f>
        <v>116719.74145302799</v>
      </c>
      <c r="E91" s="25">
        <f t="shared" ref="E91:N91" si="33">E52+E53-E64-E65</f>
        <v>112895.35693593403</v>
      </c>
      <c r="F91" s="25">
        <f t="shared" si="33"/>
        <v>108860.43244980587</v>
      </c>
      <c r="G91" s="25">
        <f t="shared" si="33"/>
        <v>104604.40235470551</v>
      </c>
      <c r="H91" s="25">
        <f t="shared" si="33"/>
        <v>100116.1726514149</v>
      </c>
      <c r="I91" s="25">
        <f t="shared" si="33"/>
        <v>95384.094563317718</v>
      </c>
      <c r="J91" s="25">
        <f t="shared" si="33"/>
        <v>90395.936797374379</v>
      </c>
      <c r="K91" s="25">
        <f t="shared" si="33"/>
        <v>85138.856418145588</v>
      </c>
      <c r="L91" s="25">
        <f t="shared" si="33"/>
        <v>79599.368265517187</v>
      </c>
      <c r="M91" s="25">
        <f t="shared" si="33"/>
        <v>73763.312843310327</v>
      </c>
      <c r="N91" s="25">
        <f t="shared" si="33"/>
        <v>205319.31656083357</v>
      </c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s="41" customFormat="1" ht="14.25" x14ac:dyDescent="0.2">
      <c r="A92" s="7"/>
      <c r="B92" s="7" t="s">
        <v>79</v>
      </c>
      <c r="C92" s="38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s="41" customFormat="1" ht="14.25" x14ac:dyDescent="0.2">
      <c r="A93" s="7"/>
      <c r="B93" s="7" t="s">
        <v>80</v>
      </c>
      <c r="C93" s="38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s="41" customFormat="1" ht="14.25" x14ac:dyDescent="0.2">
      <c r="A94" s="7"/>
      <c r="B94" s="7" t="s">
        <v>81</v>
      </c>
      <c r="C94" s="38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s="41" customFormat="1" ht="14.25" x14ac:dyDescent="0.2">
      <c r="A95" s="7"/>
      <c r="B95" s="7"/>
      <c r="C95" s="38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14.25" x14ac:dyDescent="0.2">
      <c r="A96" s="7"/>
      <c r="B96" s="7" t="s">
        <v>82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14.25" x14ac:dyDescent="0.2">
      <c r="A97" s="7"/>
      <c r="B97" s="38" t="s">
        <v>76</v>
      </c>
      <c r="C97" s="38"/>
      <c r="D97" s="25">
        <f>D34-D44-D36</f>
        <v>14947.145948999241</v>
      </c>
      <c r="E97" s="25">
        <f t="shared" ref="E97:N97" si="34">E34-E44-E36</f>
        <v>14889.290209033061</v>
      </c>
      <c r="F97" s="25">
        <f t="shared" si="34"/>
        <v>14827.998953538074</v>
      </c>
      <c r="G97" s="25">
        <f t="shared" si="34"/>
        <v>14763.123223869829</v>
      </c>
      <c r="H97" s="25">
        <f t="shared" si="34"/>
        <v>14694.507682116964</v>
      </c>
      <c r="I97" s="25">
        <f t="shared" si="34"/>
        <v>14866.990338060481</v>
      </c>
      <c r="J97" s="25">
        <f t="shared" si="34"/>
        <v>14790.402264447504</v>
      </c>
      <c r="K97" s="25">
        <f t="shared" si="34"/>
        <v>14709.567300078663</v>
      </c>
      <c r="L97" s="25">
        <f t="shared" si="34"/>
        <v>12791.57446745981</v>
      </c>
      <c r="M97" s="25">
        <f t="shared" si="34"/>
        <v>12946.686740839097</v>
      </c>
      <c r="N97" s="25">
        <f t="shared" si="34"/>
        <v>12851.977073151706</v>
      </c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14.2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s="30" customFormat="1" ht="14.25" x14ac:dyDescent="0.2">
      <c r="A99" s="7"/>
      <c r="B99" s="45" t="s">
        <v>78</v>
      </c>
      <c r="C99" s="45"/>
      <c r="D99" s="39">
        <f>-(E91-D91)</f>
        <v>3824.3845170939603</v>
      </c>
      <c r="E99" s="39">
        <f t="shared" ref="E99:N99" si="35">-(F91-E91)</f>
        <v>4034.9244861281622</v>
      </c>
      <c r="F99" s="39">
        <f t="shared" si="35"/>
        <v>4256.0300951003592</v>
      </c>
      <c r="G99" s="39">
        <f t="shared" si="35"/>
        <v>4488.2297032906063</v>
      </c>
      <c r="H99" s="39">
        <f t="shared" si="35"/>
        <v>4732.078088097187</v>
      </c>
      <c r="I99" s="39">
        <f t="shared" si="35"/>
        <v>4988.1577659433387</v>
      </c>
      <c r="J99" s="39">
        <f t="shared" si="35"/>
        <v>5257.0803792287916</v>
      </c>
      <c r="K99" s="39">
        <f t="shared" si="35"/>
        <v>5539.4881526284007</v>
      </c>
      <c r="L99" s="39">
        <f t="shared" si="35"/>
        <v>5836.0554222068604</v>
      </c>
      <c r="M99" s="39">
        <f t="shared" si="35"/>
        <v>-131556.00371752324</v>
      </c>
      <c r="N99" s="39">
        <f t="shared" si="35"/>
        <v>205319.31656083357</v>
      </c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s="30" customFormat="1" ht="14.2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14.25" x14ac:dyDescent="0.2">
      <c r="A101" s="7"/>
      <c r="B101" s="7" t="s">
        <v>39</v>
      </c>
      <c r="C101" s="7"/>
      <c r="D101" s="25">
        <f t="shared" ref="D101:N101" si="36">-(E58-D58)</f>
        <v>0</v>
      </c>
      <c r="E101" s="25">
        <f t="shared" si="36"/>
        <v>0</v>
      </c>
      <c r="F101" s="25">
        <f t="shared" si="36"/>
        <v>0</v>
      </c>
      <c r="G101" s="25">
        <f t="shared" si="36"/>
        <v>0</v>
      </c>
      <c r="H101" s="25">
        <f t="shared" si="36"/>
        <v>-3500</v>
      </c>
      <c r="I101" s="25">
        <f t="shared" si="36"/>
        <v>0</v>
      </c>
      <c r="J101" s="25">
        <f t="shared" si="36"/>
        <v>0</v>
      </c>
      <c r="K101" s="25">
        <f t="shared" si="36"/>
        <v>0</v>
      </c>
      <c r="L101" s="25">
        <f t="shared" si="36"/>
        <v>-3500</v>
      </c>
      <c r="M101" s="25">
        <f t="shared" si="36"/>
        <v>0</v>
      </c>
      <c r="N101" s="25">
        <f t="shared" si="36"/>
        <v>10500</v>
      </c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14.2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15" x14ac:dyDescent="0.25">
      <c r="A103" s="7"/>
      <c r="B103" s="37" t="s">
        <v>73</v>
      </c>
      <c r="C103" s="47">
        <v>-150000</v>
      </c>
      <c r="D103" s="25">
        <f>SUM(D97:D102)</f>
        <v>18771.530466093202</v>
      </c>
      <c r="E103" s="25">
        <f t="shared" ref="E103:N103" si="37">SUM(E97:E102)</f>
        <v>18924.214695161223</v>
      </c>
      <c r="F103" s="25">
        <f t="shared" si="37"/>
        <v>19084.029048638433</v>
      </c>
      <c r="G103" s="25">
        <f t="shared" si="37"/>
        <v>19251.352927160435</v>
      </c>
      <c r="H103" s="25">
        <f t="shared" si="37"/>
        <v>15926.585770214151</v>
      </c>
      <c r="I103" s="25">
        <f t="shared" si="37"/>
        <v>19855.14810400382</v>
      </c>
      <c r="J103" s="25">
        <f t="shared" si="37"/>
        <v>20047.482643676296</v>
      </c>
      <c r="K103" s="25">
        <f t="shared" si="37"/>
        <v>20249.055452707064</v>
      </c>
      <c r="L103" s="25">
        <f t="shared" si="37"/>
        <v>15127.62988966667</v>
      </c>
      <c r="M103" s="25">
        <f t="shared" si="37"/>
        <v>-118609.31697668415</v>
      </c>
      <c r="N103" s="25">
        <f t="shared" si="37"/>
        <v>228671.29363398527</v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15" x14ac:dyDescent="0.25">
      <c r="A104" s="7"/>
      <c r="B104" s="37" t="s">
        <v>74</v>
      </c>
      <c r="C104" s="37"/>
      <c r="D104" s="28">
        <f>IRR(C103:N103)</f>
        <v>9.0366903349147654E-2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14.2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14.25" x14ac:dyDescent="0.2">
      <c r="A106" s="7"/>
      <c r="B106" s="38" t="s">
        <v>62</v>
      </c>
      <c r="C106" s="38"/>
      <c r="D106" s="28">
        <f>D87</f>
        <v>7.2653281878858028E-2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14.2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14.25" x14ac:dyDescent="0.2">
      <c r="A108" s="7"/>
      <c r="B108" s="38" t="s">
        <v>77</v>
      </c>
      <c r="C108" s="38"/>
      <c r="D108" s="25">
        <f>NPV(D106,D103:N103)+C103</f>
        <v>16974.664744440874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14.2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14.2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15" x14ac:dyDescent="0.25">
      <c r="A111" s="7"/>
      <c r="B111" s="46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15" x14ac:dyDescent="0.25">
      <c r="A112" s="7"/>
      <c r="B112" s="46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ht="14.2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ht="14.2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ht="15" x14ac:dyDescent="0.25">
      <c r="A115" s="7"/>
      <c r="B115" s="46"/>
      <c r="C115" s="48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ht="14.2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ht="15" x14ac:dyDescent="0.25">
      <c r="A117" s="7"/>
      <c r="B117" s="46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ht="14.2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ht="14.2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ht="14.2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ht="14.2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ht="14.2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ht="14.2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ht="14.2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ht="14.2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ht="14.2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14.2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14.2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ht="14.2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ht="14.2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ht="14.2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4.2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ht="14.2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ht="14.2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4.2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4.2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4.2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4.2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4.2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4.2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4.2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4.2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4.2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4.2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4.2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4.2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4.2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4.2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4.2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4.2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4.2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14.2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14.2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14.2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ht="14.2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ht="14.2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ht="14.2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ht="14.2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ht="14.2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ht="14.2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ht="14.2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ht="14.2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ht="14.2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ht="14.2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ht="14.2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ht="14.2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ht="14.2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ht="14.2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ht="14.2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ht="14.2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ht="14.2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ht="14.2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ht="14.2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ht="14.2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ht="14.2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ht="14.2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ht="14.2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ht="14.2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ht="14.2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ht="14.2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14.2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14.2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ht="14.2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ht="14.2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ht="14.2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ht="14.2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ht="14.2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ht="14.2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ht="14.2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ht="14.2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ht="14.2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ht="14.2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ht="14.2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ht="14.2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ht="14.2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ht="14.2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ht="14.2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ht="14.2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ht="14.2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ht="14.2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ht="14.2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ht="14.2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ht="14.2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ht="14.2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ht="14.2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ht="14.2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ht="14.2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ht="14.2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ht="14.2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ht="14.2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ht="14.2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ht="14.2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ht="14.2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ht="14.2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ht="14.2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ht="14.2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ht="14.2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ht="14.2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ht="14.2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ht="14.2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ht="14.2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ht="14.2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ht="14.2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ht="14.2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ht="14.2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ht="14.2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ht="14.2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ht="14.2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ht="14.2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ht="14.2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ht="14.2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ht="14.2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ht="14.2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ht="14.2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ht="14.2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ht="14.2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ht="14.2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ht="14.2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ht="14.2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ht="14.2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ht="14.2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ht="14.2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ht="14.2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ht="14.2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ht="14.2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ht="14.2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ht="14.2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ht="14.2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ht="14.2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ht="14.2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ht="14.2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ht="14.2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ht="14.2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ht="14.2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ht="14.2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ht="14.2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ht="14.2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ht="14.2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ht="14.2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ht="14.2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ht="14.2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ht="14.2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ht="14.2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ht="14.2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ht="14.2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ht="14.2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ht="14.2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ht="14.2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ht="14.2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ht="14.2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ht="14.2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ht="14.2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ht="14.2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ht="14.2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ht="14.2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ht="14.2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ht="14.2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ht="14.2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ht="14.2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ht="14.2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ht="14.2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ht="14.2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ht="14.2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ht="14.2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ht="14.2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ht="14.2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ht="14.2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ht="14.2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ht="14.2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ht="14.2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ht="14.2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ht="14.2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14.2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14.2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14.2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14.2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14.2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ht="14.2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ht="14.2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ht="14.2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ht="14.2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ht="14.2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14.2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14.2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14.2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14.2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14.2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14.2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14.2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14.2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14.2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14.2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14.2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14.2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14.2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14.2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14.2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14.2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14.2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14.2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14.2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ht="14.2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ht="14.2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14.2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14.2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14.2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14.2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14.2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14.2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14.2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14.2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14.2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14.2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14.2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14.2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14.2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14.2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14.2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14.2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ht="14.2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ht="14.2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ht="14.2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14.2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ht="14.2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ht="14.2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14.2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14.2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14.2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14.2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14.2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14.2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14.2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14.2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ht="14.2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14.2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14.2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14.2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14.2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14.2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14.2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14.2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14.2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14.2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14.2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14.2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14.2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14.2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14.2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14.2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14.2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14.2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14.2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14.2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14.2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14.2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14.2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14.2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14.2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14.2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14.2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ht="14.2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ht="14.2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ht="14.2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ht="14.2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14.2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14.2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14.2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14.2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14.2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14.2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14.2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14.2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14.2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14.2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ht="14.2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14.2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14.2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14.2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14.2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14.2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14.2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14.2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14.2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14.2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14.2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14.2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14.2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14.2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14.2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14.2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14.2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14.2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14.2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14.2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14.2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14.2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14.2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14.2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14.2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14.2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14.2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14.2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14.2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14.2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14.2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14.2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14.2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14.2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14.2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14.2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14.2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14.2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14.2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14.2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14.2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14.2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14.2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14.2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14.2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14.2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14.2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14.2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14.2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14.2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14.2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14.2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14.2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14.2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14.2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14.2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14.2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14.2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14.2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14.2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14.2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14.2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14.2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14.2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14.2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14.2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14.2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14.2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14.2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14.2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14.2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14.2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14.2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14.2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14.2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14.2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14.2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14.2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14.2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14.2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14.2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14.2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14.2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14.2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14.2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14.2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14.2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14.2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14.2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14.2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14.2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14.2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14.2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14.2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14.2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14.2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14.2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14.2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14.2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14.2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14.2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14.2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14.2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14.2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14.2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14.2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14.2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14.2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14.2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14.2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14.2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14.2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14.2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14.2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14.2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14.2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14.2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14.2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14.2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14.2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14.2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14.2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14.2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14.2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14.2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14.2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14.2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14.2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14.2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14.2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14.2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14.2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14.2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14.2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14.2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14.2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14.2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14.2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14.2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14.2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14.2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14.2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14.2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14.2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14.2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14.2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14.2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14.2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14.2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14.2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14.2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14.2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14.2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14.2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14.2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14.2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14.2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ht="14.2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ht="14.2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ht="14.2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ht="14.2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14.2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14.2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14.2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14.2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14.2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14.2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14.2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14.2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14.2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14.2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14.2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14.2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14.2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14.2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14.2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14.2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14.2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14.2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14.2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14.2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14.2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14.2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14.2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14.2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14.2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14.2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4.2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14.2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14.2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14.2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14.2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14.2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14.2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14.2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14.2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14.2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14.2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14.2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14.2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14.2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ht="14.2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ht="14.2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ht="14.2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ht="14.2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ht="14.2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ht="14.2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ht="14.2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ht="14.2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ht="14.2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ht="14.2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ht="14.2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ht="14.2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ht="14.2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ht="14.2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ht="14.2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ht="14.2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ht="14.2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ht="14.2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ht="14.2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ht="14.2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ht="14.2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ht="14.2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ht="14.2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ht="14.2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ht="14.2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ht="14.2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ht="14.2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ht="14.2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ht="14.2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ht="14.2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ht="14.2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ht="14.2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ht="14.2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ht="14.2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ht="14.2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ht="14.2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ht="14.2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ht="14.2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ht="14.2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ht="14.2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ht="14.2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ht="14.2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ht="14.2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ht="14.2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ht="14.2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ht="14.2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ht="14.2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ht="14.2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ht="14.2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ht="14.2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ht="14.2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ht="14.2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ht="14.2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ht="14.2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ht="14.2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ht="14.2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ht="14.2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ht="14.2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ht="14.2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ht="14.2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ht="14.2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ht="14.2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ht="14.2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ht="14.2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ht="14.2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ht="14.2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ht="14.2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ht="14.2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ht="14.2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ht="14.2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ht="14.2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ht="14.2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ht="14.2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ht="14.2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ht="14.2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ht="14.2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ht="14.2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ht="14.2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ht="14.2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ht="14.2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ht="14.2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ht="14.2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ht="14.2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ht="14.2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ht="14.2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ht="14.2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ht="14.2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ht="14.2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ht="14.2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ht="14.2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ht="14.2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ht="14.2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ht="14.2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ht="14.2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ht="14.2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ht="14.2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ht="14.2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ht="14.2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ht="14.2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ht="14.2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ht="14.2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ht="14.2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ht="14.2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ht="14.2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ht="14.2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ht="14.2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ht="14.2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ht="14.2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ht="14.2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ht="14.2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ht="14.2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ht="14.2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ht="14.2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ht="14.2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ht="14.2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ht="14.2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ht="14.2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ht="14.2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ht="14.2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ht="14.2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ht="14.2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ht="14.2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ht="14.2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ht="14.2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ht="14.2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ht="14.2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ht="14.2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ht="14.2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ht="14.2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ht="14.2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ht="14.2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ht="14.2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ht="14.2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ht="14.2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ht="14.2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ht="14.2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ht="14.2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ht="14.2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ht="14.2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ht="14.2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ht="14.2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ht="14.2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ht="14.2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ht="14.2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ht="14.2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ht="14.2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ht="14.2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ht="14.2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ht="14.2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ht="14.2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ht="14.2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ht="14.2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ht="14.2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ht="14.2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ht="14.2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ht="14.2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ht="14.2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ht="14.2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ht="14.2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ht="14.2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ht="14.2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ht="14.2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ht="14.2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ht="14.2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ht="14.2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ht="14.2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ht="14.2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ht="14.2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ht="14.2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ht="14.2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ht="14.2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ht="14.2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ht="14.2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ht="14.2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ht="14.2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ht="14.2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ht="14.2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ht="14.2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ht="14.2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ht="14.2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ht="14.2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ht="14.2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ht="14.2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ht="14.2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ht="14.2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ht="14.2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ht="14.2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ht="14.2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ht="14.2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ht="14.2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ht="14.2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ht="14.2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ht="14.2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ht="14.2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ht="14.2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ht="14.2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ht="14.2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ht="14.2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ht="14.2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ht="14.2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ht="14.2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ht="14.2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ht="14.2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ht="14.2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ht="14.2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ht="14.2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ht="14.2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ht="14.2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ht="14.2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ht="14.2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ht="14.2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ht="14.2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ht="14.2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ht="14.2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ht="14.2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ht="14.2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ht="14.2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ht="14.2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ht="14.2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ht="14.2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ht="14.2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ht="14.2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ht="14.2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ht="14.2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ht="14.2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ht="14.2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ht="14.2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ht="14.2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ht="14.2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ht="14.2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ht="14.2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ht="14.2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ht="14.2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ht="14.2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ht="14.2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ht="14.2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ht="14.2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ht="14.2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ht="14.2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ht="14.2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ht="14.2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ht="14.2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ht="14.2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ht="14.2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ht="14.2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ht="14.2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ht="14.2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ht="14.2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ht="14.2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ht="14.2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ht="14.2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ht="14.2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ht="14.2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ht="14.2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ht="14.2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ht="14.2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ht="14.2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ht="14.2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ht="14.2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ht="14.2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ht="14.2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ht="14.2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ht="14.2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ht="14.2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ht="14.2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ht="14.2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ht="14.2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ht="14.2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ht="14.2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ht="14.2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ht="14.2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ht="14.2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ht="14.2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ht="14.2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ht="14.2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ht="14.2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ht="14.2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ht="14.2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ht="14.2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ht="14.2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ht="14.2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ht="14.2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ht="14.2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ht="14.2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ht="14.2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ht="14.2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ht="14.2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ht="14.2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ht="14.2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ht="14.2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ht="14.2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ht="14.2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ht="14.2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ht="14.2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ht="14.2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ht="14.2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ht="14.2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ht="14.2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ht="14.2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ht="14.2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ht="14.2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 ht="14.2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 ht="14.2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 ht="14.2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 ht="14.2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 ht="14.2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 ht="14.2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 ht="14.2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 ht="14.2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 ht="14.2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 ht="14.2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 ht="14.2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 ht="14.2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 ht="14.2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 ht="14.2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 ht="14.2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 ht="14.2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 ht="14.2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 ht="14.2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 ht="14.2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 ht="14.2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 ht="14.2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 ht="14.2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 ht="14.2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 ht="14.2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 ht="14.2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 ht="14.2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 ht="14.2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 ht="14.2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 ht="14.2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 ht="14.2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 ht="14.2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 ht="14.2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 ht="14.2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 ht="14.2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 ht="14.2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 ht="14.2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 ht="14.2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 ht="14.2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 ht="14.2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 ht="14.2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 ht="14.2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 ht="14.2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 ht="14.2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 ht="14.2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 ht="14.2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 ht="14.2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 ht="14.2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 ht="14.2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 ht="14.2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 ht="14.2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 ht="14.2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 ht="14.2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 ht="14.2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 ht="14.2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 ht="14.2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 ht="14.2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 ht="14.2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 ht="14.2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 ht="14.25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 ht="14.25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 ht="14.25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 ht="14.25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 ht="14.25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 ht="14.25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 ht="14.25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 ht="14.25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 ht="14.25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 ht="14.25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 ht="14.25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 ht="14.25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 ht="14.25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 ht="14.25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 ht="14.25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 ht="14.25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 ht="14.25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 ht="14.25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 ht="14.25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 ht="14.25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 ht="14.25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 ht="14.25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 ht="14.25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 ht="14.25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 ht="14.25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 ht="14.25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 ht="14.25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 ht="14.25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 ht="14.25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 ht="14.25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 ht="14.25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 ht="14.25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 ht="14.25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 ht="14.25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 ht="14.25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 ht="14.25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 ht="14.25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 ht="14.25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 ht="14.25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 ht="14.25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 ht="14.25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 ht="14.25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 ht="14.25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 ht="14.25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 ht="14.25" x14ac:dyDescent="0.2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 ht="14.25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 ht="14.25" x14ac:dyDescent="0.2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 ht="14.25" x14ac:dyDescent="0.2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 ht="14.25" x14ac:dyDescent="0.2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 ht="14.25" x14ac:dyDescent="0.2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 ht="14.25" x14ac:dyDescent="0.2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 ht="14.25" x14ac:dyDescent="0.2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 ht="14.25" x14ac:dyDescent="0.2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 ht="14.25" x14ac:dyDescent="0.2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 ht="14.25" x14ac:dyDescent="0.2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 ht="14.25" x14ac:dyDescent="0.2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spans="1:28" ht="14.25" x14ac:dyDescent="0.2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</row>
    <row r="1012" spans="1:28" ht="14.25" x14ac:dyDescent="0.2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</row>
    <row r="1013" spans="1:28" ht="14.25" x14ac:dyDescent="0.2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</row>
    <row r="1014" spans="1:28" ht="14.25" x14ac:dyDescent="0.2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</row>
    <row r="1015" spans="1:28" ht="14.25" x14ac:dyDescent="0.2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</row>
    <row r="1016" spans="1:28" ht="14.25" x14ac:dyDescent="0.2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</row>
    <row r="1017" spans="1:28" ht="14.25" x14ac:dyDescent="0.2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</row>
    <row r="1018" spans="1:28" ht="14.25" x14ac:dyDescent="0.2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</row>
    <row r="1019" spans="1:28" ht="14.25" x14ac:dyDescent="0.2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</row>
    <row r="1020" spans="1:28" ht="14.25" x14ac:dyDescent="0.2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</row>
    <row r="1021" spans="1:28" ht="14.25" x14ac:dyDescent="0.2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</row>
    <row r="1022" spans="1:28" ht="14.25" x14ac:dyDescent="0.2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</row>
    <row r="1023" spans="1:28" ht="14.25" x14ac:dyDescent="0.2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</row>
    <row r="1024" spans="1:28" ht="14.25" x14ac:dyDescent="0.2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</row>
    <row r="1025" spans="1:28" ht="14.25" x14ac:dyDescent="0.2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</row>
    <row r="1026" spans="1:28" ht="14.25" x14ac:dyDescent="0.2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</row>
  </sheetData>
  <mergeCells count="2">
    <mergeCell ref="F1:H1"/>
    <mergeCell ref="B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"/>
  <sheetViews>
    <sheetView topLeftCell="A7" workbookViewId="0">
      <selection activeCell="F35" sqref="F35"/>
    </sheetView>
  </sheetViews>
  <sheetFormatPr defaultRowHeight="12.75" x14ac:dyDescent="0.2"/>
  <cols>
    <col min="2" max="2" width="12.140625" bestFit="1" customWidth="1"/>
    <col min="5" max="5" width="12.140625" bestFit="1" customWidth="1"/>
  </cols>
  <sheetData>
    <row r="1" spans="1:5" x14ac:dyDescent="0.2">
      <c r="A1" t="s">
        <v>67</v>
      </c>
      <c r="B1" s="35">
        <f>Spreadsheet!D6</f>
        <v>4.2799999999999998E-2</v>
      </c>
    </row>
    <row r="2" spans="1:5" x14ac:dyDescent="0.2">
      <c r="A2" t="s">
        <v>68</v>
      </c>
      <c r="B2" s="36">
        <v>144000</v>
      </c>
    </row>
    <row r="3" spans="1:5" x14ac:dyDescent="0.2">
      <c r="A3" t="s">
        <v>69</v>
      </c>
      <c r="B3">
        <f>30</f>
        <v>30</v>
      </c>
    </row>
    <row r="6" spans="1:5" x14ac:dyDescent="0.2">
      <c r="A6" t="s">
        <v>17</v>
      </c>
      <c r="B6" t="s">
        <v>70</v>
      </c>
      <c r="C6" t="s">
        <v>71</v>
      </c>
      <c r="D6" t="s">
        <v>72</v>
      </c>
      <c r="E6" t="s">
        <v>68</v>
      </c>
    </row>
    <row r="7" spans="1:5" x14ac:dyDescent="0.2">
      <c r="A7">
        <v>1</v>
      </c>
      <c r="B7" s="32">
        <f>-PMT($B$1,$B$3,$B$2,0)</f>
        <v>8612.9459389452732</v>
      </c>
      <c r="C7" s="32">
        <f>B2*B1</f>
        <v>6163.2</v>
      </c>
      <c r="D7" s="32">
        <f>B7-C7</f>
        <v>2449.7459389452733</v>
      </c>
      <c r="E7" s="32">
        <f>B2-D7</f>
        <v>141550.25406105473</v>
      </c>
    </row>
    <row r="8" spans="1:5" x14ac:dyDescent="0.2">
      <c r="A8">
        <v>2</v>
      </c>
      <c r="B8" s="32">
        <f t="shared" ref="B8:B36" si="0">-PMT($B$1,$B$3,$B$2,0)</f>
        <v>8612.9459389452732</v>
      </c>
      <c r="C8" s="32">
        <f>$B$1*E7</f>
        <v>6058.3508738131422</v>
      </c>
      <c r="D8" s="32">
        <f>B8-C8</f>
        <v>2554.5950651321309</v>
      </c>
      <c r="E8" s="32">
        <f>E7-D8</f>
        <v>138995.6589959226</v>
      </c>
    </row>
    <row r="9" spans="1:5" x14ac:dyDescent="0.2">
      <c r="A9">
        <v>3</v>
      </c>
      <c r="B9" s="32">
        <f t="shared" si="0"/>
        <v>8612.9459389452732</v>
      </c>
      <c r="C9" s="32">
        <f t="shared" ref="C9:C36" si="1">$B$1*E8</f>
        <v>5949.0142050254872</v>
      </c>
      <c r="D9" s="32">
        <f t="shared" ref="D9:D36" si="2">B9-C9</f>
        <v>2663.931733919786</v>
      </c>
      <c r="E9" s="32">
        <f t="shared" ref="E9:E36" si="3">E8-D9</f>
        <v>136331.72726200282</v>
      </c>
    </row>
    <row r="10" spans="1:5" x14ac:dyDescent="0.2">
      <c r="A10">
        <v>4</v>
      </c>
      <c r="B10" s="32">
        <f t="shared" si="0"/>
        <v>8612.9459389452732</v>
      </c>
      <c r="C10" s="32">
        <f t="shared" si="1"/>
        <v>5834.9979268137204</v>
      </c>
      <c r="D10" s="32">
        <f t="shared" si="2"/>
        <v>2777.9480121315528</v>
      </c>
      <c r="E10" s="32">
        <f t="shared" si="3"/>
        <v>133553.77924987127</v>
      </c>
    </row>
    <row r="11" spans="1:5" x14ac:dyDescent="0.2">
      <c r="A11" s="30">
        <v>5</v>
      </c>
      <c r="B11" s="32">
        <f t="shared" si="0"/>
        <v>8612.9459389452732</v>
      </c>
      <c r="C11" s="32">
        <f t="shared" si="1"/>
        <v>5716.10175189449</v>
      </c>
      <c r="D11" s="32">
        <f t="shared" si="2"/>
        <v>2896.8441870507831</v>
      </c>
      <c r="E11" s="32">
        <f t="shared" si="3"/>
        <v>130656.93506282048</v>
      </c>
    </row>
    <row r="12" spans="1:5" x14ac:dyDescent="0.2">
      <c r="A12" s="30">
        <v>6</v>
      </c>
      <c r="B12" s="32">
        <f t="shared" si="0"/>
        <v>8612.9459389452732</v>
      </c>
      <c r="C12" s="32">
        <f t="shared" si="1"/>
        <v>5592.1168206887169</v>
      </c>
      <c r="D12" s="32">
        <f t="shared" si="2"/>
        <v>3020.8291182565563</v>
      </c>
      <c r="E12" s="32">
        <f t="shared" si="3"/>
        <v>127636.10594456393</v>
      </c>
    </row>
    <row r="13" spans="1:5" x14ac:dyDescent="0.2">
      <c r="A13" s="30">
        <v>7</v>
      </c>
      <c r="B13" s="32">
        <f t="shared" si="0"/>
        <v>8612.9459389452732</v>
      </c>
      <c r="C13" s="32">
        <f t="shared" si="1"/>
        <v>5462.8253344273353</v>
      </c>
      <c r="D13" s="32">
        <f t="shared" si="2"/>
        <v>3150.1206045179379</v>
      </c>
      <c r="E13" s="32">
        <f t="shared" si="3"/>
        <v>124485.98534004598</v>
      </c>
    </row>
    <row r="14" spans="1:5" x14ac:dyDescent="0.2">
      <c r="A14" s="30">
        <v>8</v>
      </c>
      <c r="B14" s="32">
        <f t="shared" si="0"/>
        <v>8612.9459389452732</v>
      </c>
      <c r="C14" s="32">
        <f t="shared" si="1"/>
        <v>5328.0001725539678</v>
      </c>
      <c r="D14" s="32">
        <f t="shared" si="2"/>
        <v>3284.9457663913054</v>
      </c>
      <c r="E14" s="32">
        <f t="shared" si="3"/>
        <v>121201.03957365468</v>
      </c>
    </row>
    <row r="15" spans="1:5" x14ac:dyDescent="0.2">
      <c r="A15" s="30">
        <v>9</v>
      </c>
      <c r="B15" s="32">
        <f t="shared" si="0"/>
        <v>8612.9459389452732</v>
      </c>
      <c r="C15" s="32">
        <f t="shared" si="1"/>
        <v>5187.4044937524195</v>
      </c>
      <c r="D15" s="32">
        <f t="shared" si="2"/>
        <v>3425.5414451928536</v>
      </c>
      <c r="E15" s="32">
        <f t="shared" si="3"/>
        <v>117775.49812846183</v>
      </c>
    </row>
    <row r="16" spans="1:5" x14ac:dyDescent="0.2">
      <c r="A16" s="30">
        <v>10</v>
      </c>
      <c r="B16" s="32">
        <f t="shared" si="0"/>
        <v>8612.9459389452732</v>
      </c>
      <c r="C16" s="32">
        <f t="shared" si="1"/>
        <v>5040.791319898166</v>
      </c>
      <c r="D16" s="32">
        <f t="shared" si="2"/>
        <v>3572.1546190471072</v>
      </c>
      <c r="E16" s="32">
        <f t="shared" si="3"/>
        <v>114203.34350941471</v>
      </c>
    </row>
    <row r="17" spans="1:5" x14ac:dyDescent="0.2">
      <c r="A17" s="30">
        <v>11</v>
      </c>
      <c r="B17" s="32">
        <f t="shared" si="0"/>
        <v>8612.9459389452732</v>
      </c>
      <c r="C17" s="32">
        <f t="shared" si="1"/>
        <v>4887.9031022029494</v>
      </c>
      <c r="D17" s="32">
        <f t="shared" si="2"/>
        <v>3725.0428367423237</v>
      </c>
      <c r="E17" s="32">
        <f t="shared" si="3"/>
        <v>110478.30067267238</v>
      </c>
    </row>
    <row r="18" spans="1:5" x14ac:dyDescent="0.2">
      <c r="A18" s="30">
        <v>12</v>
      </c>
      <c r="B18" s="32">
        <f t="shared" si="0"/>
        <v>8612.9459389452732</v>
      </c>
      <c r="C18" s="32">
        <f t="shared" si="1"/>
        <v>4728.4712687903775</v>
      </c>
      <c r="D18" s="32">
        <f t="shared" si="2"/>
        <v>3884.4746701548956</v>
      </c>
      <c r="E18" s="32">
        <f t="shared" si="3"/>
        <v>106593.82600251748</v>
      </c>
    </row>
    <row r="19" spans="1:5" x14ac:dyDescent="0.2">
      <c r="A19" s="30">
        <v>13</v>
      </c>
      <c r="B19" s="32">
        <f t="shared" si="0"/>
        <v>8612.9459389452732</v>
      </c>
      <c r="C19" s="32">
        <f t="shared" si="1"/>
        <v>4562.2157529077476</v>
      </c>
      <c r="D19" s="32">
        <f t="shared" si="2"/>
        <v>4050.7301860375255</v>
      </c>
      <c r="E19" s="32">
        <f t="shared" si="3"/>
        <v>102543.09581647995</v>
      </c>
    </row>
    <row r="20" spans="1:5" x14ac:dyDescent="0.2">
      <c r="A20" s="30">
        <v>14</v>
      </c>
      <c r="B20" s="32">
        <f t="shared" si="0"/>
        <v>8612.9459389452732</v>
      </c>
      <c r="C20" s="32">
        <f t="shared" si="1"/>
        <v>4388.8445009453417</v>
      </c>
      <c r="D20" s="32">
        <f t="shared" si="2"/>
        <v>4224.1014379999315</v>
      </c>
      <c r="E20" s="32">
        <f t="shared" si="3"/>
        <v>98318.994378480027</v>
      </c>
    </row>
    <row r="21" spans="1:5" x14ac:dyDescent="0.2">
      <c r="A21" s="30">
        <v>15</v>
      </c>
      <c r="B21" s="32">
        <f t="shared" si="0"/>
        <v>8612.9459389452732</v>
      </c>
      <c r="C21" s="32">
        <f t="shared" si="1"/>
        <v>4208.0529593989449</v>
      </c>
      <c r="D21" s="32">
        <f t="shared" si="2"/>
        <v>4404.8929795463282</v>
      </c>
      <c r="E21" s="32">
        <f t="shared" si="3"/>
        <v>93914.101398933693</v>
      </c>
    </row>
    <row r="22" spans="1:5" x14ac:dyDescent="0.2">
      <c r="A22" s="30">
        <v>16</v>
      </c>
      <c r="B22" s="32">
        <f t="shared" si="0"/>
        <v>8612.9459389452732</v>
      </c>
      <c r="C22" s="32">
        <f t="shared" si="1"/>
        <v>4019.5235398743621</v>
      </c>
      <c r="D22" s="32">
        <f t="shared" si="2"/>
        <v>4593.4223990709106</v>
      </c>
      <c r="E22" s="32">
        <f t="shared" si="3"/>
        <v>89320.678999862779</v>
      </c>
    </row>
    <row r="23" spans="1:5" x14ac:dyDescent="0.2">
      <c r="A23" s="30">
        <v>17</v>
      </c>
      <c r="B23" s="32">
        <f t="shared" si="0"/>
        <v>8612.9459389452732</v>
      </c>
      <c r="C23" s="32">
        <f t="shared" si="1"/>
        <v>3822.9250611941266</v>
      </c>
      <c r="D23" s="32">
        <f t="shared" si="2"/>
        <v>4790.0208777511471</v>
      </c>
      <c r="E23" s="32">
        <f t="shared" si="3"/>
        <v>84530.658122111636</v>
      </c>
    </row>
    <row r="24" spans="1:5" x14ac:dyDescent="0.2">
      <c r="A24" s="30">
        <v>18</v>
      </c>
      <c r="B24" s="32">
        <f t="shared" si="0"/>
        <v>8612.9459389452732</v>
      </c>
      <c r="C24" s="32">
        <f t="shared" si="1"/>
        <v>3617.9121676263776</v>
      </c>
      <c r="D24" s="32">
        <f t="shared" si="2"/>
        <v>4995.0337713188956</v>
      </c>
      <c r="E24" s="32">
        <f t="shared" si="3"/>
        <v>79535.624350792743</v>
      </c>
    </row>
    <row r="25" spans="1:5" x14ac:dyDescent="0.2">
      <c r="A25" s="30">
        <v>19</v>
      </c>
      <c r="B25" s="32">
        <f t="shared" si="0"/>
        <v>8612.9459389452732</v>
      </c>
      <c r="C25" s="32">
        <f t="shared" si="1"/>
        <v>3404.1247222139291</v>
      </c>
      <c r="D25" s="32">
        <f t="shared" si="2"/>
        <v>5208.8212167313441</v>
      </c>
      <c r="E25" s="32">
        <f t="shared" si="3"/>
        <v>74326.803134061396</v>
      </c>
    </row>
    <row r="26" spans="1:5" x14ac:dyDescent="0.2">
      <c r="A26" s="30">
        <v>20</v>
      </c>
      <c r="B26" s="32">
        <f t="shared" si="0"/>
        <v>8612.9459389452732</v>
      </c>
      <c r="C26" s="32">
        <f t="shared" si="1"/>
        <v>3181.1871741378277</v>
      </c>
      <c r="D26" s="32">
        <f t="shared" si="2"/>
        <v>5431.7587648074459</v>
      </c>
      <c r="E26" s="32">
        <f t="shared" si="3"/>
        <v>68895.044369253956</v>
      </c>
    </row>
    <row r="27" spans="1:5" x14ac:dyDescent="0.2">
      <c r="A27" s="30">
        <v>21</v>
      </c>
      <c r="B27" s="32">
        <f t="shared" si="0"/>
        <v>8612.9459389452732</v>
      </c>
      <c r="C27" s="32">
        <f t="shared" si="1"/>
        <v>2948.7078990040691</v>
      </c>
      <c r="D27" s="32">
        <f t="shared" si="2"/>
        <v>5664.2380399412041</v>
      </c>
      <c r="E27" s="32">
        <f t="shared" si="3"/>
        <v>63230.806329312749</v>
      </c>
    </row>
    <row r="28" spans="1:5" x14ac:dyDescent="0.2">
      <c r="A28" s="30">
        <v>22</v>
      </c>
      <c r="B28" s="32">
        <f t="shared" si="0"/>
        <v>8612.9459389452732</v>
      </c>
      <c r="C28" s="32">
        <f t="shared" si="1"/>
        <v>2706.2785108945855</v>
      </c>
      <c r="D28" s="32">
        <f t="shared" si="2"/>
        <v>5906.6674280506877</v>
      </c>
      <c r="E28" s="32">
        <f t="shared" si="3"/>
        <v>57324.138901262064</v>
      </c>
    </row>
    <row r="29" spans="1:5" x14ac:dyDescent="0.2">
      <c r="A29" s="30">
        <v>23</v>
      </c>
      <c r="B29" s="32">
        <f t="shared" si="0"/>
        <v>8612.9459389452732</v>
      </c>
      <c r="C29" s="32">
        <f t="shared" si="1"/>
        <v>2453.4731449740161</v>
      </c>
      <c r="D29" s="32">
        <f t="shared" si="2"/>
        <v>6159.4727939712575</v>
      </c>
      <c r="E29" s="32">
        <f t="shared" si="3"/>
        <v>51164.666107290803</v>
      </c>
    </row>
    <row r="30" spans="1:5" x14ac:dyDescent="0.2">
      <c r="A30" s="30">
        <v>24</v>
      </c>
      <c r="B30" s="32">
        <f t="shared" si="0"/>
        <v>8612.9459389452732</v>
      </c>
      <c r="C30" s="32">
        <f t="shared" si="1"/>
        <v>2189.8477093920465</v>
      </c>
      <c r="D30" s="32">
        <f t="shared" si="2"/>
        <v>6423.0982295532267</v>
      </c>
      <c r="E30" s="32">
        <f t="shared" si="3"/>
        <v>44741.567877737572</v>
      </c>
    </row>
    <row r="31" spans="1:5" x14ac:dyDescent="0.2">
      <c r="A31" s="30">
        <v>25</v>
      </c>
      <c r="B31" s="32">
        <f t="shared" si="0"/>
        <v>8612.9459389452732</v>
      </c>
      <c r="C31" s="32">
        <f t="shared" si="1"/>
        <v>1914.939105167168</v>
      </c>
      <c r="D31" s="32">
        <f t="shared" si="2"/>
        <v>6698.0068337781049</v>
      </c>
      <c r="E31" s="32">
        <f t="shared" si="3"/>
        <v>38043.561043959467</v>
      </c>
    </row>
    <row r="32" spans="1:5" x14ac:dyDescent="0.2">
      <c r="A32" s="30">
        <v>26</v>
      </c>
      <c r="B32" s="32">
        <f t="shared" si="0"/>
        <v>8612.9459389452732</v>
      </c>
      <c r="C32" s="32">
        <f t="shared" si="1"/>
        <v>1628.264412681465</v>
      </c>
      <c r="D32" s="32">
        <f t="shared" si="2"/>
        <v>6984.6815262638083</v>
      </c>
      <c r="E32" s="32">
        <f t="shared" si="3"/>
        <v>31058.879517695659</v>
      </c>
    </row>
    <row r="33" spans="1:5" x14ac:dyDescent="0.2">
      <c r="A33" s="30">
        <v>27</v>
      </c>
      <c r="B33" s="32">
        <f t="shared" si="0"/>
        <v>8612.9459389452732</v>
      </c>
      <c r="C33" s="32">
        <f t="shared" si="1"/>
        <v>1329.3200433573741</v>
      </c>
      <c r="D33" s="32">
        <f t="shared" si="2"/>
        <v>7283.6258955878993</v>
      </c>
      <c r="E33" s="32">
        <f t="shared" si="3"/>
        <v>23775.253622107761</v>
      </c>
    </row>
    <row r="34" spans="1:5" x14ac:dyDescent="0.2">
      <c r="A34" s="30">
        <v>28</v>
      </c>
      <c r="B34" s="32">
        <f t="shared" si="0"/>
        <v>8612.9459389452732</v>
      </c>
      <c r="C34" s="32">
        <f t="shared" si="1"/>
        <v>1017.5808550262121</v>
      </c>
      <c r="D34" s="32">
        <f t="shared" si="2"/>
        <v>7595.3650839190614</v>
      </c>
      <c r="E34" s="32">
        <f t="shared" si="3"/>
        <v>16179.888538188699</v>
      </c>
    </row>
    <row r="35" spans="1:5" x14ac:dyDescent="0.2">
      <c r="A35" s="30">
        <v>29</v>
      </c>
      <c r="B35" s="32">
        <f t="shared" si="0"/>
        <v>8612.9459389452732</v>
      </c>
      <c r="C35" s="32">
        <f t="shared" si="1"/>
        <v>692.49922943447632</v>
      </c>
      <c r="D35" s="32">
        <f t="shared" si="2"/>
        <v>7920.4467095107966</v>
      </c>
      <c r="E35" s="32">
        <f t="shared" si="3"/>
        <v>8259.4418286779037</v>
      </c>
    </row>
    <row r="36" spans="1:5" x14ac:dyDescent="0.2">
      <c r="A36" s="30">
        <v>30</v>
      </c>
      <c r="B36" s="32">
        <f t="shared" si="0"/>
        <v>8612.9459389452732</v>
      </c>
      <c r="C36" s="32">
        <f t="shared" si="1"/>
        <v>353.50411026741426</v>
      </c>
      <c r="D36" s="32">
        <f t="shared" si="2"/>
        <v>8259.4418286778582</v>
      </c>
      <c r="E36" s="32">
        <f t="shared" si="3"/>
        <v>4.5474735088646412E-11</v>
      </c>
    </row>
    <row r="37" spans="1:5" x14ac:dyDescent="0.2">
      <c r="A37" s="30"/>
      <c r="B37" s="32"/>
      <c r="C37" s="32"/>
      <c r="D37" s="32"/>
      <c r="E37" s="32"/>
    </row>
    <row r="38" spans="1:5" x14ac:dyDescent="0.2">
      <c r="A38" s="30"/>
      <c r="B38" s="32"/>
      <c r="C38" s="32"/>
      <c r="D38" s="32"/>
      <c r="E38" s="32"/>
    </row>
    <row r="39" spans="1:5" x14ac:dyDescent="0.2">
      <c r="A39" s="30"/>
      <c r="B39" s="32"/>
      <c r="C39" s="32"/>
      <c r="D39" s="32"/>
      <c r="E39" s="32"/>
    </row>
    <row r="40" spans="1:5" x14ac:dyDescent="0.2">
      <c r="A40" s="30"/>
      <c r="B40" s="32"/>
      <c r="C40" s="32"/>
      <c r="D40" s="32"/>
      <c r="E40" s="32"/>
    </row>
    <row r="41" spans="1:5" x14ac:dyDescent="0.2">
      <c r="A41" s="30"/>
      <c r="B41" s="32"/>
      <c r="C41" s="32"/>
      <c r="D41" s="32"/>
      <c r="E41" s="32"/>
    </row>
    <row r="42" spans="1:5" x14ac:dyDescent="0.2">
      <c r="A42" s="30"/>
      <c r="B42" s="32"/>
      <c r="C42" s="32"/>
      <c r="D42" s="32"/>
      <c r="E42" s="32"/>
    </row>
    <row r="43" spans="1:5" x14ac:dyDescent="0.2">
      <c r="A43" s="30"/>
      <c r="B43" s="32"/>
      <c r="C43" s="32"/>
      <c r="D43" s="32"/>
      <c r="E43" s="32"/>
    </row>
    <row r="44" spans="1:5" x14ac:dyDescent="0.2">
      <c r="A44" s="30"/>
      <c r="B44" s="32"/>
      <c r="C44" s="32"/>
      <c r="D44" s="32"/>
      <c r="E44" s="32"/>
    </row>
    <row r="45" spans="1:5" x14ac:dyDescent="0.2">
      <c r="A45" s="30"/>
      <c r="B45" s="32"/>
      <c r="C45" s="32"/>
      <c r="D45" s="32"/>
      <c r="E45" s="32"/>
    </row>
    <row r="46" spans="1:5" x14ac:dyDescent="0.2">
      <c r="A46" s="30"/>
      <c r="B46" s="32"/>
      <c r="C46" s="32"/>
      <c r="D46" s="32"/>
      <c r="E46" s="32"/>
    </row>
    <row r="47" spans="1:5" x14ac:dyDescent="0.2">
      <c r="A47" s="30"/>
      <c r="B47" s="32"/>
      <c r="C47" s="32"/>
      <c r="D47" s="32"/>
      <c r="E47" s="32"/>
    </row>
    <row r="48" spans="1:5" x14ac:dyDescent="0.2">
      <c r="A48" s="30"/>
      <c r="B48" s="32"/>
      <c r="C48" s="32"/>
      <c r="D48" s="32"/>
      <c r="E48" s="32"/>
    </row>
    <row r="49" spans="1:5" x14ac:dyDescent="0.2">
      <c r="A49" s="30"/>
      <c r="B49" s="32"/>
      <c r="C49" s="32"/>
      <c r="D49" s="32"/>
      <c r="E49" s="32"/>
    </row>
    <row r="50" spans="1:5" x14ac:dyDescent="0.2">
      <c r="A50" s="30"/>
      <c r="B50" s="32"/>
      <c r="C50" s="32"/>
      <c r="D50" s="32"/>
      <c r="E50" s="32"/>
    </row>
    <row r="51" spans="1:5" x14ac:dyDescent="0.2">
      <c r="A51" s="30"/>
      <c r="B51" s="32"/>
      <c r="C51" s="32"/>
      <c r="D51" s="32"/>
      <c r="E51" s="32"/>
    </row>
    <row r="52" spans="1:5" x14ac:dyDescent="0.2">
      <c r="A52" s="30"/>
      <c r="B52" s="32"/>
      <c r="C52" s="32"/>
      <c r="D52" s="32"/>
      <c r="E52" s="32"/>
    </row>
    <row r="53" spans="1:5" x14ac:dyDescent="0.2">
      <c r="A53" s="30"/>
      <c r="B53" s="32"/>
      <c r="C53" s="32"/>
      <c r="D53" s="32"/>
      <c r="E53" s="32"/>
    </row>
    <row r="54" spans="1:5" x14ac:dyDescent="0.2">
      <c r="A54" s="30"/>
      <c r="B54" s="32"/>
      <c r="C54" s="32"/>
      <c r="D54" s="32"/>
      <c r="E54" s="32"/>
    </row>
    <row r="55" spans="1:5" x14ac:dyDescent="0.2">
      <c r="A55" s="30"/>
      <c r="B55" s="32"/>
      <c r="C55" s="32"/>
      <c r="D55" s="32"/>
      <c r="E55" s="32"/>
    </row>
    <row r="56" spans="1:5" x14ac:dyDescent="0.2">
      <c r="A56" s="30"/>
      <c r="B56" s="32"/>
      <c r="C56" s="32"/>
      <c r="D56" s="32"/>
      <c r="E56" s="32"/>
    </row>
    <row r="57" spans="1:5" x14ac:dyDescent="0.2">
      <c r="A57" s="30"/>
      <c r="B57" s="32"/>
      <c r="C57" s="32"/>
      <c r="D57" s="32"/>
      <c r="E57" s="32"/>
    </row>
    <row r="58" spans="1:5" x14ac:dyDescent="0.2">
      <c r="A58" s="30"/>
      <c r="B58" s="32"/>
      <c r="C58" s="32"/>
      <c r="D58" s="32"/>
      <c r="E58" s="32"/>
    </row>
    <row r="59" spans="1:5" x14ac:dyDescent="0.2">
      <c r="A59" s="30"/>
      <c r="B59" s="32"/>
      <c r="C59" s="32"/>
      <c r="D59" s="32"/>
      <c r="E59" s="32"/>
    </row>
    <row r="60" spans="1:5" x14ac:dyDescent="0.2">
      <c r="A60" s="30"/>
      <c r="B60" s="32"/>
      <c r="C60" s="32"/>
      <c r="D60" s="32"/>
      <c r="E60" s="32"/>
    </row>
    <row r="61" spans="1:5" x14ac:dyDescent="0.2">
      <c r="A61" s="30"/>
      <c r="B61" s="32"/>
      <c r="C61" s="32"/>
      <c r="D61" s="32"/>
      <c r="E61" s="32"/>
    </row>
    <row r="62" spans="1:5" x14ac:dyDescent="0.2">
      <c r="A62" s="30"/>
      <c r="B62" s="32"/>
      <c r="C62" s="32"/>
      <c r="D62" s="32"/>
      <c r="E62" s="32"/>
    </row>
    <row r="63" spans="1:5" x14ac:dyDescent="0.2">
      <c r="A63" s="30"/>
      <c r="B63" s="32"/>
      <c r="C63" s="32"/>
      <c r="D63" s="32"/>
      <c r="E63" s="32"/>
    </row>
    <row r="64" spans="1:5" x14ac:dyDescent="0.2">
      <c r="A64" s="30"/>
      <c r="B64" s="32"/>
      <c r="C64" s="32"/>
      <c r="D64" s="32"/>
      <c r="E64" s="32"/>
    </row>
    <row r="65" spans="1:5" x14ac:dyDescent="0.2">
      <c r="A65" s="30"/>
      <c r="B65" s="32"/>
      <c r="C65" s="32"/>
      <c r="D65" s="32"/>
      <c r="E65" s="32"/>
    </row>
    <row r="66" spans="1:5" x14ac:dyDescent="0.2">
      <c r="A66" s="30"/>
      <c r="B66" s="32"/>
      <c r="C66" s="32"/>
      <c r="D66" s="32"/>
      <c r="E66" s="32"/>
    </row>
    <row r="67" spans="1:5" x14ac:dyDescent="0.2">
      <c r="A67" s="30"/>
      <c r="B67" s="32"/>
      <c r="C67" s="32"/>
      <c r="D67" s="32"/>
      <c r="E67" s="32"/>
    </row>
    <row r="68" spans="1:5" x14ac:dyDescent="0.2">
      <c r="A68" s="30"/>
      <c r="B68" s="32"/>
      <c r="C68" s="32"/>
      <c r="D68" s="32"/>
      <c r="E68" s="32"/>
    </row>
    <row r="69" spans="1:5" x14ac:dyDescent="0.2">
      <c r="A69" s="30"/>
      <c r="B69" s="32"/>
      <c r="C69" s="32"/>
      <c r="D69" s="32"/>
      <c r="E69" s="32"/>
    </row>
    <row r="70" spans="1:5" x14ac:dyDescent="0.2">
      <c r="A70" s="30"/>
      <c r="B70" s="32"/>
      <c r="C70" s="32"/>
      <c r="D70" s="32"/>
      <c r="E70" s="32"/>
    </row>
    <row r="71" spans="1:5" x14ac:dyDescent="0.2">
      <c r="A71" s="30"/>
      <c r="B71" s="32"/>
      <c r="C71" s="32"/>
      <c r="D71" s="32"/>
      <c r="E71" s="32"/>
    </row>
    <row r="72" spans="1:5" x14ac:dyDescent="0.2">
      <c r="A72" s="30"/>
      <c r="B72" s="32"/>
      <c r="C72" s="32"/>
      <c r="D72" s="32"/>
      <c r="E72" s="32"/>
    </row>
    <row r="73" spans="1:5" x14ac:dyDescent="0.2">
      <c r="A73" s="30"/>
      <c r="B73" s="32"/>
      <c r="C73" s="32"/>
      <c r="D73" s="32"/>
      <c r="E73" s="32"/>
    </row>
    <row r="74" spans="1:5" x14ac:dyDescent="0.2">
      <c r="A74" s="30"/>
      <c r="B74" s="32"/>
      <c r="C74" s="32"/>
      <c r="D74" s="32"/>
      <c r="E74" s="32"/>
    </row>
    <row r="75" spans="1:5" x14ac:dyDescent="0.2">
      <c r="A75" s="30"/>
      <c r="B75" s="32"/>
      <c r="C75" s="32"/>
      <c r="D75" s="32"/>
      <c r="E75" s="32"/>
    </row>
    <row r="76" spans="1:5" x14ac:dyDescent="0.2">
      <c r="A76" s="30"/>
      <c r="B76" s="32"/>
      <c r="C76" s="32"/>
      <c r="D76" s="32"/>
      <c r="E76" s="32"/>
    </row>
    <row r="77" spans="1:5" x14ac:dyDescent="0.2">
      <c r="A77" s="30"/>
      <c r="B77" s="32"/>
      <c r="C77" s="32"/>
      <c r="D77" s="32"/>
      <c r="E77" s="32"/>
    </row>
    <row r="78" spans="1:5" x14ac:dyDescent="0.2">
      <c r="A78" s="30"/>
      <c r="B78" s="32"/>
      <c r="C78" s="32"/>
      <c r="D78" s="32"/>
      <c r="E78" s="32"/>
    </row>
    <row r="79" spans="1:5" x14ac:dyDescent="0.2">
      <c r="A79" s="30"/>
      <c r="B79" s="32"/>
      <c r="C79" s="32"/>
      <c r="D79" s="32"/>
      <c r="E79" s="32"/>
    </row>
    <row r="80" spans="1:5" x14ac:dyDescent="0.2">
      <c r="A80" s="30"/>
      <c r="B80" s="32"/>
      <c r="C80" s="32"/>
      <c r="D80" s="32"/>
      <c r="E80" s="32"/>
    </row>
    <row r="81" spans="1:5" x14ac:dyDescent="0.2">
      <c r="A81" s="30"/>
      <c r="B81" s="32"/>
      <c r="C81" s="32"/>
      <c r="D81" s="32"/>
      <c r="E81" s="32"/>
    </row>
    <row r="82" spans="1:5" x14ac:dyDescent="0.2">
      <c r="A82" s="30"/>
      <c r="B82" s="32"/>
      <c r="C82" s="32"/>
      <c r="D82" s="32"/>
      <c r="E82" s="32"/>
    </row>
    <row r="83" spans="1:5" x14ac:dyDescent="0.2">
      <c r="A83" s="30"/>
      <c r="B83" s="32"/>
      <c r="C83" s="32"/>
      <c r="D83" s="32"/>
      <c r="E83" s="32"/>
    </row>
    <row r="84" spans="1:5" x14ac:dyDescent="0.2">
      <c r="A84" s="30"/>
      <c r="B84" s="32"/>
      <c r="C84" s="32"/>
      <c r="D84" s="32"/>
      <c r="E84" s="32"/>
    </row>
    <row r="85" spans="1:5" x14ac:dyDescent="0.2">
      <c r="A85" s="30"/>
      <c r="B85" s="32"/>
      <c r="C85" s="32"/>
      <c r="D85" s="32"/>
      <c r="E85" s="32"/>
    </row>
    <row r="86" spans="1:5" x14ac:dyDescent="0.2">
      <c r="A86" s="30"/>
      <c r="B86" s="32"/>
      <c r="C86" s="32"/>
      <c r="D86" s="32"/>
      <c r="E86" s="32"/>
    </row>
    <row r="87" spans="1:5" x14ac:dyDescent="0.2">
      <c r="A87" s="30"/>
      <c r="B87" s="32"/>
      <c r="C87" s="32"/>
      <c r="D87" s="32"/>
      <c r="E87" s="32"/>
    </row>
    <row r="88" spans="1:5" x14ac:dyDescent="0.2">
      <c r="A88" s="30"/>
      <c r="B88" s="32"/>
      <c r="C88" s="32"/>
      <c r="D88" s="32"/>
      <c r="E88" s="32"/>
    </row>
    <row r="89" spans="1:5" x14ac:dyDescent="0.2">
      <c r="A89" s="30"/>
      <c r="B89" s="32"/>
      <c r="C89" s="32"/>
      <c r="D89" s="32"/>
      <c r="E89" s="32"/>
    </row>
    <row r="90" spans="1:5" x14ac:dyDescent="0.2">
      <c r="A90" s="30"/>
      <c r="B90" s="32"/>
      <c r="C90" s="32"/>
      <c r="D90" s="32"/>
      <c r="E90" s="32"/>
    </row>
    <row r="91" spans="1:5" x14ac:dyDescent="0.2">
      <c r="A91" s="30"/>
      <c r="B91" s="32"/>
      <c r="C91" s="32"/>
      <c r="D91" s="32"/>
      <c r="E91" s="32"/>
    </row>
    <row r="92" spans="1:5" x14ac:dyDescent="0.2">
      <c r="A92" s="30"/>
      <c r="B92" s="32"/>
      <c r="C92" s="32"/>
      <c r="D92" s="32"/>
      <c r="E92" s="32"/>
    </row>
    <row r="93" spans="1:5" x14ac:dyDescent="0.2">
      <c r="A93" s="30"/>
      <c r="B93" s="32"/>
      <c r="C93" s="32"/>
      <c r="D93" s="32"/>
      <c r="E93" s="32"/>
    </row>
    <row r="94" spans="1:5" x14ac:dyDescent="0.2">
      <c r="A94" s="30"/>
      <c r="B94" s="32"/>
      <c r="C94" s="32"/>
      <c r="D94" s="32"/>
      <c r="E94" s="32"/>
    </row>
    <row r="95" spans="1:5" x14ac:dyDescent="0.2">
      <c r="A95" s="30"/>
      <c r="B95" s="32"/>
      <c r="C95" s="32"/>
      <c r="D95" s="32"/>
      <c r="E95" s="32"/>
    </row>
    <row r="96" spans="1:5" x14ac:dyDescent="0.2">
      <c r="A96" s="30"/>
      <c r="B96" s="32"/>
      <c r="C96" s="32"/>
      <c r="D96" s="32"/>
      <c r="E96" s="32"/>
    </row>
    <row r="97" spans="1:5" x14ac:dyDescent="0.2">
      <c r="A97" s="30"/>
      <c r="B97" s="32"/>
      <c r="C97" s="32"/>
      <c r="D97" s="32"/>
      <c r="E97" s="32"/>
    </row>
    <row r="98" spans="1:5" x14ac:dyDescent="0.2">
      <c r="A98" s="30"/>
      <c r="B98" s="32"/>
      <c r="C98" s="32"/>
      <c r="D98" s="32"/>
      <c r="E98" s="32"/>
    </row>
    <row r="99" spans="1:5" x14ac:dyDescent="0.2">
      <c r="A99" s="30"/>
      <c r="B99" s="32"/>
      <c r="C99" s="32"/>
      <c r="D99" s="32"/>
      <c r="E99" s="32"/>
    </row>
    <row r="100" spans="1:5" x14ac:dyDescent="0.2">
      <c r="A100" s="30"/>
      <c r="B100" s="32"/>
      <c r="C100" s="32"/>
      <c r="D100" s="32"/>
      <c r="E100" s="32"/>
    </row>
    <row r="101" spans="1:5" x14ac:dyDescent="0.2">
      <c r="A101" s="30"/>
      <c r="B101" s="32"/>
      <c r="C101" s="32"/>
      <c r="D101" s="32"/>
      <c r="E101" s="32"/>
    </row>
    <row r="102" spans="1:5" x14ac:dyDescent="0.2">
      <c r="A102" s="30"/>
      <c r="B102" s="32"/>
      <c r="C102" s="32"/>
      <c r="D102" s="32"/>
      <c r="E102" s="32"/>
    </row>
    <row r="103" spans="1:5" x14ac:dyDescent="0.2">
      <c r="A103" s="30"/>
      <c r="B103" s="32"/>
      <c r="C103" s="32"/>
      <c r="D103" s="32"/>
      <c r="E103" s="32"/>
    </row>
    <row r="104" spans="1:5" x14ac:dyDescent="0.2">
      <c r="A104" s="30"/>
      <c r="B104" s="32"/>
      <c r="C104" s="32"/>
      <c r="D104" s="32"/>
      <c r="E104" s="32"/>
    </row>
    <row r="105" spans="1:5" x14ac:dyDescent="0.2">
      <c r="A105" s="30"/>
      <c r="B105" s="32"/>
      <c r="C105" s="32"/>
      <c r="D105" s="32"/>
      <c r="E105" s="32"/>
    </row>
    <row r="106" spans="1:5" x14ac:dyDescent="0.2">
      <c r="A106" s="30"/>
      <c r="B106" s="32"/>
      <c r="C106" s="32"/>
      <c r="D106" s="32"/>
      <c r="E106" s="32"/>
    </row>
    <row r="107" spans="1:5" x14ac:dyDescent="0.2">
      <c r="A107" s="30"/>
      <c r="B107" s="32"/>
      <c r="C107" s="32"/>
      <c r="D107" s="32"/>
      <c r="E107" s="32"/>
    </row>
    <row r="108" spans="1:5" x14ac:dyDescent="0.2">
      <c r="A108" s="30"/>
      <c r="B108" s="32"/>
      <c r="C108" s="32"/>
      <c r="D108" s="32"/>
      <c r="E108" s="32"/>
    </row>
    <row r="109" spans="1:5" x14ac:dyDescent="0.2">
      <c r="A109" s="30"/>
      <c r="B109" s="32"/>
      <c r="C109" s="32"/>
      <c r="D109" s="32"/>
      <c r="E109" s="32"/>
    </row>
    <row r="110" spans="1:5" x14ac:dyDescent="0.2">
      <c r="A110" s="30"/>
      <c r="B110" s="32"/>
      <c r="C110" s="32"/>
      <c r="D110" s="32"/>
      <c r="E110" s="32"/>
    </row>
    <row r="111" spans="1:5" x14ac:dyDescent="0.2">
      <c r="A111" s="30"/>
      <c r="B111" s="32"/>
      <c r="C111" s="32"/>
      <c r="D111" s="32"/>
      <c r="E111" s="32"/>
    </row>
    <row r="112" spans="1:5" x14ac:dyDescent="0.2">
      <c r="A112" s="30"/>
      <c r="B112" s="32"/>
      <c r="C112" s="32"/>
      <c r="D112" s="32"/>
      <c r="E112" s="32"/>
    </row>
    <row r="113" spans="1:5" x14ac:dyDescent="0.2">
      <c r="A113" s="30"/>
      <c r="B113" s="32"/>
      <c r="C113" s="32"/>
      <c r="D113" s="32"/>
      <c r="E113" s="32"/>
    </row>
    <row r="114" spans="1:5" x14ac:dyDescent="0.2">
      <c r="A114" s="30"/>
      <c r="B114" s="32"/>
      <c r="C114" s="32"/>
      <c r="D114" s="32"/>
      <c r="E114" s="32"/>
    </row>
    <row r="115" spans="1:5" x14ac:dyDescent="0.2">
      <c r="A115" s="30"/>
      <c r="B115" s="32"/>
      <c r="C115" s="32"/>
      <c r="D115" s="32"/>
      <c r="E115" s="32"/>
    </row>
    <row r="116" spans="1:5" x14ac:dyDescent="0.2">
      <c r="A116" s="30"/>
      <c r="B116" s="32"/>
      <c r="C116" s="32"/>
      <c r="D116" s="32"/>
      <c r="E116" s="32"/>
    </row>
    <row r="117" spans="1:5" x14ac:dyDescent="0.2">
      <c r="A117" s="30"/>
      <c r="B117" s="32"/>
      <c r="C117" s="32"/>
      <c r="D117" s="32"/>
      <c r="E117" s="32"/>
    </row>
    <row r="118" spans="1:5" x14ac:dyDescent="0.2">
      <c r="A118" s="30"/>
      <c r="B118" s="32"/>
      <c r="C118" s="32"/>
      <c r="D118" s="32"/>
      <c r="E118" s="32"/>
    </row>
    <row r="119" spans="1:5" x14ac:dyDescent="0.2">
      <c r="A119" s="30"/>
      <c r="B119" s="32"/>
      <c r="C119" s="32"/>
      <c r="D119" s="32"/>
      <c r="E119" s="32"/>
    </row>
    <row r="120" spans="1:5" x14ac:dyDescent="0.2">
      <c r="A120" s="30"/>
      <c r="B120" s="32"/>
      <c r="C120" s="32"/>
      <c r="D120" s="32"/>
      <c r="E120" s="32"/>
    </row>
    <row r="121" spans="1:5" x14ac:dyDescent="0.2">
      <c r="A121" s="30"/>
      <c r="B121" s="32"/>
      <c r="C121" s="32"/>
      <c r="D121" s="32"/>
      <c r="E121" s="32"/>
    </row>
    <row r="122" spans="1:5" x14ac:dyDescent="0.2">
      <c r="A122" s="30"/>
      <c r="B122" s="32"/>
      <c r="C122" s="32"/>
      <c r="D122" s="32"/>
      <c r="E122" s="32"/>
    </row>
    <row r="123" spans="1:5" x14ac:dyDescent="0.2">
      <c r="A123" s="30"/>
      <c r="B123" s="32"/>
      <c r="C123" s="32"/>
      <c r="D123" s="32"/>
      <c r="E123" s="32"/>
    </row>
    <row r="124" spans="1:5" x14ac:dyDescent="0.2">
      <c r="A124" s="30"/>
      <c r="B124" s="32"/>
      <c r="C124" s="32"/>
      <c r="D124" s="32"/>
      <c r="E124" s="32"/>
    </row>
    <row r="125" spans="1:5" x14ac:dyDescent="0.2">
      <c r="A125" s="30"/>
      <c r="B125" s="32"/>
      <c r="C125" s="32"/>
      <c r="D125" s="32"/>
      <c r="E125" s="32"/>
    </row>
    <row r="126" spans="1:5" x14ac:dyDescent="0.2">
      <c r="A126" s="30"/>
      <c r="B126" s="32"/>
      <c r="C126" s="32"/>
      <c r="D126" s="32"/>
      <c r="E126" s="32"/>
    </row>
    <row r="127" spans="1:5" x14ac:dyDescent="0.2">
      <c r="A127" s="30"/>
      <c r="B127" s="32"/>
      <c r="C127" s="32"/>
      <c r="D127" s="32"/>
      <c r="E127" s="32"/>
    </row>
    <row r="128" spans="1:5" x14ac:dyDescent="0.2">
      <c r="A128" s="30"/>
      <c r="B128" s="32"/>
      <c r="C128" s="32"/>
      <c r="D128" s="32"/>
      <c r="E128" s="32"/>
    </row>
    <row r="129" spans="1:5" x14ac:dyDescent="0.2">
      <c r="A129" s="30"/>
      <c r="B129" s="32"/>
      <c r="C129" s="32"/>
      <c r="D129" s="32"/>
      <c r="E129" s="32"/>
    </row>
    <row r="130" spans="1:5" x14ac:dyDescent="0.2">
      <c r="A130" s="30"/>
      <c r="B130" s="32"/>
      <c r="C130" s="32"/>
      <c r="D130" s="32"/>
      <c r="E130" s="32"/>
    </row>
    <row r="131" spans="1:5" x14ac:dyDescent="0.2">
      <c r="A131" s="30"/>
      <c r="B131" s="32"/>
      <c r="C131" s="32"/>
      <c r="D131" s="32"/>
      <c r="E131" s="32"/>
    </row>
    <row r="132" spans="1:5" x14ac:dyDescent="0.2">
      <c r="A132" s="30"/>
      <c r="B132" s="32"/>
      <c r="C132" s="32"/>
      <c r="D132" s="32"/>
      <c r="E132" s="32"/>
    </row>
    <row r="133" spans="1:5" x14ac:dyDescent="0.2">
      <c r="A133" s="30"/>
      <c r="B133" s="32"/>
      <c r="C133" s="32"/>
      <c r="D133" s="32"/>
      <c r="E133" s="32"/>
    </row>
    <row r="134" spans="1:5" x14ac:dyDescent="0.2">
      <c r="A134" s="30"/>
      <c r="B134" s="32"/>
      <c r="C134" s="32"/>
      <c r="D134" s="32"/>
      <c r="E134" s="32"/>
    </row>
    <row r="135" spans="1:5" x14ac:dyDescent="0.2">
      <c r="A135" s="30"/>
      <c r="B135" s="32"/>
      <c r="C135" s="32"/>
      <c r="D135" s="32"/>
      <c r="E135" s="32"/>
    </row>
    <row r="136" spans="1:5" x14ac:dyDescent="0.2">
      <c r="A136" s="30"/>
      <c r="B136" s="32"/>
      <c r="C136" s="32"/>
      <c r="D136" s="32"/>
      <c r="E136" s="32"/>
    </row>
    <row r="137" spans="1:5" x14ac:dyDescent="0.2">
      <c r="A137" s="30"/>
      <c r="B137" s="32"/>
      <c r="C137" s="32"/>
      <c r="D137" s="32"/>
      <c r="E137" s="32"/>
    </row>
    <row r="138" spans="1:5" x14ac:dyDescent="0.2">
      <c r="A138" s="30"/>
      <c r="B138" s="32"/>
      <c r="C138" s="32"/>
      <c r="D138" s="32"/>
      <c r="E138" s="32"/>
    </row>
    <row r="139" spans="1:5" x14ac:dyDescent="0.2">
      <c r="A139" s="30"/>
      <c r="B139" s="32"/>
      <c r="C139" s="32"/>
      <c r="D139" s="32"/>
      <c r="E139" s="32"/>
    </row>
    <row r="140" spans="1:5" x14ac:dyDescent="0.2">
      <c r="A140" s="30"/>
      <c r="B140" s="32"/>
      <c r="C140" s="32"/>
      <c r="D140" s="32"/>
      <c r="E140" s="32"/>
    </row>
    <row r="141" spans="1:5" x14ac:dyDescent="0.2">
      <c r="A141" s="30"/>
      <c r="B141" s="32"/>
      <c r="C141" s="32"/>
      <c r="D141" s="32"/>
      <c r="E141" s="32"/>
    </row>
    <row r="142" spans="1:5" x14ac:dyDescent="0.2">
      <c r="A142" s="30"/>
      <c r="B142" s="32"/>
      <c r="C142" s="32"/>
      <c r="D142" s="32"/>
      <c r="E142" s="32"/>
    </row>
    <row r="143" spans="1:5" x14ac:dyDescent="0.2">
      <c r="A143" s="30"/>
      <c r="B143" s="32"/>
      <c r="C143" s="32"/>
      <c r="D143" s="32"/>
      <c r="E143" s="32"/>
    </row>
    <row r="144" spans="1:5" x14ac:dyDescent="0.2">
      <c r="A144" s="30"/>
      <c r="B144" s="32"/>
      <c r="C144" s="32"/>
      <c r="D144" s="32"/>
      <c r="E144" s="32"/>
    </row>
    <row r="145" spans="1:5" x14ac:dyDescent="0.2">
      <c r="A145" s="30"/>
      <c r="B145" s="32"/>
      <c r="C145" s="32"/>
      <c r="D145" s="32"/>
      <c r="E145" s="32"/>
    </row>
    <row r="146" spans="1:5" x14ac:dyDescent="0.2">
      <c r="A146" s="30"/>
      <c r="B146" s="32"/>
      <c r="C146" s="32"/>
      <c r="D146" s="32"/>
      <c r="E146" s="32"/>
    </row>
    <row r="147" spans="1:5" x14ac:dyDescent="0.2">
      <c r="A147" s="30"/>
      <c r="B147" s="32"/>
      <c r="C147" s="32"/>
      <c r="D147" s="32"/>
      <c r="E147" s="32"/>
    </row>
    <row r="148" spans="1:5" x14ac:dyDescent="0.2">
      <c r="A148" s="30"/>
      <c r="B148" s="32"/>
      <c r="C148" s="32"/>
      <c r="D148" s="32"/>
      <c r="E148" s="32"/>
    </row>
    <row r="149" spans="1:5" x14ac:dyDescent="0.2">
      <c r="A149" s="30"/>
      <c r="B149" s="32"/>
      <c r="C149" s="32"/>
      <c r="D149" s="32"/>
      <c r="E149" s="32"/>
    </row>
    <row r="150" spans="1:5" x14ac:dyDescent="0.2">
      <c r="A150" s="30"/>
      <c r="B150" s="32"/>
      <c r="C150" s="32"/>
      <c r="D150" s="32"/>
      <c r="E150" s="32"/>
    </row>
    <row r="151" spans="1:5" x14ac:dyDescent="0.2">
      <c r="A151" s="30"/>
      <c r="B151" s="32"/>
      <c r="C151" s="32"/>
      <c r="D151" s="32"/>
      <c r="E151" s="32"/>
    </row>
    <row r="152" spans="1:5" x14ac:dyDescent="0.2">
      <c r="A152" s="30"/>
      <c r="B152" s="32"/>
      <c r="C152" s="32"/>
      <c r="D152" s="32"/>
      <c r="E152" s="32"/>
    </row>
    <row r="153" spans="1:5" x14ac:dyDescent="0.2">
      <c r="A153" s="30"/>
      <c r="B153" s="32"/>
      <c r="C153" s="32"/>
      <c r="D153" s="32"/>
      <c r="E153" s="32"/>
    </row>
    <row r="154" spans="1:5" x14ac:dyDescent="0.2">
      <c r="A154" s="30"/>
      <c r="B154" s="32"/>
      <c r="C154" s="32"/>
      <c r="D154" s="32"/>
      <c r="E154" s="32"/>
    </row>
    <row r="155" spans="1:5" x14ac:dyDescent="0.2">
      <c r="A155" s="30"/>
      <c r="B155" s="32"/>
      <c r="C155" s="32"/>
      <c r="D155" s="32"/>
      <c r="E155" s="32"/>
    </row>
    <row r="156" spans="1:5" x14ac:dyDescent="0.2">
      <c r="A156" s="30"/>
      <c r="B156" s="32"/>
      <c r="C156" s="32"/>
      <c r="D156" s="32"/>
      <c r="E156" s="32"/>
    </row>
    <row r="157" spans="1:5" x14ac:dyDescent="0.2">
      <c r="A157" s="30"/>
      <c r="B157" s="32"/>
      <c r="C157" s="32"/>
      <c r="D157" s="32"/>
      <c r="E157" s="32"/>
    </row>
    <row r="158" spans="1:5" x14ac:dyDescent="0.2">
      <c r="A158" s="30"/>
      <c r="B158" s="32"/>
      <c r="C158" s="32"/>
      <c r="D158" s="32"/>
      <c r="E158" s="32"/>
    </row>
    <row r="159" spans="1:5" x14ac:dyDescent="0.2">
      <c r="A159" s="30"/>
      <c r="B159" s="32"/>
      <c r="C159" s="32"/>
      <c r="D159" s="32"/>
      <c r="E159" s="32"/>
    </row>
    <row r="160" spans="1:5" x14ac:dyDescent="0.2">
      <c r="A160" s="30"/>
      <c r="B160" s="32"/>
      <c r="C160" s="32"/>
      <c r="D160" s="32"/>
      <c r="E160" s="32"/>
    </row>
    <row r="161" spans="1:5" x14ac:dyDescent="0.2">
      <c r="A161" s="30"/>
      <c r="B161" s="32"/>
      <c r="C161" s="32"/>
      <c r="D161" s="32"/>
      <c r="E161" s="32"/>
    </row>
    <row r="162" spans="1:5" x14ac:dyDescent="0.2">
      <c r="A162" s="30"/>
      <c r="B162" s="32"/>
      <c r="C162" s="32"/>
      <c r="D162" s="32"/>
      <c r="E162" s="32"/>
    </row>
    <row r="163" spans="1:5" x14ac:dyDescent="0.2">
      <c r="A163" s="30"/>
      <c r="B163" s="32"/>
      <c r="C163" s="32"/>
      <c r="D163" s="32"/>
      <c r="E163" s="32"/>
    </row>
    <row r="164" spans="1:5" x14ac:dyDescent="0.2">
      <c r="A164" s="30"/>
      <c r="B164" s="32"/>
      <c r="C164" s="32"/>
      <c r="D164" s="32"/>
      <c r="E164" s="32"/>
    </row>
    <row r="165" spans="1:5" x14ac:dyDescent="0.2">
      <c r="A165" s="30"/>
      <c r="B165" s="32"/>
      <c r="C165" s="32"/>
      <c r="D165" s="32"/>
      <c r="E165" s="32"/>
    </row>
    <row r="166" spans="1:5" x14ac:dyDescent="0.2">
      <c r="A166" s="30"/>
      <c r="B166" s="32"/>
      <c r="C166" s="32"/>
      <c r="D166" s="32"/>
      <c r="E166" s="32"/>
    </row>
    <row r="167" spans="1:5" x14ac:dyDescent="0.2">
      <c r="A167" s="30"/>
      <c r="B167" s="32"/>
      <c r="C167" s="32"/>
      <c r="D167" s="32"/>
      <c r="E167" s="32"/>
    </row>
    <row r="168" spans="1:5" x14ac:dyDescent="0.2">
      <c r="A168" s="30"/>
      <c r="B168" s="32"/>
      <c r="C168" s="32"/>
      <c r="D168" s="32"/>
      <c r="E168" s="32"/>
    </row>
    <row r="169" spans="1:5" x14ac:dyDescent="0.2">
      <c r="A169" s="30"/>
      <c r="B169" s="32"/>
      <c r="C169" s="32"/>
      <c r="D169" s="32"/>
      <c r="E169" s="32"/>
    </row>
    <row r="170" spans="1:5" x14ac:dyDescent="0.2">
      <c r="A170" s="30"/>
      <c r="B170" s="32"/>
      <c r="C170" s="32"/>
      <c r="D170" s="32"/>
      <c r="E170" s="32"/>
    </row>
    <row r="171" spans="1:5" x14ac:dyDescent="0.2">
      <c r="A171" s="30"/>
      <c r="B171" s="32"/>
      <c r="C171" s="32"/>
      <c r="D171" s="32"/>
      <c r="E171" s="32"/>
    </row>
    <row r="172" spans="1:5" x14ac:dyDescent="0.2">
      <c r="A172" s="30"/>
      <c r="B172" s="32"/>
      <c r="C172" s="32"/>
      <c r="D172" s="32"/>
      <c r="E172" s="32"/>
    </row>
    <row r="173" spans="1:5" x14ac:dyDescent="0.2">
      <c r="A173" s="30"/>
      <c r="B173" s="32"/>
      <c r="C173" s="32"/>
      <c r="D173" s="32"/>
      <c r="E173" s="32"/>
    </row>
    <row r="174" spans="1:5" x14ac:dyDescent="0.2">
      <c r="A174" s="30"/>
      <c r="B174" s="32"/>
      <c r="C174" s="32"/>
      <c r="D174" s="32"/>
      <c r="E174" s="32"/>
    </row>
    <row r="175" spans="1:5" x14ac:dyDescent="0.2">
      <c r="A175" s="30"/>
      <c r="B175" s="32"/>
      <c r="C175" s="32"/>
      <c r="D175" s="32"/>
      <c r="E175" s="32"/>
    </row>
    <row r="176" spans="1:5" x14ac:dyDescent="0.2">
      <c r="A176" s="30"/>
      <c r="B176" s="32"/>
      <c r="C176" s="32"/>
      <c r="D176" s="32"/>
      <c r="E176" s="32"/>
    </row>
    <row r="177" spans="1:5" x14ac:dyDescent="0.2">
      <c r="A177" s="30"/>
      <c r="B177" s="32"/>
      <c r="C177" s="32"/>
      <c r="D177" s="32"/>
      <c r="E177" s="32"/>
    </row>
    <row r="178" spans="1:5" x14ac:dyDescent="0.2">
      <c r="A178" s="30"/>
      <c r="B178" s="32"/>
      <c r="C178" s="32"/>
      <c r="D178" s="32"/>
      <c r="E178" s="32"/>
    </row>
    <row r="179" spans="1:5" x14ac:dyDescent="0.2">
      <c r="A179" s="30"/>
      <c r="B179" s="32"/>
      <c r="C179" s="32"/>
      <c r="D179" s="32"/>
      <c r="E179" s="32"/>
    </row>
    <row r="180" spans="1:5" x14ac:dyDescent="0.2">
      <c r="A180" s="30"/>
      <c r="B180" s="32"/>
      <c r="C180" s="32"/>
      <c r="D180" s="32"/>
      <c r="E180" s="32"/>
    </row>
    <row r="181" spans="1:5" x14ac:dyDescent="0.2">
      <c r="A181" s="30"/>
      <c r="B181" s="32"/>
      <c r="C181" s="32"/>
      <c r="D181" s="32"/>
      <c r="E181" s="32"/>
    </row>
    <row r="182" spans="1:5" x14ac:dyDescent="0.2">
      <c r="A182" s="30"/>
      <c r="B182" s="32"/>
      <c r="C182" s="32"/>
      <c r="D182" s="32"/>
      <c r="E182" s="32"/>
    </row>
    <row r="183" spans="1:5" x14ac:dyDescent="0.2">
      <c r="A183" s="30"/>
      <c r="B183" s="32"/>
      <c r="C183" s="32"/>
      <c r="D183" s="32"/>
      <c r="E183" s="32"/>
    </row>
    <row r="184" spans="1:5" x14ac:dyDescent="0.2">
      <c r="A184" s="30"/>
      <c r="B184" s="32"/>
      <c r="C184" s="32"/>
      <c r="D184" s="32"/>
      <c r="E184" s="32"/>
    </row>
    <row r="185" spans="1:5" x14ac:dyDescent="0.2">
      <c r="A185" s="30"/>
      <c r="B185" s="32"/>
      <c r="C185" s="32"/>
      <c r="D185" s="32"/>
      <c r="E185" s="32"/>
    </row>
    <row r="186" spans="1:5" x14ac:dyDescent="0.2">
      <c r="A186" s="30"/>
      <c r="B186" s="32"/>
      <c r="C186" s="32"/>
      <c r="D186" s="32"/>
      <c r="E186" s="32"/>
    </row>
    <row r="187" spans="1:5" x14ac:dyDescent="0.2">
      <c r="A187" s="30"/>
      <c r="B187" s="32"/>
      <c r="C187" s="32"/>
      <c r="D187" s="32"/>
      <c r="E187" s="32"/>
    </row>
    <row r="188" spans="1:5" x14ac:dyDescent="0.2">
      <c r="A188" s="30"/>
      <c r="B188" s="32"/>
      <c r="C188" s="32"/>
      <c r="D188" s="32"/>
      <c r="E188" s="32"/>
    </row>
    <row r="189" spans="1:5" x14ac:dyDescent="0.2">
      <c r="A189" s="30"/>
      <c r="B189" s="32"/>
      <c r="C189" s="32"/>
      <c r="D189" s="32"/>
      <c r="E189" s="32"/>
    </row>
    <row r="190" spans="1:5" x14ac:dyDescent="0.2">
      <c r="A190" s="30"/>
      <c r="B190" s="32"/>
      <c r="C190" s="32"/>
      <c r="D190" s="32"/>
      <c r="E190" s="32"/>
    </row>
    <row r="191" spans="1:5" x14ac:dyDescent="0.2">
      <c r="A191" s="30"/>
      <c r="B191" s="32"/>
      <c r="C191" s="32"/>
      <c r="D191" s="32"/>
      <c r="E191" s="32"/>
    </row>
    <row r="192" spans="1:5" x14ac:dyDescent="0.2">
      <c r="A192" s="30"/>
      <c r="B192" s="32"/>
      <c r="C192" s="32"/>
      <c r="D192" s="32"/>
      <c r="E192" s="32"/>
    </row>
    <row r="193" spans="1:5" x14ac:dyDescent="0.2">
      <c r="A193" s="30"/>
      <c r="B193" s="32"/>
      <c r="C193" s="32"/>
      <c r="D193" s="32"/>
      <c r="E193" s="32"/>
    </row>
    <row r="194" spans="1:5" x14ac:dyDescent="0.2">
      <c r="A194" s="30"/>
      <c r="B194" s="32"/>
      <c r="C194" s="32"/>
      <c r="D194" s="32"/>
      <c r="E194" s="32"/>
    </row>
    <row r="195" spans="1:5" x14ac:dyDescent="0.2">
      <c r="A195" s="30"/>
      <c r="B195" s="32"/>
      <c r="C195" s="32"/>
      <c r="D195" s="32"/>
      <c r="E195" s="32"/>
    </row>
    <row r="196" spans="1:5" x14ac:dyDescent="0.2">
      <c r="A196" s="30"/>
      <c r="B196" s="32"/>
      <c r="C196" s="32"/>
      <c r="D196" s="32"/>
      <c r="E196" s="32"/>
    </row>
    <row r="197" spans="1:5" x14ac:dyDescent="0.2">
      <c r="A197" s="30"/>
      <c r="B197" s="32"/>
      <c r="C197" s="32"/>
      <c r="D197" s="32"/>
      <c r="E197" s="32"/>
    </row>
    <row r="198" spans="1:5" x14ac:dyDescent="0.2">
      <c r="A198" s="30"/>
      <c r="B198" s="32"/>
      <c r="C198" s="32"/>
      <c r="D198" s="32"/>
      <c r="E198" s="32"/>
    </row>
    <row r="199" spans="1:5" x14ac:dyDescent="0.2">
      <c r="A199" s="30"/>
      <c r="B199" s="32"/>
      <c r="C199" s="32"/>
      <c r="D199" s="32"/>
      <c r="E199" s="32"/>
    </row>
    <row r="200" spans="1:5" x14ac:dyDescent="0.2">
      <c r="A200" s="30"/>
      <c r="B200" s="32"/>
      <c r="C200" s="32"/>
      <c r="D200" s="32"/>
      <c r="E200" s="32"/>
    </row>
    <row r="201" spans="1:5" x14ac:dyDescent="0.2">
      <c r="A201" s="30"/>
      <c r="B201" s="32"/>
      <c r="C201" s="32"/>
      <c r="D201" s="32"/>
      <c r="E201" s="32"/>
    </row>
    <row r="202" spans="1:5" x14ac:dyDescent="0.2">
      <c r="A202" s="30"/>
      <c r="B202" s="32"/>
      <c r="C202" s="32"/>
      <c r="D202" s="32"/>
      <c r="E202" s="32"/>
    </row>
    <row r="203" spans="1:5" x14ac:dyDescent="0.2">
      <c r="A203" s="30"/>
      <c r="B203" s="32"/>
      <c r="C203" s="32"/>
      <c r="D203" s="32"/>
      <c r="E203" s="32"/>
    </row>
    <row r="204" spans="1:5" x14ac:dyDescent="0.2">
      <c r="A204" s="30"/>
      <c r="B204" s="32"/>
      <c r="C204" s="32"/>
      <c r="D204" s="32"/>
      <c r="E204" s="32"/>
    </row>
    <row r="205" spans="1:5" x14ac:dyDescent="0.2">
      <c r="A205" s="30"/>
      <c r="B205" s="32"/>
      <c r="C205" s="32"/>
      <c r="D205" s="32"/>
      <c r="E205" s="32"/>
    </row>
    <row r="206" spans="1:5" x14ac:dyDescent="0.2">
      <c r="A206" s="30"/>
      <c r="B206" s="32"/>
      <c r="C206" s="32"/>
      <c r="D206" s="32"/>
      <c r="E206" s="32"/>
    </row>
    <row r="207" spans="1:5" x14ac:dyDescent="0.2">
      <c r="A207" s="30"/>
      <c r="B207" s="32"/>
      <c r="C207" s="32"/>
      <c r="D207" s="32"/>
      <c r="E207" s="32"/>
    </row>
    <row r="208" spans="1:5" x14ac:dyDescent="0.2">
      <c r="A208" s="30"/>
      <c r="B208" s="32"/>
      <c r="C208" s="32"/>
      <c r="D208" s="32"/>
      <c r="E208" s="32"/>
    </row>
    <row r="209" spans="1:5" x14ac:dyDescent="0.2">
      <c r="A209" s="30"/>
      <c r="B209" s="32"/>
      <c r="C209" s="32"/>
      <c r="D209" s="32"/>
      <c r="E209" s="32"/>
    </row>
    <row r="210" spans="1:5" x14ac:dyDescent="0.2">
      <c r="A210" s="30"/>
      <c r="B210" s="32"/>
      <c r="C210" s="32"/>
      <c r="D210" s="32"/>
      <c r="E210" s="32"/>
    </row>
    <row r="211" spans="1:5" x14ac:dyDescent="0.2">
      <c r="A211" s="30"/>
      <c r="B211" s="32"/>
      <c r="C211" s="32"/>
      <c r="D211" s="32"/>
      <c r="E211" s="32"/>
    </row>
    <row r="212" spans="1:5" x14ac:dyDescent="0.2">
      <c r="A212" s="30"/>
      <c r="B212" s="32"/>
      <c r="C212" s="32"/>
      <c r="D212" s="32"/>
      <c r="E212" s="32"/>
    </row>
    <row r="213" spans="1:5" x14ac:dyDescent="0.2">
      <c r="A213" s="30"/>
      <c r="B213" s="32"/>
      <c r="C213" s="32"/>
      <c r="D213" s="32"/>
      <c r="E213" s="32"/>
    </row>
    <row r="214" spans="1:5" x14ac:dyDescent="0.2">
      <c r="A214" s="30"/>
      <c r="B214" s="32"/>
      <c r="C214" s="32"/>
      <c r="D214" s="32"/>
      <c r="E214" s="32"/>
    </row>
    <row r="215" spans="1:5" x14ac:dyDescent="0.2">
      <c r="A215" s="30"/>
      <c r="B215" s="32"/>
      <c r="C215" s="32"/>
      <c r="D215" s="32"/>
      <c r="E215" s="32"/>
    </row>
    <row r="216" spans="1:5" x14ac:dyDescent="0.2">
      <c r="A216" s="30"/>
      <c r="B216" s="32"/>
      <c r="C216" s="32"/>
      <c r="D216" s="32"/>
      <c r="E216" s="32"/>
    </row>
    <row r="217" spans="1:5" x14ac:dyDescent="0.2">
      <c r="A217" s="30"/>
      <c r="B217" s="32"/>
      <c r="C217" s="32"/>
      <c r="D217" s="32"/>
      <c r="E217" s="32"/>
    </row>
    <row r="218" spans="1:5" x14ac:dyDescent="0.2">
      <c r="A218" s="30"/>
      <c r="B218" s="32"/>
      <c r="C218" s="32"/>
      <c r="D218" s="32"/>
      <c r="E218" s="32"/>
    </row>
    <row r="219" spans="1:5" x14ac:dyDescent="0.2">
      <c r="A219" s="30"/>
      <c r="B219" s="32"/>
      <c r="C219" s="32"/>
      <c r="D219" s="32"/>
      <c r="E219" s="32"/>
    </row>
    <row r="220" spans="1:5" x14ac:dyDescent="0.2">
      <c r="A220" s="30"/>
      <c r="B220" s="32"/>
      <c r="C220" s="32"/>
      <c r="D220" s="32"/>
      <c r="E220" s="32"/>
    </row>
    <row r="221" spans="1:5" x14ac:dyDescent="0.2">
      <c r="A221" s="30"/>
      <c r="B221" s="32"/>
      <c r="C221" s="32"/>
      <c r="D221" s="32"/>
      <c r="E221" s="32"/>
    </row>
    <row r="222" spans="1:5" x14ac:dyDescent="0.2">
      <c r="A222" s="30"/>
      <c r="B222" s="32"/>
      <c r="C222" s="32"/>
      <c r="D222" s="32"/>
      <c r="E222" s="32"/>
    </row>
    <row r="223" spans="1:5" x14ac:dyDescent="0.2">
      <c r="A223" s="30"/>
      <c r="B223" s="32"/>
      <c r="C223" s="32"/>
      <c r="D223" s="32"/>
      <c r="E223" s="32"/>
    </row>
    <row r="224" spans="1:5" x14ac:dyDescent="0.2">
      <c r="A224" s="30"/>
      <c r="B224" s="32"/>
      <c r="C224" s="32"/>
      <c r="D224" s="32"/>
      <c r="E224" s="32"/>
    </row>
    <row r="225" spans="1:5" x14ac:dyDescent="0.2">
      <c r="A225" s="30"/>
      <c r="B225" s="32"/>
      <c r="C225" s="32"/>
      <c r="D225" s="32"/>
      <c r="E225" s="32"/>
    </row>
    <row r="226" spans="1:5" x14ac:dyDescent="0.2">
      <c r="A226" s="30"/>
      <c r="B226" s="32"/>
      <c r="C226" s="32"/>
      <c r="D226" s="32"/>
      <c r="E226" s="32"/>
    </row>
    <row r="227" spans="1:5" x14ac:dyDescent="0.2">
      <c r="A227" s="30"/>
      <c r="B227" s="32"/>
      <c r="C227" s="32"/>
      <c r="D227" s="32"/>
      <c r="E227" s="32"/>
    </row>
    <row r="228" spans="1:5" x14ac:dyDescent="0.2">
      <c r="A228" s="30"/>
      <c r="B228" s="32"/>
      <c r="C228" s="32"/>
      <c r="D228" s="32"/>
      <c r="E228" s="32"/>
    </row>
    <row r="229" spans="1:5" x14ac:dyDescent="0.2">
      <c r="A229" s="30"/>
      <c r="B229" s="32"/>
      <c r="C229" s="32"/>
      <c r="D229" s="32"/>
      <c r="E229" s="32"/>
    </row>
    <row r="230" spans="1:5" x14ac:dyDescent="0.2">
      <c r="A230" s="30"/>
      <c r="B230" s="32"/>
      <c r="C230" s="32"/>
      <c r="D230" s="32"/>
      <c r="E230" s="32"/>
    </row>
    <row r="231" spans="1:5" x14ac:dyDescent="0.2">
      <c r="A231" s="30"/>
      <c r="B231" s="32"/>
      <c r="C231" s="32"/>
      <c r="D231" s="32"/>
      <c r="E231" s="32"/>
    </row>
    <row r="232" spans="1:5" x14ac:dyDescent="0.2">
      <c r="A232" s="30"/>
      <c r="B232" s="32"/>
      <c r="C232" s="32"/>
      <c r="D232" s="32"/>
      <c r="E232" s="32"/>
    </row>
    <row r="233" spans="1:5" x14ac:dyDescent="0.2">
      <c r="A233" s="30"/>
      <c r="B233" s="32"/>
      <c r="C233" s="32"/>
      <c r="D233" s="32"/>
      <c r="E233" s="32"/>
    </row>
    <row r="234" spans="1:5" x14ac:dyDescent="0.2">
      <c r="A234" s="30"/>
      <c r="B234" s="32"/>
      <c r="C234" s="32"/>
      <c r="D234" s="32"/>
      <c r="E234" s="32"/>
    </row>
    <row r="235" spans="1:5" x14ac:dyDescent="0.2">
      <c r="A235" s="30"/>
      <c r="B235" s="32"/>
      <c r="C235" s="32"/>
      <c r="D235" s="32"/>
      <c r="E235" s="32"/>
    </row>
    <row r="236" spans="1:5" x14ac:dyDescent="0.2">
      <c r="A236" s="30"/>
      <c r="B236" s="32"/>
      <c r="C236" s="32"/>
      <c r="D236" s="32"/>
      <c r="E236" s="32"/>
    </row>
    <row r="237" spans="1:5" x14ac:dyDescent="0.2">
      <c r="A237" s="30"/>
      <c r="B237" s="32"/>
      <c r="C237" s="32"/>
      <c r="D237" s="32"/>
      <c r="E237" s="32"/>
    </row>
    <row r="238" spans="1:5" x14ac:dyDescent="0.2">
      <c r="A238" s="30"/>
      <c r="B238" s="32"/>
      <c r="C238" s="32"/>
      <c r="D238" s="32"/>
      <c r="E238" s="32"/>
    </row>
    <row r="239" spans="1:5" x14ac:dyDescent="0.2">
      <c r="A239" s="30"/>
      <c r="B239" s="32"/>
      <c r="C239" s="32"/>
      <c r="D239" s="32"/>
      <c r="E239" s="32"/>
    </row>
    <row r="240" spans="1:5" x14ac:dyDescent="0.2">
      <c r="A240" s="30"/>
      <c r="B240" s="32"/>
      <c r="C240" s="32"/>
      <c r="D240" s="32"/>
      <c r="E240" s="32"/>
    </row>
    <row r="241" spans="1:5" x14ac:dyDescent="0.2">
      <c r="A241" s="30"/>
      <c r="B241" s="32"/>
      <c r="C241" s="32"/>
      <c r="D241" s="32"/>
      <c r="E241" s="32"/>
    </row>
    <row r="242" spans="1:5" x14ac:dyDescent="0.2">
      <c r="A242" s="30"/>
      <c r="B242" s="32"/>
      <c r="C242" s="32"/>
      <c r="D242" s="32"/>
      <c r="E242" s="32"/>
    </row>
    <row r="243" spans="1:5" x14ac:dyDescent="0.2">
      <c r="A243" s="30"/>
      <c r="B243" s="32"/>
      <c r="C243" s="32"/>
      <c r="D243" s="32"/>
      <c r="E243" s="32"/>
    </row>
    <row r="244" spans="1:5" x14ac:dyDescent="0.2">
      <c r="A244" s="30"/>
      <c r="B244" s="32"/>
      <c r="C244" s="32"/>
      <c r="D244" s="32"/>
      <c r="E244" s="32"/>
    </row>
    <row r="245" spans="1:5" x14ac:dyDescent="0.2">
      <c r="A245" s="30"/>
      <c r="B245" s="32"/>
      <c r="C245" s="32"/>
      <c r="D245" s="32"/>
      <c r="E245" s="32"/>
    </row>
    <row r="246" spans="1:5" x14ac:dyDescent="0.2">
      <c r="A246" s="30"/>
      <c r="B246" s="32"/>
      <c r="C246" s="32"/>
      <c r="D246" s="32"/>
      <c r="E246" s="32"/>
    </row>
    <row r="247" spans="1:5" x14ac:dyDescent="0.2">
      <c r="A247" s="30"/>
      <c r="B247" s="32"/>
      <c r="C247" s="32"/>
      <c r="D247" s="32"/>
      <c r="E247" s="32"/>
    </row>
    <row r="248" spans="1:5" x14ac:dyDescent="0.2">
      <c r="A248" s="30"/>
      <c r="B248" s="32"/>
      <c r="C248" s="32"/>
      <c r="D248" s="32"/>
      <c r="E248" s="32"/>
    </row>
    <row r="249" spans="1:5" x14ac:dyDescent="0.2">
      <c r="A249" s="30"/>
      <c r="B249" s="32"/>
      <c r="C249" s="32"/>
      <c r="D249" s="32"/>
      <c r="E249" s="32"/>
    </row>
    <row r="250" spans="1:5" x14ac:dyDescent="0.2">
      <c r="A250" s="30"/>
      <c r="B250" s="32"/>
      <c r="C250" s="32"/>
      <c r="D250" s="32"/>
      <c r="E250" s="32"/>
    </row>
    <row r="251" spans="1:5" x14ac:dyDescent="0.2">
      <c r="A251" s="30"/>
      <c r="B251" s="32"/>
      <c r="C251" s="32"/>
      <c r="D251" s="32"/>
      <c r="E251" s="32"/>
    </row>
    <row r="252" spans="1:5" x14ac:dyDescent="0.2">
      <c r="A252" s="30"/>
      <c r="B252" s="32"/>
      <c r="C252" s="32"/>
      <c r="D252" s="32"/>
      <c r="E252" s="32"/>
    </row>
    <row r="253" spans="1:5" x14ac:dyDescent="0.2">
      <c r="A253" s="30"/>
      <c r="B253" s="32"/>
      <c r="C253" s="32"/>
      <c r="D253" s="32"/>
      <c r="E253" s="32"/>
    </row>
    <row r="254" spans="1:5" x14ac:dyDescent="0.2">
      <c r="A254" s="30"/>
      <c r="B254" s="32"/>
      <c r="C254" s="32"/>
      <c r="D254" s="32"/>
      <c r="E254" s="32"/>
    </row>
    <row r="255" spans="1:5" x14ac:dyDescent="0.2">
      <c r="A255" s="30"/>
      <c r="B255" s="32"/>
      <c r="C255" s="32"/>
      <c r="D255" s="32"/>
      <c r="E255" s="32"/>
    </row>
    <row r="256" spans="1:5" x14ac:dyDescent="0.2">
      <c r="A256" s="30"/>
      <c r="B256" s="32"/>
      <c r="C256" s="32"/>
      <c r="D256" s="32"/>
      <c r="E256" s="32"/>
    </row>
    <row r="257" spans="1:5" x14ac:dyDescent="0.2">
      <c r="A257" s="30"/>
      <c r="B257" s="32"/>
      <c r="C257" s="32"/>
      <c r="D257" s="32"/>
      <c r="E257" s="32"/>
    </row>
    <row r="258" spans="1:5" x14ac:dyDescent="0.2">
      <c r="A258" s="30"/>
      <c r="B258" s="32"/>
      <c r="C258" s="32"/>
      <c r="D258" s="32"/>
      <c r="E258" s="32"/>
    </row>
    <row r="259" spans="1:5" x14ac:dyDescent="0.2">
      <c r="A259" s="30"/>
      <c r="B259" s="32"/>
      <c r="C259" s="32"/>
      <c r="D259" s="32"/>
      <c r="E259" s="32"/>
    </row>
    <row r="260" spans="1:5" x14ac:dyDescent="0.2">
      <c r="A260" s="30"/>
      <c r="B260" s="32"/>
      <c r="C260" s="32"/>
      <c r="D260" s="32"/>
      <c r="E260" s="32"/>
    </row>
    <row r="261" spans="1:5" x14ac:dyDescent="0.2">
      <c r="A261" s="30"/>
      <c r="B261" s="32"/>
      <c r="C261" s="32"/>
      <c r="D261" s="32"/>
      <c r="E261" s="32"/>
    </row>
    <row r="262" spans="1:5" x14ac:dyDescent="0.2">
      <c r="A262" s="30"/>
      <c r="B262" s="32"/>
      <c r="C262" s="32"/>
      <c r="D262" s="32"/>
      <c r="E262" s="32"/>
    </row>
    <row r="263" spans="1:5" x14ac:dyDescent="0.2">
      <c r="A263" s="30"/>
      <c r="B263" s="32"/>
      <c r="C263" s="32"/>
      <c r="D263" s="32"/>
      <c r="E263" s="32"/>
    </row>
    <row r="264" spans="1:5" x14ac:dyDescent="0.2">
      <c r="A264" s="30"/>
      <c r="B264" s="32"/>
      <c r="C264" s="32"/>
      <c r="D264" s="32"/>
      <c r="E264" s="32"/>
    </row>
    <row r="265" spans="1:5" x14ac:dyDescent="0.2">
      <c r="A265" s="30"/>
      <c r="B265" s="32"/>
      <c r="C265" s="32"/>
      <c r="D265" s="32"/>
      <c r="E265" s="32"/>
    </row>
    <row r="266" spans="1:5" x14ac:dyDescent="0.2">
      <c r="A266" s="30"/>
      <c r="B266" s="32"/>
      <c r="C266" s="32"/>
      <c r="D266" s="32"/>
      <c r="E266" s="32"/>
    </row>
    <row r="267" spans="1:5" x14ac:dyDescent="0.2">
      <c r="A267" s="30"/>
      <c r="B267" s="32"/>
      <c r="C267" s="32"/>
      <c r="D267" s="32"/>
      <c r="E267" s="32"/>
    </row>
    <row r="268" spans="1:5" x14ac:dyDescent="0.2">
      <c r="A268" s="30"/>
      <c r="B268" s="32"/>
      <c r="C268" s="32"/>
      <c r="D268" s="32"/>
      <c r="E268" s="32"/>
    </row>
    <row r="269" spans="1:5" x14ac:dyDescent="0.2">
      <c r="A269" s="30"/>
      <c r="B269" s="32"/>
      <c r="C269" s="32"/>
      <c r="D269" s="32"/>
      <c r="E269" s="32"/>
    </row>
    <row r="270" spans="1:5" x14ac:dyDescent="0.2">
      <c r="A270" s="30"/>
      <c r="B270" s="32"/>
      <c r="C270" s="32"/>
      <c r="D270" s="32"/>
      <c r="E270" s="32"/>
    </row>
    <row r="271" spans="1:5" x14ac:dyDescent="0.2">
      <c r="A271" s="30"/>
      <c r="B271" s="32"/>
      <c r="C271" s="32"/>
      <c r="D271" s="32"/>
      <c r="E271" s="32"/>
    </row>
    <row r="272" spans="1:5" x14ac:dyDescent="0.2">
      <c r="A272" s="30"/>
      <c r="B272" s="32"/>
      <c r="C272" s="32"/>
      <c r="D272" s="32"/>
      <c r="E272" s="32"/>
    </row>
    <row r="273" spans="1:5" x14ac:dyDescent="0.2">
      <c r="A273" s="30"/>
      <c r="B273" s="32"/>
      <c r="C273" s="32"/>
      <c r="D273" s="32"/>
      <c r="E273" s="32"/>
    </row>
    <row r="274" spans="1:5" x14ac:dyDescent="0.2">
      <c r="A274" s="30"/>
      <c r="B274" s="32"/>
      <c r="C274" s="32"/>
      <c r="D274" s="32"/>
      <c r="E274" s="32"/>
    </row>
    <row r="275" spans="1:5" x14ac:dyDescent="0.2">
      <c r="A275" s="30"/>
      <c r="B275" s="32"/>
      <c r="C275" s="32"/>
      <c r="D275" s="32"/>
      <c r="E275" s="32"/>
    </row>
    <row r="276" spans="1:5" x14ac:dyDescent="0.2">
      <c r="A276" s="30"/>
      <c r="B276" s="32"/>
      <c r="C276" s="32"/>
      <c r="D276" s="32"/>
      <c r="E276" s="32"/>
    </row>
    <row r="277" spans="1:5" x14ac:dyDescent="0.2">
      <c r="A277" s="30"/>
      <c r="B277" s="32"/>
      <c r="C277" s="32"/>
      <c r="D277" s="32"/>
      <c r="E277" s="32"/>
    </row>
    <row r="278" spans="1:5" x14ac:dyDescent="0.2">
      <c r="A278" s="30"/>
      <c r="B278" s="32"/>
      <c r="C278" s="32"/>
      <c r="D278" s="32"/>
      <c r="E278" s="32"/>
    </row>
    <row r="279" spans="1:5" x14ac:dyDescent="0.2">
      <c r="A279" s="30"/>
      <c r="B279" s="32"/>
      <c r="C279" s="32"/>
      <c r="D279" s="32"/>
      <c r="E279" s="32"/>
    </row>
    <row r="280" spans="1:5" x14ac:dyDescent="0.2">
      <c r="A280" s="30"/>
      <c r="B280" s="32"/>
      <c r="C280" s="32"/>
      <c r="D280" s="32"/>
      <c r="E280" s="32"/>
    </row>
    <row r="281" spans="1:5" x14ac:dyDescent="0.2">
      <c r="A281" s="30"/>
      <c r="B281" s="32"/>
      <c r="C281" s="32"/>
      <c r="D281" s="32"/>
      <c r="E281" s="32"/>
    </row>
    <row r="282" spans="1:5" x14ac:dyDescent="0.2">
      <c r="A282" s="30"/>
      <c r="B282" s="32"/>
      <c r="C282" s="32"/>
      <c r="D282" s="32"/>
      <c r="E282" s="32"/>
    </row>
    <row r="283" spans="1:5" x14ac:dyDescent="0.2">
      <c r="A283" s="30"/>
      <c r="B283" s="32"/>
      <c r="C283" s="32"/>
      <c r="D283" s="32"/>
      <c r="E283" s="32"/>
    </row>
    <row r="284" spans="1:5" x14ac:dyDescent="0.2">
      <c r="A284" s="30"/>
      <c r="B284" s="32"/>
      <c r="C284" s="32"/>
      <c r="D284" s="32"/>
      <c r="E284" s="32"/>
    </row>
    <row r="285" spans="1:5" x14ac:dyDescent="0.2">
      <c r="A285" s="30"/>
      <c r="B285" s="32"/>
      <c r="C285" s="32"/>
      <c r="D285" s="32"/>
      <c r="E285" s="32"/>
    </row>
    <row r="286" spans="1:5" x14ac:dyDescent="0.2">
      <c r="A286" s="30"/>
      <c r="B286" s="32"/>
      <c r="C286" s="32"/>
      <c r="D286" s="32"/>
      <c r="E286" s="32"/>
    </row>
    <row r="287" spans="1:5" x14ac:dyDescent="0.2">
      <c r="A287" s="30"/>
      <c r="B287" s="32"/>
      <c r="C287" s="32"/>
      <c r="D287" s="32"/>
      <c r="E287" s="32"/>
    </row>
    <row r="288" spans="1:5" x14ac:dyDescent="0.2">
      <c r="A288" s="30"/>
      <c r="B288" s="32"/>
      <c r="C288" s="32"/>
      <c r="D288" s="32"/>
      <c r="E288" s="32"/>
    </row>
    <row r="289" spans="1:5" x14ac:dyDescent="0.2">
      <c r="A289" s="30"/>
      <c r="B289" s="32"/>
      <c r="C289" s="32"/>
      <c r="D289" s="32"/>
      <c r="E289" s="32"/>
    </row>
    <row r="290" spans="1:5" x14ac:dyDescent="0.2">
      <c r="A290" s="30"/>
      <c r="B290" s="32"/>
      <c r="C290" s="32"/>
      <c r="D290" s="32"/>
      <c r="E290" s="32"/>
    </row>
    <row r="291" spans="1:5" x14ac:dyDescent="0.2">
      <c r="A291" s="30"/>
      <c r="B291" s="32"/>
      <c r="C291" s="32"/>
      <c r="D291" s="32"/>
      <c r="E291" s="32"/>
    </row>
    <row r="292" spans="1:5" x14ac:dyDescent="0.2">
      <c r="A292" s="30"/>
      <c r="B292" s="32"/>
      <c r="C292" s="32"/>
      <c r="D292" s="32"/>
      <c r="E292" s="32"/>
    </row>
    <row r="293" spans="1:5" x14ac:dyDescent="0.2">
      <c r="A293" s="30"/>
      <c r="B293" s="32"/>
      <c r="C293" s="32"/>
      <c r="D293" s="32"/>
      <c r="E293" s="32"/>
    </row>
    <row r="294" spans="1:5" x14ac:dyDescent="0.2">
      <c r="A294" s="30"/>
      <c r="B294" s="32"/>
      <c r="C294" s="32"/>
      <c r="D294" s="32"/>
      <c r="E294" s="32"/>
    </row>
    <row r="295" spans="1:5" x14ac:dyDescent="0.2">
      <c r="A295" s="30"/>
      <c r="B295" s="32"/>
      <c r="C295" s="32"/>
      <c r="D295" s="32"/>
      <c r="E295" s="32"/>
    </row>
    <row r="296" spans="1:5" x14ac:dyDescent="0.2">
      <c r="A296" s="30"/>
      <c r="B296" s="32"/>
      <c r="C296" s="32"/>
      <c r="D296" s="32"/>
      <c r="E296" s="32"/>
    </row>
    <row r="297" spans="1:5" x14ac:dyDescent="0.2">
      <c r="A297" s="30"/>
      <c r="B297" s="32"/>
      <c r="C297" s="32"/>
      <c r="D297" s="32"/>
      <c r="E297" s="32"/>
    </row>
    <row r="298" spans="1:5" x14ac:dyDescent="0.2">
      <c r="A298" s="30"/>
      <c r="B298" s="32"/>
      <c r="C298" s="32"/>
      <c r="D298" s="32"/>
      <c r="E298" s="32"/>
    </row>
    <row r="299" spans="1:5" x14ac:dyDescent="0.2">
      <c r="A299" s="30"/>
      <c r="B299" s="32"/>
      <c r="C299" s="32"/>
      <c r="D299" s="32"/>
      <c r="E299" s="32"/>
    </row>
    <row r="300" spans="1:5" x14ac:dyDescent="0.2">
      <c r="A300" s="30"/>
      <c r="B300" s="32"/>
      <c r="C300" s="32"/>
      <c r="D300" s="32"/>
      <c r="E300" s="32"/>
    </row>
    <row r="301" spans="1:5" x14ac:dyDescent="0.2">
      <c r="A301" s="30"/>
      <c r="B301" s="32"/>
      <c r="C301" s="32"/>
      <c r="D301" s="32"/>
      <c r="E301" s="32"/>
    </row>
    <row r="302" spans="1:5" x14ac:dyDescent="0.2">
      <c r="A302" s="30"/>
      <c r="B302" s="32"/>
      <c r="C302" s="32"/>
      <c r="D302" s="32"/>
      <c r="E302" s="32"/>
    </row>
    <row r="303" spans="1:5" x14ac:dyDescent="0.2">
      <c r="A303" s="30"/>
      <c r="B303" s="32"/>
      <c r="C303" s="32"/>
      <c r="D303" s="32"/>
      <c r="E303" s="32"/>
    </row>
    <row r="304" spans="1:5" x14ac:dyDescent="0.2">
      <c r="A304" s="30"/>
      <c r="B304" s="32"/>
      <c r="C304" s="32"/>
      <c r="D304" s="32"/>
      <c r="E304" s="32"/>
    </row>
    <row r="305" spans="1:5" x14ac:dyDescent="0.2">
      <c r="A305" s="30"/>
      <c r="B305" s="32"/>
      <c r="C305" s="32"/>
      <c r="D305" s="32"/>
      <c r="E305" s="32"/>
    </row>
    <row r="306" spans="1:5" x14ac:dyDescent="0.2">
      <c r="A306" s="30"/>
      <c r="B306" s="32"/>
      <c r="C306" s="32"/>
      <c r="D306" s="32"/>
      <c r="E306" s="32"/>
    </row>
    <row r="307" spans="1:5" x14ac:dyDescent="0.2">
      <c r="A307" s="30"/>
      <c r="B307" s="32"/>
      <c r="C307" s="32"/>
      <c r="D307" s="32"/>
      <c r="E307" s="32"/>
    </row>
    <row r="308" spans="1:5" x14ac:dyDescent="0.2">
      <c r="A308" s="30"/>
      <c r="B308" s="32"/>
      <c r="C308" s="32"/>
      <c r="D308" s="32"/>
      <c r="E308" s="32"/>
    </row>
    <row r="309" spans="1:5" x14ac:dyDescent="0.2">
      <c r="A309" s="30"/>
      <c r="B309" s="32"/>
      <c r="C309" s="32"/>
      <c r="D309" s="32"/>
      <c r="E309" s="32"/>
    </row>
    <row r="310" spans="1:5" x14ac:dyDescent="0.2">
      <c r="A310" s="30"/>
      <c r="B310" s="32"/>
      <c r="C310" s="32"/>
      <c r="D310" s="32"/>
      <c r="E310" s="32"/>
    </row>
    <row r="311" spans="1:5" x14ac:dyDescent="0.2">
      <c r="A311" s="30"/>
      <c r="B311" s="32"/>
      <c r="C311" s="32"/>
      <c r="D311" s="32"/>
      <c r="E311" s="32"/>
    </row>
    <row r="312" spans="1:5" x14ac:dyDescent="0.2">
      <c r="A312" s="30"/>
      <c r="B312" s="32"/>
      <c r="C312" s="32"/>
      <c r="D312" s="32"/>
      <c r="E312" s="32"/>
    </row>
    <row r="313" spans="1:5" x14ac:dyDescent="0.2">
      <c r="A313" s="30"/>
      <c r="B313" s="32"/>
      <c r="C313" s="32"/>
      <c r="D313" s="32"/>
      <c r="E313" s="32"/>
    </row>
    <row r="314" spans="1:5" x14ac:dyDescent="0.2">
      <c r="A314" s="30"/>
      <c r="B314" s="32"/>
      <c r="C314" s="32"/>
      <c r="D314" s="32"/>
      <c r="E314" s="32"/>
    </row>
    <row r="315" spans="1:5" x14ac:dyDescent="0.2">
      <c r="A315" s="30"/>
      <c r="B315" s="32"/>
      <c r="C315" s="32"/>
      <c r="D315" s="32"/>
      <c r="E315" s="32"/>
    </row>
    <row r="316" spans="1:5" x14ac:dyDescent="0.2">
      <c r="A316" s="30"/>
      <c r="B316" s="32"/>
      <c r="C316" s="32"/>
      <c r="D316" s="32"/>
      <c r="E316" s="32"/>
    </row>
    <row r="317" spans="1:5" x14ac:dyDescent="0.2">
      <c r="A317" s="30"/>
      <c r="B317" s="32"/>
      <c r="C317" s="32"/>
      <c r="D317" s="32"/>
      <c r="E317" s="32"/>
    </row>
    <row r="318" spans="1:5" x14ac:dyDescent="0.2">
      <c r="A318" s="30"/>
      <c r="B318" s="32"/>
      <c r="C318" s="32"/>
      <c r="D318" s="32"/>
      <c r="E318" s="32"/>
    </row>
    <row r="319" spans="1:5" x14ac:dyDescent="0.2">
      <c r="A319" s="30"/>
      <c r="B319" s="32"/>
      <c r="C319" s="32"/>
      <c r="D319" s="32"/>
      <c r="E319" s="32"/>
    </row>
    <row r="320" spans="1:5" x14ac:dyDescent="0.2">
      <c r="A320" s="30"/>
      <c r="B320" s="32"/>
      <c r="C320" s="32"/>
      <c r="D320" s="32"/>
      <c r="E320" s="32"/>
    </row>
    <row r="321" spans="1:5" x14ac:dyDescent="0.2">
      <c r="A321" s="30"/>
      <c r="B321" s="32"/>
      <c r="C321" s="32"/>
      <c r="D321" s="32"/>
      <c r="E321" s="32"/>
    </row>
    <row r="322" spans="1:5" x14ac:dyDescent="0.2">
      <c r="A322" s="30"/>
      <c r="B322" s="32"/>
      <c r="C322" s="32"/>
      <c r="D322" s="32"/>
      <c r="E322" s="32"/>
    </row>
    <row r="323" spans="1:5" x14ac:dyDescent="0.2">
      <c r="A323" s="30"/>
      <c r="B323" s="32"/>
      <c r="C323" s="32"/>
      <c r="D323" s="32"/>
      <c r="E323" s="32"/>
    </row>
    <row r="324" spans="1:5" x14ac:dyDescent="0.2">
      <c r="A324" s="30"/>
      <c r="B324" s="32"/>
      <c r="C324" s="32"/>
      <c r="D324" s="32"/>
      <c r="E324" s="32"/>
    </row>
    <row r="325" spans="1:5" x14ac:dyDescent="0.2">
      <c r="A325" s="30"/>
      <c r="B325" s="32"/>
      <c r="C325" s="32"/>
      <c r="D325" s="32"/>
      <c r="E325" s="32"/>
    </row>
    <row r="326" spans="1:5" x14ac:dyDescent="0.2">
      <c r="A326" s="30"/>
      <c r="B326" s="32"/>
      <c r="C326" s="32"/>
      <c r="D326" s="32"/>
      <c r="E326" s="32"/>
    </row>
    <row r="327" spans="1:5" x14ac:dyDescent="0.2">
      <c r="A327" s="30"/>
      <c r="B327" s="32"/>
      <c r="C327" s="32"/>
      <c r="D327" s="32"/>
      <c r="E327" s="32"/>
    </row>
    <row r="328" spans="1:5" x14ac:dyDescent="0.2">
      <c r="A328" s="30"/>
      <c r="B328" s="32"/>
      <c r="C328" s="32"/>
      <c r="D328" s="32"/>
      <c r="E328" s="32"/>
    </row>
    <row r="329" spans="1:5" x14ac:dyDescent="0.2">
      <c r="A329" s="30"/>
      <c r="B329" s="32"/>
      <c r="C329" s="32"/>
      <c r="D329" s="32"/>
      <c r="E329" s="32"/>
    </row>
    <row r="330" spans="1:5" x14ac:dyDescent="0.2">
      <c r="A330" s="30"/>
      <c r="B330" s="32"/>
      <c r="C330" s="32"/>
      <c r="D330" s="32"/>
      <c r="E330" s="32"/>
    </row>
    <row r="331" spans="1:5" x14ac:dyDescent="0.2">
      <c r="A331" s="30"/>
      <c r="B331" s="32"/>
      <c r="C331" s="32"/>
      <c r="D331" s="32"/>
      <c r="E331" s="32"/>
    </row>
    <row r="332" spans="1:5" x14ac:dyDescent="0.2">
      <c r="A332" s="30"/>
      <c r="B332" s="32"/>
      <c r="C332" s="32"/>
      <c r="D332" s="32"/>
      <c r="E332" s="32"/>
    </row>
    <row r="333" spans="1:5" x14ac:dyDescent="0.2">
      <c r="A333" s="30"/>
      <c r="B333" s="32"/>
      <c r="C333" s="32"/>
      <c r="D333" s="32"/>
      <c r="E333" s="32"/>
    </row>
    <row r="334" spans="1:5" x14ac:dyDescent="0.2">
      <c r="A334" s="30"/>
      <c r="B334" s="32"/>
      <c r="C334" s="32"/>
      <c r="D334" s="32"/>
      <c r="E334" s="32"/>
    </row>
    <row r="335" spans="1:5" x14ac:dyDescent="0.2">
      <c r="A335" s="30"/>
      <c r="B335" s="32"/>
      <c r="C335" s="32"/>
      <c r="D335" s="32"/>
      <c r="E335" s="32"/>
    </row>
    <row r="336" spans="1:5" x14ac:dyDescent="0.2">
      <c r="A336" s="30"/>
      <c r="B336" s="32"/>
      <c r="C336" s="32"/>
      <c r="D336" s="32"/>
      <c r="E336" s="32"/>
    </row>
    <row r="337" spans="1:5" x14ac:dyDescent="0.2">
      <c r="A337" s="30"/>
      <c r="B337" s="32"/>
      <c r="C337" s="32"/>
      <c r="D337" s="32"/>
      <c r="E337" s="32"/>
    </row>
    <row r="338" spans="1:5" x14ac:dyDescent="0.2">
      <c r="A338" s="30"/>
      <c r="B338" s="32"/>
      <c r="C338" s="32"/>
      <c r="D338" s="32"/>
      <c r="E338" s="32"/>
    </row>
    <row r="339" spans="1:5" x14ac:dyDescent="0.2">
      <c r="A339" s="30"/>
      <c r="B339" s="32"/>
      <c r="C339" s="32"/>
      <c r="D339" s="32"/>
      <c r="E339" s="32"/>
    </row>
    <row r="340" spans="1:5" x14ac:dyDescent="0.2">
      <c r="A340" s="30"/>
      <c r="B340" s="32"/>
      <c r="C340" s="32"/>
      <c r="D340" s="32"/>
      <c r="E340" s="32"/>
    </row>
    <row r="341" spans="1:5" x14ac:dyDescent="0.2">
      <c r="A341" s="30"/>
      <c r="B341" s="32"/>
      <c r="C341" s="32"/>
      <c r="D341" s="32"/>
      <c r="E341" s="32"/>
    </row>
    <row r="342" spans="1:5" x14ac:dyDescent="0.2">
      <c r="A342" s="30"/>
      <c r="B342" s="32"/>
      <c r="C342" s="32"/>
      <c r="D342" s="32"/>
      <c r="E342" s="32"/>
    </row>
    <row r="343" spans="1:5" x14ac:dyDescent="0.2">
      <c r="A343" s="30"/>
      <c r="B343" s="32"/>
      <c r="C343" s="32"/>
      <c r="D343" s="32"/>
      <c r="E343" s="32"/>
    </row>
    <row r="344" spans="1:5" x14ac:dyDescent="0.2">
      <c r="A344" s="30"/>
      <c r="B344" s="32"/>
      <c r="C344" s="32"/>
      <c r="D344" s="32"/>
      <c r="E344" s="32"/>
    </row>
    <row r="345" spans="1:5" x14ac:dyDescent="0.2">
      <c r="A345" s="30"/>
      <c r="B345" s="32"/>
      <c r="C345" s="32"/>
      <c r="D345" s="32"/>
      <c r="E345" s="32"/>
    </row>
    <row r="346" spans="1:5" x14ac:dyDescent="0.2">
      <c r="A346" s="30"/>
      <c r="B346" s="32"/>
      <c r="C346" s="32"/>
      <c r="D346" s="32"/>
      <c r="E346" s="32"/>
    </row>
    <row r="347" spans="1:5" x14ac:dyDescent="0.2">
      <c r="A347" s="30"/>
      <c r="B347" s="32"/>
      <c r="C347" s="32"/>
      <c r="D347" s="32"/>
      <c r="E347" s="32"/>
    </row>
    <row r="348" spans="1:5" x14ac:dyDescent="0.2">
      <c r="A348" s="30"/>
      <c r="B348" s="32"/>
      <c r="C348" s="32"/>
      <c r="D348" s="32"/>
      <c r="E348" s="32"/>
    </row>
    <row r="349" spans="1:5" x14ac:dyDescent="0.2">
      <c r="A349" s="30"/>
      <c r="B349" s="32"/>
      <c r="C349" s="32"/>
      <c r="D349" s="32"/>
      <c r="E349" s="32"/>
    </row>
    <row r="350" spans="1:5" x14ac:dyDescent="0.2">
      <c r="A350" s="30"/>
      <c r="B350" s="32"/>
      <c r="C350" s="32"/>
      <c r="D350" s="32"/>
      <c r="E350" s="32"/>
    </row>
    <row r="351" spans="1:5" x14ac:dyDescent="0.2">
      <c r="A351" s="30"/>
      <c r="B351" s="32"/>
      <c r="C351" s="32"/>
      <c r="D351" s="32"/>
      <c r="E351" s="32"/>
    </row>
    <row r="352" spans="1:5" x14ac:dyDescent="0.2">
      <c r="A352" s="30"/>
      <c r="B352" s="32"/>
      <c r="C352" s="32"/>
      <c r="D352" s="32"/>
      <c r="E352" s="32"/>
    </row>
    <row r="353" spans="1:5" x14ac:dyDescent="0.2">
      <c r="A353" s="30"/>
      <c r="B353" s="32"/>
      <c r="C353" s="32"/>
      <c r="D353" s="32"/>
      <c r="E353" s="32"/>
    </row>
    <row r="354" spans="1:5" x14ac:dyDescent="0.2">
      <c r="A354" s="30"/>
      <c r="B354" s="32"/>
      <c r="C354" s="32"/>
      <c r="D354" s="32"/>
      <c r="E354" s="32"/>
    </row>
    <row r="355" spans="1:5" x14ac:dyDescent="0.2">
      <c r="A355" s="30"/>
      <c r="B355" s="32"/>
      <c r="C355" s="32"/>
      <c r="D355" s="32"/>
      <c r="E355" s="32"/>
    </row>
    <row r="356" spans="1:5" x14ac:dyDescent="0.2">
      <c r="A356" s="30"/>
      <c r="B356" s="32"/>
      <c r="C356" s="32"/>
      <c r="D356" s="32"/>
      <c r="E356" s="32"/>
    </row>
    <row r="357" spans="1:5" x14ac:dyDescent="0.2">
      <c r="A357" s="30"/>
      <c r="B357" s="32"/>
      <c r="C357" s="32"/>
      <c r="D357" s="32"/>
      <c r="E357" s="32"/>
    </row>
    <row r="358" spans="1:5" x14ac:dyDescent="0.2">
      <c r="A358" s="30"/>
      <c r="B358" s="32"/>
      <c r="C358" s="32"/>
      <c r="D358" s="32"/>
      <c r="E358" s="32"/>
    </row>
    <row r="359" spans="1:5" x14ac:dyDescent="0.2">
      <c r="A359" s="30"/>
      <c r="B359" s="32"/>
      <c r="C359" s="32"/>
      <c r="D359" s="32"/>
      <c r="E359" s="32"/>
    </row>
    <row r="360" spans="1:5" x14ac:dyDescent="0.2">
      <c r="A360" s="30"/>
      <c r="B360" s="32"/>
      <c r="C360" s="32"/>
      <c r="D360" s="32"/>
      <c r="E360" s="32"/>
    </row>
    <row r="361" spans="1:5" x14ac:dyDescent="0.2">
      <c r="A361" s="30"/>
      <c r="B361" s="32"/>
      <c r="C361" s="32"/>
      <c r="D361" s="32"/>
      <c r="E361" s="32"/>
    </row>
    <row r="362" spans="1:5" x14ac:dyDescent="0.2">
      <c r="A362" s="30"/>
      <c r="B362" s="32"/>
      <c r="C362" s="32"/>
      <c r="D362" s="32"/>
      <c r="E362" s="32"/>
    </row>
    <row r="363" spans="1:5" x14ac:dyDescent="0.2">
      <c r="A363" s="30"/>
      <c r="B363" s="32"/>
      <c r="C363" s="32"/>
      <c r="D363" s="32"/>
      <c r="E363" s="32"/>
    </row>
    <row r="364" spans="1:5" x14ac:dyDescent="0.2">
      <c r="A364" s="30"/>
      <c r="B364" s="32"/>
      <c r="C364" s="32"/>
      <c r="D364" s="32"/>
      <c r="E364" s="32"/>
    </row>
    <row r="365" spans="1:5" x14ac:dyDescent="0.2">
      <c r="A365" s="30"/>
      <c r="B365" s="32"/>
      <c r="C365" s="32"/>
      <c r="D365" s="32"/>
      <c r="E365" s="32"/>
    </row>
    <row r="366" spans="1:5" x14ac:dyDescent="0.2">
      <c r="A366" s="30"/>
      <c r="B366" s="32"/>
      <c r="C366" s="32"/>
      <c r="D366" s="32"/>
      <c r="E366" s="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tabSelected="1" zoomScale="90" zoomScaleNormal="90" workbookViewId="0">
      <selection activeCell="D8" sqref="D8"/>
    </sheetView>
  </sheetViews>
  <sheetFormatPr defaultRowHeight="12.75" x14ac:dyDescent="0.2"/>
  <cols>
    <col min="1" max="1" width="4.5703125" customWidth="1"/>
    <col min="2" max="2" width="20.85546875" bestFit="1" customWidth="1"/>
    <col min="3" max="3" width="10.5703125" bestFit="1" customWidth="1"/>
    <col min="8" max="8" width="9.5703125" bestFit="1" customWidth="1"/>
    <col min="13" max="13" width="9.5703125" bestFit="1" customWidth="1"/>
    <col min="14" max="14" width="9" bestFit="1" customWidth="1"/>
  </cols>
  <sheetData>
    <row r="1" spans="2:14" x14ac:dyDescent="0.2">
      <c r="B1" s="51" t="s">
        <v>17</v>
      </c>
      <c r="C1" s="51">
        <v>0</v>
      </c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</row>
    <row r="2" spans="2:14" ht="15" x14ac:dyDescent="0.25">
      <c r="B2" s="37" t="s">
        <v>73</v>
      </c>
      <c r="C2" s="47">
        <v>-150000</v>
      </c>
      <c r="D2" s="25">
        <v>18771.530466093202</v>
      </c>
      <c r="E2" s="25">
        <v>18924.214695161223</v>
      </c>
      <c r="F2" s="25">
        <v>19084.029048638433</v>
      </c>
      <c r="G2" s="25">
        <v>19251.352927160435</v>
      </c>
      <c r="H2" s="25">
        <v>15926.585770214151</v>
      </c>
      <c r="I2" s="25">
        <v>19855.14810400382</v>
      </c>
      <c r="J2" s="25">
        <v>20047.482643676296</v>
      </c>
      <c r="K2" s="25">
        <v>20249.055452707064</v>
      </c>
      <c r="L2" s="25">
        <v>15127.62988966667</v>
      </c>
      <c r="M2" s="25">
        <v>-118609.31697668415</v>
      </c>
      <c r="N2" s="25">
        <v>228671.29363398527</v>
      </c>
    </row>
    <row r="3" spans="2:14" ht="15" x14ac:dyDescent="0.25">
      <c r="B3" s="37" t="s">
        <v>74</v>
      </c>
      <c r="C3" s="37"/>
      <c r="D3" s="28">
        <v>9.0366903349147654E-2</v>
      </c>
      <c r="E3" s="7"/>
      <c r="F3" s="7"/>
      <c r="G3" s="7"/>
      <c r="H3" s="7"/>
      <c r="I3" s="7"/>
      <c r="J3" s="7"/>
      <c r="K3" s="7"/>
      <c r="L3" s="7"/>
      <c r="M3" s="7"/>
      <c r="N3" s="7"/>
    </row>
    <row r="4" spans="2:14" ht="14.25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4" ht="14.25" x14ac:dyDescent="0.2">
      <c r="B5" s="38" t="s">
        <v>62</v>
      </c>
      <c r="C5" s="38"/>
      <c r="D5" s="28">
        <v>7.2653281878858028E-2</v>
      </c>
      <c r="E5" s="7"/>
      <c r="F5" s="7"/>
      <c r="G5" s="7"/>
      <c r="H5" s="7"/>
      <c r="I5" s="7"/>
      <c r="J5" s="7"/>
      <c r="K5" s="7"/>
      <c r="L5" s="7"/>
      <c r="M5" s="7"/>
      <c r="N5" s="7"/>
    </row>
    <row r="6" spans="2:14" ht="14.25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2:14" ht="14.25" x14ac:dyDescent="0.2">
      <c r="B7" s="38" t="s">
        <v>77</v>
      </c>
      <c r="C7" s="38"/>
      <c r="D7" s="25">
        <f>NPV(D5,D2:N2)+C2</f>
        <v>16974.664744440874</v>
      </c>
      <c r="E7" s="7"/>
      <c r="F7" s="7"/>
      <c r="G7" s="7"/>
      <c r="H7" s="7"/>
      <c r="I7" s="7"/>
      <c r="J7" s="7"/>
      <c r="K7" s="7"/>
      <c r="L7" s="7"/>
      <c r="M7" s="7"/>
      <c r="N7" s="7"/>
    </row>
    <row r="8" spans="2:14" ht="14.25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2:14" ht="14.25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2:14" x14ac:dyDescent="0.2">
      <c r="B10" s="49" t="s">
        <v>85</v>
      </c>
      <c r="C10">
        <v>0</v>
      </c>
      <c r="D10">
        <v>0</v>
      </c>
      <c r="E10">
        <v>0</v>
      </c>
      <c r="F10">
        <v>0</v>
      </c>
      <c r="G10">
        <v>0</v>
      </c>
      <c r="H10">
        <v>-200000</v>
      </c>
      <c r="I10">
        <v>50000</v>
      </c>
      <c r="J10" s="44">
        <v>50000</v>
      </c>
      <c r="K10" s="44">
        <v>50000</v>
      </c>
      <c r="L10" s="44">
        <v>50000</v>
      </c>
      <c r="M10" s="44">
        <v>50000</v>
      </c>
      <c r="N10" s="44">
        <v>50000</v>
      </c>
    </row>
    <row r="11" spans="2:14" x14ac:dyDescent="0.2">
      <c r="B11" s="45" t="s">
        <v>86</v>
      </c>
      <c r="C11" s="32">
        <f>C10+C2</f>
        <v>-150000</v>
      </c>
      <c r="D11" s="32">
        <f t="shared" ref="D11:N11" si="0">D10+D2</f>
        <v>18771.530466093202</v>
      </c>
      <c r="E11" s="32">
        <f t="shared" si="0"/>
        <v>18924.214695161223</v>
      </c>
      <c r="F11" s="32">
        <f t="shared" si="0"/>
        <v>19084.029048638433</v>
      </c>
      <c r="G11" s="32">
        <f t="shared" si="0"/>
        <v>19251.352927160435</v>
      </c>
      <c r="H11" s="32">
        <f t="shared" si="0"/>
        <v>-184073.41422978585</v>
      </c>
      <c r="I11" s="32">
        <f t="shared" si="0"/>
        <v>69855.14810400382</v>
      </c>
      <c r="J11" s="32">
        <f t="shared" si="0"/>
        <v>70047.482643676296</v>
      </c>
      <c r="K11" s="32">
        <f t="shared" si="0"/>
        <v>70249.055452707064</v>
      </c>
      <c r="L11" s="32">
        <f t="shared" si="0"/>
        <v>65127.62988966667</v>
      </c>
      <c r="M11" s="32">
        <f t="shared" si="0"/>
        <v>-68609.316976684146</v>
      </c>
      <c r="N11" s="32">
        <f t="shared" si="0"/>
        <v>278671.29363398527</v>
      </c>
    </row>
    <row r="12" spans="2:14" ht="14.25" x14ac:dyDescent="0.2">
      <c r="B12" s="43" t="s">
        <v>77</v>
      </c>
      <c r="C12" s="50">
        <f>NPV(D5,D11:N11)+C11</f>
        <v>42599.032845029753</v>
      </c>
      <c r="D12">
        <v>0.75</v>
      </c>
    </row>
    <row r="14" spans="2:14" x14ac:dyDescent="0.2">
      <c r="B14" s="49" t="s">
        <v>87</v>
      </c>
      <c r="C14" s="32">
        <f>C2</f>
        <v>-150000</v>
      </c>
      <c r="D14" s="32">
        <f t="shared" ref="D14:N14" si="1">D2</f>
        <v>18771.530466093202</v>
      </c>
      <c r="E14" s="32">
        <f t="shared" si="1"/>
        <v>18924.214695161223</v>
      </c>
      <c r="F14" s="32">
        <f t="shared" si="1"/>
        <v>19084.029048638433</v>
      </c>
      <c r="G14" s="32">
        <f t="shared" si="1"/>
        <v>19251.352927160435</v>
      </c>
      <c r="H14" s="32">
        <f t="shared" si="1"/>
        <v>15926.585770214151</v>
      </c>
      <c r="I14" s="32">
        <f t="shared" si="1"/>
        <v>19855.14810400382</v>
      </c>
      <c r="J14" s="32">
        <f t="shared" si="1"/>
        <v>20047.482643676296</v>
      </c>
      <c r="K14" s="32">
        <f t="shared" si="1"/>
        <v>20249.055452707064</v>
      </c>
      <c r="L14" s="32">
        <f t="shared" si="1"/>
        <v>15127.62988966667</v>
      </c>
      <c r="M14" s="32">
        <f t="shared" si="1"/>
        <v>-118609.31697668415</v>
      </c>
      <c r="N14" s="32">
        <f t="shared" si="1"/>
        <v>228671.29363398527</v>
      </c>
    </row>
    <row r="15" spans="2:14" x14ac:dyDescent="0.2">
      <c r="B15" s="45" t="s">
        <v>77</v>
      </c>
      <c r="C15" s="50">
        <f>NPV(D5,D14:N14)+C14</f>
        <v>16974.664744440874</v>
      </c>
      <c r="D15">
        <v>0.25</v>
      </c>
    </row>
    <row r="18" spans="2:3" x14ac:dyDescent="0.2">
      <c r="B18" s="49" t="s">
        <v>88</v>
      </c>
      <c r="C18" s="50">
        <f>C15*D15+C12*D12</f>
        <v>36192.940819882533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Spreadsheet</vt:lpstr>
      <vt:lpstr>Mortgage</vt:lpstr>
      <vt:lpstr>Options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2019-08-27T21:13:04Z</dcterms:created>
  <dcterms:modified xsi:type="dcterms:W3CDTF">2019-08-27T21:13:11Z</dcterms:modified>
</cp:coreProperties>
</file>