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autoCompressPictures="0" defaultThemeVersion="124226"/>
  <bookViews>
    <workbookView xWindow="0" yWindow="0" windowWidth="8760" windowHeight="8280"/>
  </bookViews>
  <sheets>
    <sheet name="FCF-Statement" sheetId="1" r:id="rId1"/>
    <sheet name="Bankrupt" sheetId="4" r:id="rId2"/>
    <sheet name="Mortgage" sheetId="2" r:id="rId3"/>
    <sheet name="Sheet3" sheetId="3" r:id="rId4"/>
  </sheets>
  <definedNames>
    <definedName name="_xlnm.Print_Area" localSheetId="1">Bankrupt!$A$1:$S$101</definedName>
    <definedName name="_xlnm.Print_Area" localSheetId="0">'FCF-Statement'!$A$1:$Q$154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8" i="1" l="1"/>
  <c r="L31" i="1"/>
  <c r="C90" i="4" l="1"/>
  <c r="C99" i="4"/>
  <c r="O72" i="4" l="1"/>
  <c r="M39" i="1"/>
  <c r="H20" i="4"/>
  <c r="D94" i="4" l="1"/>
  <c r="E94" i="4"/>
  <c r="F94" i="4"/>
  <c r="G94" i="4"/>
  <c r="C94" i="4"/>
  <c r="C97" i="4" s="1"/>
  <c r="O50" i="4"/>
  <c r="D74" i="4" l="1"/>
  <c r="E74" i="4" s="1"/>
  <c r="G71" i="4"/>
  <c r="F71" i="4"/>
  <c r="E71" i="4"/>
  <c r="D71" i="4"/>
  <c r="C71" i="4"/>
  <c r="C85" i="4" s="1"/>
  <c r="C88" i="4" s="1"/>
  <c r="C57" i="4"/>
  <c r="C38" i="4" s="1"/>
  <c r="C58" i="4" s="1"/>
  <c r="C55" i="4"/>
  <c r="C54" i="4"/>
  <c r="G41" i="4"/>
  <c r="H96" i="4" s="1"/>
  <c r="F41" i="4"/>
  <c r="G96" i="4" s="1"/>
  <c r="G97" i="4" s="1"/>
  <c r="E41" i="4"/>
  <c r="F96" i="4" s="1"/>
  <c r="D41" i="4"/>
  <c r="E96" i="4" s="1"/>
  <c r="E97" i="4" s="1"/>
  <c r="C41" i="4"/>
  <c r="D96" i="4" s="1"/>
  <c r="D97" i="4" s="1"/>
  <c r="G40" i="4"/>
  <c r="H87" i="4" s="1"/>
  <c r="F40" i="4"/>
  <c r="G87" i="4" s="1"/>
  <c r="E40" i="4"/>
  <c r="F87" i="4" s="1"/>
  <c r="D40" i="4"/>
  <c r="E87" i="4" s="1"/>
  <c r="C40" i="4"/>
  <c r="D87" i="4" s="1"/>
  <c r="C33" i="4"/>
  <c r="D33" i="4" s="1"/>
  <c r="E33" i="4" s="1"/>
  <c r="F33" i="4" s="1"/>
  <c r="G33" i="4" s="1"/>
  <c r="C32" i="4"/>
  <c r="D32" i="4" s="1"/>
  <c r="E32" i="4" s="1"/>
  <c r="F32" i="4" s="1"/>
  <c r="G32" i="4" s="1"/>
  <c r="C31" i="4"/>
  <c r="C26" i="4"/>
  <c r="E18" i="4"/>
  <c r="D13" i="4"/>
  <c r="E13" i="4" s="1"/>
  <c r="F13" i="4" s="1"/>
  <c r="G13" i="4" s="1"/>
  <c r="D12" i="4"/>
  <c r="E12" i="4" s="1"/>
  <c r="F12" i="4" s="1"/>
  <c r="G12" i="4" s="1"/>
  <c r="D11" i="4"/>
  <c r="E11" i="4" s="1"/>
  <c r="F11" i="4" s="1"/>
  <c r="G11" i="4" s="1"/>
  <c r="D9" i="4"/>
  <c r="E9" i="4" s="1"/>
  <c r="F9" i="4" s="1"/>
  <c r="G9" i="4" s="1"/>
  <c r="D8" i="4"/>
  <c r="E8" i="4" s="1"/>
  <c r="F8" i="4" s="1"/>
  <c r="G8" i="4" s="1"/>
  <c r="D7" i="4"/>
  <c r="E7" i="4" s="1"/>
  <c r="F7" i="4" s="1"/>
  <c r="G7" i="4" s="1"/>
  <c r="D6" i="4"/>
  <c r="D4" i="4"/>
  <c r="E4" i="4" s="1"/>
  <c r="F4" i="4" s="1"/>
  <c r="D3" i="4"/>
  <c r="D85" i="4" l="1"/>
  <c r="F85" i="4"/>
  <c r="F88" i="4" s="1"/>
  <c r="D26" i="4"/>
  <c r="D36" i="4" s="1"/>
  <c r="D88" i="4"/>
  <c r="E85" i="4"/>
  <c r="E88" i="4" s="1"/>
  <c r="G85" i="4"/>
  <c r="G88" i="4" s="1"/>
  <c r="C37" i="4"/>
  <c r="D31" i="4"/>
  <c r="C34" i="4"/>
  <c r="D34" i="4" s="1"/>
  <c r="E34" i="4" s="1"/>
  <c r="F34" i="4" s="1"/>
  <c r="G34" i="4" s="1"/>
  <c r="D57" i="4"/>
  <c r="D38" i="4" s="1"/>
  <c r="D58" i="4" s="1"/>
  <c r="D35" i="4"/>
  <c r="D52" i="4"/>
  <c r="E3" i="4"/>
  <c r="E6" i="4"/>
  <c r="C28" i="4"/>
  <c r="C35" i="4"/>
  <c r="C36" i="4"/>
  <c r="D54" i="4"/>
  <c r="D55" i="4"/>
  <c r="F74" i="4"/>
  <c r="G74" i="4" s="1"/>
  <c r="C49" i="4"/>
  <c r="C52" i="4"/>
  <c r="C39" i="1"/>
  <c r="C31" i="1"/>
  <c r="C30" i="1"/>
  <c r="C25" i="1"/>
  <c r="C35" i="1" s="1"/>
  <c r="C34" i="1" l="1"/>
  <c r="C27" i="1"/>
  <c r="C50" i="1" s="1"/>
  <c r="D49" i="4"/>
  <c r="D28" i="4"/>
  <c r="D51" i="4" s="1"/>
  <c r="E57" i="4"/>
  <c r="F57" i="4" s="1"/>
  <c r="C56" i="4"/>
  <c r="C43" i="4"/>
  <c r="E55" i="4"/>
  <c r="D37" i="4"/>
  <c r="C63" i="4"/>
  <c r="C51" i="4"/>
  <c r="F6" i="4"/>
  <c r="E31" i="4"/>
  <c r="D63" i="4"/>
  <c r="E54" i="4"/>
  <c r="E26" i="4"/>
  <c r="F3" i="4"/>
  <c r="D4" i="1"/>
  <c r="E4" i="1" s="1"/>
  <c r="F4" i="1" s="1"/>
  <c r="G4" i="1" s="1"/>
  <c r="H4" i="1" s="1"/>
  <c r="I4" i="1" s="1"/>
  <c r="J4" i="1" s="1"/>
  <c r="K4" i="1" s="1"/>
  <c r="L4" i="1" s="1"/>
  <c r="D3" i="1"/>
  <c r="O89" i="1"/>
  <c r="C107" i="1"/>
  <c r="F107" i="1"/>
  <c r="G107" i="1"/>
  <c r="H107" i="1"/>
  <c r="I107" i="1"/>
  <c r="J107" i="1"/>
  <c r="K107" i="1"/>
  <c r="L107" i="1"/>
  <c r="B107" i="1"/>
  <c r="L97" i="1"/>
  <c r="C97" i="1"/>
  <c r="D97" i="1"/>
  <c r="E97" i="1"/>
  <c r="F97" i="1"/>
  <c r="G97" i="1"/>
  <c r="H97" i="1"/>
  <c r="I97" i="1"/>
  <c r="J97" i="1"/>
  <c r="K97" i="1"/>
  <c r="B97" i="1"/>
  <c r="L1" i="3"/>
  <c r="F89" i="1"/>
  <c r="F88" i="1"/>
  <c r="F86" i="1"/>
  <c r="F91" i="1" s="1"/>
  <c r="D68" i="1"/>
  <c r="E68" i="1"/>
  <c r="F68" i="1" s="1"/>
  <c r="G68" i="1" s="1"/>
  <c r="H68" i="1" s="1"/>
  <c r="I68" i="1" s="1"/>
  <c r="D31" i="1"/>
  <c r="E31" i="1" s="1"/>
  <c r="F31" i="1" s="1"/>
  <c r="G31" i="1" s="1"/>
  <c r="H31" i="1" s="1"/>
  <c r="I31" i="1" s="1"/>
  <c r="J31" i="1" s="1"/>
  <c r="C32" i="1"/>
  <c r="D32" i="1" s="1"/>
  <c r="E32" i="1" s="1"/>
  <c r="F32" i="1" s="1"/>
  <c r="G32" i="1" s="1"/>
  <c r="H32" i="1" s="1"/>
  <c r="I32" i="1" s="1"/>
  <c r="J32" i="1" s="1"/>
  <c r="K32" i="1" s="1"/>
  <c r="L32" i="1" s="1"/>
  <c r="C53" i="1"/>
  <c r="C54" i="1"/>
  <c r="C56" i="1"/>
  <c r="B122" i="1" s="1"/>
  <c r="C40" i="1"/>
  <c r="D6" i="1"/>
  <c r="D7" i="1"/>
  <c r="D8" i="1"/>
  <c r="E8" i="1" s="1"/>
  <c r="F8" i="1" s="1"/>
  <c r="G8" i="1" s="1"/>
  <c r="H8" i="1" s="1"/>
  <c r="I8" i="1" s="1"/>
  <c r="J8" i="1" s="1"/>
  <c r="K8" i="1" s="1"/>
  <c r="L8" i="1" s="1"/>
  <c r="D9" i="1"/>
  <c r="E9" i="1" s="1"/>
  <c r="F9" i="1" s="1"/>
  <c r="G9" i="1" s="1"/>
  <c r="H9" i="1" s="1"/>
  <c r="I9" i="1" s="1"/>
  <c r="J9" i="1" s="1"/>
  <c r="K9" i="1" s="1"/>
  <c r="L9" i="1" s="1"/>
  <c r="D56" i="1"/>
  <c r="D40" i="1"/>
  <c r="E6" i="1"/>
  <c r="F6" i="1" s="1"/>
  <c r="G6" i="1" s="1"/>
  <c r="H6" i="1" s="1"/>
  <c r="I6" i="1" s="1"/>
  <c r="J6" i="1" s="1"/>
  <c r="E40" i="1"/>
  <c r="F40" i="1"/>
  <c r="G40" i="1"/>
  <c r="H40" i="1"/>
  <c r="I40" i="1"/>
  <c r="J40" i="1"/>
  <c r="K31" i="1"/>
  <c r="K40" i="1"/>
  <c r="L40" i="1"/>
  <c r="N66" i="1"/>
  <c r="B4" i="2"/>
  <c r="I88" i="1"/>
  <c r="J88" i="1" s="1"/>
  <c r="E18" i="1"/>
  <c r="H20" i="1"/>
  <c r="D12" i="1"/>
  <c r="D11" i="1"/>
  <c r="E12" i="1"/>
  <c r="E11" i="1"/>
  <c r="F12" i="1"/>
  <c r="F11" i="1"/>
  <c r="G12" i="1"/>
  <c r="G11" i="1"/>
  <c r="H12" i="1"/>
  <c r="H11" i="1"/>
  <c r="I12" i="1"/>
  <c r="I11" i="1"/>
  <c r="J12" i="1"/>
  <c r="J11" i="1"/>
  <c r="K12" i="1"/>
  <c r="K11" i="1"/>
  <c r="L12" i="1"/>
  <c r="L11" i="1"/>
  <c r="C48" i="1"/>
  <c r="B106" i="1" s="1"/>
  <c r="C51" i="1"/>
  <c r="B109" i="1" s="1"/>
  <c r="D13" i="1"/>
  <c r="E13" i="1" s="1"/>
  <c r="F13" i="1" s="1"/>
  <c r="G13" i="1" s="1"/>
  <c r="H13" i="1" s="1"/>
  <c r="I13" i="1" s="1"/>
  <c r="J13" i="1" s="1"/>
  <c r="K13" i="1" s="1"/>
  <c r="L13" i="1" s="1"/>
  <c r="B8" i="2"/>
  <c r="B2" i="2"/>
  <c r="F151" i="2"/>
  <c r="D53" i="1"/>
  <c r="C114" i="1" s="1"/>
  <c r="D107" i="1"/>
  <c r="E107" i="1"/>
  <c r="C62" i="1" l="1"/>
  <c r="B110" i="1" s="1"/>
  <c r="B108" i="1"/>
  <c r="C77" i="1"/>
  <c r="B118" i="1"/>
  <c r="C36" i="1"/>
  <c r="D54" i="1"/>
  <c r="D36" i="1" s="1"/>
  <c r="B114" i="1"/>
  <c r="C33" i="1"/>
  <c r="D33" i="1" s="1"/>
  <c r="E33" i="1" s="1"/>
  <c r="F33" i="1" s="1"/>
  <c r="G33" i="1" s="1"/>
  <c r="H33" i="1" s="1"/>
  <c r="I33" i="1" s="1"/>
  <c r="J33" i="1" s="1"/>
  <c r="K33" i="1" s="1"/>
  <c r="L33" i="1" s="1"/>
  <c r="C37" i="1"/>
  <c r="C57" i="1" s="1"/>
  <c r="D25" i="1"/>
  <c r="D48" i="1" s="1"/>
  <c r="C106" i="1" s="1"/>
  <c r="D56" i="4"/>
  <c r="E38" i="4"/>
  <c r="E58" i="4" s="1"/>
  <c r="C60" i="4"/>
  <c r="F26" i="4"/>
  <c r="F28" i="4" s="1"/>
  <c r="G3" i="4"/>
  <c r="G26" i="4" s="1"/>
  <c r="F54" i="4"/>
  <c r="G57" i="4"/>
  <c r="O57" i="4" s="1"/>
  <c r="F38" i="4"/>
  <c r="D60" i="4"/>
  <c r="F31" i="4"/>
  <c r="G6" i="4"/>
  <c r="F55" i="4"/>
  <c r="E37" i="4"/>
  <c r="C44" i="4"/>
  <c r="C64" i="4" s="1"/>
  <c r="E52" i="4"/>
  <c r="E49" i="4"/>
  <c r="E36" i="4"/>
  <c r="E35" i="4"/>
  <c r="E28" i="4"/>
  <c r="F58" i="4"/>
  <c r="D43" i="4"/>
  <c r="N107" i="1"/>
  <c r="J68" i="1"/>
  <c r="K68" i="1" s="1"/>
  <c r="L68" i="1" s="1"/>
  <c r="E53" i="1"/>
  <c r="C8" i="2"/>
  <c r="B6" i="2"/>
  <c r="D30" i="1"/>
  <c r="E7" i="1"/>
  <c r="C88" i="1"/>
  <c r="K6" i="1"/>
  <c r="C122" i="1"/>
  <c r="D37" i="1"/>
  <c r="E56" i="1"/>
  <c r="C99" i="1"/>
  <c r="E3" i="1"/>
  <c r="D27" i="1" l="1"/>
  <c r="D35" i="1"/>
  <c r="D99" i="1" s="1"/>
  <c r="D34" i="1"/>
  <c r="D57" i="1"/>
  <c r="N68" i="1"/>
  <c r="C118" i="1"/>
  <c r="E54" i="1"/>
  <c r="D51" i="1"/>
  <c r="C109" i="1" s="1"/>
  <c r="G49" i="4"/>
  <c r="G28" i="4"/>
  <c r="E56" i="4"/>
  <c r="C45" i="4"/>
  <c r="C75" i="4" s="1"/>
  <c r="D44" i="4"/>
  <c r="D64" i="4" s="1"/>
  <c r="E63" i="4"/>
  <c r="E51" i="4"/>
  <c r="E60" i="4" s="1"/>
  <c r="G55" i="4"/>
  <c r="N55" i="4" s="1"/>
  <c r="F37" i="4"/>
  <c r="G31" i="4"/>
  <c r="G38" i="4"/>
  <c r="G58" i="4" s="1"/>
  <c r="G54" i="4"/>
  <c r="N54" i="4" s="1"/>
  <c r="E43" i="4"/>
  <c r="F36" i="4"/>
  <c r="F35" i="4"/>
  <c r="F52" i="4"/>
  <c r="F49" i="4"/>
  <c r="C100" i="1"/>
  <c r="C55" i="1"/>
  <c r="C101" i="1"/>
  <c r="C102" i="1" s="1"/>
  <c r="B111" i="1" s="1"/>
  <c r="B126" i="1" s="1"/>
  <c r="L6" i="1"/>
  <c r="E30" i="1"/>
  <c r="F7" i="1"/>
  <c r="E25" i="1"/>
  <c r="F3" i="1"/>
  <c r="D50" i="1"/>
  <c r="D62" i="1"/>
  <c r="C110" i="1" s="1"/>
  <c r="D100" i="1"/>
  <c r="D122" i="1"/>
  <c r="E37" i="1"/>
  <c r="E57" i="1" s="1"/>
  <c r="F56" i="1"/>
  <c r="D8" i="2"/>
  <c r="E8" i="2" s="1"/>
  <c r="B9" i="2" s="1"/>
  <c r="D114" i="1"/>
  <c r="F53" i="1"/>
  <c r="C103" i="1" l="1"/>
  <c r="F54" i="1"/>
  <c r="D118" i="1"/>
  <c r="E36" i="1"/>
  <c r="F63" i="4"/>
  <c r="F51" i="4"/>
  <c r="E44" i="4"/>
  <c r="E64" i="4" s="1"/>
  <c r="G52" i="4"/>
  <c r="O49" i="4"/>
  <c r="G36" i="4"/>
  <c r="G35" i="4"/>
  <c r="F43" i="4"/>
  <c r="F56" i="4"/>
  <c r="G37" i="4"/>
  <c r="C77" i="4"/>
  <c r="C79" i="4" s="1"/>
  <c r="D45" i="4"/>
  <c r="E114" i="1"/>
  <c r="G53" i="1"/>
  <c r="C9" i="2"/>
  <c r="E100" i="1"/>
  <c r="D101" i="1"/>
  <c r="D102" i="1" s="1"/>
  <c r="E27" i="1"/>
  <c r="E35" i="1"/>
  <c r="E34" i="1"/>
  <c r="E48" i="1"/>
  <c r="E51" i="1"/>
  <c r="D109" i="1" s="1"/>
  <c r="C59" i="1"/>
  <c r="D55" i="1"/>
  <c r="E55" i="1" s="1"/>
  <c r="E122" i="1"/>
  <c r="G56" i="1"/>
  <c r="F37" i="1"/>
  <c r="F57" i="1" s="1"/>
  <c r="C108" i="1"/>
  <c r="D77" i="1"/>
  <c r="F25" i="1"/>
  <c r="G3" i="1"/>
  <c r="G7" i="1"/>
  <c r="F30" i="1"/>
  <c r="D59" i="1" l="1"/>
  <c r="E99" i="1"/>
  <c r="E101" i="1" s="1"/>
  <c r="E102" i="1" s="1"/>
  <c r="E118" i="1"/>
  <c r="G54" i="1"/>
  <c r="F36" i="1"/>
  <c r="F55" i="1" s="1"/>
  <c r="O52" i="4"/>
  <c r="E45" i="4"/>
  <c r="D75" i="4"/>
  <c r="G63" i="4"/>
  <c r="O63" i="4" s="1"/>
  <c r="G51" i="4"/>
  <c r="G56" i="4"/>
  <c r="F44" i="4"/>
  <c r="F64" i="4" s="1"/>
  <c r="G43" i="4"/>
  <c r="G44" i="4" s="1"/>
  <c r="G64" i="4" s="1"/>
  <c r="O64" i="4" s="1"/>
  <c r="F60" i="4"/>
  <c r="D103" i="1"/>
  <c r="C111" i="1"/>
  <c r="C126" i="1" s="1"/>
  <c r="G30" i="1"/>
  <c r="H7" i="1"/>
  <c r="F34" i="1"/>
  <c r="F27" i="1"/>
  <c r="F35" i="1"/>
  <c r="F48" i="1"/>
  <c r="F51" i="1"/>
  <c r="E109" i="1" s="1"/>
  <c r="D9" i="2"/>
  <c r="E9" i="2" s="1"/>
  <c r="B10" i="2" s="1"/>
  <c r="G25" i="1"/>
  <c r="H3" i="1"/>
  <c r="F122" i="1"/>
  <c r="G37" i="1"/>
  <c r="G57" i="1" s="1"/>
  <c r="H56" i="1"/>
  <c r="D106" i="1"/>
  <c r="E50" i="1"/>
  <c r="D108" i="1" s="1"/>
  <c r="E62" i="1"/>
  <c r="D110" i="1" s="1"/>
  <c r="F114" i="1"/>
  <c r="H53" i="1"/>
  <c r="F99" i="1" l="1"/>
  <c r="F100" i="1"/>
  <c r="F118" i="1"/>
  <c r="G36" i="1"/>
  <c r="G100" i="1" s="1"/>
  <c r="H54" i="1"/>
  <c r="O51" i="4"/>
  <c r="F45" i="4"/>
  <c r="G60" i="4"/>
  <c r="E75" i="4"/>
  <c r="D77" i="4"/>
  <c r="D79" i="4" s="1"/>
  <c r="E103" i="1"/>
  <c r="D111" i="1"/>
  <c r="D126" i="1" s="1"/>
  <c r="G114" i="1"/>
  <c r="I53" i="1"/>
  <c r="E59" i="1"/>
  <c r="G122" i="1"/>
  <c r="I56" i="1"/>
  <c r="H37" i="1"/>
  <c r="H57" i="1" s="1"/>
  <c r="H25" i="1"/>
  <c r="I3" i="1"/>
  <c r="F50" i="1"/>
  <c r="E108" i="1" s="1"/>
  <c r="F62" i="1"/>
  <c r="E110" i="1" s="1"/>
  <c r="E77" i="1"/>
  <c r="G27" i="1"/>
  <c r="G35" i="1"/>
  <c r="G34" i="1"/>
  <c r="G48" i="1"/>
  <c r="G51" i="1"/>
  <c r="F109" i="1" s="1"/>
  <c r="C10" i="2"/>
  <c r="E106" i="1"/>
  <c r="F59" i="1"/>
  <c r="I7" i="1"/>
  <c r="H30" i="1"/>
  <c r="F101" i="1" l="1"/>
  <c r="F102" i="1" s="1"/>
  <c r="G99" i="1"/>
  <c r="G118" i="1"/>
  <c r="I54" i="1"/>
  <c r="H36" i="1"/>
  <c r="G55" i="1"/>
  <c r="F75" i="4"/>
  <c r="E77" i="4"/>
  <c r="E79" i="4" s="1"/>
  <c r="G45" i="4"/>
  <c r="F103" i="1"/>
  <c r="E111" i="1"/>
  <c r="E126" i="1" s="1"/>
  <c r="I30" i="1"/>
  <c r="J7" i="1"/>
  <c r="G101" i="1"/>
  <c r="G102" i="1" s="1"/>
  <c r="F106" i="1"/>
  <c r="G50" i="1"/>
  <c r="F108" i="1" s="1"/>
  <c r="G62" i="1"/>
  <c r="F110" i="1" s="1"/>
  <c r="I25" i="1"/>
  <c r="J3" i="1"/>
  <c r="F77" i="1"/>
  <c r="D10" i="2"/>
  <c r="E10" i="2" s="1"/>
  <c r="B11" i="2" s="1"/>
  <c r="H34" i="1"/>
  <c r="H27" i="1"/>
  <c r="H35" i="1"/>
  <c r="H48" i="1"/>
  <c r="H51" i="1"/>
  <c r="G109" i="1" s="1"/>
  <c r="H122" i="1"/>
  <c r="I37" i="1"/>
  <c r="J56" i="1"/>
  <c r="H114" i="1"/>
  <c r="J53" i="1"/>
  <c r="H118" i="1" l="1"/>
  <c r="I36" i="1"/>
  <c r="J54" i="1"/>
  <c r="I100" i="1"/>
  <c r="H55" i="1"/>
  <c r="H100" i="1"/>
  <c r="G75" i="4"/>
  <c r="F77" i="4"/>
  <c r="F79" i="4" s="1"/>
  <c r="H99" i="1"/>
  <c r="G59" i="1"/>
  <c r="G103" i="1"/>
  <c r="F111" i="1"/>
  <c r="F126" i="1" s="1"/>
  <c r="G106" i="1"/>
  <c r="H50" i="1"/>
  <c r="G108" i="1" s="1"/>
  <c r="H62" i="1"/>
  <c r="G110" i="1" s="1"/>
  <c r="C11" i="2"/>
  <c r="J25" i="1"/>
  <c r="K3" i="1"/>
  <c r="K7" i="1"/>
  <c r="J30" i="1"/>
  <c r="I57" i="1"/>
  <c r="J57" i="1" s="1"/>
  <c r="K57" i="1" s="1"/>
  <c r="L57" i="1" s="1"/>
  <c r="I114" i="1"/>
  <c r="K53" i="1"/>
  <c r="I122" i="1"/>
  <c r="K56" i="1"/>
  <c r="I27" i="1"/>
  <c r="I35" i="1"/>
  <c r="I34" i="1"/>
  <c r="I48" i="1"/>
  <c r="I51" i="1"/>
  <c r="H109" i="1" s="1"/>
  <c r="G77" i="1"/>
  <c r="H101" i="1" l="1"/>
  <c r="H102" i="1" s="1"/>
  <c r="I55" i="1"/>
  <c r="I118" i="1"/>
  <c r="K54" i="1"/>
  <c r="J36" i="1"/>
  <c r="J100" i="1" s="1"/>
  <c r="N65" i="4"/>
  <c r="N71" i="4" s="1"/>
  <c r="O71" i="4" s="1"/>
  <c r="G77" i="4"/>
  <c r="G79" i="4" s="1"/>
  <c r="I99" i="1"/>
  <c r="H59" i="1"/>
  <c r="H103" i="1"/>
  <c r="G111" i="1"/>
  <c r="G126" i="1" s="1"/>
  <c r="I101" i="1"/>
  <c r="I102" i="1" s="1"/>
  <c r="J122" i="1"/>
  <c r="L56" i="1"/>
  <c r="K25" i="1"/>
  <c r="L3" i="1"/>
  <c r="L25" i="1" s="1"/>
  <c r="L48" i="1" s="1"/>
  <c r="H106" i="1"/>
  <c r="I50" i="1"/>
  <c r="H108" i="1" s="1"/>
  <c r="I62" i="1"/>
  <c r="H110" i="1" s="1"/>
  <c r="J114" i="1"/>
  <c r="L53" i="1"/>
  <c r="L7" i="1"/>
  <c r="L30" i="1" s="1"/>
  <c r="K30" i="1"/>
  <c r="J34" i="1"/>
  <c r="J27" i="1"/>
  <c r="J35" i="1"/>
  <c r="J48" i="1"/>
  <c r="J51" i="1"/>
  <c r="I109" i="1" s="1"/>
  <c r="D11" i="2"/>
  <c r="E11" i="2" s="1"/>
  <c r="B12" i="2" s="1"/>
  <c r="H77" i="1"/>
  <c r="J118" i="1" l="1"/>
  <c r="L54" i="1"/>
  <c r="K36" i="1"/>
  <c r="K100" i="1" s="1"/>
  <c r="J55" i="1"/>
  <c r="K55" i="1" s="1"/>
  <c r="O73" i="4"/>
  <c r="P72" i="4" s="1"/>
  <c r="I59" i="1"/>
  <c r="I103" i="1"/>
  <c r="H111" i="1"/>
  <c r="J99" i="1"/>
  <c r="H126" i="1"/>
  <c r="J101" i="1"/>
  <c r="J102" i="1" s="1"/>
  <c r="C12" i="2"/>
  <c r="D12" i="2" s="1"/>
  <c r="E12" i="2"/>
  <c r="B13" i="2" s="1"/>
  <c r="K114" i="1"/>
  <c r="L114" i="1"/>
  <c r="K27" i="1"/>
  <c r="K35" i="1"/>
  <c r="K34" i="1"/>
  <c r="K48" i="1"/>
  <c r="K51" i="1"/>
  <c r="J109" i="1" s="1"/>
  <c r="K122" i="1"/>
  <c r="L122" i="1"/>
  <c r="I106" i="1"/>
  <c r="J50" i="1"/>
  <c r="I108" i="1" s="1"/>
  <c r="J62" i="1"/>
  <c r="I110" i="1" s="1"/>
  <c r="I77" i="1"/>
  <c r="L27" i="1"/>
  <c r="L34" i="1"/>
  <c r="L35" i="1"/>
  <c r="L51" i="1"/>
  <c r="L118" i="1" l="1"/>
  <c r="L36" i="1"/>
  <c r="L100" i="1" s="1"/>
  <c r="K118" i="1"/>
  <c r="P71" i="4"/>
  <c r="O65" i="4"/>
  <c r="O68" i="4" s="1"/>
  <c r="K99" i="1"/>
  <c r="K101" i="1" s="1"/>
  <c r="K102" i="1" s="1"/>
  <c r="J59" i="1"/>
  <c r="J103" i="1"/>
  <c r="I111" i="1"/>
  <c r="I126" i="1" s="1"/>
  <c r="K106" i="1"/>
  <c r="L106" i="1"/>
  <c r="L109" i="1"/>
  <c r="K109" i="1"/>
  <c r="L50" i="1"/>
  <c r="L62" i="1"/>
  <c r="N123" i="1"/>
  <c r="L123" i="1"/>
  <c r="J106" i="1"/>
  <c r="K50" i="1"/>
  <c r="J108" i="1" s="1"/>
  <c r="K62" i="1"/>
  <c r="J110" i="1" s="1"/>
  <c r="C13" i="2"/>
  <c r="D13" i="2" s="1"/>
  <c r="E13" i="2"/>
  <c r="B14" i="2" s="1"/>
  <c r="L99" i="1"/>
  <c r="J77" i="1"/>
  <c r="N115" i="1"/>
  <c r="L115" i="1"/>
  <c r="P115" i="1" s="1"/>
  <c r="L116" i="1" s="1"/>
  <c r="P123" i="1" l="1"/>
  <c r="L124" i="1" s="1"/>
  <c r="L119" i="1"/>
  <c r="L55" i="1"/>
  <c r="L59" i="1" s="1"/>
  <c r="Q71" i="4"/>
  <c r="Q72" i="4"/>
  <c r="R72" i="4" s="1"/>
  <c r="S72" i="4" s="1"/>
  <c r="K59" i="1"/>
  <c r="K103" i="1"/>
  <c r="J111" i="1"/>
  <c r="J126" i="1" s="1"/>
  <c r="K110" i="1"/>
  <c r="L110" i="1"/>
  <c r="L101" i="1"/>
  <c r="L102" i="1" s="1"/>
  <c r="C14" i="2"/>
  <c r="D14" i="2" s="1"/>
  <c r="E14" i="2" s="1"/>
  <c r="B15" i="2" s="1"/>
  <c r="N106" i="1"/>
  <c r="K77" i="1"/>
  <c r="K108" i="1"/>
  <c r="L108" i="1"/>
  <c r="N109" i="1"/>
  <c r="L77" i="1"/>
  <c r="N119" i="1" l="1"/>
  <c r="P119" i="1" s="1"/>
  <c r="L120" i="1" s="1"/>
  <c r="H95" i="4"/>
  <c r="H97" i="4" s="1"/>
  <c r="R71" i="4"/>
  <c r="S71" i="4" s="1"/>
  <c r="L103" i="1"/>
  <c r="K111" i="1"/>
  <c r="K126" i="1" s="1"/>
  <c r="L111" i="1"/>
  <c r="C15" i="2"/>
  <c r="D15" i="2" s="1"/>
  <c r="E15" i="2"/>
  <c r="B16" i="2" s="1"/>
  <c r="N108" i="1"/>
  <c r="H86" i="4" l="1"/>
  <c r="H88" i="4" s="1"/>
  <c r="L126" i="1"/>
  <c r="B127" i="1" s="1"/>
  <c r="C16" i="2"/>
  <c r="D16" i="2" s="1"/>
  <c r="E16" i="2"/>
  <c r="B17" i="2" s="1"/>
  <c r="C89" i="4" l="1"/>
  <c r="C91" i="4" s="1"/>
  <c r="C17" i="2"/>
  <c r="D17" i="2" s="1"/>
  <c r="E17" i="2"/>
  <c r="B18" i="2" s="1"/>
  <c r="C18" i="2" l="1"/>
  <c r="D18" i="2" s="1"/>
  <c r="E18" i="2"/>
  <c r="B19" i="2" s="1"/>
  <c r="C19" i="2" l="1"/>
  <c r="D19" i="2" l="1"/>
  <c r="E19" i="2" s="1"/>
  <c r="F19" i="2"/>
  <c r="C42" i="1" s="1"/>
  <c r="F97" i="4" l="1"/>
  <c r="C98" i="4" s="1"/>
  <c r="C100" i="4" s="1"/>
  <c r="C43" i="1"/>
  <c r="C63" i="1" s="1"/>
  <c r="C65" i="1"/>
  <c r="B20" i="2"/>
  <c r="C44" i="1" l="1"/>
  <c r="C78" i="1" s="1"/>
  <c r="C20" i="2"/>
  <c r="C69" i="1" l="1"/>
  <c r="C80" i="1"/>
  <c r="C82" i="1"/>
  <c r="C83" i="1"/>
  <c r="D20" i="2"/>
  <c r="E20" i="2" s="1"/>
  <c r="B21" i="2" s="1"/>
  <c r="C71" i="1" l="1"/>
  <c r="C73" i="1" s="1"/>
  <c r="C76" i="1"/>
  <c r="C79" i="1"/>
  <c r="C21" i="2"/>
  <c r="D21" i="2" l="1"/>
  <c r="E21" i="2" s="1"/>
  <c r="B22" i="2" s="1"/>
  <c r="C22" i="2" l="1"/>
  <c r="D22" i="2" l="1"/>
  <c r="E22" i="2" s="1"/>
  <c r="B23" i="2" s="1"/>
  <c r="C23" i="2" l="1"/>
  <c r="D23" i="2" l="1"/>
  <c r="E23" i="2" s="1"/>
  <c r="B24" i="2" s="1"/>
  <c r="C24" i="2" l="1"/>
  <c r="D24" i="2" l="1"/>
  <c r="E24" i="2" s="1"/>
  <c r="B25" i="2" s="1"/>
  <c r="C25" i="2" l="1"/>
  <c r="D25" i="2" s="1"/>
  <c r="E25" i="2" s="1"/>
  <c r="B26" i="2" s="1"/>
  <c r="C26" i="2" l="1"/>
  <c r="D26" i="2" s="1"/>
  <c r="E26" i="2" s="1"/>
  <c r="B27" i="2" s="1"/>
  <c r="C27" i="2" l="1"/>
  <c r="D27" i="2" s="1"/>
  <c r="E27" i="2" s="1"/>
  <c r="B28" i="2" s="1"/>
  <c r="C28" i="2" l="1"/>
  <c r="D28" i="2" s="1"/>
  <c r="E28" i="2" s="1"/>
  <c r="B29" i="2" s="1"/>
  <c r="C29" i="2" l="1"/>
  <c r="D29" i="2" s="1"/>
  <c r="E29" i="2" s="1"/>
  <c r="B30" i="2" s="1"/>
  <c r="C30" i="2" l="1"/>
  <c r="D30" i="2" s="1"/>
  <c r="E30" i="2" s="1"/>
  <c r="B31" i="2" s="1"/>
  <c r="C31" i="2" l="1"/>
  <c r="D31" i="2" l="1"/>
  <c r="E31" i="2" s="1"/>
  <c r="F31" i="2"/>
  <c r="D39" i="1" s="1"/>
  <c r="D42" i="1" s="1"/>
  <c r="D43" i="1" l="1"/>
  <c r="D63" i="1" s="1"/>
  <c r="D65" i="1"/>
  <c r="B32" i="2"/>
  <c r="C32" i="2" l="1"/>
  <c r="D44" i="1"/>
  <c r="D83" i="1" l="1"/>
  <c r="D82" i="1"/>
  <c r="D78" i="1"/>
  <c r="D80" i="1"/>
  <c r="D69" i="1"/>
  <c r="D32" i="2"/>
  <c r="E32" i="2" s="1"/>
  <c r="B33" i="2" s="1"/>
  <c r="C33" i="2" l="1"/>
  <c r="D71" i="1"/>
  <c r="D73" i="1" s="1"/>
  <c r="D76" i="1"/>
  <c r="D79" i="1"/>
  <c r="D33" i="2" l="1"/>
  <c r="E33" i="2" s="1"/>
  <c r="B34" i="2" s="1"/>
  <c r="C34" i="2" l="1"/>
  <c r="D34" i="2" l="1"/>
  <c r="E34" i="2" s="1"/>
  <c r="B35" i="2" s="1"/>
  <c r="C35" i="2" l="1"/>
  <c r="D35" i="2" l="1"/>
  <c r="E35" i="2" s="1"/>
  <c r="B36" i="2" s="1"/>
  <c r="C36" i="2" l="1"/>
  <c r="D36" i="2" l="1"/>
  <c r="E36" i="2" s="1"/>
  <c r="B37" i="2" s="1"/>
  <c r="C37" i="2" l="1"/>
  <c r="D37" i="2" s="1"/>
  <c r="E37" i="2"/>
  <c r="B38" i="2" s="1"/>
  <c r="C38" i="2" l="1"/>
  <c r="D38" i="2" s="1"/>
  <c r="E38" i="2"/>
  <c r="B39" i="2" s="1"/>
  <c r="C39" i="2" l="1"/>
  <c r="D39" i="2" s="1"/>
  <c r="E39" i="2"/>
  <c r="B40" i="2" s="1"/>
  <c r="C40" i="2" l="1"/>
  <c r="D40" i="2" s="1"/>
  <c r="E40" i="2"/>
  <c r="B41" i="2" s="1"/>
  <c r="C41" i="2" l="1"/>
  <c r="D41" i="2" s="1"/>
  <c r="E41" i="2"/>
  <c r="B42" i="2" s="1"/>
  <c r="C42" i="2" l="1"/>
  <c r="D42" i="2" s="1"/>
  <c r="E42" i="2"/>
  <c r="B43" i="2" s="1"/>
  <c r="C43" i="2" l="1"/>
  <c r="D43" i="2" l="1"/>
  <c r="E43" i="2" s="1"/>
  <c r="F43" i="2"/>
  <c r="E39" i="1" s="1"/>
  <c r="E42" i="1" s="1"/>
  <c r="E43" i="1" l="1"/>
  <c r="E63" i="1" s="1"/>
  <c r="E65" i="1"/>
  <c r="B44" i="2"/>
  <c r="E44" i="1" l="1"/>
  <c r="E82" i="1"/>
  <c r="E83" i="1"/>
  <c r="C44" i="2"/>
  <c r="E78" i="1"/>
  <c r="E80" i="1"/>
  <c r="E69" i="1"/>
  <c r="E79" i="1" l="1"/>
  <c r="E71" i="1"/>
  <c r="E73" i="1" s="1"/>
  <c r="E76" i="1"/>
  <c r="D44" i="2"/>
  <c r="E44" i="2" s="1"/>
  <c r="B45" i="2" s="1"/>
  <c r="C45" i="2" l="1"/>
  <c r="D45" i="2" l="1"/>
  <c r="E45" i="2" s="1"/>
  <c r="B46" i="2" s="1"/>
  <c r="C46" i="2" l="1"/>
  <c r="D46" i="2" l="1"/>
  <c r="E46" i="2" s="1"/>
  <c r="B47" i="2" s="1"/>
  <c r="C47" i="2" l="1"/>
  <c r="D47" i="2" l="1"/>
  <c r="E47" i="2" s="1"/>
  <c r="B48" i="2" s="1"/>
  <c r="C48" i="2" l="1"/>
  <c r="D48" i="2" l="1"/>
  <c r="E48" i="2" s="1"/>
  <c r="B49" i="2" s="1"/>
  <c r="C49" i="2" l="1"/>
  <c r="D49" i="2" s="1"/>
  <c r="E49" i="2"/>
  <c r="B50" i="2" s="1"/>
  <c r="C50" i="2" l="1"/>
  <c r="D50" i="2" s="1"/>
  <c r="E50" i="2"/>
  <c r="B51" i="2" s="1"/>
  <c r="C51" i="2" l="1"/>
  <c r="D51" i="2" s="1"/>
  <c r="E51" i="2"/>
  <c r="B52" i="2" s="1"/>
  <c r="C52" i="2" l="1"/>
  <c r="D52" i="2" s="1"/>
  <c r="E52" i="2"/>
  <c r="B53" i="2" s="1"/>
  <c r="C53" i="2" l="1"/>
  <c r="D53" i="2" s="1"/>
  <c r="E53" i="2"/>
  <c r="B54" i="2" s="1"/>
  <c r="C54" i="2" l="1"/>
  <c r="D54" i="2" s="1"/>
  <c r="E54" i="2"/>
  <c r="B55" i="2" s="1"/>
  <c r="C55" i="2" l="1"/>
  <c r="D55" i="2" l="1"/>
  <c r="E55" i="2" s="1"/>
  <c r="F55" i="2"/>
  <c r="F39" i="1" s="1"/>
  <c r="F42" i="1" s="1"/>
  <c r="F43" i="1" l="1"/>
  <c r="F63" i="1" s="1"/>
  <c r="F65" i="1"/>
  <c r="B56" i="2"/>
  <c r="C56" i="2" l="1"/>
  <c r="F44" i="1"/>
  <c r="F83" i="1" l="1"/>
  <c r="F82" i="1"/>
  <c r="F78" i="1"/>
  <c r="F80" i="1"/>
  <c r="F69" i="1"/>
  <c r="D56" i="2"/>
  <c r="E56" i="2" s="1"/>
  <c r="B57" i="2" s="1"/>
  <c r="C57" i="2" l="1"/>
  <c r="F71" i="1"/>
  <c r="F73" i="1" s="1"/>
  <c r="F76" i="1"/>
  <c r="F79" i="1"/>
  <c r="D57" i="2" l="1"/>
  <c r="E57" i="2" s="1"/>
  <c r="B58" i="2" s="1"/>
  <c r="C58" i="2" l="1"/>
  <c r="D58" i="2" l="1"/>
  <c r="E58" i="2" s="1"/>
  <c r="B59" i="2" s="1"/>
  <c r="C59" i="2" l="1"/>
  <c r="D59" i="2" l="1"/>
  <c r="E59" i="2" s="1"/>
  <c r="B60" i="2" s="1"/>
  <c r="C60" i="2" l="1"/>
  <c r="D60" i="2" l="1"/>
  <c r="E60" i="2" s="1"/>
  <c r="B61" i="2" s="1"/>
  <c r="C61" i="2" l="1"/>
  <c r="D61" i="2" s="1"/>
  <c r="E61" i="2"/>
  <c r="B62" i="2" s="1"/>
  <c r="C62" i="2" l="1"/>
  <c r="D62" i="2" s="1"/>
  <c r="E62" i="2"/>
  <c r="B63" i="2" s="1"/>
  <c r="C63" i="2" l="1"/>
  <c r="D63" i="2" s="1"/>
  <c r="E63" i="2"/>
  <c r="B64" i="2" s="1"/>
  <c r="C64" i="2" l="1"/>
  <c r="D64" i="2" s="1"/>
  <c r="E64" i="2"/>
  <c r="B65" i="2" s="1"/>
  <c r="C65" i="2" l="1"/>
  <c r="D65" i="2" s="1"/>
  <c r="E65" i="2"/>
  <c r="B66" i="2" s="1"/>
  <c r="C66" i="2" l="1"/>
  <c r="D66" i="2" s="1"/>
  <c r="E66" i="2"/>
  <c r="B67" i="2" s="1"/>
  <c r="C67" i="2" l="1"/>
  <c r="D67" i="2" l="1"/>
  <c r="E67" i="2" s="1"/>
  <c r="F67" i="2"/>
  <c r="G39" i="1" s="1"/>
  <c r="G42" i="1" s="1"/>
  <c r="G43" i="1" l="1"/>
  <c r="G63" i="1" s="1"/>
  <c r="G65" i="1"/>
  <c r="B68" i="2"/>
  <c r="G44" i="1" l="1"/>
  <c r="G69" i="1" s="1"/>
  <c r="C68" i="2"/>
  <c r="G78" i="1"/>
  <c r="G80" i="1" l="1"/>
  <c r="G82" i="1"/>
  <c r="G83" i="1"/>
  <c r="G79" i="1"/>
  <c r="G71" i="1"/>
  <c r="G73" i="1" s="1"/>
  <c r="G76" i="1"/>
  <c r="D68" i="2"/>
  <c r="E68" i="2" s="1"/>
  <c r="B69" i="2" s="1"/>
  <c r="C69" i="2" l="1"/>
  <c r="D69" i="2" l="1"/>
  <c r="E69" i="2" s="1"/>
  <c r="B70" i="2" s="1"/>
  <c r="C70" i="2" l="1"/>
  <c r="D70" i="2" l="1"/>
  <c r="E70" i="2" s="1"/>
  <c r="B71" i="2" s="1"/>
  <c r="C71" i="2" l="1"/>
  <c r="D71" i="2" l="1"/>
  <c r="E71" i="2" s="1"/>
  <c r="B72" i="2" s="1"/>
  <c r="C72" i="2" l="1"/>
  <c r="D72" i="2" l="1"/>
  <c r="E72" i="2" s="1"/>
  <c r="B73" i="2" s="1"/>
  <c r="C73" i="2" l="1"/>
  <c r="D73" i="2" s="1"/>
  <c r="E73" i="2"/>
  <c r="B74" i="2" s="1"/>
  <c r="C74" i="2" l="1"/>
  <c r="D74" i="2" s="1"/>
  <c r="E74" i="2"/>
  <c r="B75" i="2" s="1"/>
  <c r="C75" i="2" l="1"/>
  <c r="D75" i="2" s="1"/>
  <c r="E75" i="2"/>
  <c r="B76" i="2" s="1"/>
  <c r="C76" i="2" l="1"/>
  <c r="D76" i="2" s="1"/>
  <c r="E76" i="2"/>
  <c r="B77" i="2" s="1"/>
  <c r="C77" i="2" l="1"/>
  <c r="D77" i="2" s="1"/>
  <c r="E77" i="2"/>
  <c r="B78" i="2" s="1"/>
  <c r="C78" i="2" l="1"/>
  <c r="D78" i="2" s="1"/>
  <c r="E78" i="2"/>
  <c r="B79" i="2" s="1"/>
  <c r="C79" i="2" l="1"/>
  <c r="D79" i="2" l="1"/>
  <c r="E79" i="2" s="1"/>
  <c r="F79" i="2"/>
  <c r="H39" i="1" s="1"/>
  <c r="H42" i="1" s="1"/>
  <c r="H43" i="1" l="1"/>
  <c r="H63" i="1" s="1"/>
  <c r="H65" i="1"/>
  <c r="B80" i="2"/>
  <c r="C80" i="2" l="1"/>
  <c r="H44" i="1"/>
  <c r="H83" i="1" l="1"/>
  <c r="H82" i="1"/>
  <c r="D80" i="2"/>
  <c r="E80" i="2" s="1"/>
  <c r="B81" i="2" s="1"/>
  <c r="H78" i="1"/>
  <c r="H80" i="1"/>
  <c r="H69" i="1"/>
  <c r="H71" i="1" l="1"/>
  <c r="H73" i="1" s="1"/>
  <c r="H76" i="1"/>
  <c r="H79" i="1"/>
  <c r="C81" i="2"/>
  <c r="D81" i="2" l="1"/>
  <c r="E81" i="2" s="1"/>
  <c r="B82" i="2" s="1"/>
  <c r="C82" i="2" l="1"/>
  <c r="D82" i="2" l="1"/>
  <c r="E82" i="2" s="1"/>
  <c r="B83" i="2" s="1"/>
  <c r="C83" i="2" l="1"/>
  <c r="D83" i="2" l="1"/>
  <c r="E83" i="2" s="1"/>
  <c r="B84" i="2" s="1"/>
  <c r="C84" i="2" l="1"/>
  <c r="D84" i="2" l="1"/>
  <c r="E84" i="2" s="1"/>
  <c r="B85" i="2" s="1"/>
  <c r="C85" i="2" l="1"/>
  <c r="D85" i="2" s="1"/>
  <c r="E85" i="2" s="1"/>
  <c r="B86" i="2" s="1"/>
  <c r="C86" i="2" l="1"/>
  <c r="D86" i="2" s="1"/>
  <c r="E86" i="2" s="1"/>
  <c r="B87" i="2" s="1"/>
  <c r="C87" i="2" l="1"/>
  <c r="D87" i="2" s="1"/>
  <c r="E87" i="2" s="1"/>
  <c r="B88" i="2" s="1"/>
  <c r="C88" i="2" l="1"/>
  <c r="D88" i="2" s="1"/>
  <c r="E88" i="2" s="1"/>
  <c r="B89" i="2" s="1"/>
  <c r="C89" i="2" l="1"/>
  <c r="D89" i="2" s="1"/>
  <c r="E89" i="2" s="1"/>
  <c r="B90" i="2" s="1"/>
  <c r="C90" i="2" l="1"/>
  <c r="D90" i="2" s="1"/>
  <c r="E90" i="2" s="1"/>
  <c r="B91" i="2" s="1"/>
  <c r="C91" i="2" l="1"/>
  <c r="D91" i="2" l="1"/>
  <c r="E91" i="2" s="1"/>
  <c r="F91" i="2"/>
  <c r="I39" i="1" s="1"/>
  <c r="I42" i="1" s="1"/>
  <c r="I43" i="1" l="1"/>
  <c r="I63" i="1" s="1"/>
  <c r="I65" i="1"/>
  <c r="B92" i="2"/>
  <c r="I44" i="1" l="1"/>
  <c r="I80" i="1" s="1"/>
  <c r="C92" i="2"/>
  <c r="I69" i="1"/>
  <c r="I71" i="1" s="1"/>
  <c r="I73" i="1" s="1"/>
  <c r="I78" i="1" l="1"/>
  <c r="I82" i="1"/>
  <c r="I83" i="1"/>
  <c r="I79" i="1"/>
  <c r="I76" i="1"/>
  <c r="D92" i="2"/>
  <c r="E92" i="2" s="1"/>
  <c r="B93" i="2" s="1"/>
  <c r="C93" i="2" l="1"/>
  <c r="D93" i="2" l="1"/>
  <c r="E93" i="2" s="1"/>
  <c r="B94" i="2" s="1"/>
  <c r="C94" i="2" l="1"/>
  <c r="D94" i="2" l="1"/>
  <c r="E94" i="2" s="1"/>
  <c r="B95" i="2" s="1"/>
  <c r="C95" i="2" l="1"/>
  <c r="D95" i="2" l="1"/>
  <c r="E95" i="2" s="1"/>
  <c r="B96" i="2" s="1"/>
  <c r="C96" i="2" l="1"/>
  <c r="D96" i="2" l="1"/>
  <c r="E96" i="2" s="1"/>
  <c r="B97" i="2" s="1"/>
  <c r="C97" i="2" l="1"/>
  <c r="D97" i="2" s="1"/>
  <c r="E97" i="2"/>
  <c r="B98" i="2" s="1"/>
  <c r="C98" i="2" l="1"/>
  <c r="D98" i="2" s="1"/>
  <c r="E98" i="2"/>
  <c r="B99" i="2" s="1"/>
  <c r="C99" i="2" l="1"/>
  <c r="D99" i="2" s="1"/>
  <c r="E99" i="2"/>
  <c r="B100" i="2" s="1"/>
  <c r="C100" i="2" l="1"/>
  <c r="D100" i="2" s="1"/>
  <c r="E100" i="2"/>
  <c r="B101" i="2" s="1"/>
  <c r="C101" i="2" l="1"/>
  <c r="D101" i="2" s="1"/>
  <c r="E101" i="2"/>
  <c r="B102" i="2" s="1"/>
  <c r="C102" i="2" l="1"/>
  <c r="D102" i="2" s="1"/>
  <c r="E102" i="2"/>
  <c r="B103" i="2" s="1"/>
  <c r="C103" i="2" l="1"/>
  <c r="D103" i="2" l="1"/>
  <c r="E103" i="2" s="1"/>
  <c r="F103" i="2"/>
  <c r="J39" i="1" s="1"/>
  <c r="J42" i="1" s="1"/>
  <c r="J43" i="1" l="1"/>
  <c r="J63" i="1" s="1"/>
  <c r="J65" i="1"/>
  <c r="B104" i="2"/>
  <c r="C104" i="2" l="1"/>
  <c r="J44" i="1"/>
  <c r="J83" i="1" l="1"/>
  <c r="J82" i="1"/>
  <c r="J78" i="1"/>
  <c r="J80" i="1"/>
  <c r="J69" i="1"/>
  <c r="D104" i="2"/>
  <c r="E104" i="2" s="1"/>
  <c r="B105" i="2" s="1"/>
  <c r="C105" i="2" l="1"/>
  <c r="J71" i="1"/>
  <c r="J73" i="1" s="1"/>
  <c r="J76" i="1"/>
  <c r="J79" i="1"/>
  <c r="D105" i="2" l="1"/>
  <c r="E105" i="2" s="1"/>
  <c r="B106" i="2" s="1"/>
  <c r="C106" i="2" l="1"/>
  <c r="D106" i="2" l="1"/>
  <c r="E106" i="2" s="1"/>
  <c r="B107" i="2" s="1"/>
  <c r="C107" i="2" l="1"/>
  <c r="D107" i="2" l="1"/>
  <c r="E107" i="2" s="1"/>
  <c r="B108" i="2" s="1"/>
  <c r="C108" i="2" l="1"/>
  <c r="D108" i="2" l="1"/>
  <c r="E108" i="2" s="1"/>
  <c r="B109" i="2" s="1"/>
  <c r="C109" i="2" l="1"/>
  <c r="D109" i="2" s="1"/>
  <c r="E109" i="2"/>
  <c r="B110" i="2" s="1"/>
  <c r="C110" i="2" l="1"/>
  <c r="D110" i="2" s="1"/>
  <c r="E110" i="2"/>
  <c r="B111" i="2" s="1"/>
  <c r="C111" i="2" l="1"/>
  <c r="D111" i="2" s="1"/>
  <c r="E111" i="2"/>
  <c r="B112" i="2" s="1"/>
  <c r="C112" i="2" l="1"/>
  <c r="D112" i="2" s="1"/>
  <c r="E112" i="2"/>
  <c r="B113" i="2" s="1"/>
  <c r="C113" i="2" l="1"/>
  <c r="D113" i="2" s="1"/>
  <c r="E113" i="2"/>
  <c r="B114" i="2" s="1"/>
  <c r="C114" i="2" l="1"/>
  <c r="D114" i="2" s="1"/>
  <c r="E114" i="2"/>
  <c r="B115" i="2" s="1"/>
  <c r="C115" i="2" l="1"/>
  <c r="D115" i="2" l="1"/>
  <c r="E115" i="2" s="1"/>
  <c r="F115" i="2"/>
  <c r="K39" i="1" s="1"/>
  <c r="K42" i="1" s="1"/>
  <c r="K43" i="1" l="1"/>
  <c r="K63" i="1" s="1"/>
  <c r="K65" i="1"/>
  <c r="B116" i="2"/>
  <c r="K44" i="1" l="1"/>
  <c r="K69" i="1" s="1"/>
  <c r="K71" i="1" s="1"/>
  <c r="K73" i="1" s="1"/>
  <c r="C116" i="2"/>
  <c r="K78" i="1"/>
  <c r="K80" i="1" l="1"/>
  <c r="K82" i="1"/>
  <c r="K83" i="1"/>
  <c r="K79" i="1"/>
  <c r="K76" i="1"/>
  <c r="D116" i="2"/>
  <c r="E116" i="2" s="1"/>
  <c r="B117" i="2" s="1"/>
  <c r="C117" i="2" l="1"/>
  <c r="D117" i="2" l="1"/>
  <c r="E117" i="2" s="1"/>
  <c r="B118" i="2" s="1"/>
  <c r="C118" i="2" l="1"/>
  <c r="D118" i="2" l="1"/>
  <c r="E118" i="2" s="1"/>
  <c r="B119" i="2" s="1"/>
  <c r="C119" i="2" l="1"/>
  <c r="D119" i="2" l="1"/>
  <c r="E119" i="2" s="1"/>
  <c r="B120" i="2" s="1"/>
  <c r="C120" i="2" l="1"/>
  <c r="D120" i="2" l="1"/>
  <c r="E120" i="2" s="1"/>
  <c r="B121" i="2" s="1"/>
  <c r="C121" i="2" l="1"/>
  <c r="D121" i="2" s="1"/>
  <c r="E121" i="2"/>
  <c r="B122" i="2" s="1"/>
  <c r="C122" i="2" l="1"/>
  <c r="D122" i="2" s="1"/>
  <c r="E122" i="2"/>
  <c r="B123" i="2" s="1"/>
  <c r="C123" i="2" l="1"/>
  <c r="D123" i="2" s="1"/>
  <c r="E123" i="2"/>
  <c r="B124" i="2" s="1"/>
  <c r="C124" i="2" l="1"/>
  <c r="D124" i="2" s="1"/>
  <c r="E124" i="2"/>
  <c r="B125" i="2" s="1"/>
  <c r="C125" i="2" l="1"/>
  <c r="D125" i="2" s="1"/>
  <c r="E125" i="2"/>
  <c r="B126" i="2" s="1"/>
  <c r="C126" i="2" l="1"/>
  <c r="D126" i="2" s="1"/>
  <c r="E126" i="2"/>
  <c r="B127" i="2" s="1"/>
  <c r="C127" i="2" l="1"/>
  <c r="D127" i="2" l="1"/>
  <c r="E127" i="2" s="1"/>
  <c r="L65" i="1" s="1"/>
  <c r="F127" i="2"/>
  <c r="L39" i="1" s="1"/>
  <c r="L42" i="1" s="1"/>
  <c r="L43" i="1" l="1"/>
  <c r="L63" i="1" s="1"/>
  <c r="N65" i="1"/>
  <c r="L44" i="1" l="1"/>
  <c r="L83" i="1" l="1"/>
  <c r="L82" i="1"/>
  <c r="L78" i="1"/>
  <c r="L80" i="1"/>
  <c r="L69" i="1"/>
  <c r="N69" i="1" l="1"/>
  <c r="N70" i="1" s="1"/>
  <c r="L76" i="1"/>
  <c r="L71" i="1"/>
  <c r="L73" i="1" s="1"/>
  <c r="L79" i="1"/>
  <c r="N71" i="1" l="1"/>
  <c r="H89" i="1" l="1"/>
  <c r="J89" i="1" s="1"/>
  <c r="K88" i="1"/>
  <c r="H93" i="1"/>
  <c r="F93" i="1" l="1"/>
  <c r="F94" i="1" l="1"/>
  <c r="F95" i="1" s="1"/>
  <c r="P89" i="1" l="1"/>
  <c r="C89" i="1"/>
  <c r="Q89" i="1" l="1"/>
  <c r="J93" i="1" s="1"/>
  <c r="K93" i="1" s="1"/>
  <c r="K94" i="1" l="1"/>
  <c r="B91" i="1" s="1"/>
  <c r="B129" i="1" s="1"/>
  <c r="H128" i="1" l="1"/>
  <c r="C128" i="1"/>
  <c r="J128" i="1"/>
  <c r="D128" i="1"/>
  <c r="K128" i="1"/>
  <c r="L128" i="1"/>
  <c r="F128" i="1"/>
  <c r="B128" i="1"/>
  <c r="I128" i="1"/>
  <c r="E128" i="1"/>
  <c r="G128" i="1"/>
  <c r="B131" i="1" l="1"/>
</calcChain>
</file>

<file path=xl/sharedStrings.xml><?xml version="1.0" encoding="utf-8"?>
<sst xmlns="http://schemas.openxmlformats.org/spreadsheetml/2006/main" count="274" uniqueCount="158">
  <si>
    <t>Greenhurst Nusery</t>
  </si>
  <si>
    <t>Average Item Price</t>
  </si>
  <si>
    <t>No of items sold</t>
  </si>
  <si>
    <t>INCOME STATEMENT</t>
  </si>
  <si>
    <t>Sales revenue</t>
  </si>
  <si>
    <t>growth</t>
  </si>
  <si>
    <t>quantity grwoth</t>
  </si>
  <si>
    <t>Expenses</t>
  </si>
  <si>
    <t xml:space="preserve">   Labor</t>
  </si>
  <si>
    <t xml:space="preserve">   Building Maintenance</t>
  </si>
  <si>
    <t xml:space="preserve">   Property Tax</t>
  </si>
  <si>
    <t xml:space="preserve">   Advertising</t>
  </si>
  <si>
    <t xml:space="preserve">   General and Administrative </t>
  </si>
  <si>
    <t>COGS</t>
  </si>
  <si>
    <t>Nuumber of workers</t>
  </si>
  <si>
    <t>Average hourly wage</t>
  </si>
  <si>
    <t>Days open per year</t>
  </si>
  <si>
    <t>Hour open per day</t>
  </si>
  <si>
    <t>BALANCE SHEET</t>
  </si>
  <si>
    <t>Minimum Cash</t>
  </si>
  <si>
    <t>Extra Cash</t>
  </si>
  <si>
    <t>Inventory</t>
  </si>
  <si>
    <t>Accounts Receivable</t>
  </si>
  <si>
    <t>Accounts Receivable Days (CC Delay)</t>
  </si>
  <si>
    <t>Days in Inventory</t>
  </si>
  <si>
    <t xml:space="preserve">   Insurance</t>
  </si>
  <si>
    <t>Land</t>
  </si>
  <si>
    <t>Buildings</t>
  </si>
  <si>
    <t>Equipment</t>
  </si>
  <si>
    <t>Days Payables (COGS Supplier)</t>
  </si>
  <si>
    <t>Less: Accumulated Depr</t>
  </si>
  <si>
    <t>years</t>
  </si>
  <si>
    <t>Square footage of store</t>
  </si>
  <si>
    <t>Cost of construction / square foot</t>
  </si>
  <si>
    <t>Maintenance cost / square foot</t>
  </si>
  <si>
    <t>Insurance cost / square foot</t>
  </si>
  <si>
    <t>Equipment purchased / square foot</t>
  </si>
  <si>
    <t>Acres of land</t>
  </si>
  <si>
    <t>Cost per acre</t>
  </si>
  <si>
    <t>Total Assets</t>
  </si>
  <si>
    <t>Liabilities and Equity</t>
  </si>
  <si>
    <t>Accounts Payable (COGS expense)</t>
  </si>
  <si>
    <t>Taxes Payable</t>
  </si>
  <si>
    <t>Mortgage Interest Expense</t>
  </si>
  <si>
    <t>Extra Bank Loan Interest Expense</t>
  </si>
  <si>
    <t>Taxable Income</t>
  </si>
  <si>
    <t>Income Tax Expense</t>
  </si>
  <si>
    <t>Net Income</t>
  </si>
  <si>
    <t>Mortage</t>
  </si>
  <si>
    <t>Months</t>
  </si>
  <si>
    <t>Interest rate</t>
  </si>
  <si>
    <t>Montly int rate</t>
  </si>
  <si>
    <t>Payment</t>
  </si>
  <si>
    <t>Int</t>
  </si>
  <si>
    <t>extra loan interest rate</t>
  </si>
  <si>
    <t>combined state and fed income tax</t>
  </si>
  <si>
    <t>Mortgage Loan</t>
  </si>
  <si>
    <t>Extra Bank Loan</t>
  </si>
  <si>
    <t>Common Stock</t>
  </si>
  <si>
    <t>Retained Earnings</t>
  </si>
  <si>
    <t>Total Liabilities and Equity</t>
  </si>
  <si>
    <t>DFN</t>
  </si>
  <si>
    <t>Property tax as percent of land+build</t>
  </si>
  <si>
    <t>of sales</t>
  </si>
  <si>
    <t xml:space="preserve">   Depreciation (buildings)</t>
  </si>
  <si>
    <t xml:space="preserve">   Depreciation (equipment)</t>
  </si>
  <si>
    <t>RATIOS</t>
  </si>
  <si>
    <t>Debt / Equity</t>
  </si>
  <si>
    <t>Profit Margin</t>
  </si>
  <si>
    <t>ROE</t>
  </si>
  <si>
    <t>ROA</t>
  </si>
  <si>
    <t>Current Ratio</t>
  </si>
  <si>
    <t xml:space="preserve">A day </t>
  </si>
  <si>
    <t>Current</t>
  </si>
  <si>
    <t xml:space="preserve">Goal </t>
  </si>
  <si>
    <t xml:space="preserve">A Day </t>
  </si>
  <si>
    <t>Return on Sales</t>
  </si>
  <si>
    <t>Return on Assets</t>
  </si>
  <si>
    <t>mortage Loan Interest Rate</t>
  </si>
  <si>
    <t>Extra Bank Loan Interest Rate</t>
  </si>
  <si>
    <t>Average</t>
  </si>
  <si>
    <t>Weighted Average</t>
  </si>
  <si>
    <t>Equity</t>
  </si>
  <si>
    <t>Debt</t>
  </si>
  <si>
    <t>Rate</t>
  </si>
  <si>
    <t>CAPM</t>
  </si>
  <si>
    <t>S&amp;P 500</t>
  </si>
  <si>
    <t>Beta</t>
  </si>
  <si>
    <t>Tbill</t>
  </si>
  <si>
    <t>Cost of Equity</t>
  </si>
  <si>
    <t>WACC (total)</t>
  </si>
  <si>
    <t>Cost of Capital</t>
  </si>
  <si>
    <t>After Tax</t>
  </si>
  <si>
    <t xml:space="preserve">Total Capital </t>
  </si>
  <si>
    <t>Total Equity</t>
  </si>
  <si>
    <t xml:space="preserve">S&amp;P wanted return </t>
  </si>
  <si>
    <t>WACC</t>
  </si>
  <si>
    <t>WACC Calculations</t>
  </si>
  <si>
    <t>Beta 1</t>
  </si>
  <si>
    <t>Eq Bet</t>
  </si>
  <si>
    <t>debt%</t>
  </si>
  <si>
    <t>Equity %</t>
  </si>
  <si>
    <t>Tax Rate%</t>
  </si>
  <si>
    <t>Unlevered Beta</t>
  </si>
  <si>
    <t>New debt%</t>
  </si>
  <si>
    <t>New Equity%</t>
  </si>
  <si>
    <t>Relevered Beta</t>
  </si>
  <si>
    <t>Beta Unlevered</t>
  </si>
  <si>
    <t>Equity Beta</t>
  </si>
  <si>
    <t>Beta Relevered</t>
  </si>
  <si>
    <t>Debt %</t>
  </si>
  <si>
    <t>Spread</t>
  </si>
  <si>
    <t>FCF</t>
  </si>
  <si>
    <t>Profit from Operation</t>
  </si>
  <si>
    <t>Depreciation</t>
  </si>
  <si>
    <t>Taxes on operations</t>
  </si>
  <si>
    <t>Taxable Operating profit</t>
  </si>
  <si>
    <t>After Tax Profit</t>
  </si>
  <si>
    <t>Cash From Changes in Balance Sheet</t>
  </si>
  <si>
    <t>Check</t>
  </si>
  <si>
    <t>Cash From Fixed Assts</t>
  </si>
  <si>
    <t>Book</t>
  </si>
  <si>
    <t>Adjustment for sale</t>
  </si>
  <si>
    <t>Gain</t>
  </si>
  <si>
    <t>Taxes</t>
  </si>
  <si>
    <t>IRR</t>
  </si>
  <si>
    <t>PV</t>
  </si>
  <si>
    <t>NPV</t>
  </si>
  <si>
    <t>Accounts Payable</t>
  </si>
  <si>
    <t>Taxes payable</t>
  </si>
  <si>
    <t>BANKRUPTCY</t>
  </si>
  <si>
    <t>%</t>
  </si>
  <si>
    <t>Unsecured</t>
  </si>
  <si>
    <t>all these percentages are just my guesses on what makes sense</t>
  </si>
  <si>
    <t>On the $</t>
  </si>
  <si>
    <t>Secured</t>
  </si>
  <si>
    <t>Total</t>
  </si>
  <si>
    <t>Extra</t>
  </si>
  <si>
    <t>Admin</t>
  </si>
  <si>
    <t>Remaining</t>
  </si>
  <si>
    <t>Prop</t>
  </si>
  <si>
    <t>TOTAL</t>
  </si>
  <si>
    <t>RETURN OF DEBTHOLDERS</t>
  </si>
  <si>
    <t>Mortgage Loan Cash Flows</t>
  </si>
  <si>
    <t>(-)</t>
  </si>
  <si>
    <t>Principal</t>
  </si>
  <si>
    <t>(+)</t>
  </si>
  <si>
    <t>Paid in Bankruptcy</t>
  </si>
  <si>
    <t>Interest Payments</t>
  </si>
  <si>
    <t>Total Cash Flows</t>
  </si>
  <si>
    <t>IRR if not in Bankruptcy</t>
  </si>
  <si>
    <t>Expected IRR</t>
  </si>
  <si>
    <t>Extra Bank Loan Cash Flows</t>
  </si>
  <si>
    <t>quantity growth</t>
  </si>
  <si>
    <t>Probability</t>
  </si>
  <si>
    <t>Interest rate from mortgage schedule</t>
  </si>
  <si>
    <t>Mortgage</t>
  </si>
  <si>
    <t>Extra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</si>
</sst>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"/>
    <numFmt numFmtId="168" formatCode="_(&quot;$&quot;* #,##0.0_);_(&quot;$&quot;* \(#,##0.0\);_(&quot;$&quot;* &quot;-&quot;??_);_(@_)"/>
    <numFmt numFmtId="169" formatCode="0.0000%"/>
    <numFmt numFmtId="170" formatCode="0.000%"/>
    <numFmt numFmtId="171" formatCode="0.0%"/>
    <numFmt numFmtId="172" formatCode="_(\$* #,##0_);_(\$* \(#,##0\);_(\$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3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3">
    <xf numFmtId="0" fontId="0" fillId="0" borderId="0" xfId="0"/>
    <xf numFmtId="6" fontId="0" fillId="0" borderId="0" xfId="0" applyNumberFormat="1"/>
    <xf numFmtId="9" fontId="0" fillId="0" borderId="0" xfId="0" applyNumberFormat="1"/>
    <xf numFmtId="44" fontId="0" fillId="0" borderId="0" xfId="2" applyFont="1"/>
    <xf numFmtId="164" fontId="0" fillId="0" borderId="0" xfId="1" applyNumberFormat="1" applyFont="1"/>
    <xf numFmtId="165" fontId="0" fillId="0" borderId="0" xfId="1" applyNumberFormat="1" applyFont="1"/>
    <xf numFmtId="166" fontId="0" fillId="0" borderId="0" xfId="2" applyNumberFormat="1" applyFont="1"/>
    <xf numFmtId="44" fontId="0" fillId="0" borderId="0" xfId="0" applyNumberFormat="1"/>
    <xf numFmtId="8" fontId="0" fillId="0" borderId="0" xfId="0" applyNumberFormat="1"/>
    <xf numFmtId="168" fontId="0" fillId="0" borderId="0" xfId="2" applyNumberFormat="1" applyFont="1"/>
    <xf numFmtId="0" fontId="2" fillId="0" borderId="0" xfId="0" applyFont="1"/>
    <xf numFmtId="166" fontId="0" fillId="0" borderId="0" xfId="0" applyNumberFormat="1"/>
    <xf numFmtId="10" fontId="0" fillId="0" borderId="0" xfId="0" applyNumberFormat="1"/>
    <xf numFmtId="170" fontId="0" fillId="0" borderId="0" xfId="0" applyNumberFormat="1"/>
    <xf numFmtId="10" fontId="0" fillId="0" borderId="0" xfId="3" applyNumberFormat="1" applyFont="1"/>
    <xf numFmtId="171" fontId="0" fillId="0" borderId="0" xfId="0" applyNumberFormat="1"/>
    <xf numFmtId="171" fontId="0" fillId="0" borderId="0" xfId="3" applyNumberFormat="1" applyFont="1"/>
    <xf numFmtId="0" fontId="5" fillId="0" borderId="0" xfId="0" applyFont="1"/>
    <xf numFmtId="0" fontId="2" fillId="0" borderId="1" xfId="0" applyFont="1" applyBorder="1"/>
    <xf numFmtId="0" fontId="0" fillId="0" borderId="2" xfId="0" applyBorder="1"/>
    <xf numFmtId="9" fontId="0" fillId="0" borderId="0" xfId="0" applyNumberFormat="1" applyBorder="1"/>
    <xf numFmtId="10" fontId="0" fillId="0" borderId="5" xfId="0" applyNumberFormat="1" applyBorder="1"/>
    <xf numFmtId="0" fontId="0" fillId="0" borderId="5" xfId="0" applyBorder="1"/>
    <xf numFmtId="0" fontId="0" fillId="0" borderId="0" xfId="0" applyBorder="1"/>
    <xf numFmtId="171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10" fontId="0" fillId="0" borderId="8" xfId="0" applyNumberFormat="1" applyBorder="1"/>
    <xf numFmtId="0" fontId="0" fillId="0" borderId="3" xfId="0" applyBorder="1"/>
    <xf numFmtId="0" fontId="0" fillId="0" borderId="4" xfId="0" applyBorder="1"/>
    <xf numFmtId="9" fontId="0" fillId="0" borderId="4" xfId="0" applyNumberFormat="1" applyBorder="1"/>
    <xf numFmtId="169" fontId="0" fillId="0" borderId="0" xfId="0" applyNumberFormat="1" applyBorder="1"/>
    <xf numFmtId="10" fontId="0" fillId="0" borderId="7" xfId="0" applyNumberFormat="1" applyBorder="1"/>
    <xf numFmtId="169" fontId="0" fillId="0" borderId="7" xfId="0" applyNumberFormat="1" applyBorder="1"/>
    <xf numFmtId="0" fontId="0" fillId="0" borderId="8" xfId="0" applyBorder="1"/>
    <xf numFmtId="0" fontId="0" fillId="0" borderId="1" xfId="0" applyBorder="1"/>
    <xf numFmtId="166" fontId="0" fillId="0" borderId="7" xfId="2" applyNumberFormat="1" applyFont="1" applyBorder="1"/>
    <xf numFmtId="2" fontId="0" fillId="0" borderId="7" xfId="0" applyNumberFormat="1" applyBorder="1"/>
    <xf numFmtId="0" fontId="6" fillId="0" borderId="0" xfId="18" applyFill="1"/>
    <xf numFmtId="0" fontId="6" fillId="0" borderId="0" xfId="18" applyBorder="1"/>
    <xf numFmtId="2" fontId="0" fillId="0" borderId="0" xfId="0" applyNumberFormat="1" applyBorder="1"/>
    <xf numFmtId="0" fontId="6" fillId="0" borderId="0" xfId="18" applyFill="1" applyBorder="1"/>
    <xf numFmtId="2" fontId="0" fillId="0" borderId="8" xfId="0" applyNumberFormat="1" applyBorder="1"/>
    <xf numFmtId="42" fontId="0" fillId="0" borderId="0" xfId="0" applyNumberFormat="1"/>
    <xf numFmtId="0" fontId="0" fillId="3" borderId="0" xfId="0" applyFill="1"/>
    <xf numFmtId="9" fontId="0" fillId="3" borderId="0" xfId="0" applyNumberFormat="1" applyFill="1"/>
    <xf numFmtId="44" fontId="0" fillId="3" borderId="0" xfId="0" applyNumberFormat="1" applyFill="1"/>
    <xf numFmtId="166" fontId="0" fillId="3" borderId="0" xfId="0" applyNumberFormat="1" applyFill="1"/>
    <xf numFmtId="0" fontId="0" fillId="0" borderId="0" xfId="0" applyFill="1"/>
    <xf numFmtId="166" fontId="0" fillId="0" borderId="0" xfId="2" applyNumberFormat="1" applyFont="1" applyFill="1"/>
    <xf numFmtId="9" fontId="0" fillId="0" borderId="0" xfId="0" applyNumberFormat="1" applyFill="1"/>
    <xf numFmtId="166" fontId="0" fillId="0" borderId="0" xfId="0" applyNumberFormat="1" applyBorder="1"/>
    <xf numFmtId="9" fontId="0" fillId="3" borderId="7" xfId="0" applyNumberFormat="1" applyFill="1" applyBorder="1"/>
    <xf numFmtId="0" fontId="0" fillId="3" borderId="7" xfId="0" applyFill="1" applyBorder="1"/>
    <xf numFmtId="44" fontId="0" fillId="0" borderId="0" xfId="0" applyNumberFormat="1" applyBorder="1"/>
    <xf numFmtId="172" fontId="1" fillId="0" borderId="0" xfId="2" applyNumberFormat="1" applyFill="1" applyBorder="1"/>
    <xf numFmtId="171" fontId="6" fillId="0" borderId="0" xfId="18" applyNumberFormat="1" applyFill="1" applyBorder="1"/>
    <xf numFmtId="172" fontId="6" fillId="0" borderId="0" xfId="18" applyNumberFormat="1" applyFill="1" applyBorder="1"/>
    <xf numFmtId="44" fontId="1" fillId="0" borderId="0" xfId="2"/>
    <xf numFmtId="171" fontId="1" fillId="0" borderId="0" xfId="3" applyNumberFormat="1" applyFill="1" applyBorder="1"/>
    <xf numFmtId="171" fontId="1" fillId="0" borderId="0" xfId="3" applyNumberFormat="1" applyFill="1"/>
    <xf numFmtId="0" fontId="6" fillId="0" borderId="0" xfId="18"/>
    <xf numFmtId="172" fontId="1" fillId="4" borderId="0" xfId="2" applyNumberFormat="1" applyFill="1"/>
    <xf numFmtId="0" fontId="7" fillId="5" borderId="0" xfId="18" applyFont="1" applyFill="1" applyBorder="1"/>
    <xf numFmtId="0" fontId="6" fillId="5" borderId="0" xfId="18" applyFill="1" applyBorder="1"/>
    <xf numFmtId="0" fontId="0" fillId="5" borderId="0" xfId="0" applyFill="1"/>
    <xf numFmtId="0" fontId="6" fillId="5" borderId="0" xfId="18" applyFill="1"/>
    <xf numFmtId="10" fontId="1" fillId="5" borderId="0" xfId="3" applyNumberFormat="1" applyFill="1"/>
    <xf numFmtId="172" fontId="6" fillId="5" borderId="0" xfId="18" applyNumberFormat="1" applyFill="1"/>
    <xf numFmtId="9" fontId="6" fillId="5" borderId="0" xfId="18" applyNumberFormat="1" applyFill="1"/>
    <xf numFmtId="44" fontId="0" fillId="3" borderId="7" xfId="0" applyNumberFormat="1" applyFill="1" applyBorder="1"/>
    <xf numFmtId="172" fontId="1" fillId="4" borderId="0" xfId="2" applyNumberFormat="1" applyFill="1" applyBorder="1"/>
    <xf numFmtId="172" fontId="1" fillId="4" borderId="0" xfId="3" applyNumberFormat="1" applyFill="1" applyBorder="1"/>
    <xf numFmtId="172" fontId="1" fillId="4" borderId="7" xfId="3" applyNumberFormat="1" applyFill="1" applyBorder="1"/>
    <xf numFmtId="0" fontId="6" fillId="0" borderId="8" xfId="18" applyFill="1" applyBorder="1"/>
    <xf numFmtId="2" fontId="6" fillId="0" borderId="8" xfId="18" applyNumberFormat="1" applyFill="1" applyBorder="1"/>
    <xf numFmtId="2" fontId="6" fillId="0" borderId="5" xfId="18" applyNumberForma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8" xfId="0" applyNumberFormat="1" applyBorder="1"/>
    <xf numFmtId="0" fontId="5" fillId="0" borderId="12" xfId="0" applyFont="1" applyBorder="1"/>
    <xf numFmtId="0" fontId="0" fillId="0" borderId="9" xfId="0" applyBorder="1"/>
    <xf numFmtId="9" fontId="0" fillId="0" borderId="14" xfId="3" applyFont="1" applyBorder="1"/>
    <xf numFmtId="0" fontId="0" fillId="0" borderId="13" xfId="0" applyBorder="1"/>
    <xf numFmtId="9" fontId="0" fillId="0" borderId="14" xfId="0" applyNumberFormat="1" applyBorder="1"/>
    <xf numFmtId="0" fontId="0" fillId="0" borderId="14" xfId="0" applyBorder="1"/>
    <xf numFmtId="10" fontId="0" fillId="0" borderId="14" xfId="0" applyNumberFormat="1" applyBorder="1"/>
    <xf numFmtId="0" fontId="2" fillId="0" borderId="13" xfId="0" applyFont="1" applyBorder="1"/>
    <xf numFmtId="0" fontId="0" fillId="0" borderId="15" xfId="0" applyBorder="1"/>
    <xf numFmtId="10" fontId="0" fillId="0" borderId="13" xfId="0" applyNumberFormat="1" applyBorder="1"/>
    <xf numFmtId="170" fontId="0" fillId="0" borderId="4" xfId="0" applyNumberFormat="1" applyBorder="1"/>
    <xf numFmtId="9" fontId="0" fillId="0" borderId="6" xfId="0" applyNumberFormat="1" applyBorder="1"/>
    <xf numFmtId="171" fontId="0" fillId="0" borderId="5" xfId="3" applyNumberFormat="1" applyFont="1" applyBorder="1"/>
    <xf numFmtId="166" fontId="0" fillId="0" borderId="7" xfId="0" applyNumberFormat="1" applyBorder="1"/>
    <xf numFmtId="42" fontId="0" fillId="0" borderId="7" xfId="0" applyNumberFormat="1" applyBorder="1"/>
    <xf numFmtId="8" fontId="0" fillId="0" borderId="7" xfId="0" applyNumberFormat="1" applyBorder="1"/>
    <xf numFmtId="44" fontId="0" fillId="0" borderId="7" xfId="0" applyNumberFormat="1" applyBorder="1"/>
    <xf numFmtId="9" fontId="0" fillId="0" borderId="7" xfId="3" applyFont="1" applyBorder="1"/>
    <xf numFmtId="168" fontId="0" fillId="0" borderId="7" xfId="2" applyNumberFormat="1" applyFont="1" applyBorder="1"/>
    <xf numFmtId="44" fontId="0" fillId="0" borderId="7" xfId="2" applyNumberFormat="1" applyFont="1" applyBorder="1"/>
    <xf numFmtId="166" fontId="0" fillId="2" borderId="7" xfId="2" applyNumberFormat="1" applyFont="1" applyFill="1" applyBorder="1"/>
    <xf numFmtId="164" fontId="0" fillId="0" borderId="7" xfId="1" applyNumberFormat="1" applyFont="1" applyBorder="1"/>
    <xf numFmtId="6" fontId="0" fillId="0" borderId="7" xfId="0" applyNumberFormat="1" applyBorder="1"/>
    <xf numFmtId="165" fontId="0" fillId="0" borderId="7" xfId="1" applyNumberFormat="1" applyFont="1" applyBorder="1"/>
    <xf numFmtId="0" fontId="2" fillId="0" borderId="0" xfId="0" applyFont="1" applyBorder="1"/>
    <xf numFmtId="44" fontId="0" fillId="0" borderId="7" xfId="2" applyFont="1" applyBorder="1"/>
    <xf numFmtId="0" fontId="0" fillId="4" borderId="7" xfId="0" applyFill="1" applyBorder="1"/>
    <xf numFmtId="0" fontId="0" fillId="0" borderId="7" xfId="0" applyFill="1" applyBorder="1"/>
    <xf numFmtId="166" fontId="0" fillId="0" borderId="7" xfId="2" applyNumberFormat="1" applyFont="1" applyFill="1" applyBorder="1"/>
    <xf numFmtId="44" fontId="0" fillId="0" borderId="7" xfId="2" applyNumberFormat="1" applyFont="1" applyFill="1" applyBorder="1"/>
    <xf numFmtId="165" fontId="0" fillId="0" borderId="11" xfId="1" applyNumberFormat="1" applyFont="1" applyBorder="1"/>
    <xf numFmtId="0" fontId="6" fillId="5" borderId="7" xfId="18" applyNumberFormat="1" applyFill="1" applyBorder="1"/>
    <xf numFmtId="0" fontId="6" fillId="5" borderId="7" xfId="18" applyFill="1" applyBorder="1"/>
    <xf numFmtId="172" fontId="1" fillId="5" borderId="7" xfId="2" applyNumberFormat="1" applyFill="1" applyBorder="1"/>
    <xf numFmtId="172" fontId="6" fillId="5" borderId="7" xfId="18" applyNumberFormat="1" applyFill="1" applyBorder="1"/>
    <xf numFmtId="10" fontId="1" fillId="5" borderId="7" xfId="3" applyNumberFormat="1" applyFill="1" applyBorder="1"/>
    <xf numFmtId="0" fontId="6" fillId="5" borderId="11" xfId="18" applyFill="1" applyBorder="1"/>
    <xf numFmtId="10" fontId="1" fillId="5" borderId="11" xfId="3" applyNumberFormat="1" applyFill="1" applyBorder="1"/>
    <xf numFmtId="172" fontId="6" fillId="5" borderId="11" xfId="18" applyNumberFormat="1" applyFill="1" applyBorder="1"/>
    <xf numFmtId="10" fontId="1" fillId="5" borderId="0" xfId="3" applyNumberFormat="1" applyFill="1" applyAlignment="1">
      <alignment horizontal="right"/>
    </xf>
    <xf numFmtId="10" fontId="6" fillId="5" borderId="0" xfId="18" applyNumberFormat="1" applyFill="1" applyAlignment="1">
      <alignment horizontal="right"/>
    </xf>
    <xf numFmtId="10" fontId="1" fillId="5" borderId="7" xfId="3" applyNumberFormat="1" applyFill="1" applyBorder="1" applyAlignment="1">
      <alignment horizontal="right"/>
    </xf>
    <xf numFmtId="10" fontId="6" fillId="5" borderId="7" xfId="18" applyNumberFormat="1" applyFill="1" applyBorder="1" applyAlignment="1">
      <alignment horizontal="right"/>
    </xf>
    <xf numFmtId="8" fontId="0" fillId="0" borderId="11" xfId="0" applyNumberFormat="1" applyBorder="1"/>
    <xf numFmtId="0" fontId="0" fillId="0" borderId="0" xfId="0" applyFont="1" applyBorder="1"/>
    <xf numFmtId="166" fontId="0" fillId="0" borderId="0" xfId="2" applyNumberFormat="1" applyFont="1" applyBorder="1"/>
    <xf numFmtId="167" fontId="0" fillId="0" borderId="11" xfId="0" applyNumberFormat="1" applyBorder="1"/>
    <xf numFmtId="2" fontId="0" fillId="0" borderId="11" xfId="0" applyNumberForma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31">
    <cellStyle name="Comma" xfId="1" builtinId="3"/>
    <cellStyle name="Currency" xfId="2" builtinId="4"/>
    <cellStyle name="Excel Built-in Normal 1" xfId="18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zoomScale="57" zoomScaleNormal="57" zoomScaleSheetLayoutView="30" workbookViewId="0">
      <selection activeCell="O96" sqref="O96"/>
    </sheetView>
  </sheetViews>
  <sheetFormatPr defaultColWidth="8.85546875" defaultRowHeight="15" x14ac:dyDescent="0.25"/>
  <cols>
    <col min="1" max="1" width="32.7109375" customWidth="1"/>
    <col min="2" max="2" width="15.42578125" bestFit="1" customWidth="1"/>
    <col min="3" max="3" width="12.28515625" bestFit="1" customWidth="1"/>
    <col min="4" max="4" width="16.42578125" bestFit="1" customWidth="1"/>
    <col min="5" max="5" width="13.140625" bestFit="1" customWidth="1"/>
    <col min="6" max="7" width="12.28515625" bestFit="1" customWidth="1"/>
    <col min="8" max="8" width="17.85546875" bestFit="1" customWidth="1"/>
    <col min="9" max="9" width="13.42578125" bestFit="1" customWidth="1"/>
    <col min="10" max="10" width="14.42578125" bestFit="1" customWidth="1"/>
    <col min="11" max="12" width="13.42578125" bestFit="1" customWidth="1"/>
    <col min="13" max="13" width="14.42578125" bestFit="1" customWidth="1"/>
    <col min="14" max="14" width="31.42578125" customWidth="1"/>
    <col min="15" max="15" width="12.85546875" customWidth="1"/>
    <col min="16" max="16" width="12" customWidth="1"/>
    <col min="17" max="17" width="15.5703125" customWidth="1"/>
    <col min="18" max="18" width="15.28515625" customWidth="1"/>
    <col min="19" max="19" width="5.7109375" customWidth="1"/>
    <col min="23" max="24" width="11.7109375" bestFit="1" customWidth="1"/>
  </cols>
  <sheetData>
    <row r="1" spans="1:15" x14ac:dyDescent="0.25">
      <c r="A1" s="10" t="s">
        <v>0</v>
      </c>
      <c r="N1" t="s">
        <v>78</v>
      </c>
      <c r="O1" s="12">
        <v>3.4000000000000002E-2</v>
      </c>
    </row>
    <row r="2" spans="1:15" x14ac:dyDescent="0.25">
      <c r="B2" s="27">
        <v>0</v>
      </c>
      <c r="C2" s="27">
        <v>1</v>
      </c>
      <c r="D2" s="27">
        <v>2</v>
      </c>
      <c r="E2" s="27">
        <v>3</v>
      </c>
      <c r="F2" s="27">
        <v>4</v>
      </c>
      <c r="G2" s="27">
        <v>5</v>
      </c>
      <c r="H2" s="27">
        <v>6</v>
      </c>
      <c r="I2" s="27">
        <v>7</v>
      </c>
      <c r="J2" s="27">
        <v>8</v>
      </c>
      <c r="K2" s="27">
        <v>9</v>
      </c>
      <c r="L2" s="27">
        <v>10</v>
      </c>
      <c r="N2" t="s">
        <v>79</v>
      </c>
      <c r="O2" s="2">
        <v>0.12</v>
      </c>
    </row>
    <row r="3" spans="1:15" x14ac:dyDescent="0.25">
      <c r="A3" s="26" t="s">
        <v>1</v>
      </c>
      <c r="B3" s="26"/>
      <c r="C3" s="104">
        <v>8</v>
      </c>
      <c r="D3" s="107">
        <f t="shared" ref="D3:L3" si="0">C3*(1+$M3)</f>
        <v>8.681765428776675</v>
      </c>
      <c r="E3" s="107">
        <f t="shared" si="0"/>
        <v>9.4216313700377299</v>
      </c>
      <c r="F3" s="107">
        <f t="shared" si="0"/>
        <v>10.224549188883923</v>
      </c>
      <c r="G3" s="107">
        <f t="shared" si="0"/>
        <v>11.095892209109881</v>
      </c>
      <c r="H3" s="107">
        <f t="shared" si="0"/>
        <v>12.041491672810327</v>
      </c>
      <c r="I3" s="107">
        <f t="shared" si="0"/>
        <v>13.067675764488364</v>
      </c>
      <c r="J3" s="107">
        <f t="shared" si="0"/>
        <v>14.181311960824736</v>
      </c>
      <c r="K3" s="107">
        <f t="shared" si="0"/>
        <v>15.389852989523169</v>
      </c>
      <c r="L3" s="107">
        <f t="shared" si="0"/>
        <v>16.701386704799702</v>
      </c>
      <c r="M3" s="2">
        <v>8.5220678597084279E-2</v>
      </c>
      <c r="N3" t="s">
        <v>5</v>
      </c>
    </row>
    <row r="4" spans="1:15" x14ac:dyDescent="0.25">
      <c r="A4" s="26" t="s">
        <v>2</v>
      </c>
      <c r="B4" s="26"/>
      <c r="C4" s="105">
        <v>20000</v>
      </c>
      <c r="D4" s="105">
        <f t="shared" ref="D4:L4" si="1">C4*(1+$M4)</f>
        <v>21140</v>
      </c>
      <c r="E4" s="105">
        <f t="shared" si="1"/>
        <v>22344.98</v>
      </c>
      <c r="F4" s="105">
        <f t="shared" si="1"/>
        <v>23618.643859999996</v>
      </c>
      <c r="G4" s="105">
        <f t="shared" si="1"/>
        <v>24964.906560019994</v>
      </c>
      <c r="H4" s="105">
        <f t="shared" si="1"/>
        <v>26387.906233941132</v>
      </c>
      <c r="I4" s="105">
        <f t="shared" si="1"/>
        <v>27892.016889275776</v>
      </c>
      <c r="J4" s="105">
        <f t="shared" si="1"/>
        <v>29481.861851964492</v>
      </c>
      <c r="K4" s="105">
        <f t="shared" si="1"/>
        <v>31162.327977526467</v>
      </c>
      <c r="L4" s="105">
        <f t="shared" si="1"/>
        <v>32938.580672245473</v>
      </c>
      <c r="M4" s="15">
        <v>5.7000000000000002E-2</v>
      </c>
      <c r="N4" t="s">
        <v>6</v>
      </c>
    </row>
    <row r="6" spans="1:15" x14ac:dyDescent="0.25">
      <c r="A6" s="26" t="s">
        <v>14</v>
      </c>
      <c r="B6" s="26"/>
      <c r="C6" s="26">
        <v>1.5</v>
      </c>
      <c r="D6" s="103">
        <f t="shared" ref="D6:L6" si="2">C6*(1+$M6)</f>
        <v>1.5</v>
      </c>
      <c r="E6" s="103">
        <f t="shared" si="2"/>
        <v>1.5</v>
      </c>
      <c r="F6" s="103">
        <f t="shared" si="2"/>
        <v>1.5</v>
      </c>
      <c r="G6" s="103">
        <f t="shared" si="2"/>
        <v>1.5</v>
      </c>
      <c r="H6" s="103">
        <f t="shared" si="2"/>
        <v>1.5</v>
      </c>
      <c r="I6" s="103">
        <f t="shared" si="2"/>
        <v>1.5</v>
      </c>
      <c r="J6" s="103">
        <f t="shared" si="2"/>
        <v>1.5</v>
      </c>
      <c r="K6" s="103">
        <f t="shared" si="2"/>
        <v>1.5</v>
      </c>
      <c r="L6" s="103">
        <f t="shared" si="2"/>
        <v>1.5</v>
      </c>
      <c r="M6" s="2">
        <v>0</v>
      </c>
    </row>
    <row r="7" spans="1:15" x14ac:dyDescent="0.25">
      <c r="A7" s="26" t="s">
        <v>15</v>
      </c>
      <c r="B7" s="26"/>
      <c r="C7" s="104">
        <v>9</v>
      </c>
      <c r="D7" s="103">
        <f t="shared" ref="D7:L7" si="3">C7*(1+$M7)</f>
        <v>9.18</v>
      </c>
      <c r="E7" s="103">
        <f t="shared" si="3"/>
        <v>9.3635999999999999</v>
      </c>
      <c r="F7" s="103">
        <f t="shared" si="3"/>
        <v>9.550872</v>
      </c>
      <c r="G7" s="103">
        <f t="shared" si="3"/>
        <v>9.7418894399999996</v>
      </c>
      <c r="H7" s="103">
        <f t="shared" si="3"/>
        <v>9.9367272288000006</v>
      </c>
      <c r="I7" s="103">
        <f t="shared" si="3"/>
        <v>10.135461773376001</v>
      </c>
      <c r="J7" s="103">
        <f t="shared" si="3"/>
        <v>10.338171008843521</v>
      </c>
      <c r="K7" s="103">
        <f t="shared" si="3"/>
        <v>10.54493442902039</v>
      </c>
      <c r="L7" s="103">
        <f t="shared" si="3"/>
        <v>10.755833117600798</v>
      </c>
      <c r="M7" s="2">
        <v>0.02</v>
      </c>
    </row>
    <row r="8" spans="1:15" x14ac:dyDescent="0.25">
      <c r="A8" s="26" t="s">
        <v>16</v>
      </c>
      <c r="B8" s="26"/>
      <c r="C8" s="26">
        <v>310</v>
      </c>
      <c r="D8" s="103">
        <f t="shared" ref="D8:L8" si="4">C8*(1+$M8)</f>
        <v>310</v>
      </c>
      <c r="E8" s="103">
        <f t="shared" si="4"/>
        <v>310</v>
      </c>
      <c r="F8" s="103">
        <f t="shared" si="4"/>
        <v>310</v>
      </c>
      <c r="G8" s="103">
        <f t="shared" si="4"/>
        <v>310</v>
      </c>
      <c r="H8" s="103">
        <f t="shared" si="4"/>
        <v>310</v>
      </c>
      <c r="I8" s="103">
        <f t="shared" si="4"/>
        <v>310</v>
      </c>
      <c r="J8" s="103">
        <f t="shared" si="4"/>
        <v>310</v>
      </c>
      <c r="K8" s="103">
        <f t="shared" si="4"/>
        <v>310</v>
      </c>
      <c r="L8" s="103">
        <f t="shared" si="4"/>
        <v>310</v>
      </c>
      <c r="M8" s="2">
        <v>0</v>
      </c>
    </row>
    <row r="9" spans="1:15" x14ac:dyDescent="0.25">
      <c r="A9" s="26" t="s">
        <v>17</v>
      </c>
      <c r="B9" s="26"/>
      <c r="C9" s="26">
        <v>10</v>
      </c>
      <c r="D9" s="103">
        <f t="shared" ref="D9:L9" si="5">C9*(1+$M9)</f>
        <v>10</v>
      </c>
      <c r="E9" s="103">
        <f t="shared" si="5"/>
        <v>10</v>
      </c>
      <c r="F9" s="103">
        <f t="shared" si="5"/>
        <v>10</v>
      </c>
      <c r="G9" s="103">
        <f t="shared" si="5"/>
        <v>10</v>
      </c>
      <c r="H9" s="103">
        <f t="shared" si="5"/>
        <v>10</v>
      </c>
      <c r="I9" s="103">
        <f t="shared" si="5"/>
        <v>10</v>
      </c>
      <c r="J9" s="103">
        <f t="shared" si="5"/>
        <v>10</v>
      </c>
      <c r="K9" s="103">
        <f t="shared" si="5"/>
        <v>10</v>
      </c>
      <c r="L9" s="103">
        <f t="shared" si="5"/>
        <v>10</v>
      </c>
      <c r="M9" s="2">
        <v>0</v>
      </c>
    </row>
    <row r="10" spans="1:15" x14ac:dyDescent="0.25">
      <c r="D10" s="4"/>
      <c r="E10" s="4"/>
      <c r="F10" s="4"/>
      <c r="G10" s="4"/>
      <c r="H10" s="4"/>
      <c r="I10" s="4"/>
      <c r="J10" s="4"/>
      <c r="K10" s="4"/>
      <c r="L10" s="4"/>
    </row>
    <row r="11" spans="1:15" x14ac:dyDescent="0.25">
      <c r="A11" s="26" t="s">
        <v>23</v>
      </c>
      <c r="B11" s="26"/>
      <c r="C11" s="26">
        <v>4</v>
      </c>
      <c r="D11" s="103">
        <f t="shared" ref="D11:L11" si="6">C11*(1+$M11)</f>
        <v>3.8</v>
      </c>
      <c r="E11" s="103">
        <f t="shared" si="6"/>
        <v>3.61</v>
      </c>
      <c r="F11" s="103">
        <f t="shared" si="6"/>
        <v>3.4294999999999995</v>
      </c>
      <c r="G11" s="103">
        <f t="shared" si="6"/>
        <v>3.2580249999999995</v>
      </c>
      <c r="H11" s="103">
        <f t="shared" si="6"/>
        <v>3.0951237499999995</v>
      </c>
      <c r="I11" s="103">
        <f t="shared" si="6"/>
        <v>2.9403675624999992</v>
      </c>
      <c r="J11" s="103">
        <f t="shared" si="6"/>
        <v>2.7933491843749989</v>
      </c>
      <c r="K11" s="103">
        <f t="shared" si="6"/>
        <v>2.653681725156249</v>
      </c>
      <c r="L11" s="103">
        <f t="shared" si="6"/>
        <v>2.5209976388984363</v>
      </c>
      <c r="M11" s="2">
        <v>-0.05</v>
      </c>
    </row>
    <row r="12" spans="1:15" x14ac:dyDescent="0.25">
      <c r="A12" s="26" t="s">
        <v>24</v>
      </c>
      <c r="B12" s="98"/>
      <c r="C12" s="26">
        <v>5</v>
      </c>
      <c r="D12" s="103">
        <f t="shared" ref="D12:L12" si="7">C12*(1+$M12)</f>
        <v>5</v>
      </c>
      <c r="E12" s="103">
        <f t="shared" si="7"/>
        <v>5</v>
      </c>
      <c r="F12" s="103">
        <f t="shared" si="7"/>
        <v>5</v>
      </c>
      <c r="G12" s="103">
        <f t="shared" si="7"/>
        <v>5</v>
      </c>
      <c r="H12" s="103">
        <f t="shared" si="7"/>
        <v>5</v>
      </c>
      <c r="I12" s="103">
        <f t="shared" si="7"/>
        <v>5</v>
      </c>
      <c r="J12" s="103">
        <f t="shared" si="7"/>
        <v>5</v>
      </c>
      <c r="K12" s="103">
        <f t="shared" si="7"/>
        <v>5</v>
      </c>
      <c r="L12" s="103">
        <f t="shared" si="7"/>
        <v>5</v>
      </c>
      <c r="M12" s="2">
        <v>0</v>
      </c>
    </row>
    <row r="13" spans="1:15" x14ac:dyDescent="0.25">
      <c r="A13" s="26" t="s">
        <v>29</v>
      </c>
      <c r="B13" s="26"/>
      <c r="C13" s="26">
        <v>15</v>
      </c>
      <c r="D13" s="103">
        <f t="shared" ref="D13:L13" si="8">C13*(1+$M13)</f>
        <v>15.75</v>
      </c>
      <c r="E13" s="103">
        <f t="shared" si="8"/>
        <v>16.537500000000001</v>
      </c>
      <c r="F13" s="103">
        <f t="shared" si="8"/>
        <v>17.364375000000003</v>
      </c>
      <c r="G13" s="103">
        <f t="shared" si="8"/>
        <v>18.232593750000003</v>
      </c>
      <c r="H13" s="103">
        <f t="shared" si="8"/>
        <v>19.144223437500003</v>
      </c>
      <c r="I13" s="103">
        <f t="shared" si="8"/>
        <v>20.101434609375005</v>
      </c>
      <c r="J13" s="103">
        <f t="shared" si="8"/>
        <v>21.106506339843754</v>
      </c>
      <c r="K13" s="103">
        <f t="shared" si="8"/>
        <v>22.161831656835943</v>
      </c>
      <c r="L13" s="103">
        <f t="shared" si="8"/>
        <v>23.269923239677741</v>
      </c>
      <c r="M13" s="2">
        <v>0.05</v>
      </c>
    </row>
    <row r="15" spans="1:15" x14ac:dyDescent="0.25">
      <c r="A15" t="s">
        <v>32</v>
      </c>
      <c r="C15">
        <v>5000</v>
      </c>
    </row>
    <row r="16" spans="1:15" x14ac:dyDescent="0.25">
      <c r="A16" t="s">
        <v>33</v>
      </c>
      <c r="C16" s="1">
        <v>75</v>
      </c>
      <c r="E16" t="s">
        <v>73</v>
      </c>
      <c r="F16" t="s">
        <v>74</v>
      </c>
    </row>
    <row r="17" spans="1:14" x14ac:dyDescent="0.25">
      <c r="A17" t="s">
        <v>34</v>
      </c>
      <c r="C17" s="1">
        <v>2</v>
      </c>
      <c r="E17" t="s">
        <v>75</v>
      </c>
      <c r="F17" t="s">
        <v>72</v>
      </c>
    </row>
    <row r="18" spans="1:14" x14ac:dyDescent="0.25">
      <c r="A18" t="s">
        <v>35</v>
      </c>
      <c r="C18" s="1">
        <v>1</v>
      </c>
      <c r="E18" s="8">
        <f>C4*C3/310</f>
        <v>516.12903225806451</v>
      </c>
      <c r="F18">
        <v>1500</v>
      </c>
      <c r="G18">
        <v>8</v>
      </c>
      <c r="H18">
        <v>310</v>
      </c>
    </row>
    <row r="19" spans="1:14" x14ac:dyDescent="0.25">
      <c r="A19" t="s">
        <v>36</v>
      </c>
      <c r="C19" s="1">
        <v>5</v>
      </c>
    </row>
    <row r="20" spans="1:14" x14ac:dyDescent="0.25">
      <c r="A20" t="s">
        <v>62</v>
      </c>
      <c r="C20" s="2">
        <v>0.02</v>
      </c>
      <c r="H20">
        <f>F18/G18*H18</f>
        <v>58125</v>
      </c>
    </row>
    <row r="21" spans="1:14" x14ac:dyDescent="0.25">
      <c r="A21" t="s">
        <v>37</v>
      </c>
      <c r="C21">
        <v>0.25</v>
      </c>
    </row>
    <row r="22" spans="1:14" x14ac:dyDescent="0.25">
      <c r="A22" t="s">
        <v>38</v>
      </c>
      <c r="C22" s="1">
        <v>40000</v>
      </c>
    </row>
    <row r="24" spans="1:14" x14ac:dyDescent="0.25">
      <c r="A24" s="10" t="s">
        <v>3</v>
      </c>
      <c r="B24" s="10"/>
    </row>
    <row r="25" spans="1:14" x14ac:dyDescent="0.25">
      <c r="A25" s="26" t="s">
        <v>4</v>
      </c>
      <c r="B25" s="26"/>
      <c r="C25" s="37">
        <f t="shared" ref="C25:L25" si="9">C3*C4</f>
        <v>160000</v>
      </c>
      <c r="D25" s="37">
        <f t="shared" si="9"/>
        <v>183532.52116433892</v>
      </c>
      <c r="E25" s="37">
        <f t="shared" si="9"/>
        <v>210526.16453086567</v>
      </c>
      <c r="F25" s="37">
        <f t="shared" si="9"/>
        <v>241489.98592130121</v>
      </c>
      <c r="G25" s="37">
        <f t="shared" si="9"/>
        <v>277007.91220048198</v>
      </c>
      <c r="H25" s="37">
        <f t="shared" si="9"/>
        <v>317749.75317890185</v>
      </c>
      <c r="I25" s="37">
        <f t="shared" si="9"/>
        <v>364483.83312668919</v>
      </c>
      <c r="J25" s="37">
        <f t="shared" si="9"/>
        <v>418091.48010864656</v>
      </c>
      <c r="K25" s="37">
        <f t="shared" si="9"/>
        <v>479583.64638543717</v>
      </c>
      <c r="L25" s="37">
        <f t="shared" si="9"/>
        <v>550119.97331441299</v>
      </c>
    </row>
    <row r="26" spans="1:14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4" x14ac:dyDescent="0.25">
      <c r="A27" s="26" t="s">
        <v>13</v>
      </c>
      <c r="B27" s="26"/>
      <c r="C27" s="37">
        <f>C25*$M$27</f>
        <v>40000</v>
      </c>
      <c r="D27" s="37">
        <f t="shared" ref="D27:L27" si="10">D25*$M$27</f>
        <v>45883.13029108473</v>
      </c>
      <c r="E27" s="37">
        <f t="shared" si="10"/>
        <v>52631.541132716418</v>
      </c>
      <c r="F27" s="37">
        <f t="shared" si="10"/>
        <v>60372.496480325302</v>
      </c>
      <c r="G27" s="37">
        <f t="shared" si="10"/>
        <v>69251.978050120495</v>
      </c>
      <c r="H27" s="37">
        <f t="shared" si="10"/>
        <v>79437.438294725463</v>
      </c>
      <c r="I27" s="37">
        <f t="shared" si="10"/>
        <v>91120.958281672298</v>
      </c>
      <c r="J27" s="37">
        <f t="shared" si="10"/>
        <v>104522.87002716164</v>
      </c>
      <c r="K27" s="37">
        <f t="shared" si="10"/>
        <v>119895.91159635929</v>
      </c>
      <c r="L27" s="37">
        <f t="shared" si="10"/>
        <v>137529.99332860325</v>
      </c>
      <c r="M27" s="2">
        <v>0.25</v>
      </c>
      <c r="N27" t="s">
        <v>63</v>
      </c>
    </row>
    <row r="28" spans="1:14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4" x14ac:dyDescent="0.25">
      <c r="A29" t="s">
        <v>7</v>
      </c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4" x14ac:dyDescent="0.25">
      <c r="A30" s="26" t="s">
        <v>8</v>
      </c>
      <c r="B30" s="26"/>
      <c r="C30" s="37">
        <f t="shared" ref="C30:L30" si="11">C6*C7*C8*C9</f>
        <v>41850</v>
      </c>
      <c r="D30" s="37">
        <f t="shared" si="11"/>
        <v>42687</v>
      </c>
      <c r="E30" s="37">
        <f t="shared" si="11"/>
        <v>43540.740000000005</v>
      </c>
      <c r="F30" s="37">
        <f t="shared" si="11"/>
        <v>44411.554800000005</v>
      </c>
      <c r="G30" s="37">
        <f t="shared" si="11"/>
        <v>45299.785895999994</v>
      </c>
      <c r="H30" s="37">
        <f t="shared" si="11"/>
        <v>46205.78161392</v>
      </c>
      <c r="I30" s="37">
        <f t="shared" si="11"/>
        <v>47129.897246198409</v>
      </c>
      <c r="J30" s="37">
        <f t="shared" si="11"/>
        <v>48072.495191122369</v>
      </c>
      <c r="K30" s="37">
        <f t="shared" si="11"/>
        <v>49033.945094944807</v>
      </c>
      <c r="L30" s="37">
        <f t="shared" si="11"/>
        <v>50014.6239968437</v>
      </c>
    </row>
    <row r="31" spans="1:14" x14ac:dyDescent="0.25">
      <c r="A31" s="26" t="s">
        <v>9</v>
      </c>
      <c r="B31" s="26"/>
      <c r="C31" s="102">
        <f>C15*C17</f>
        <v>10000</v>
      </c>
      <c r="D31" s="103">
        <f t="shared" ref="D31:L33" si="12">C31*(1+$M31)</f>
        <v>10200</v>
      </c>
      <c r="E31" s="103">
        <f t="shared" si="12"/>
        <v>10404</v>
      </c>
      <c r="F31" s="103">
        <f t="shared" si="12"/>
        <v>10612.08</v>
      </c>
      <c r="G31" s="103">
        <f t="shared" si="12"/>
        <v>10824.321599999999</v>
      </c>
      <c r="H31" s="103">
        <f t="shared" si="12"/>
        <v>11040.808031999999</v>
      </c>
      <c r="I31" s="103">
        <f t="shared" si="12"/>
        <v>11261.62419264</v>
      </c>
      <c r="J31" s="103">
        <f t="shared" si="12"/>
        <v>11486.8566764928</v>
      </c>
      <c r="K31" s="103">
        <f t="shared" si="12"/>
        <v>11716.593810022656</v>
      </c>
      <c r="L31" s="103">
        <f>K31*(1+$M31)</f>
        <v>11950.925686223109</v>
      </c>
      <c r="M31" s="2">
        <v>0.02</v>
      </c>
    </row>
    <row r="32" spans="1:14" x14ac:dyDescent="0.25">
      <c r="A32" s="26" t="s">
        <v>25</v>
      </c>
      <c r="B32" s="26"/>
      <c r="C32" s="102">
        <f>C15*C18</f>
        <v>5000</v>
      </c>
      <c r="D32" s="103">
        <f t="shared" si="12"/>
        <v>5100</v>
      </c>
      <c r="E32" s="103">
        <f t="shared" si="12"/>
        <v>5202</v>
      </c>
      <c r="F32" s="103">
        <f t="shared" si="12"/>
        <v>5306.04</v>
      </c>
      <c r="G32" s="103">
        <f t="shared" si="12"/>
        <v>5412.1607999999997</v>
      </c>
      <c r="H32" s="103">
        <f t="shared" si="12"/>
        <v>5520.4040159999995</v>
      </c>
      <c r="I32" s="103">
        <f t="shared" si="12"/>
        <v>5630.8120963199999</v>
      </c>
      <c r="J32" s="103">
        <f t="shared" si="12"/>
        <v>5743.4283382464</v>
      </c>
      <c r="K32" s="103">
        <f t="shared" si="12"/>
        <v>5858.2969050113279</v>
      </c>
      <c r="L32" s="103">
        <f t="shared" si="12"/>
        <v>5975.4628431115543</v>
      </c>
      <c r="M32" s="2">
        <v>0.02</v>
      </c>
    </row>
    <row r="33" spans="1:14" x14ac:dyDescent="0.25">
      <c r="A33" s="26" t="s">
        <v>10</v>
      </c>
      <c r="B33" s="26"/>
      <c r="C33" s="102">
        <f>C20*(C53+C54)</f>
        <v>7700</v>
      </c>
      <c r="D33" s="103">
        <f>C33*(1+$M33)</f>
        <v>7854</v>
      </c>
      <c r="E33" s="103">
        <f t="shared" si="12"/>
        <v>8011.08</v>
      </c>
      <c r="F33" s="103">
        <f t="shared" si="12"/>
        <v>8171.3015999999998</v>
      </c>
      <c r="G33" s="103">
        <f t="shared" si="12"/>
        <v>8334.7276320000001</v>
      </c>
      <c r="H33" s="103">
        <f t="shared" si="12"/>
        <v>8501.4221846399996</v>
      </c>
      <c r="I33" s="103">
        <f t="shared" si="12"/>
        <v>8671.4506283327992</v>
      </c>
      <c r="J33" s="103">
        <f t="shared" si="12"/>
        <v>8844.8796408994549</v>
      </c>
      <c r="K33" s="103">
        <f t="shared" si="12"/>
        <v>9021.7772337174447</v>
      </c>
      <c r="L33" s="103">
        <f t="shared" si="12"/>
        <v>9202.2127783917931</v>
      </c>
      <c r="M33" s="2">
        <v>0.02</v>
      </c>
    </row>
    <row r="34" spans="1:14" x14ac:dyDescent="0.25">
      <c r="A34" s="26" t="s">
        <v>11</v>
      </c>
      <c r="B34" s="26"/>
      <c r="C34" s="37">
        <f>C25*$M$34</f>
        <v>8000</v>
      </c>
      <c r="D34" s="37">
        <f t="shared" ref="D34:L34" si="13">D25*$M$34</f>
        <v>9176.6260582169471</v>
      </c>
      <c r="E34" s="37">
        <f t="shared" si="13"/>
        <v>10526.308226543284</v>
      </c>
      <c r="F34" s="37">
        <f t="shared" si="13"/>
        <v>12074.499296065062</v>
      </c>
      <c r="G34" s="37">
        <f t="shared" si="13"/>
        <v>13850.395610024099</v>
      </c>
      <c r="H34" s="37">
        <f t="shared" si="13"/>
        <v>15887.487658945094</v>
      </c>
      <c r="I34" s="37">
        <f t="shared" si="13"/>
        <v>18224.19165633446</v>
      </c>
      <c r="J34" s="37">
        <f t="shared" si="13"/>
        <v>20904.574005432329</v>
      </c>
      <c r="K34" s="37">
        <f t="shared" si="13"/>
        <v>23979.182319271858</v>
      </c>
      <c r="L34" s="37">
        <f t="shared" si="13"/>
        <v>27505.99866572065</v>
      </c>
      <c r="M34" s="2">
        <v>0.05</v>
      </c>
      <c r="N34" t="s">
        <v>63</v>
      </c>
    </row>
    <row r="35" spans="1:14" x14ac:dyDescent="0.25">
      <c r="A35" s="26" t="s">
        <v>12</v>
      </c>
      <c r="B35" s="26"/>
      <c r="C35" s="37">
        <f>C25*$M$35</f>
        <v>4800</v>
      </c>
      <c r="D35" s="37">
        <f t="shared" ref="D35:L35" si="14">D25*$M$35</f>
        <v>5505.975634930167</v>
      </c>
      <c r="E35" s="37">
        <f t="shared" si="14"/>
        <v>6315.7849359259699</v>
      </c>
      <c r="F35" s="37">
        <f t="shared" si="14"/>
        <v>7244.6995776390359</v>
      </c>
      <c r="G35" s="37">
        <f t="shared" si="14"/>
        <v>8310.2373660144585</v>
      </c>
      <c r="H35" s="37">
        <f t="shared" si="14"/>
        <v>9532.4925953670554</v>
      </c>
      <c r="I35" s="37">
        <f t="shared" si="14"/>
        <v>10934.514993800676</v>
      </c>
      <c r="J35" s="37">
        <f t="shared" si="14"/>
        <v>12542.744403259396</v>
      </c>
      <c r="K35" s="37">
        <f t="shared" si="14"/>
        <v>14387.509391563115</v>
      </c>
      <c r="L35" s="37">
        <f t="shared" si="14"/>
        <v>16503.599199432389</v>
      </c>
      <c r="M35" s="2">
        <v>0.03</v>
      </c>
      <c r="N35" t="s">
        <v>63</v>
      </c>
    </row>
    <row r="36" spans="1:14" x14ac:dyDescent="0.25">
      <c r="A36" s="26" t="s">
        <v>64</v>
      </c>
      <c r="B36" s="26"/>
      <c r="C36" s="37">
        <f>C54/$N$54</f>
        <v>12500</v>
      </c>
      <c r="D36" s="37">
        <f t="shared" ref="D36:L36" si="15">D54/$N$54</f>
        <v>12500</v>
      </c>
      <c r="E36" s="37">
        <f t="shared" si="15"/>
        <v>12500</v>
      </c>
      <c r="F36" s="37">
        <f t="shared" si="15"/>
        <v>12500</v>
      </c>
      <c r="G36" s="37">
        <f t="shared" si="15"/>
        <v>12500</v>
      </c>
      <c r="H36" s="37">
        <f t="shared" si="15"/>
        <v>12500</v>
      </c>
      <c r="I36" s="37">
        <f t="shared" si="15"/>
        <v>12500</v>
      </c>
      <c r="J36" s="37">
        <f t="shared" si="15"/>
        <v>12500</v>
      </c>
      <c r="K36" s="37">
        <f t="shared" si="15"/>
        <v>12500</v>
      </c>
      <c r="L36" s="37">
        <f t="shared" si="15"/>
        <v>12500</v>
      </c>
      <c r="M36" s="2"/>
    </row>
    <row r="37" spans="1:14" x14ac:dyDescent="0.25">
      <c r="A37" s="26" t="s">
        <v>65</v>
      </c>
      <c r="B37" s="26"/>
      <c r="C37" s="37">
        <f t="shared" ref="C37:I37" si="16">C56/$N$55</f>
        <v>3571.4285714285716</v>
      </c>
      <c r="D37" s="37">
        <f t="shared" si="16"/>
        <v>3571.4285714285716</v>
      </c>
      <c r="E37" s="37">
        <f t="shared" si="16"/>
        <v>3571.4285714285716</v>
      </c>
      <c r="F37" s="37">
        <f t="shared" si="16"/>
        <v>3571.4285714285716</v>
      </c>
      <c r="G37" s="37">
        <f t="shared" si="16"/>
        <v>3571.4285714285716</v>
      </c>
      <c r="H37" s="37">
        <f t="shared" si="16"/>
        <v>3571.4285714285716</v>
      </c>
      <c r="I37" s="37">
        <f t="shared" si="16"/>
        <v>3571.4285714285716</v>
      </c>
      <c r="J37" s="37">
        <v>0</v>
      </c>
      <c r="K37" s="37">
        <v>0</v>
      </c>
      <c r="L37" s="37">
        <v>0</v>
      </c>
    </row>
    <row r="38" spans="1:14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4" x14ac:dyDescent="0.25">
      <c r="A39" s="26" t="s">
        <v>43</v>
      </c>
      <c r="B39" s="26"/>
      <c r="C39" s="37">
        <f>Mortgage!F19</f>
        <v>11305.399609717493</v>
      </c>
      <c r="D39" s="37">
        <f>Mortgage!F31</f>
        <v>11093.917048591022</v>
      </c>
      <c r="E39" s="37">
        <f>Mortgage!F43</f>
        <v>10874.256695932123</v>
      </c>
      <c r="F39" s="37">
        <f>Mortgage!F55</f>
        <v>10646.102325788213</v>
      </c>
      <c r="G39" s="37">
        <f>Mortgage!F67</f>
        <v>10409.125484106647</v>
      </c>
      <c r="H39" s="37">
        <f>Mortgage!F79</f>
        <v>10162.985015887927</v>
      </c>
      <c r="I39" s="37">
        <f>Mortgage!F91</f>
        <v>9907.3265740544321</v>
      </c>
      <c r="J39" s="37">
        <f>Mortgage!F103</f>
        <v>9641.7821093276925</v>
      </c>
      <c r="K39" s="37">
        <f>Mortgage!F115</f>
        <v>9365.969340379761</v>
      </c>
      <c r="L39" s="37">
        <f>Mortgage!F127</f>
        <v>9079.4912034959416</v>
      </c>
      <c r="M39" s="2">
        <f>Mortgage!B3</f>
        <v>3.7999999999999999E-2</v>
      </c>
      <c r="N39" t="s">
        <v>155</v>
      </c>
    </row>
    <row r="40" spans="1:14" x14ac:dyDescent="0.25">
      <c r="A40" s="26" t="s">
        <v>44</v>
      </c>
      <c r="B40" s="26"/>
      <c r="C40" s="37">
        <f>C66*$M$40</f>
        <v>0</v>
      </c>
      <c r="D40" s="37">
        <f t="shared" ref="D40:L40" si="17">D66*$M$40</f>
        <v>0</v>
      </c>
      <c r="E40" s="37">
        <f t="shared" si="17"/>
        <v>0</v>
      </c>
      <c r="F40" s="37">
        <f t="shared" si="17"/>
        <v>0</v>
      </c>
      <c r="G40" s="37">
        <f t="shared" si="17"/>
        <v>0</v>
      </c>
      <c r="H40" s="37">
        <f t="shared" si="17"/>
        <v>0</v>
      </c>
      <c r="I40" s="37">
        <f t="shared" si="17"/>
        <v>0</v>
      </c>
      <c r="J40" s="37">
        <f t="shared" si="17"/>
        <v>0</v>
      </c>
      <c r="K40" s="37">
        <f t="shared" si="17"/>
        <v>0</v>
      </c>
      <c r="L40" s="37">
        <f t="shared" si="17"/>
        <v>0</v>
      </c>
      <c r="M40" s="2">
        <v>0.12</v>
      </c>
      <c r="N40" t="s">
        <v>54</v>
      </c>
    </row>
    <row r="41" spans="1:14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25">
      <c r="A42" s="26" t="s">
        <v>45</v>
      </c>
      <c r="B42" s="26"/>
      <c r="C42" s="37">
        <f>C25-SUM(C27:C40)</f>
        <v>15273.171818853938</v>
      </c>
      <c r="D42" s="37">
        <f t="shared" ref="D42:L42" si="18">D25-SUM(D27:D40)</f>
        <v>29960.443560087471</v>
      </c>
      <c r="E42" s="37">
        <f t="shared" si="18"/>
        <v>46949.024968319281</v>
      </c>
      <c r="F42" s="37">
        <f t="shared" si="18"/>
        <v>66579.783270055021</v>
      </c>
      <c r="G42" s="37">
        <f t="shared" si="18"/>
        <v>89243.751190787705</v>
      </c>
      <c r="H42" s="37">
        <f t="shared" si="18"/>
        <v>115389.50519598776</v>
      </c>
      <c r="I42" s="37">
        <f t="shared" si="18"/>
        <v>145531.62888590753</v>
      </c>
      <c r="J42" s="37">
        <f t="shared" si="18"/>
        <v>183831.84971670446</v>
      </c>
      <c r="K42" s="37">
        <f t="shared" si="18"/>
        <v>223824.46069416689</v>
      </c>
      <c r="L42" s="37">
        <f t="shared" si="18"/>
        <v>269857.66561259062</v>
      </c>
    </row>
    <row r="43" spans="1:14" x14ac:dyDescent="0.25">
      <c r="A43" s="26" t="s">
        <v>46</v>
      </c>
      <c r="B43" s="26"/>
      <c r="C43" s="37">
        <f>IF(C42&lt;0,0,C42*$M$43)</f>
        <v>5345.6101365988779</v>
      </c>
      <c r="D43" s="37">
        <f t="shared" ref="D43:L43" si="19">IF(D42&lt;0,0,D42*$M$43)</f>
        <v>10486.155246030614</v>
      </c>
      <c r="E43" s="37">
        <f t="shared" si="19"/>
        <v>16432.158738911749</v>
      </c>
      <c r="F43" s="37">
        <f t="shared" si="19"/>
        <v>23302.924144519257</v>
      </c>
      <c r="G43" s="37">
        <f t="shared" si="19"/>
        <v>31235.312916775696</v>
      </c>
      <c r="H43" s="37">
        <f t="shared" si="19"/>
        <v>40386.326818595713</v>
      </c>
      <c r="I43" s="37">
        <f t="shared" si="19"/>
        <v>50936.070110067631</v>
      </c>
      <c r="J43" s="37">
        <f t="shared" si="19"/>
        <v>64341.147400846552</v>
      </c>
      <c r="K43" s="37">
        <f t="shared" si="19"/>
        <v>78338.5612429584</v>
      </c>
      <c r="L43" s="37">
        <f t="shared" si="19"/>
        <v>94450.182964406704</v>
      </c>
      <c r="M43" s="2">
        <v>0.35</v>
      </c>
      <c r="N43" t="s">
        <v>55</v>
      </c>
    </row>
    <row r="44" spans="1:14" x14ac:dyDescent="0.25">
      <c r="A44" s="26" t="s">
        <v>47</v>
      </c>
      <c r="B44" s="26"/>
      <c r="C44" s="37">
        <f>C42-C43</f>
        <v>9927.5616822550601</v>
      </c>
      <c r="D44" s="37">
        <f t="shared" ref="D44:L44" si="20">D42-D43</f>
        <v>19474.288314056859</v>
      </c>
      <c r="E44" s="37">
        <f t="shared" si="20"/>
        <v>30516.866229407533</v>
      </c>
      <c r="F44" s="37">
        <f t="shared" si="20"/>
        <v>43276.859125535761</v>
      </c>
      <c r="G44" s="37">
        <f t="shared" si="20"/>
        <v>58008.438274012005</v>
      </c>
      <c r="H44" s="37">
        <f t="shared" si="20"/>
        <v>75003.178377392047</v>
      </c>
      <c r="I44" s="37">
        <f t="shared" si="20"/>
        <v>94595.558775839891</v>
      </c>
      <c r="J44" s="37">
        <f t="shared" si="20"/>
        <v>119490.7023158579</v>
      </c>
      <c r="K44" s="37">
        <f t="shared" si="20"/>
        <v>145485.89945120848</v>
      </c>
      <c r="L44" s="37">
        <f t="shared" si="20"/>
        <v>175407.48264818391</v>
      </c>
    </row>
    <row r="45" spans="1:14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4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4" x14ac:dyDescent="0.25">
      <c r="A47" s="10" t="s">
        <v>18</v>
      </c>
      <c r="B47" s="10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4" x14ac:dyDescent="0.25">
      <c r="A48" s="26" t="s">
        <v>19</v>
      </c>
      <c r="B48" s="26"/>
      <c r="C48" s="37">
        <f>C25*$M$48</f>
        <v>1600</v>
      </c>
      <c r="D48" s="37">
        <f t="shared" ref="D48:K48" si="21">D25*$M$48</f>
        <v>1835.3252116433891</v>
      </c>
      <c r="E48" s="37">
        <f t="shared" si="21"/>
        <v>2105.2616453086566</v>
      </c>
      <c r="F48" s="37">
        <f t="shared" si="21"/>
        <v>2414.899859213012</v>
      </c>
      <c r="G48" s="37">
        <f t="shared" si="21"/>
        <v>2770.07912200482</v>
      </c>
      <c r="H48" s="37">
        <f t="shared" si="21"/>
        <v>3177.4975317890185</v>
      </c>
      <c r="I48" s="37">
        <f t="shared" si="21"/>
        <v>3644.8383312668921</v>
      </c>
      <c r="J48" s="37">
        <f t="shared" si="21"/>
        <v>4180.9148010864656</v>
      </c>
      <c r="K48" s="37">
        <f t="shared" si="21"/>
        <v>4795.8364638543717</v>
      </c>
      <c r="L48" s="101">
        <f>L25*$M$48</f>
        <v>5501.1997331441298</v>
      </c>
      <c r="M48" s="2">
        <v>0.01</v>
      </c>
      <c r="N48" t="s">
        <v>63</v>
      </c>
    </row>
    <row r="49" spans="1:15" x14ac:dyDescent="0.25">
      <c r="A49" s="26" t="s">
        <v>20</v>
      </c>
      <c r="B49" s="26"/>
      <c r="C49" s="37">
        <v>63618</v>
      </c>
      <c r="D49" s="37">
        <v>98486.5</v>
      </c>
      <c r="E49" s="37">
        <v>144992</v>
      </c>
      <c r="F49" s="37">
        <v>204967</v>
      </c>
      <c r="G49" s="37">
        <v>280521</v>
      </c>
      <c r="H49" s="37">
        <v>374073</v>
      </c>
      <c r="I49" s="37">
        <v>488406</v>
      </c>
      <c r="J49" s="37">
        <v>626712</v>
      </c>
      <c r="K49" s="37">
        <v>791409</v>
      </c>
      <c r="L49" s="37">
        <v>987962</v>
      </c>
    </row>
    <row r="50" spans="1:15" x14ac:dyDescent="0.25">
      <c r="A50" s="26" t="s">
        <v>21</v>
      </c>
      <c r="B50" s="26"/>
      <c r="C50" s="37">
        <f t="shared" ref="C50:L50" si="22">C27/365*C12</f>
        <v>547.94520547945206</v>
      </c>
      <c r="D50" s="37">
        <f t="shared" si="22"/>
        <v>628.53603138472226</v>
      </c>
      <c r="E50" s="37">
        <f t="shared" si="22"/>
        <v>720.98001551666334</v>
      </c>
      <c r="F50" s="37">
        <f t="shared" si="22"/>
        <v>827.02049973048361</v>
      </c>
      <c r="G50" s="37">
        <f t="shared" si="22"/>
        <v>948.65723356329443</v>
      </c>
      <c r="H50" s="37">
        <f t="shared" si="22"/>
        <v>1088.184086229116</v>
      </c>
      <c r="I50" s="37">
        <f t="shared" si="22"/>
        <v>1248.2323052283878</v>
      </c>
      <c r="J50" s="37">
        <f t="shared" si="22"/>
        <v>1431.8201373583788</v>
      </c>
      <c r="K50" s="37">
        <f t="shared" si="22"/>
        <v>1642.4097478953329</v>
      </c>
      <c r="L50" s="37">
        <f t="shared" si="22"/>
        <v>1883.9725113507293</v>
      </c>
    </row>
    <row r="51" spans="1:15" x14ac:dyDescent="0.25">
      <c r="A51" s="26" t="s">
        <v>22</v>
      </c>
      <c r="B51" s="26"/>
      <c r="C51" s="37">
        <f t="shared" ref="C51:L51" si="23">C25/365*C11</f>
        <v>1753.4246575342465</v>
      </c>
      <c r="D51" s="37">
        <f t="shared" si="23"/>
        <v>1910.7495354095556</v>
      </c>
      <c r="E51" s="37">
        <f t="shared" si="23"/>
        <v>2082.1902848121235</v>
      </c>
      <c r="F51" s="37">
        <f t="shared" si="23"/>
        <v>2269.0134430605544</v>
      </c>
      <c r="G51" s="37">
        <f t="shared" si="23"/>
        <v>2472.5991867040416</v>
      </c>
      <c r="H51" s="37">
        <f t="shared" si="23"/>
        <v>2694.4515277278274</v>
      </c>
      <c r="I51" s="37">
        <f t="shared" si="23"/>
        <v>2936.2094246065194</v>
      </c>
      <c r="J51" s="37">
        <f t="shared" si="23"/>
        <v>3199.6588902893809</v>
      </c>
      <c r="K51" s="37">
        <f t="shared" si="23"/>
        <v>3486.7461865666614</v>
      </c>
      <c r="L51" s="37">
        <f t="shared" si="23"/>
        <v>3799.5922022917971</v>
      </c>
    </row>
    <row r="52" spans="1:15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5" x14ac:dyDescent="0.25">
      <c r="A53" s="26" t="s">
        <v>26</v>
      </c>
      <c r="B53" s="26"/>
      <c r="C53" s="37">
        <f>C21*C22</f>
        <v>10000</v>
      </c>
      <c r="D53" s="37">
        <f>C53</f>
        <v>10000</v>
      </c>
      <c r="E53" s="37">
        <f t="shared" ref="E53:L53" si="24">D53</f>
        <v>10000</v>
      </c>
      <c r="F53" s="37">
        <f t="shared" si="24"/>
        <v>10000</v>
      </c>
      <c r="G53" s="37">
        <f t="shared" si="24"/>
        <v>10000</v>
      </c>
      <c r="H53" s="37">
        <f t="shared" si="24"/>
        <v>10000</v>
      </c>
      <c r="I53" s="37">
        <f t="shared" si="24"/>
        <v>10000</v>
      </c>
      <c r="J53" s="37">
        <f t="shared" si="24"/>
        <v>10000</v>
      </c>
      <c r="K53" s="37">
        <f t="shared" si="24"/>
        <v>10000</v>
      </c>
      <c r="L53" s="37">
        <f t="shared" si="24"/>
        <v>10000</v>
      </c>
    </row>
    <row r="54" spans="1:15" x14ac:dyDescent="0.25">
      <c r="A54" s="26" t="s">
        <v>27</v>
      </c>
      <c r="B54" s="26"/>
      <c r="C54" s="37">
        <f>C15*C16</f>
        <v>375000</v>
      </c>
      <c r="D54" s="37">
        <f>C54</f>
        <v>375000</v>
      </c>
      <c r="E54" s="37">
        <f t="shared" ref="E54:L54" si="25">D54</f>
        <v>375000</v>
      </c>
      <c r="F54" s="37">
        <f t="shared" si="25"/>
        <v>375000</v>
      </c>
      <c r="G54" s="37">
        <f t="shared" si="25"/>
        <v>375000</v>
      </c>
      <c r="H54" s="37">
        <f t="shared" si="25"/>
        <v>375000</v>
      </c>
      <c r="I54" s="37">
        <f t="shared" si="25"/>
        <v>375000</v>
      </c>
      <c r="J54" s="37">
        <f t="shared" si="25"/>
        <v>375000</v>
      </c>
      <c r="K54" s="37">
        <f t="shared" si="25"/>
        <v>375000</v>
      </c>
      <c r="L54" s="37">
        <f t="shared" si="25"/>
        <v>375000</v>
      </c>
      <c r="N54">
        <v>30</v>
      </c>
      <c r="O54" t="s">
        <v>31</v>
      </c>
    </row>
    <row r="55" spans="1:15" x14ac:dyDescent="0.25">
      <c r="A55" s="26" t="s">
        <v>30</v>
      </c>
      <c r="B55" s="26"/>
      <c r="C55" s="37">
        <f>C36</f>
        <v>12500</v>
      </c>
      <c r="D55" s="37">
        <f>C55+D36</f>
        <v>25000</v>
      </c>
      <c r="E55" s="37">
        <f t="shared" ref="E55:L55" si="26">D55+E36</f>
        <v>37500</v>
      </c>
      <c r="F55" s="37">
        <f t="shared" si="26"/>
        <v>50000</v>
      </c>
      <c r="G55" s="37">
        <f t="shared" si="26"/>
        <v>62500</v>
      </c>
      <c r="H55" s="37">
        <f t="shared" si="26"/>
        <v>75000</v>
      </c>
      <c r="I55" s="37">
        <f t="shared" si="26"/>
        <v>87500</v>
      </c>
      <c r="J55" s="37">
        <f t="shared" si="26"/>
        <v>100000</v>
      </c>
      <c r="K55" s="37">
        <f t="shared" si="26"/>
        <v>112500</v>
      </c>
      <c r="L55" s="37">
        <f t="shared" si="26"/>
        <v>125000</v>
      </c>
      <c r="N55">
        <v>7</v>
      </c>
      <c r="O55" t="s">
        <v>31</v>
      </c>
    </row>
    <row r="56" spans="1:15" x14ac:dyDescent="0.25">
      <c r="A56" s="26" t="s">
        <v>28</v>
      </c>
      <c r="B56" s="26"/>
      <c r="C56" s="37">
        <f>C15*C19</f>
        <v>25000</v>
      </c>
      <c r="D56" s="37">
        <f>C56</f>
        <v>25000</v>
      </c>
      <c r="E56" s="37">
        <f t="shared" ref="E56:L56" si="27">D56</f>
        <v>25000</v>
      </c>
      <c r="F56" s="37">
        <f t="shared" si="27"/>
        <v>25000</v>
      </c>
      <c r="G56" s="37">
        <f t="shared" si="27"/>
        <v>25000</v>
      </c>
      <c r="H56" s="37">
        <f t="shared" si="27"/>
        <v>25000</v>
      </c>
      <c r="I56" s="37">
        <f t="shared" si="27"/>
        <v>25000</v>
      </c>
      <c r="J56" s="37">
        <f t="shared" si="27"/>
        <v>25000</v>
      </c>
      <c r="K56" s="37">
        <f t="shared" si="27"/>
        <v>25000</v>
      </c>
      <c r="L56" s="37">
        <f t="shared" si="27"/>
        <v>25000</v>
      </c>
    </row>
    <row r="57" spans="1:15" x14ac:dyDescent="0.25">
      <c r="A57" s="26" t="s">
        <v>30</v>
      </c>
      <c r="B57" s="26"/>
      <c r="C57" s="37">
        <f>C37</f>
        <v>3571.4285714285716</v>
      </c>
      <c r="D57" s="37">
        <f>C57+D37</f>
        <v>7142.8571428571431</v>
      </c>
      <c r="E57" s="37">
        <f t="shared" ref="E57:L57" si="28">D57+E37</f>
        <v>10714.285714285714</v>
      </c>
      <c r="F57" s="37">
        <f t="shared" si="28"/>
        <v>14285.714285714286</v>
      </c>
      <c r="G57" s="37">
        <f t="shared" si="28"/>
        <v>17857.142857142859</v>
      </c>
      <c r="H57" s="37">
        <f t="shared" si="28"/>
        <v>21428.571428571431</v>
      </c>
      <c r="I57" s="37">
        <f t="shared" si="28"/>
        <v>25000.000000000004</v>
      </c>
      <c r="J57" s="37">
        <f t="shared" si="28"/>
        <v>25000.000000000004</v>
      </c>
      <c r="K57" s="37">
        <f t="shared" si="28"/>
        <v>25000.000000000004</v>
      </c>
      <c r="L57" s="37">
        <f t="shared" si="28"/>
        <v>25000.000000000004</v>
      </c>
    </row>
    <row r="58" spans="1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5" x14ac:dyDescent="0.25">
      <c r="A59" s="27" t="s">
        <v>39</v>
      </c>
      <c r="B59" s="27"/>
      <c r="C59" s="100">
        <f>C48+C49+C50+C51+C53+C54-C55+C56-C57</f>
        <v>461447.9412915851</v>
      </c>
      <c r="D59" s="37">
        <f t="shared" ref="D59:L59" si="29">D48+D49+D50+D51+D53+D54-D55+D56-D57</f>
        <v>480718.25363558054</v>
      </c>
      <c r="E59" s="37">
        <f t="shared" si="29"/>
        <v>511686.14623135171</v>
      </c>
      <c r="F59" s="37">
        <f t="shared" si="29"/>
        <v>556192.21951628977</v>
      </c>
      <c r="G59" s="37">
        <f t="shared" si="29"/>
        <v>616355.19268512924</v>
      </c>
      <c r="H59" s="37">
        <f t="shared" si="29"/>
        <v>694604.56171717448</v>
      </c>
      <c r="I59" s="37">
        <f t="shared" si="29"/>
        <v>793735.28006110177</v>
      </c>
      <c r="J59" s="37">
        <f t="shared" si="29"/>
        <v>920524.39382873417</v>
      </c>
      <c r="K59" s="37">
        <f t="shared" si="29"/>
        <v>1073833.9923983165</v>
      </c>
      <c r="L59" s="37">
        <f t="shared" si="29"/>
        <v>1259146.7644467866</v>
      </c>
    </row>
    <row r="60" spans="1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5" x14ac:dyDescent="0.25">
      <c r="A61" s="10" t="s">
        <v>40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x14ac:dyDescent="0.25">
      <c r="A62" s="26" t="s">
        <v>41</v>
      </c>
      <c r="B62" s="26"/>
      <c r="C62" s="37">
        <f t="shared" ref="C62:L62" si="30">C27/365*C13</f>
        <v>1643.8356164383561</v>
      </c>
      <c r="D62" s="37">
        <f t="shared" si="30"/>
        <v>1979.8884988618752</v>
      </c>
      <c r="E62" s="37">
        <f t="shared" si="30"/>
        <v>2384.6414013213639</v>
      </c>
      <c r="F62" s="37">
        <f t="shared" si="30"/>
        <v>2872.1388180015038</v>
      </c>
      <c r="G62" s="37">
        <f t="shared" si="30"/>
        <v>3459.2963895116827</v>
      </c>
      <c r="H62" s="37">
        <f t="shared" si="30"/>
        <v>4166.4878575803932</v>
      </c>
      <c r="I62" s="37">
        <f t="shared" si="30"/>
        <v>5018.2520121715716</v>
      </c>
      <c r="J62" s="37">
        <f t="shared" si="30"/>
        <v>6044.1441613341149</v>
      </c>
      <c r="K62" s="37">
        <f t="shared" si="30"/>
        <v>7279.7616688805456</v>
      </c>
      <c r="L62" s="37">
        <f t="shared" si="30"/>
        <v>8767.9791449588756</v>
      </c>
    </row>
    <row r="63" spans="1:15" x14ac:dyDescent="0.25">
      <c r="A63" s="26" t="s">
        <v>42</v>
      </c>
      <c r="B63" s="26"/>
      <c r="C63" s="37">
        <f>C43</f>
        <v>5345.6101365988779</v>
      </c>
      <c r="D63" s="37">
        <f t="shared" ref="D63:L63" si="31">D43</f>
        <v>10486.155246030614</v>
      </c>
      <c r="E63" s="37">
        <f t="shared" si="31"/>
        <v>16432.158738911749</v>
      </c>
      <c r="F63" s="37">
        <f t="shared" si="31"/>
        <v>23302.924144519257</v>
      </c>
      <c r="G63" s="37">
        <f t="shared" si="31"/>
        <v>31235.312916775696</v>
      </c>
      <c r="H63" s="37">
        <f t="shared" si="31"/>
        <v>40386.326818595713</v>
      </c>
      <c r="I63" s="37">
        <f t="shared" si="31"/>
        <v>50936.070110067631</v>
      </c>
      <c r="J63" s="37">
        <f t="shared" si="31"/>
        <v>64341.147400846552</v>
      </c>
      <c r="K63" s="37">
        <f t="shared" si="31"/>
        <v>78338.5612429584</v>
      </c>
      <c r="L63" s="37">
        <f t="shared" si="31"/>
        <v>94450.182964406704</v>
      </c>
    </row>
    <row r="64" spans="1:15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  <c r="N64" s="17" t="s">
        <v>80</v>
      </c>
    </row>
    <row r="65" spans="1:17" x14ac:dyDescent="0.25">
      <c r="A65" s="26" t="s">
        <v>56</v>
      </c>
      <c r="B65" s="26"/>
      <c r="C65" s="37">
        <f>Mortgage!E19</f>
        <v>294530.9349739129</v>
      </c>
      <c r="D65" s="37">
        <f>Mortgage!E31</f>
        <v>288850.38738669938</v>
      </c>
      <c r="E65" s="37">
        <f>Mortgage!E43</f>
        <v>282950.17944682698</v>
      </c>
      <c r="F65" s="37">
        <f>Mortgage!E55</f>
        <v>276821.81713681063</v>
      </c>
      <c r="G65" s="37">
        <f>Mortgage!E67</f>
        <v>270456.47798511264</v>
      </c>
      <c r="H65" s="37">
        <f>Mortgage!E79</f>
        <v>263844.99836519593</v>
      </c>
      <c r="I65" s="37">
        <f>Mortgage!E91</f>
        <v>256977.86030344572</v>
      </c>
      <c r="J65" s="37">
        <f>Mortgage!E103</f>
        <v>249845.17777696886</v>
      </c>
      <c r="K65" s="37">
        <f>Mortgage!E115</f>
        <v>242436.68248154403</v>
      </c>
      <c r="L65" s="37">
        <f>Mortgage!E127</f>
        <v>234741.70904923536</v>
      </c>
      <c r="N65" s="11">
        <f>AVERAGE(C65:L65)</f>
        <v>266145.62249057525</v>
      </c>
    </row>
    <row r="66" spans="1:17" x14ac:dyDescent="0.25">
      <c r="A66" s="26" t="s">
        <v>57</v>
      </c>
      <c r="B66" s="26"/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N66" s="11">
        <f>AVERAGE(C66:L66)</f>
        <v>0</v>
      </c>
    </row>
    <row r="67" spans="1:17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7" x14ac:dyDescent="0.25">
      <c r="A68" s="26" t="s">
        <v>58</v>
      </c>
      <c r="B68" s="26"/>
      <c r="C68" s="37">
        <v>150000</v>
      </c>
      <c r="D68" s="37">
        <f>C68</f>
        <v>150000</v>
      </c>
      <c r="E68" s="37">
        <f t="shared" ref="E68:L68" si="32">D68</f>
        <v>150000</v>
      </c>
      <c r="F68" s="37">
        <f t="shared" si="32"/>
        <v>150000</v>
      </c>
      <c r="G68" s="37">
        <f t="shared" si="32"/>
        <v>150000</v>
      </c>
      <c r="H68" s="37">
        <f t="shared" si="32"/>
        <v>150000</v>
      </c>
      <c r="I68" s="37">
        <f t="shared" si="32"/>
        <v>150000</v>
      </c>
      <c r="J68" s="37">
        <f t="shared" si="32"/>
        <v>150000</v>
      </c>
      <c r="K68" s="37">
        <f t="shared" si="32"/>
        <v>150000</v>
      </c>
      <c r="L68" s="37">
        <f t="shared" si="32"/>
        <v>150000</v>
      </c>
      <c r="N68" s="11">
        <f>AVERAGE(C68:L68)</f>
        <v>150000</v>
      </c>
    </row>
    <row r="69" spans="1:17" x14ac:dyDescent="0.25">
      <c r="A69" s="26" t="s">
        <v>59</v>
      </c>
      <c r="B69" s="26"/>
      <c r="C69" s="37">
        <f>+C44</f>
        <v>9927.5616822550601</v>
      </c>
      <c r="D69" s="37">
        <f>C69+D44</f>
        <v>29401.849996311917</v>
      </c>
      <c r="E69" s="37">
        <f t="shared" ref="E69:L69" si="33">D69+E44</f>
        <v>59918.71622571945</v>
      </c>
      <c r="F69" s="37">
        <f t="shared" si="33"/>
        <v>103195.57535125522</v>
      </c>
      <c r="G69" s="37">
        <f t="shared" si="33"/>
        <v>161204.01362526722</v>
      </c>
      <c r="H69" s="37">
        <f t="shared" si="33"/>
        <v>236207.19200265926</v>
      </c>
      <c r="I69" s="37">
        <f t="shared" si="33"/>
        <v>330802.75077849918</v>
      </c>
      <c r="J69" s="37">
        <f t="shared" si="33"/>
        <v>450293.45309435704</v>
      </c>
      <c r="K69" s="37">
        <f t="shared" si="33"/>
        <v>595779.35254556546</v>
      </c>
      <c r="L69" s="37">
        <f t="shared" si="33"/>
        <v>771186.8351937494</v>
      </c>
      <c r="N69" s="11">
        <f>AVERAGE(C69:L69)</f>
        <v>274791.73004956392</v>
      </c>
    </row>
    <row r="70" spans="1:17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  <c r="M70" t="s">
        <v>94</v>
      </c>
      <c r="N70" s="11">
        <f>SUM(N68:N69)</f>
        <v>424791.73004956392</v>
      </c>
    </row>
    <row r="71" spans="1:17" x14ac:dyDescent="0.25">
      <c r="A71" s="27" t="s">
        <v>60</v>
      </c>
      <c r="B71" s="27"/>
      <c r="C71" s="100">
        <f>SUM(C62:C69)</f>
        <v>461447.94240920519</v>
      </c>
      <c r="D71" s="37">
        <f t="shared" ref="D71:L71" si="34">SUM(D62:D69)</f>
        <v>480718.28112790379</v>
      </c>
      <c r="E71" s="37">
        <f t="shared" si="34"/>
        <v>511685.69581277954</v>
      </c>
      <c r="F71" s="37">
        <f t="shared" si="34"/>
        <v>556192.45545058663</v>
      </c>
      <c r="G71" s="37">
        <f t="shared" si="34"/>
        <v>616355.10091666726</v>
      </c>
      <c r="H71" s="37">
        <f t="shared" si="34"/>
        <v>694605.00504403131</v>
      </c>
      <c r="I71" s="37">
        <f t="shared" si="34"/>
        <v>793734.93320418405</v>
      </c>
      <c r="J71" s="37">
        <f t="shared" si="34"/>
        <v>920523.92243350658</v>
      </c>
      <c r="K71" s="37">
        <f t="shared" si="34"/>
        <v>1073834.3579389486</v>
      </c>
      <c r="L71" s="37">
        <f t="shared" si="34"/>
        <v>1259146.7063523503</v>
      </c>
      <c r="M71" t="s">
        <v>93</v>
      </c>
      <c r="N71" s="11">
        <f>SUM(N70+N65+N66)</f>
        <v>690937.35254013911</v>
      </c>
    </row>
    <row r="72" spans="1:17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7" x14ac:dyDescent="0.25">
      <c r="A73" s="10" t="s">
        <v>61</v>
      </c>
      <c r="B73" s="10"/>
      <c r="C73" s="6">
        <f>C59-C71</f>
        <v>-1.1176200932823122E-3</v>
      </c>
      <c r="D73" s="9">
        <f t="shared" ref="D73:L73" si="35">D59-D71</f>
        <v>-2.7492323250044137E-2</v>
      </c>
      <c r="E73" s="6">
        <f t="shared" si="35"/>
        <v>0.45041857217438519</v>
      </c>
      <c r="F73" s="6">
        <f t="shared" si="35"/>
        <v>-0.235934296855703</v>
      </c>
      <c r="G73" s="6">
        <f t="shared" si="35"/>
        <v>9.1768461978062987E-2</v>
      </c>
      <c r="H73" s="6">
        <f t="shared" si="35"/>
        <v>-0.4433268568245694</v>
      </c>
      <c r="I73" s="6">
        <f t="shared" si="35"/>
        <v>0.34685691772028804</v>
      </c>
      <c r="J73" s="6">
        <f t="shared" si="35"/>
        <v>0.47139522759243846</v>
      </c>
      <c r="K73" s="6">
        <f t="shared" si="35"/>
        <v>-0.36554063204675913</v>
      </c>
      <c r="L73" s="6">
        <f t="shared" si="35"/>
        <v>5.8094436302781105E-2</v>
      </c>
    </row>
    <row r="74" spans="1:17" x14ac:dyDescent="0.25">
      <c r="A74" s="106"/>
      <c r="B74" s="10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23"/>
      <c r="N74" s="23"/>
      <c r="O74" s="23"/>
      <c r="P74" s="23"/>
      <c r="Q74" s="23"/>
    </row>
    <row r="75" spans="1:17" x14ac:dyDescent="0.25">
      <c r="A75" s="106" t="s">
        <v>66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0"/>
      <c r="P75" s="23"/>
      <c r="Q75" s="23"/>
    </row>
    <row r="76" spans="1:17" x14ac:dyDescent="0.25">
      <c r="A76" s="26" t="s">
        <v>67</v>
      </c>
      <c r="B76" s="26"/>
      <c r="C76" s="38">
        <f t="shared" ref="C76:L76" si="36">(C65+C66)/(C68+C69)</f>
        <v>1.8416521322265171</v>
      </c>
      <c r="D76" s="38">
        <f t="shared" si="36"/>
        <v>1.6100747422205373</v>
      </c>
      <c r="E76" s="38">
        <f t="shared" si="36"/>
        <v>1.3479035339687335</v>
      </c>
      <c r="F76" s="38">
        <f t="shared" si="36"/>
        <v>1.0933122221933738</v>
      </c>
      <c r="G76" s="38">
        <f t="shared" si="36"/>
        <v>0.86906487752044148</v>
      </c>
      <c r="H76" s="38">
        <f t="shared" si="36"/>
        <v>0.68316956242332016</v>
      </c>
      <c r="I76" s="38">
        <f t="shared" si="36"/>
        <v>0.53447668485123279</v>
      </c>
      <c r="J76" s="38">
        <f t="shared" si="36"/>
        <v>0.4162050685195412</v>
      </c>
      <c r="K76" s="38">
        <f t="shared" si="36"/>
        <v>0.32507829782902403</v>
      </c>
      <c r="L76" s="38">
        <f t="shared" si="36"/>
        <v>0.25482529719376973</v>
      </c>
    </row>
    <row r="77" spans="1:17" x14ac:dyDescent="0.25">
      <c r="A77" s="79" t="s">
        <v>71</v>
      </c>
      <c r="B77" s="79"/>
      <c r="C77" s="128">
        <f t="shared" ref="C77:L77" si="37">(C48+C49+C50+C51)/(C62+C66)</f>
        <v>41.074283333333334</v>
      </c>
      <c r="D77" s="128">
        <f t="shared" si="37"/>
        <v>51.952981613644731</v>
      </c>
      <c r="E77" s="128">
        <f t="shared" si="37"/>
        <v>62.860785635347717</v>
      </c>
      <c r="F77" s="128">
        <f t="shared" si="37"/>
        <v>73.282646536026121</v>
      </c>
      <c r="G77" s="128">
        <f t="shared" si="37"/>
        <v>82.881691320686372</v>
      </c>
      <c r="H77" s="128">
        <f t="shared" si="37"/>
        <v>91.451876537334627</v>
      </c>
      <c r="I77" s="128">
        <f t="shared" si="37"/>
        <v>98.886082017703131</v>
      </c>
      <c r="J77" s="128">
        <f t="shared" si="37"/>
        <v>105.14712701499427</v>
      </c>
      <c r="K77" s="128">
        <f t="shared" si="37"/>
        <v>110.07695428050222</v>
      </c>
      <c r="L77" s="128">
        <f t="shared" si="37"/>
        <v>113.95405348577309</v>
      </c>
      <c r="O77" s="10"/>
    </row>
    <row r="78" spans="1:17" x14ac:dyDescent="0.25">
      <c r="A78" s="26" t="s">
        <v>68</v>
      </c>
      <c r="B78" s="26"/>
      <c r="C78" s="99">
        <f t="shared" ref="C78:L78" si="38">C44/C25</f>
        <v>6.2047260514094128E-2</v>
      </c>
      <c r="D78" s="99">
        <f t="shared" si="38"/>
        <v>0.10610810656613368</v>
      </c>
      <c r="E78" s="99">
        <f t="shared" si="38"/>
        <v>0.14495521873687767</v>
      </c>
      <c r="F78" s="99">
        <f t="shared" si="38"/>
        <v>0.17920767588118203</v>
      </c>
      <c r="G78" s="99">
        <f t="shared" si="38"/>
        <v>0.20941076308329026</v>
      </c>
      <c r="H78" s="99">
        <f t="shared" si="38"/>
        <v>0.23604480452629398</v>
      </c>
      <c r="I78" s="99">
        <f t="shared" si="38"/>
        <v>0.25953293446340558</v>
      </c>
      <c r="J78" s="99">
        <f t="shared" si="38"/>
        <v>0.28580037623537957</v>
      </c>
      <c r="K78" s="99">
        <f t="shared" si="38"/>
        <v>0.30335875826400205</v>
      </c>
      <c r="L78" s="99">
        <f t="shared" si="38"/>
        <v>0.31885314323596164</v>
      </c>
    </row>
    <row r="79" spans="1:17" x14ac:dyDescent="0.25">
      <c r="A79" s="79" t="s">
        <v>69</v>
      </c>
      <c r="B79" s="79"/>
      <c r="C79" s="129">
        <f t="shared" ref="C79:L79" si="39">C44/(C68+C69)</f>
        <v>6.2075364482697439E-2</v>
      </c>
      <c r="D79" s="129">
        <f t="shared" si="39"/>
        <v>0.10855121234511911</v>
      </c>
      <c r="E79" s="129">
        <f t="shared" si="39"/>
        <v>0.1453746801528342</v>
      </c>
      <c r="F79" s="129">
        <f t="shared" si="39"/>
        <v>0.17092265165178455</v>
      </c>
      <c r="G79" s="129">
        <f t="shared" si="39"/>
        <v>0.1864000325646899</v>
      </c>
      <c r="H79" s="129">
        <f t="shared" si="39"/>
        <v>0.19420450973081727</v>
      </c>
      <c r="I79" s="129">
        <f t="shared" si="39"/>
        <v>0.1967450448706336</v>
      </c>
      <c r="J79" s="129">
        <f t="shared" si="39"/>
        <v>0.19905381559621269</v>
      </c>
      <c r="K79" s="129">
        <f t="shared" si="39"/>
        <v>0.19507901225023472</v>
      </c>
      <c r="L79" s="129">
        <f t="shared" si="39"/>
        <v>0.1904146650242686</v>
      </c>
      <c r="O79" s="2"/>
      <c r="P79" s="12"/>
      <c r="Q79" s="13"/>
    </row>
    <row r="80" spans="1:17" x14ac:dyDescent="0.25">
      <c r="A80" s="26" t="s">
        <v>70</v>
      </c>
      <c r="B80" s="26"/>
      <c r="C80" s="38">
        <f t="shared" ref="C80:L80" si="40">C44/C59</f>
        <v>2.1513936446369182E-2</v>
      </c>
      <c r="D80" s="38">
        <f t="shared" si="40"/>
        <v>4.051081515373408E-2</v>
      </c>
      <c r="E80" s="38">
        <f t="shared" si="40"/>
        <v>5.9639813299947657E-2</v>
      </c>
      <c r="F80" s="38">
        <f t="shared" si="40"/>
        <v>7.7809177487547121E-2</v>
      </c>
      <c r="G80" s="38">
        <f t="shared" si="40"/>
        <v>9.4115274702725113E-2</v>
      </c>
      <c r="H80" s="38">
        <f t="shared" si="40"/>
        <v>0.10797968011032363</v>
      </c>
      <c r="I80" s="38">
        <f t="shared" si="40"/>
        <v>0.11917771724668447</v>
      </c>
      <c r="J80" s="38">
        <f t="shared" si="40"/>
        <v>0.12980720893105352</v>
      </c>
      <c r="K80" s="38">
        <f t="shared" si="40"/>
        <v>0.13548267281638027</v>
      </c>
      <c r="L80" s="38">
        <f t="shared" si="40"/>
        <v>0.13930662223100751</v>
      </c>
    </row>
    <row r="82" spans="1:17" x14ac:dyDescent="0.25">
      <c r="A82" s="26" t="s">
        <v>76</v>
      </c>
      <c r="B82" s="26"/>
      <c r="C82" s="38">
        <f t="shared" ref="C82:L82" si="41">C44/C25</f>
        <v>6.2047260514094128E-2</v>
      </c>
      <c r="D82" s="38">
        <f t="shared" si="41"/>
        <v>0.10610810656613368</v>
      </c>
      <c r="E82" s="38">
        <f t="shared" si="41"/>
        <v>0.14495521873687767</v>
      </c>
      <c r="F82" s="38">
        <f t="shared" si="41"/>
        <v>0.17920767588118203</v>
      </c>
      <c r="G82" s="38">
        <f t="shared" si="41"/>
        <v>0.20941076308329026</v>
      </c>
      <c r="H82" s="38">
        <f t="shared" si="41"/>
        <v>0.23604480452629398</v>
      </c>
      <c r="I82" s="38">
        <f t="shared" si="41"/>
        <v>0.25953293446340558</v>
      </c>
      <c r="J82" s="38">
        <f t="shared" si="41"/>
        <v>0.28580037623537957</v>
      </c>
      <c r="K82" s="38">
        <f t="shared" si="41"/>
        <v>0.30335875826400205</v>
      </c>
      <c r="L82" s="38">
        <f t="shared" si="41"/>
        <v>0.31885314323596164</v>
      </c>
    </row>
    <row r="83" spans="1:17" x14ac:dyDescent="0.25">
      <c r="A83" s="79" t="s">
        <v>77</v>
      </c>
      <c r="B83" s="79"/>
      <c r="C83" s="129">
        <f t="shared" ref="C83:L83" si="42">C44/C59</f>
        <v>2.1513936446369182E-2</v>
      </c>
      <c r="D83" s="129">
        <f t="shared" si="42"/>
        <v>4.051081515373408E-2</v>
      </c>
      <c r="E83" s="129">
        <f t="shared" si="42"/>
        <v>5.9639813299947657E-2</v>
      </c>
      <c r="F83" s="129">
        <f t="shared" si="42"/>
        <v>7.7809177487547121E-2</v>
      </c>
      <c r="G83" s="129">
        <f t="shared" si="42"/>
        <v>9.4115274702725113E-2</v>
      </c>
      <c r="H83" s="129">
        <f t="shared" si="42"/>
        <v>0.10797968011032363</v>
      </c>
      <c r="I83" s="129">
        <f t="shared" si="42"/>
        <v>0.11917771724668447</v>
      </c>
      <c r="J83" s="129">
        <f t="shared" si="42"/>
        <v>0.12980720893105352</v>
      </c>
      <c r="K83" s="129">
        <f t="shared" si="42"/>
        <v>0.13548267281638027</v>
      </c>
      <c r="L83" s="129">
        <f t="shared" si="42"/>
        <v>0.13930662223100751</v>
      </c>
    </row>
    <row r="84" spans="1:17" x14ac:dyDescent="0.25">
      <c r="A84" s="26"/>
      <c r="B84" s="26"/>
      <c r="C84" s="38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</row>
    <row r="85" spans="1:17" x14ac:dyDescent="0.25">
      <c r="A85" s="10" t="s">
        <v>97</v>
      </c>
      <c r="C85" s="39"/>
      <c r="D85" s="40" t="s">
        <v>98</v>
      </c>
      <c r="E85" s="40"/>
      <c r="F85" s="40"/>
      <c r="G85" s="39"/>
      <c r="K85" s="39"/>
      <c r="L85" s="39"/>
      <c r="M85" s="39"/>
      <c r="N85" s="39"/>
      <c r="O85" s="39"/>
    </row>
    <row r="86" spans="1:17" x14ac:dyDescent="0.25">
      <c r="A86" s="27" t="s">
        <v>108</v>
      </c>
      <c r="B86" s="27"/>
      <c r="C86" s="75">
        <v>1.07</v>
      </c>
      <c r="D86" s="78" t="s">
        <v>99</v>
      </c>
      <c r="E86" s="79"/>
      <c r="F86" s="80">
        <f>C86</f>
        <v>1.07</v>
      </c>
      <c r="G86" s="39"/>
      <c r="H86" s="131" t="s">
        <v>81</v>
      </c>
      <c r="I86" s="132"/>
    </row>
    <row r="87" spans="1:17" x14ac:dyDescent="0.25">
      <c r="A87" s="17" t="s">
        <v>110</v>
      </c>
      <c r="B87" s="17"/>
      <c r="D87" s="25" t="s">
        <v>100</v>
      </c>
      <c r="E87" s="26"/>
      <c r="F87" s="81">
        <v>0.41449999999999998</v>
      </c>
      <c r="G87" s="39"/>
      <c r="H87" s="83" t="s">
        <v>83</v>
      </c>
      <c r="I87" s="83" t="s">
        <v>84</v>
      </c>
      <c r="J87" s="83" t="s">
        <v>92</v>
      </c>
      <c r="K87" s="82" t="s">
        <v>90</v>
      </c>
      <c r="M87" s="18" t="s">
        <v>85</v>
      </c>
      <c r="N87" s="19"/>
      <c r="O87" s="19"/>
      <c r="P87" s="19"/>
      <c r="Q87" s="29"/>
    </row>
    <row r="88" spans="1:17" x14ac:dyDescent="0.25">
      <c r="A88" s="23" t="s">
        <v>107</v>
      </c>
      <c r="B88" s="23"/>
      <c r="C88" s="77">
        <f>F91</f>
        <v>0.73279527443927839</v>
      </c>
      <c r="D88" s="25" t="s">
        <v>101</v>
      </c>
      <c r="E88" s="26"/>
      <c r="F88" s="28">
        <f>100%-F87</f>
        <v>0.58550000000000002</v>
      </c>
      <c r="G88" s="39" t="s">
        <v>156</v>
      </c>
      <c r="H88" s="84">
        <f>N65/N71</f>
        <v>0.38519501299521053</v>
      </c>
      <c r="I88" s="86">
        <f>Mortgage!B3</f>
        <v>3.7999999999999999E-2</v>
      </c>
      <c r="J88" s="88">
        <f>I88*(1-M43)</f>
        <v>2.47E-2</v>
      </c>
      <c r="K88" s="21">
        <f>J88*H88</f>
        <v>9.5143168209816994E-3</v>
      </c>
      <c r="L88" s="12"/>
      <c r="M88" s="90" t="s">
        <v>86</v>
      </c>
      <c r="N88" s="90" t="s">
        <v>88</v>
      </c>
      <c r="O88" s="36" t="s">
        <v>111</v>
      </c>
      <c r="P88" s="19" t="s">
        <v>87</v>
      </c>
      <c r="Q88" s="29" t="s">
        <v>89</v>
      </c>
    </row>
    <row r="89" spans="1:17" x14ac:dyDescent="0.25">
      <c r="A89" s="26" t="s">
        <v>109</v>
      </c>
      <c r="B89" s="26"/>
      <c r="C89" s="76">
        <f>F95</f>
        <v>1.0312230837404968</v>
      </c>
      <c r="D89" s="25" t="s">
        <v>102</v>
      </c>
      <c r="E89" s="26"/>
      <c r="F89" s="81">
        <f>M43</f>
        <v>0.35</v>
      </c>
      <c r="G89" s="39" t="s">
        <v>157</v>
      </c>
      <c r="H89" s="84">
        <f>N66/N71</f>
        <v>0</v>
      </c>
      <c r="I89" s="86">
        <v>0.12</v>
      </c>
      <c r="J89" s="88">
        <f>I89*H89</f>
        <v>0</v>
      </c>
      <c r="K89" s="22"/>
      <c r="M89" s="86">
        <v>0.159</v>
      </c>
      <c r="N89" s="88">
        <v>1.2E-2</v>
      </c>
      <c r="O89" s="92">
        <f>M89-N89</f>
        <v>0.14699999999999999</v>
      </c>
      <c r="P89" s="41">
        <f>F95</f>
        <v>1.0312230837404968</v>
      </c>
      <c r="Q89" s="94">
        <f>(O89*P89)+N89</f>
        <v>0.16358979330985302</v>
      </c>
    </row>
    <row r="90" spans="1:17" x14ac:dyDescent="0.25">
      <c r="C90" s="39"/>
      <c r="D90" s="30"/>
      <c r="E90" s="23"/>
      <c r="F90" s="22"/>
      <c r="G90" s="39"/>
      <c r="H90" s="84"/>
      <c r="I90" s="87"/>
      <c r="J90" s="88"/>
      <c r="K90" s="22"/>
      <c r="M90" s="87"/>
      <c r="N90" s="87"/>
      <c r="O90" s="30"/>
      <c r="P90" s="23"/>
      <c r="Q90" s="22"/>
    </row>
    <row r="91" spans="1:17" x14ac:dyDescent="0.25">
      <c r="A91" s="27" t="s">
        <v>96</v>
      </c>
      <c r="B91" s="33">
        <f>K94</f>
        <v>0.11009013757096209</v>
      </c>
      <c r="C91" s="75"/>
      <c r="D91" s="25" t="s">
        <v>103</v>
      </c>
      <c r="E91" s="26"/>
      <c r="F91" s="43">
        <f>F86/(1+(1-F89)*(F87/F88))</f>
        <v>0.73279527443927839</v>
      </c>
      <c r="G91" s="39"/>
      <c r="H91" s="84"/>
      <c r="I91" s="88"/>
      <c r="J91" s="88"/>
      <c r="K91" s="22"/>
      <c r="M91" s="87"/>
      <c r="N91" s="87"/>
      <c r="O91" s="30"/>
      <c r="P91" s="23"/>
      <c r="Q91" s="22"/>
    </row>
    <row r="92" spans="1:17" x14ac:dyDescent="0.25">
      <c r="C92" s="39"/>
      <c r="D92" s="30"/>
      <c r="E92" s="23"/>
      <c r="F92" s="22"/>
      <c r="G92" s="39"/>
      <c r="H92" s="84" t="s">
        <v>82</v>
      </c>
      <c r="I92" s="88"/>
      <c r="J92" s="88" t="s">
        <v>89</v>
      </c>
      <c r="K92" s="22"/>
      <c r="M92" s="87"/>
      <c r="N92" s="87"/>
      <c r="O92" s="30"/>
      <c r="P92" s="23"/>
      <c r="Q92" s="22"/>
    </row>
    <row r="93" spans="1:17" x14ac:dyDescent="0.25">
      <c r="C93" s="39"/>
      <c r="D93" s="25" t="s">
        <v>104</v>
      </c>
      <c r="E93" s="26"/>
      <c r="F93" s="81">
        <f>SUM(H88:H89)</f>
        <v>0.38519501299521053</v>
      </c>
      <c r="G93" s="39" t="s">
        <v>82</v>
      </c>
      <c r="H93" s="84">
        <f>N70/N71</f>
        <v>0.61480498700478958</v>
      </c>
      <c r="I93" s="87"/>
      <c r="J93" s="88">
        <f>Q89</f>
        <v>0.16358979330985302</v>
      </c>
      <c r="K93" s="24">
        <f>J93*H93</f>
        <v>0.10057582074998039</v>
      </c>
      <c r="L93" s="15"/>
      <c r="M93" s="87"/>
      <c r="N93" s="88"/>
      <c r="O93" s="31"/>
      <c r="P93" s="32"/>
      <c r="Q93" s="22"/>
    </row>
    <row r="94" spans="1:17" x14ac:dyDescent="0.25">
      <c r="C94" s="39"/>
      <c r="D94" s="25" t="s">
        <v>105</v>
      </c>
      <c r="E94" s="26"/>
      <c r="F94" s="81">
        <f>100%-F93</f>
        <v>0.61480498700478947</v>
      </c>
      <c r="G94" s="39"/>
      <c r="H94" s="85"/>
      <c r="I94" s="85"/>
      <c r="J94" s="89" t="s">
        <v>91</v>
      </c>
      <c r="K94" s="28">
        <f>SUM(K88:K93)</f>
        <v>0.11009013757096209</v>
      </c>
      <c r="L94" s="12"/>
      <c r="M94" s="85"/>
      <c r="N94" s="91"/>
      <c r="O94" s="93"/>
      <c r="P94" s="34"/>
      <c r="Q94" s="35"/>
    </row>
    <row r="95" spans="1:17" x14ac:dyDescent="0.25">
      <c r="A95" s="23"/>
      <c r="B95" s="23"/>
      <c r="C95" s="42"/>
      <c r="D95" s="25" t="s">
        <v>106</v>
      </c>
      <c r="E95" s="26"/>
      <c r="F95" s="43">
        <f>F91*(1+(1-F89)*(F93/F94))</f>
        <v>1.0312230837404968</v>
      </c>
      <c r="G95" s="42"/>
    </row>
    <row r="96" spans="1:17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1:14" x14ac:dyDescent="0.25">
      <c r="A97" s="10" t="s">
        <v>112</v>
      </c>
      <c r="B97" s="10">
        <f t="shared" ref="B97:L97" si="43">B2</f>
        <v>0</v>
      </c>
      <c r="C97" s="10">
        <f t="shared" si="43"/>
        <v>1</v>
      </c>
      <c r="D97" s="10">
        <f t="shared" si="43"/>
        <v>2</v>
      </c>
      <c r="E97" s="10">
        <f t="shared" si="43"/>
        <v>3</v>
      </c>
      <c r="F97" s="10">
        <f t="shared" si="43"/>
        <v>4</v>
      </c>
      <c r="G97" s="10">
        <f t="shared" si="43"/>
        <v>5</v>
      </c>
      <c r="H97" s="10">
        <f t="shared" si="43"/>
        <v>6</v>
      </c>
      <c r="I97" s="10">
        <f t="shared" si="43"/>
        <v>7</v>
      </c>
      <c r="J97" s="10">
        <f t="shared" si="43"/>
        <v>8</v>
      </c>
      <c r="K97" s="10">
        <f t="shared" si="43"/>
        <v>9</v>
      </c>
      <c r="L97" s="10">
        <f t="shared" si="43"/>
        <v>10</v>
      </c>
    </row>
    <row r="99" spans="1:14" x14ac:dyDescent="0.25">
      <c r="A99" s="126" t="s">
        <v>113</v>
      </c>
      <c r="B99" s="26"/>
      <c r="C99" s="95">
        <f t="shared" ref="C99:L99" si="44">C25-C27-SUM(C30:C35)</f>
        <v>42650</v>
      </c>
      <c r="D99" s="95">
        <f t="shared" si="44"/>
        <v>57125.78918010708</v>
      </c>
      <c r="E99" s="95">
        <f t="shared" si="44"/>
        <v>73894.710235680002</v>
      </c>
      <c r="F99" s="95">
        <f t="shared" si="44"/>
        <v>93297.314167271805</v>
      </c>
      <c r="G99" s="95">
        <f t="shared" si="44"/>
        <v>115724.30524632294</v>
      </c>
      <c r="H99" s="95">
        <f t="shared" si="44"/>
        <v>141623.91878330422</v>
      </c>
      <c r="I99" s="95">
        <f t="shared" si="44"/>
        <v>171510.38403139054</v>
      </c>
      <c r="J99" s="95">
        <f t="shared" si="44"/>
        <v>205973.63182603213</v>
      </c>
      <c r="K99" s="95">
        <f t="shared" si="44"/>
        <v>245690.43003454671</v>
      </c>
      <c r="L99" s="95">
        <f t="shared" si="44"/>
        <v>291437.15681608656</v>
      </c>
    </row>
    <row r="100" spans="1:14" x14ac:dyDescent="0.25">
      <c r="A100" s="23" t="s">
        <v>114</v>
      </c>
      <c r="B100" s="26"/>
      <c r="C100" s="95">
        <f t="shared" ref="C100:L100" si="45">SUM(C36:C37)</f>
        <v>16071.428571428572</v>
      </c>
      <c r="D100" s="95">
        <f t="shared" si="45"/>
        <v>16071.428571428572</v>
      </c>
      <c r="E100" s="95">
        <f t="shared" si="45"/>
        <v>16071.428571428572</v>
      </c>
      <c r="F100" s="95">
        <f t="shared" si="45"/>
        <v>16071.428571428572</v>
      </c>
      <c r="G100" s="95">
        <f t="shared" si="45"/>
        <v>16071.428571428572</v>
      </c>
      <c r="H100" s="95">
        <f t="shared" si="45"/>
        <v>16071.428571428572</v>
      </c>
      <c r="I100" s="95">
        <f t="shared" si="45"/>
        <v>16071.428571428572</v>
      </c>
      <c r="J100" s="95">
        <f t="shared" si="45"/>
        <v>12500</v>
      </c>
      <c r="K100" s="95">
        <f t="shared" si="45"/>
        <v>12500</v>
      </c>
      <c r="L100" s="95">
        <f t="shared" si="45"/>
        <v>12500</v>
      </c>
    </row>
    <row r="101" spans="1:14" x14ac:dyDescent="0.25">
      <c r="A101" s="23" t="s">
        <v>116</v>
      </c>
      <c r="B101" s="26"/>
      <c r="C101" s="95">
        <f>C99-C100</f>
        <v>26578.571428571428</v>
      </c>
      <c r="D101" s="95">
        <f t="shared" ref="D101:L101" si="46">D99-D100</f>
        <v>41054.360608678508</v>
      </c>
      <c r="E101" s="95">
        <f t="shared" si="46"/>
        <v>57823.28166425143</v>
      </c>
      <c r="F101" s="95">
        <f t="shared" si="46"/>
        <v>77225.885595843225</v>
      </c>
      <c r="G101" s="95">
        <f t="shared" si="46"/>
        <v>99652.87667489436</v>
      </c>
      <c r="H101" s="95">
        <f t="shared" si="46"/>
        <v>125552.49021187564</v>
      </c>
      <c r="I101" s="95">
        <f t="shared" si="46"/>
        <v>155438.95545996196</v>
      </c>
      <c r="J101" s="95">
        <f t="shared" si="46"/>
        <v>193473.63182603213</v>
      </c>
      <c r="K101" s="95">
        <f t="shared" si="46"/>
        <v>233190.43003454671</v>
      </c>
      <c r="L101" s="95">
        <f t="shared" si="46"/>
        <v>278937.15681608656</v>
      </c>
    </row>
    <row r="102" spans="1:14" x14ac:dyDescent="0.25">
      <c r="A102" s="23" t="s">
        <v>115</v>
      </c>
      <c r="B102" s="26"/>
      <c r="C102" s="98">
        <f>C101*$F$89</f>
        <v>9302.4999999999982</v>
      </c>
      <c r="D102" s="98">
        <f t="shared" ref="D102:L102" si="47">D101*$F$89</f>
        <v>14369.026213037476</v>
      </c>
      <c r="E102" s="98">
        <f t="shared" si="47"/>
        <v>20238.148582488</v>
      </c>
      <c r="F102" s="98">
        <f t="shared" si="47"/>
        <v>27029.059958545127</v>
      </c>
      <c r="G102" s="98">
        <f t="shared" si="47"/>
        <v>34878.506836213026</v>
      </c>
      <c r="H102" s="98">
        <f t="shared" si="47"/>
        <v>43943.371574156474</v>
      </c>
      <c r="I102" s="98">
        <f t="shared" si="47"/>
        <v>54403.634410986684</v>
      </c>
      <c r="J102" s="98">
        <f t="shared" si="47"/>
        <v>67715.771139111239</v>
      </c>
      <c r="K102" s="98">
        <f t="shared" si="47"/>
        <v>81616.650512091335</v>
      </c>
      <c r="L102" s="98">
        <f t="shared" si="47"/>
        <v>97628.004885630289</v>
      </c>
    </row>
    <row r="103" spans="1:14" x14ac:dyDescent="0.25">
      <c r="A103" s="23" t="s">
        <v>117</v>
      </c>
      <c r="B103" s="26"/>
      <c r="C103" s="98">
        <f>C99-C102</f>
        <v>33347.5</v>
      </c>
      <c r="D103" s="98">
        <f t="shared" ref="D103:L103" si="48">D99-D102</f>
        <v>42756.762967069604</v>
      </c>
      <c r="E103" s="98">
        <f t="shared" si="48"/>
        <v>53656.561653192002</v>
      </c>
      <c r="F103" s="98">
        <f t="shared" si="48"/>
        <v>66268.254208726677</v>
      </c>
      <c r="G103" s="98">
        <f t="shared" si="48"/>
        <v>80845.798410109914</v>
      </c>
      <c r="H103" s="98">
        <f t="shared" si="48"/>
        <v>97680.547209147742</v>
      </c>
      <c r="I103" s="98">
        <f t="shared" si="48"/>
        <v>117106.74962040386</v>
      </c>
      <c r="J103" s="98">
        <f t="shared" si="48"/>
        <v>138257.86068692087</v>
      </c>
      <c r="K103" s="98">
        <f t="shared" si="48"/>
        <v>164073.77952245536</v>
      </c>
      <c r="L103" s="98">
        <f t="shared" si="48"/>
        <v>193809.15193045628</v>
      </c>
    </row>
    <row r="105" spans="1:14" x14ac:dyDescent="0.25">
      <c r="A105" s="10" t="s">
        <v>118</v>
      </c>
      <c r="N105" t="s">
        <v>119</v>
      </c>
    </row>
    <row r="106" spans="1:14" x14ac:dyDescent="0.25">
      <c r="A106" t="s">
        <v>19</v>
      </c>
      <c r="B106" s="95">
        <f t="shared" ref="B106:L106" si="49">-(C48-B48)</f>
        <v>-1600</v>
      </c>
      <c r="C106" s="95">
        <f t="shared" si="49"/>
        <v>-235.32521164338914</v>
      </c>
      <c r="D106" s="95">
        <f t="shared" si="49"/>
        <v>-269.93643366526749</v>
      </c>
      <c r="E106" s="95">
        <f t="shared" si="49"/>
        <v>-309.63821390435533</v>
      </c>
      <c r="F106" s="95">
        <f t="shared" si="49"/>
        <v>-355.17926279180801</v>
      </c>
      <c r="G106" s="95">
        <f t="shared" si="49"/>
        <v>-407.4184097841985</v>
      </c>
      <c r="H106" s="95">
        <f t="shared" si="49"/>
        <v>-467.34079947787359</v>
      </c>
      <c r="I106" s="95">
        <f t="shared" si="49"/>
        <v>-536.0764698195735</v>
      </c>
      <c r="J106" s="95">
        <f t="shared" si="49"/>
        <v>-614.92166276790613</v>
      </c>
      <c r="K106" s="95">
        <f t="shared" si="49"/>
        <v>-705.36326928975814</v>
      </c>
      <c r="L106" s="95">
        <f t="shared" si="49"/>
        <v>5501.1897331441296</v>
      </c>
      <c r="N106" s="11">
        <f>SUM(B106:L106)</f>
        <v>-1.0000000000218279E-2</v>
      </c>
    </row>
    <row r="107" spans="1:14" x14ac:dyDescent="0.25">
      <c r="A107" t="s">
        <v>20</v>
      </c>
      <c r="B107" s="95">
        <f t="shared" ref="B107:L107" si="50">-(C49-B49)</f>
        <v>-63618</v>
      </c>
      <c r="C107" s="95">
        <f t="shared" si="50"/>
        <v>-34868.5</v>
      </c>
      <c r="D107" s="95">
        <f t="shared" si="50"/>
        <v>-46505.5</v>
      </c>
      <c r="E107" s="95">
        <f t="shared" si="50"/>
        <v>-59975</v>
      </c>
      <c r="F107" s="95">
        <f t="shared" si="50"/>
        <v>-75554</v>
      </c>
      <c r="G107" s="95">
        <f t="shared" si="50"/>
        <v>-93552</v>
      </c>
      <c r="H107" s="95">
        <f t="shared" si="50"/>
        <v>-114333</v>
      </c>
      <c r="I107" s="95">
        <f t="shared" si="50"/>
        <v>-138306</v>
      </c>
      <c r="J107" s="95">
        <f t="shared" si="50"/>
        <v>-164697</v>
      </c>
      <c r="K107" s="95">
        <f t="shared" si="50"/>
        <v>-196553</v>
      </c>
      <c r="L107" s="95">
        <f t="shared" si="50"/>
        <v>987962</v>
      </c>
      <c r="N107" s="11">
        <f t="shared" ref="N107:N109" si="51">SUM(B107:L107)</f>
        <v>0</v>
      </c>
    </row>
    <row r="108" spans="1:14" x14ac:dyDescent="0.25">
      <c r="A108" t="s">
        <v>21</v>
      </c>
      <c r="B108" s="95">
        <f t="shared" ref="B108:L108" si="52">-(C50-B50)</f>
        <v>-547.94520547945206</v>
      </c>
      <c r="C108" s="95">
        <f t="shared" si="52"/>
        <v>-80.590825905270208</v>
      </c>
      <c r="D108" s="95">
        <f t="shared" si="52"/>
        <v>-92.443984131941079</v>
      </c>
      <c r="E108" s="95">
        <f t="shared" si="52"/>
        <v>-106.04048421382026</v>
      </c>
      <c r="F108" s="95">
        <f t="shared" si="52"/>
        <v>-121.63673383281082</v>
      </c>
      <c r="G108" s="95">
        <f t="shared" si="52"/>
        <v>-139.52685266582159</v>
      </c>
      <c r="H108" s="95">
        <f t="shared" si="52"/>
        <v>-160.04821899927174</v>
      </c>
      <c r="I108" s="95">
        <f t="shared" si="52"/>
        <v>-183.58783212999106</v>
      </c>
      <c r="J108" s="95">
        <f t="shared" si="52"/>
        <v>-210.58961053695407</v>
      </c>
      <c r="K108" s="95">
        <f t="shared" si="52"/>
        <v>-241.56276345539641</v>
      </c>
      <c r="L108" s="95">
        <f t="shared" si="52"/>
        <v>1883.9725113507293</v>
      </c>
      <c r="N108" s="11">
        <f t="shared" si="51"/>
        <v>0</v>
      </c>
    </row>
    <row r="109" spans="1:14" x14ac:dyDescent="0.25">
      <c r="A109" t="s">
        <v>22</v>
      </c>
      <c r="B109" s="95">
        <f t="shared" ref="B109:L109" si="53">-(C51-B51)</f>
        <v>-1753.4246575342465</v>
      </c>
      <c r="C109" s="95">
        <f t="shared" si="53"/>
        <v>-157.32487787530908</v>
      </c>
      <c r="D109" s="95">
        <f t="shared" si="53"/>
        <v>-171.44074940256792</v>
      </c>
      <c r="E109" s="95">
        <f t="shared" si="53"/>
        <v>-186.8231582484309</v>
      </c>
      <c r="F109" s="95">
        <f t="shared" si="53"/>
        <v>-203.58574364348715</v>
      </c>
      <c r="G109" s="95">
        <f t="shared" si="53"/>
        <v>-221.85234102378581</v>
      </c>
      <c r="H109" s="95">
        <f t="shared" si="53"/>
        <v>-241.75789687869201</v>
      </c>
      <c r="I109" s="95">
        <f t="shared" si="53"/>
        <v>-263.4494656828615</v>
      </c>
      <c r="J109" s="95">
        <f t="shared" si="53"/>
        <v>-287.08729627728053</v>
      </c>
      <c r="K109" s="95">
        <f t="shared" si="53"/>
        <v>-312.84601572513566</v>
      </c>
      <c r="L109" s="95">
        <f t="shared" si="53"/>
        <v>3799.5922022917971</v>
      </c>
      <c r="N109" s="11">
        <f t="shared" si="51"/>
        <v>0</v>
      </c>
    </row>
    <row r="110" spans="1:14" x14ac:dyDescent="0.25">
      <c r="A110" t="s">
        <v>128</v>
      </c>
      <c r="B110" s="95">
        <f t="shared" ref="B110:L110" si="54">(C62-B62)</f>
        <v>1643.8356164383561</v>
      </c>
      <c r="C110" s="95">
        <f t="shared" si="54"/>
        <v>336.05288242351912</v>
      </c>
      <c r="D110" s="95">
        <f t="shared" si="54"/>
        <v>404.75290245948872</v>
      </c>
      <c r="E110" s="95">
        <f t="shared" si="54"/>
        <v>487.49741668013985</v>
      </c>
      <c r="F110" s="95">
        <f t="shared" si="54"/>
        <v>587.15757151017897</v>
      </c>
      <c r="G110" s="95">
        <f t="shared" si="54"/>
        <v>707.19146806871049</v>
      </c>
      <c r="H110" s="95">
        <f t="shared" si="54"/>
        <v>851.76415459117834</v>
      </c>
      <c r="I110" s="95">
        <f t="shared" si="54"/>
        <v>1025.8921491625433</v>
      </c>
      <c r="J110" s="95">
        <f t="shared" si="54"/>
        <v>1235.6175075464307</v>
      </c>
      <c r="K110" s="95">
        <f t="shared" si="54"/>
        <v>1488.21747607833</v>
      </c>
      <c r="L110" s="95">
        <f t="shared" si="54"/>
        <v>-8767.9791449588756</v>
      </c>
      <c r="N110" s="11"/>
    </row>
    <row r="111" spans="1:14" x14ac:dyDescent="0.25">
      <c r="A111" t="s">
        <v>129</v>
      </c>
      <c r="B111" s="95">
        <f>(C102-B102)</f>
        <v>9302.4999999999982</v>
      </c>
      <c r="C111" s="95">
        <f t="shared" ref="C111:L111" si="55">(D102-C102)</f>
        <v>5066.5262130374776</v>
      </c>
      <c r="D111" s="95">
        <f t="shared" si="55"/>
        <v>5869.1223694505243</v>
      </c>
      <c r="E111" s="95">
        <f t="shared" si="55"/>
        <v>6790.9113760571272</v>
      </c>
      <c r="F111" s="95">
        <f t="shared" si="55"/>
        <v>7849.4468776678987</v>
      </c>
      <c r="G111" s="95">
        <f t="shared" si="55"/>
        <v>9064.8647379434478</v>
      </c>
      <c r="H111" s="95">
        <f t="shared" si="55"/>
        <v>10460.26283683021</v>
      </c>
      <c r="I111" s="95">
        <f t="shared" si="55"/>
        <v>13312.136728124555</v>
      </c>
      <c r="J111" s="95">
        <f t="shared" si="55"/>
        <v>13900.879372980096</v>
      </c>
      <c r="K111" s="95">
        <f t="shared" si="55"/>
        <v>16011.354373538954</v>
      </c>
      <c r="L111" s="95">
        <f t="shared" si="55"/>
        <v>-97628.004885630289</v>
      </c>
    </row>
    <row r="113" spans="1:16" x14ac:dyDescent="0.25">
      <c r="A113" s="10" t="s">
        <v>120</v>
      </c>
    </row>
    <row r="114" spans="1:16" x14ac:dyDescent="0.25">
      <c r="A114" t="s">
        <v>26</v>
      </c>
      <c r="B114" s="11">
        <f t="shared" ref="B114:L114" si="56">-(C53-B53)</f>
        <v>-10000</v>
      </c>
      <c r="C114" s="11">
        <f t="shared" si="56"/>
        <v>0</v>
      </c>
      <c r="D114" s="11">
        <f t="shared" si="56"/>
        <v>0</v>
      </c>
      <c r="E114" s="11">
        <f t="shared" si="56"/>
        <v>0</v>
      </c>
      <c r="F114" s="11">
        <f t="shared" si="56"/>
        <v>0</v>
      </c>
      <c r="G114" s="11">
        <f t="shared" si="56"/>
        <v>0</v>
      </c>
      <c r="H114" s="11">
        <f t="shared" si="56"/>
        <v>0</v>
      </c>
      <c r="I114" s="11">
        <f t="shared" si="56"/>
        <v>0</v>
      </c>
      <c r="J114" s="11">
        <f t="shared" si="56"/>
        <v>0</v>
      </c>
      <c r="K114" s="11">
        <f t="shared" si="56"/>
        <v>0</v>
      </c>
      <c r="L114" s="44">
        <f t="shared" si="56"/>
        <v>10000</v>
      </c>
      <c r="M114" s="2">
        <v>0.3</v>
      </c>
    </row>
    <row r="115" spans="1:16" x14ac:dyDescent="0.25">
      <c r="A115" t="s">
        <v>122</v>
      </c>
      <c r="L115" s="44">
        <f>M114*L114</f>
        <v>3000</v>
      </c>
      <c r="M115" t="s">
        <v>121</v>
      </c>
      <c r="N115" s="11">
        <f>L114-0</f>
        <v>10000</v>
      </c>
      <c r="O115" t="s">
        <v>123</v>
      </c>
      <c r="P115" s="11">
        <f>L114+L115-N115</f>
        <v>3000</v>
      </c>
    </row>
    <row r="116" spans="1:16" x14ac:dyDescent="0.25">
      <c r="A116" t="s">
        <v>124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96">
        <f>-(P115*$F$89)</f>
        <v>-1050</v>
      </c>
      <c r="M116" s="26"/>
      <c r="N116" s="26"/>
      <c r="O116" s="26"/>
      <c r="P116" s="26"/>
    </row>
    <row r="117" spans="1:16" x14ac:dyDescent="0.25">
      <c r="L117" s="44"/>
    </row>
    <row r="118" spans="1:16" x14ac:dyDescent="0.25">
      <c r="A118" t="s">
        <v>27</v>
      </c>
      <c r="B118" s="11">
        <f t="shared" ref="B118:L118" si="57">-(C54-B54)</f>
        <v>-375000</v>
      </c>
      <c r="C118" s="11">
        <f t="shared" si="57"/>
        <v>0</v>
      </c>
      <c r="D118" s="11">
        <f t="shared" si="57"/>
        <v>0</v>
      </c>
      <c r="E118" s="11">
        <f t="shared" si="57"/>
        <v>0</v>
      </c>
      <c r="F118" s="11">
        <f t="shared" si="57"/>
        <v>0</v>
      </c>
      <c r="G118" s="11">
        <f t="shared" si="57"/>
        <v>0</v>
      </c>
      <c r="H118" s="11">
        <f t="shared" si="57"/>
        <v>0</v>
      </c>
      <c r="I118" s="11">
        <f t="shared" si="57"/>
        <v>0</v>
      </c>
      <c r="J118" s="11">
        <f t="shared" si="57"/>
        <v>0</v>
      </c>
      <c r="K118" s="11">
        <f t="shared" si="57"/>
        <v>0</v>
      </c>
      <c r="L118" s="44">
        <f t="shared" si="57"/>
        <v>375000</v>
      </c>
      <c r="M118" s="2">
        <v>-0.1</v>
      </c>
    </row>
    <row r="119" spans="1:16" x14ac:dyDescent="0.25">
      <c r="A119" t="s">
        <v>122</v>
      </c>
      <c r="L119" s="44">
        <f>M118*L118</f>
        <v>-37500</v>
      </c>
      <c r="M119" t="s">
        <v>121</v>
      </c>
      <c r="N119" s="11">
        <f>L118-L55</f>
        <v>250000</v>
      </c>
      <c r="O119" t="s">
        <v>123</v>
      </c>
      <c r="P119" s="11">
        <f>L118+L119-N119</f>
        <v>87500</v>
      </c>
    </row>
    <row r="120" spans="1:16" x14ac:dyDescent="0.25">
      <c r="A120" t="s">
        <v>124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96">
        <f>-(P119*$F$89)</f>
        <v>-30624.999999999996</v>
      </c>
      <c r="M120" s="26"/>
      <c r="N120" s="26"/>
      <c r="O120" s="26"/>
      <c r="P120" s="26"/>
    </row>
    <row r="121" spans="1:16" x14ac:dyDescent="0.25">
      <c r="L121" s="44"/>
    </row>
    <row r="122" spans="1:16" x14ac:dyDescent="0.25">
      <c r="A122" t="s">
        <v>28</v>
      </c>
      <c r="B122" s="11">
        <f t="shared" ref="B122:L122" si="58">-(C56-B56)</f>
        <v>-25000</v>
      </c>
      <c r="C122" s="11">
        <f t="shared" si="58"/>
        <v>0</v>
      </c>
      <c r="D122" s="11">
        <f t="shared" si="58"/>
        <v>0</v>
      </c>
      <c r="E122" s="11">
        <f t="shared" si="58"/>
        <v>0</v>
      </c>
      <c r="F122" s="11">
        <f t="shared" si="58"/>
        <v>0</v>
      </c>
      <c r="G122" s="11">
        <f t="shared" si="58"/>
        <v>0</v>
      </c>
      <c r="H122" s="11">
        <f t="shared" si="58"/>
        <v>0</v>
      </c>
      <c r="I122" s="11">
        <f t="shared" si="58"/>
        <v>0</v>
      </c>
      <c r="J122" s="11">
        <f t="shared" si="58"/>
        <v>0</v>
      </c>
      <c r="K122" s="11">
        <f t="shared" si="58"/>
        <v>0</v>
      </c>
      <c r="L122" s="44">
        <f t="shared" si="58"/>
        <v>25000</v>
      </c>
      <c r="M122" s="2">
        <v>-0.5</v>
      </c>
    </row>
    <row r="123" spans="1:16" x14ac:dyDescent="0.25">
      <c r="A123" t="s">
        <v>122</v>
      </c>
      <c r="L123" s="44">
        <f>M122*L122</f>
        <v>-12500</v>
      </c>
      <c r="M123" t="s">
        <v>121</v>
      </c>
      <c r="N123" s="11">
        <f>L122-L57</f>
        <v>0</v>
      </c>
      <c r="O123" t="s">
        <v>123</v>
      </c>
      <c r="P123" s="11">
        <f>L122+L123-N123</f>
        <v>12500</v>
      </c>
    </row>
    <row r="124" spans="1:16" x14ac:dyDescent="0.25">
      <c r="A124" t="s">
        <v>124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96">
        <f>-(P123*$F$89)</f>
        <v>-4375</v>
      </c>
      <c r="M124" s="26"/>
      <c r="N124" s="26"/>
      <c r="O124" s="26"/>
      <c r="P124" s="26"/>
    </row>
    <row r="126" spans="1:16" x14ac:dyDescent="0.25">
      <c r="A126" s="23" t="s">
        <v>112</v>
      </c>
      <c r="B126" s="96">
        <f>SUM(B103:B124)</f>
        <v>-466573.03424657532</v>
      </c>
      <c r="C126" s="96">
        <f t="shared" ref="C126:K126" si="59">SUM(C103:C124)</f>
        <v>3408.3381800370307</v>
      </c>
      <c r="D126" s="96">
        <f t="shared" si="59"/>
        <v>1991.317071779843</v>
      </c>
      <c r="E126" s="96">
        <f t="shared" si="59"/>
        <v>357.4685895626626</v>
      </c>
      <c r="F126" s="96">
        <f t="shared" si="59"/>
        <v>-1529.5430823633469</v>
      </c>
      <c r="G126" s="96">
        <f t="shared" si="59"/>
        <v>-3702.9429873517292</v>
      </c>
      <c r="H126" s="96">
        <f t="shared" si="59"/>
        <v>-6209.5727147867001</v>
      </c>
      <c r="I126" s="96">
        <f t="shared" si="59"/>
        <v>-7844.3352699414609</v>
      </c>
      <c r="J126" s="96">
        <f t="shared" si="59"/>
        <v>-12415.241002134746</v>
      </c>
      <c r="K126" s="96">
        <f t="shared" si="59"/>
        <v>-16239.420676397647</v>
      </c>
      <c r="L126" s="96">
        <f>SUM(L103:L124)</f>
        <v>1413509.9223466539</v>
      </c>
    </row>
    <row r="127" spans="1:16" x14ac:dyDescent="0.25">
      <c r="A127" s="23" t="s">
        <v>125</v>
      </c>
      <c r="B127" s="33">
        <f>IRR(B126:L126)</f>
        <v>0.11331070663151355</v>
      </c>
    </row>
    <row r="128" spans="1:16" x14ac:dyDescent="0.25">
      <c r="A128" s="23" t="s">
        <v>126</v>
      </c>
      <c r="B128" s="125">
        <f>-PV($B$129,B97,,B126)</f>
        <v>-466573.03424657532</v>
      </c>
      <c r="C128" s="97">
        <f t="shared" ref="C128:L128" si="60">-PV($B$129,C97,,C126)</f>
        <v>3070.325611121064</v>
      </c>
      <c r="D128" s="97">
        <f t="shared" si="60"/>
        <v>1615.9351524133569</v>
      </c>
      <c r="E128" s="97">
        <f t="shared" si="60"/>
        <v>261.31428650965393</v>
      </c>
      <c r="F128" s="97">
        <f t="shared" si="60"/>
        <v>-1007.2301961997841</v>
      </c>
      <c r="G128" s="97">
        <f t="shared" si="60"/>
        <v>-2196.6244040751517</v>
      </c>
      <c r="H128" s="97">
        <f t="shared" si="60"/>
        <v>-3318.2740566843568</v>
      </c>
      <c r="I128" s="97">
        <f t="shared" si="60"/>
        <v>-3776.1430452549339</v>
      </c>
      <c r="J128" s="97">
        <f t="shared" si="60"/>
        <v>-5383.8034996106726</v>
      </c>
      <c r="K128" s="97">
        <f t="shared" si="60"/>
        <v>-6343.754008007686</v>
      </c>
      <c r="L128" s="97">
        <f t="shared" si="60"/>
        <v>497412.1839514859</v>
      </c>
    </row>
    <row r="129" spans="1:2" x14ac:dyDescent="0.25">
      <c r="A129" s="23" t="s">
        <v>96</v>
      </c>
      <c r="B129" s="33">
        <f>B91</f>
        <v>0.11009013757096209</v>
      </c>
    </row>
    <row r="130" spans="1:2" x14ac:dyDescent="0.25">
      <c r="A130" s="23"/>
    </row>
    <row r="131" spans="1:2" x14ac:dyDescent="0.25">
      <c r="A131" s="106" t="s">
        <v>127</v>
      </c>
      <c r="B131" s="97">
        <f>SUM(B128:L128)</f>
        <v>13760.895545122097</v>
      </c>
    </row>
    <row r="135" spans="1:2" x14ac:dyDescent="0.25">
      <c r="B135" s="12"/>
    </row>
  </sheetData>
  <mergeCells count="1">
    <mergeCell ref="H86:I86"/>
  </mergeCells>
  <pageMargins left="0.7" right="0.7" top="0.75" bottom="0.75" header="0.3" footer="0.3"/>
  <pageSetup scale="39" fitToHeight="2" orientation="landscape" r:id="rId1"/>
  <rowBreaks count="1" manualBreakCount="1">
    <brk id="74" max="16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view="pageBreakPreview" topLeftCell="A65" zoomScale="41" zoomScaleNormal="19" workbookViewId="0">
      <selection activeCell="D93" sqref="D93"/>
    </sheetView>
  </sheetViews>
  <sheetFormatPr defaultColWidth="8.85546875" defaultRowHeight="15" x14ac:dyDescent="0.25"/>
  <cols>
    <col min="1" max="1" width="32.7109375" customWidth="1"/>
    <col min="2" max="2" width="18.5703125" bestFit="1" customWidth="1"/>
    <col min="3" max="3" width="28.42578125" customWidth="1"/>
    <col min="4" max="4" width="16.28515625" bestFit="1" customWidth="1"/>
    <col min="5" max="7" width="13" bestFit="1" customWidth="1"/>
    <col min="8" max="8" width="23" bestFit="1" customWidth="1"/>
    <col min="9" max="9" width="11" customWidth="1"/>
    <col min="10" max="10" width="8.42578125" customWidth="1"/>
    <col min="11" max="11" width="11" customWidth="1"/>
    <col min="12" max="12" width="6.7109375" bestFit="1" customWidth="1"/>
    <col min="13" max="13" width="30.5703125" bestFit="1" customWidth="1"/>
    <col min="14" max="14" width="14.42578125" bestFit="1" customWidth="1"/>
    <col min="15" max="15" width="15.28515625" customWidth="1"/>
    <col min="16" max="16" width="13.42578125" customWidth="1"/>
    <col min="17" max="17" width="17.28515625" customWidth="1"/>
    <col min="18" max="18" width="12.28515625" bestFit="1" customWidth="1"/>
    <col min="19" max="19" width="15.42578125" customWidth="1"/>
  </cols>
  <sheetData>
    <row r="1" spans="1:14" x14ac:dyDescent="0.25">
      <c r="A1" s="10" t="s">
        <v>0</v>
      </c>
    </row>
    <row r="2" spans="1:14" x14ac:dyDescent="0.25">
      <c r="B2" s="27">
        <v>0</v>
      </c>
      <c r="C2" s="27">
        <v>1</v>
      </c>
      <c r="D2" s="27">
        <v>2</v>
      </c>
      <c r="E2" s="27">
        <v>3</v>
      </c>
      <c r="F2" s="27">
        <v>4</v>
      </c>
      <c r="G2" s="27">
        <v>5</v>
      </c>
      <c r="M2" t="s">
        <v>78</v>
      </c>
      <c r="N2" s="12">
        <v>3.4000000000000002E-2</v>
      </c>
    </row>
    <row r="3" spans="1:14" x14ac:dyDescent="0.25">
      <c r="A3" s="26" t="s">
        <v>1</v>
      </c>
      <c r="B3" s="26"/>
      <c r="C3" s="104">
        <v>8</v>
      </c>
      <c r="D3" s="107">
        <f>C3*(1+$J3)</f>
        <v>8.681765428776675</v>
      </c>
      <c r="E3" s="107">
        <f>D3*(1+$J3)</f>
        <v>9.4216313700377299</v>
      </c>
      <c r="F3" s="107">
        <f>E3*(1+$J3)</f>
        <v>10.224549188883923</v>
      </c>
      <c r="G3" s="107">
        <f>F3*(1+$J3)</f>
        <v>11.095892209109881</v>
      </c>
      <c r="H3" s="3"/>
      <c r="I3" s="3"/>
      <c r="J3" s="2">
        <v>8.5220678597084279E-2</v>
      </c>
      <c r="K3" t="s">
        <v>5</v>
      </c>
      <c r="M3" t="s">
        <v>79</v>
      </c>
      <c r="N3" s="2">
        <v>0.12</v>
      </c>
    </row>
    <row r="4" spans="1:14" x14ac:dyDescent="0.25">
      <c r="A4" s="79" t="s">
        <v>2</v>
      </c>
      <c r="B4" s="79"/>
      <c r="C4" s="112">
        <v>20000</v>
      </c>
      <c r="D4" s="112">
        <f>C4*(1+$J4)</f>
        <v>21140</v>
      </c>
      <c r="E4" s="112">
        <f>D4*(1+$J4)</f>
        <v>22344.98</v>
      </c>
      <c r="F4" s="112">
        <f>E4*(1+$J4)</f>
        <v>23618.643859999996</v>
      </c>
      <c r="G4" s="112">
        <v>1000</v>
      </c>
      <c r="H4" s="5"/>
      <c r="I4" s="5"/>
      <c r="J4" s="15">
        <v>5.7000000000000002E-2</v>
      </c>
      <c r="K4" t="s">
        <v>153</v>
      </c>
    </row>
    <row r="6" spans="1:14" x14ac:dyDescent="0.25">
      <c r="A6" s="26" t="s">
        <v>14</v>
      </c>
      <c r="B6" s="26"/>
      <c r="C6" s="26">
        <v>1.5</v>
      </c>
      <c r="D6" s="103">
        <f t="shared" ref="D6:G9" si="0">C6*(1+$J6)</f>
        <v>1.5</v>
      </c>
      <c r="E6" s="103">
        <f t="shared" si="0"/>
        <v>1.5</v>
      </c>
      <c r="F6" s="103">
        <f t="shared" si="0"/>
        <v>1.5</v>
      </c>
      <c r="G6" s="103">
        <f t="shared" si="0"/>
        <v>1.5</v>
      </c>
      <c r="H6" s="4"/>
      <c r="I6" s="4"/>
      <c r="J6" s="2">
        <v>0</v>
      </c>
    </row>
    <row r="7" spans="1:14" x14ac:dyDescent="0.25">
      <c r="A7" s="26" t="s">
        <v>15</v>
      </c>
      <c r="B7" s="26"/>
      <c r="C7" s="104">
        <v>9</v>
      </c>
      <c r="D7" s="103">
        <f t="shared" si="0"/>
        <v>9.18</v>
      </c>
      <c r="E7" s="103">
        <f t="shared" si="0"/>
        <v>9.3635999999999999</v>
      </c>
      <c r="F7" s="103">
        <f t="shared" si="0"/>
        <v>9.550872</v>
      </c>
      <c r="G7" s="103">
        <f t="shared" si="0"/>
        <v>9.7418894399999996</v>
      </c>
      <c r="H7" s="4"/>
      <c r="I7" s="4"/>
      <c r="J7" s="2">
        <v>0.02</v>
      </c>
    </row>
    <row r="8" spans="1:14" x14ac:dyDescent="0.25">
      <c r="A8" s="26" t="s">
        <v>16</v>
      </c>
      <c r="B8" s="26"/>
      <c r="C8" s="26">
        <v>310</v>
      </c>
      <c r="D8" s="103">
        <f t="shared" si="0"/>
        <v>310</v>
      </c>
      <c r="E8" s="103">
        <f t="shared" si="0"/>
        <v>310</v>
      </c>
      <c r="F8" s="103">
        <f t="shared" si="0"/>
        <v>310</v>
      </c>
      <c r="G8" s="103">
        <f t="shared" si="0"/>
        <v>310</v>
      </c>
      <c r="H8" s="4"/>
      <c r="I8" s="4"/>
      <c r="J8" s="2">
        <v>0</v>
      </c>
    </row>
    <row r="9" spans="1:14" x14ac:dyDescent="0.25">
      <c r="A9" s="26" t="s">
        <v>17</v>
      </c>
      <c r="B9" s="26"/>
      <c r="C9" s="26">
        <v>10</v>
      </c>
      <c r="D9" s="103">
        <f t="shared" si="0"/>
        <v>10</v>
      </c>
      <c r="E9" s="103">
        <f t="shared" si="0"/>
        <v>10</v>
      </c>
      <c r="F9" s="103">
        <f t="shared" si="0"/>
        <v>10</v>
      </c>
      <c r="G9" s="103">
        <f t="shared" si="0"/>
        <v>10</v>
      </c>
      <c r="H9" s="4"/>
      <c r="I9" s="4"/>
      <c r="J9" s="2">
        <v>0</v>
      </c>
    </row>
    <row r="10" spans="1:14" x14ac:dyDescent="0.25">
      <c r="D10" s="4"/>
      <c r="E10" s="4"/>
      <c r="F10" s="4"/>
      <c r="G10" s="4"/>
      <c r="H10" s="4"/>
      <c r="I10" s="4"/>
    </row>
    <row r="11" spans="1:14" x14ac:dyDescent="0.25">
      <c r="A11" s="26" t="s">
        <v>23</v>
      </c>
      <c r="B11" s="26"/>
      <c r="C11" s="26">
        <v>4</v>
      </c>
      <c r="D11" s="103">
        <f t="shared" ref="D11:G13" si="1">C11*(1+$J11)</f>
        <v>3.8</v>
      </c>
      <c r="E11" s="103">
        <f t="shared" si="1"/>
        <v>3.61</v>
      </c>
      <c r="F11" s="103">
        <f t="shared" si="1"/>
        <v>3.4294999999999995</v>
      </c>
      <c r="G11" s="103">
        <f t="shared" si="1"/>
        <v>3.2580249999999995</v>
      </c>
      <c r="H11" s="4"/>
      <c r="I11" s="4"/>
      <c r="J11" s="2">
        <v>-0.05</v>
      </c>
    </row>
    <row r="12" spans="1:14" x14ac:dyDescent="0.25">
      <c r="A12" s="26" t="s">
        <v>24</v>
      </c>
      <c r="B12" s="98"/>
      <c r="C12" s="26">
        <v>5</v>
      </c>
      <c r="D12" s="103">
        <f t="shared" si="1"/>
        <v>5</v>
      </c>
      <c r="E12" s="103">
        <f t="shared" si="1"/>
        <v>5</v>
      </c>
      <c r="F12" s="103">
        <f t="shared" si="1"/>
        <v>5</v>
      </c>
      <c r="G12" s="103">
        <f t="shared" si="1"/>
        <v>5</v>
      </c>
      <c r="H12" s="4"/>
      <c r="I12" s="4"/>
      <c r="J12" s="2">
        <v>0</v>
      </c>
    </row>
    <row r="13" spans="1:14" x14ac:dyDescent="0.25">
      <c r="A13" s="26" t="s">
        <v>29</v>
      </c>
      <c r="B13" s="26"/>
      <c r="C13" s="26">
        <v>15</v>
      </c>
      <c r="D13" s="103">
        <f t="shared" si="1"/>
        <v>15.75</v>
      </c>
      <c r="E13" s="103">
        <f t="shared" si="1"/>
        <v>16.537500000000001</v>
      </c>
      <c r="F13" s="103">
        <f t="shared" si="1"/>
        <v>17.364375000000003</v>
      </c>
      <c r="G13" s="103">
        <f t="shared" si="1"/>
        <v>18.232593750000003</v>
      </c>
      <c r="H13" s="4"/>
      <c r="I13" s="4"/>
      <c r="J13" s="2">
        <v>0.05</v>
      </c>
    </row>
    <row r="15" spans="1:14" x14ac:dyDescent="0.25">
      <c r="A15" t="s">
        <v>32</v>
      </c>
      <c r="C15">
        <v>5000</v>
      </c>
    </row>
    <row r="16" spans="1:14" x14ac:dyDescent="0.25">
      <c r="A16" t="s">
        <v>33</v>
      </c>
      <c r="C16" s="1">
        <v>75</v>
      </c>
      <c r="E16" t="s">
        <v>73</v>
      </c>
      <c r="F16" t="s">
        <v>74</v>
      </c>
    </row>
    <row r="17" spans="1:15" x14ac:dyDescent="0.25">
      <c r="A17" t="s">
        <v>34</v>
      </c>
      <c r="C17" s="1">
        <v>2</v>
      </c>
      <c r="E17" t="s">
        <v>75</v>
      </c>
      <c r="F17" t="s">
        <v>72</v>
      </c>
    </row>
    <row r="18" spans="1:15" x14ac:dyDescent="0.25">
      <c r="A18" t="s">
        <v>35</v>
      </c>
      <c r="C18" s="1">
        <v>1</v>
      </c>
      <c r="E18" s="8">
        <f>C4*C3/310</f>
        <v>516.12903225806451</v>
      </c>
      <c r="F18">
        <v>1500</v>
      </c>
      <c r="G18">
        <v>8</v>
      </c>
      <c r="H18">
        <v>310</v>
      </c>
    </row>
    <row r="19" spans="1:15" x14ac:dyDescent="0.25">
      <c r="A19" t="s">
        <v>36</v>
      </c>
      <c r="C19" s="1">
        <v>5</v>
      </c>
    </row>
    <row r="20" spans="1:15" x14ac:dyDescent="0.25">
      <c r="A20" t="s">
        <v>62</v>
      </c>
      <c r="C20" s="2">
        <v>0.02</v>
      </c>
      <c r="H20">
        <f>F18/G18*H18</f>
        <v>58125</v>
      </c>
    </row>
    <row r="21" spans="1:15" x14ac:dyDescent="0.25">
      <c r="A21" t="s">
        <v>37</v>
      </c>
      <c r="C21">
        <v>0.25</v>
      </c>
    </row>
    <row r="22" spans="1:15" x14ac:dyDescent="0.25">
      <c r="A22" t="s">
        <v>38</v>
      </c>
      <c r="C22" s="1">
        <v>40000</v>
      </c>
    </row>
    <row r="23" spans="1:15" x14ac:dyDescent="0.25">
      <c r="M23" s="10"/>
    </row>
    <row r="25" spans="1:15" x14ac:dyDescent="0.25">
      <c r="A25" s="10" t="s">
        <v>3</v>
      </c>
      <c r="B25" s="10"/>
    </row>
    <row r="26" spans="1:15" x14ac:dyDescent="0.25">
      <c r="A26" s="26" t="s">
        <v>4</v>
      </c>
      <c r="B26" s="26"/>
      <c r="C26" s="37">
        <f>C3*C4</f>
        <v>160000</v>
      </c>
      <c r="D26" s="37">
        <f t="shared" ref="D26:F26" si="2">D3*D4</f>
        <v>183532.52116433892</v>
      </c>
      <c r="E26" s="37">
        <f t="shared" si="2"/>
        <v>210526.16453086567</v>
      </c>
      <c r="F26" s="37">
        <f t="shared" si="2"/>
        <v>241489.98592130121</v>
      </c>
      <c r="G26" s="37">
        <f>G3*G4</f>
        <v>11095.892209109881</v>
      </c>
      <c r="H26" s="6"/>
      <c r="I26" s="6"/>
      <c r="M26" s="2"/>
      <c r="O26" s="7"/>
    </row>
    <row r="27" spans="1:15" x14ac:dyDescent="0.25">
      <c r="C27" s="6"/>
      <c r="D27" s="6"/>
      <c r="E27" s="6"/>
      <c r="F27" s="6"/>
      <c r="G27" s="6"/>
      <c r="H27" s="6"/>
      <c r="I27" s="6"/>
      <c r="M27" s="2"/>
      <c r="O27" s="7"/>
    </row>
    <row r="28" spans="1:15" x14ac:dyDescent="0.25">
      <c r="A28" s="26" t="s">
        <v>13</v>
      </c>
      <c r="B28" s="26"/>
      <c r="C28" s="37">
        <f>C26*$J$28</f>
        <v>40000</v>
      </c>
      <c r="D28" s="37">
        <f>D26*$J$28</f>
        <v>45883.13029108473</v>
      </c>
      <c r="E28" s="37">
        <f>E26*$J$28</f>
        <v>52631.541132716418</v>
      </c>
      <c r="F28" s="101">
        <f>F26*$J$28</f>
        <v>60372.496480325302</v>
      </c>
      <c r="G28" s="101">
        <f>G26*$J$28</f>
        <v>2773.9730522774703</v>
      </c>
      <c r="H28" s="6"/>
      <c r="I28" s="6"/>
      <c r="J28" s="2">
        <v>0.25</v>
      </c>
      <c r="K28" t="s">
        <v>63</v>
      </c>
      <c r="M28" s="2"/>
      <c r="O28" s="7"/>
    </row>
    <row r="29" spans="1:15" x14ac:dyDescent="0.25">
      <c r="C29" s="6"/>
      <c r="D29" s="6"/>
      <c r="E29" s="6"/>
      <c r="F29" s="6"/>
      <c r="G29" s="6"/>
      <c r="H29" s="6"/>
      <c r="I29" s="6"/>
      <c r="M29" s="2"/>
      <c r="O29" s="11"/>
    </row>
    <row r="30" spans="1:15" x14ac:dyDescent="0.25">
      <c r="A30" s="10" t="s">
        <v>7</v>
      </c>
      <c r="C30" s="6"/>
      <c r="D30" s="6"/>
      <c r="E30" s="6"/>
      <c r="F30" s="6"/>
      <c r="G30" s="6"/>
      <c r="H30" s="6"/>
      <c r="I30" s="6"/>
      <c r="M30" s="2"/>
      <c r="O30" s="11"/>
    </row>
    <row r="31" spans="1:15" x14ac:dyDescent="0.25">
      <c r="A31" s="26" t="s">
        <v>8</v>
      </c>
      <c r="B31" s="26"/>
      <c r="C31" s="37">
        <f>C6*C7*C8*C9</f>
        <v>41850</v>
      </c>
      <c r="D31" s="37">
        <f t="shared" ref="D31:G31" si="3">D6*D7*D8*D9</f>
        <v>42687</v>
      </c>
      <c r="E31" s="37">
        <f t="shared" si="3"/>
        <v>43540.740000000005</v>
      </c>
      <c r="F31" s="37">
        <f t="shared" si="3"/>
        <v>44411.554800000005</v>
      </c>
      <c r="G31" s="37">
        <f t="shared" si="3"/>
        <v>45299.785895999994</v>
      </c>
      <c r="H31" s="6"/>
      <c r="I31" s="6"/>
    </row>
    <row r="32" spans="1:15" x14ac:dyDescent="0.25">
      <c r="A32" s="26" t="s">
        <v>9</v>
      </c>
      <c r="B32" s="26"/>
      <c r="C32" s="102">
        <f>C15*C17</f>
        <v>10000</v>
      </c>
      <c r="D32" s="103">
        <f t="shared" ref="D32:G34" si="4">C32*(1+$J32)</f>
        <v>10200</v>
      </c>
      <c r="E32" s="103">
        <f t="shared" si="4"/>
        <v>10404</v>
      </c>
      <c r="F32" s="103">
        <f t="shared" si="4"/>
        <v>10612.08</v>
      </c>
      <c r="G32" s="103">
        <f t="shared" si="4"/>
        <v>10824.321599999999</v>
      </c>
      <c r="H32" s="4"/>
      <c r="I32" s="4"/>
      <c r="J32" s="2">
        <v>0.02</v>
      </c>
      <c r="M32" s="2"/>
      <c r="O32" s="11"/>
    </row>
    <row r="33" spans="1:15" x14ac:dyDescent="0.25">
      <c r="A33" s="26" t="s">
        <v>25</v>
      </c>
      <c r="B33" s="26"/>
      <c r="C33" s="102">
        <f>C15*C18</f>
        <v>5000</v>
      </c>
      <c r="D33" s="103">
        <f t="shared" si="4"/>
        <v>5100</v>
      </c>
      <c r="E33" s="103">
        <f t="shared" si="4"/>
        <v>5202</v>
      </c>
      <c r="F33" s="103">
        <f t="shared" si="4"/>
        <v>5306.04</v>
      </c>
      <c r="G33" s="103">
        <f t="shared" si="4"/>
        <v>5412.1607999999997</v>
      </c>
      <c r="H33" s="4"/>
      <c r="I33" s="4"/>
      <c r="J33" s="2">
        <v>0.02</v>
      </c>
      <c r="M33" s="2"/>
      <c r="N33" s="130" t="s">
        <v>133</v>
      </c>
      <c r="O33" s="11"/>
    </row>
    <row r="34" spans="1:15" x14ac:dyDescent="0.25">
      <c r="A34" s="26" t="s">
        <v>10</v>
      </c>
      <c r="B34" s="26"/>
      <c r="C34" s="102">
        <f>C20*(C54+C55)</f>
        <v>7700</v>
      </c>
      <c r="D34" s="103">
        <f t="shared" si="4"/>
        <v>7854</v>
      </c>
      <c r="E34" s="103">
        <f t="shared" si="4"/>
        <v>8011.08</v>
      </c>
      <c r="F34" s="103">
        <f t="shared" si="4"/>
        <v>8171.3015999999998</v>
      </c>
      <c r="G34" s="103">
        <f t="shared" si="4"/>
        <v>8334.7276320000001</v>
      </c>
      <c r="H34" s="4"/>
      <c r="I34" s="4"/>
      <c r="J34" s="2">
        <v>0.02</v>
      </c>
      <c r="N34" s="130" t="s">
        <v>133</v>
      </c>
    </row>
    <row r="35" spans="1:15" x14ac:dyDescent="0.25">
      <c r="A35" s="26" t="s">
        <v>11</v>
      </c>
      <c r="B35" s="26"/>
      <c r="C35" s="37">
        <f>C26*$J$35</f>
        <v>8000</v>
      </c>
      <c r="D35" s="37">
        <f>D26*$J$35</f>
        <v>9176.6260582169471</v>
      </c>
      <c r="E35" s="37">
        <f>E26*$J$35</f>
        <v>10526.308226543284</v>
      </c>
      <c r="F35" s="37">
        <f>F26*$J$35</f>
        <v>12074.499296065062</v>
      </c>
      <c r="G35" s="37">
        <f>G26*$J$35</f>
        <v>554.79461045549408</v>
      </c>
      <c r="H35" s="6"/>
      <c r="I35" s="6"/>
      <c r="J35" s="2">
        <v>0.05</v>
      </c>
      <c r="K35" t="s">
        <v>63</v>
      </c>
      <c r="M35" s="2"/>
      <c r="N35" s="130"/>
      <c r="O35" s="11"/>
    </row>
    <row r="36" spans="1:15" x14ac:dyDescent="0.25">
      <c r="A36" s="26" t="s">
        <v>12</v>
      </c>
      <c r="B36" s="26"/>
      <c r="C36" s="37">
        <f>C26*$J$36</f>
        <v>4800</v>
      </c>
      <c r="D36" s="37">
        <f>D26*$J$36</f>
        <v>5505.975634930167</v>
      </c>
      <c r="E36" s="37">
        <f>E26*$J$36</f>
        <v>6315.7849359259699</v>
      </c>
      <c r="F36" s="37">
        <f>F26*$J$36</f>
        <v>7244.6995776390359</v>
      </c>
      <c r="G36" s="37">
        <f>G26*$J$36</f>
        <v>332.87676627329643</v>
      </c>
      <c r="H36" s="6"/>
      <c r="I36" s="6"/>
      <c r="J36" s="2">
        <v>0.03</v>
      </c>
      <c r="K36" t="s">
        <v>63</v>
      </c>
      <c r="M36" s="2"/>
      <c r="N36" s="130" t="s">
        <v>133</v>
      </c>
      <c r="O36" s="11"/>
    </row>
    <row r="37" spans="1:15" x14ac:dyDescent="0.25">
      <c r="A37" s="26" t="s">
        <v>64</v>
      </c>
      <c r="B37" s="26"/>
      <c r="C37" s="37">
        <f>C55/$K$55</f>
        <v>12500</v>
      </c>
      <c r="D37" s="37">
        <f>D55/$K$55</f>
        <v>12500</v>
      </c>
      <c r="E37" s="37">
        <f>E55/$K$55</f>
        <v>12500</v>
      </c>
      <c r="F37" s="37">
        <f>F55/$K$55</f>
        <v>12500</v>
      </c>
      <c r="G37" s="37">
        <f>G55/$K$55</f>
        <v>12500</v>
      </c>
      <c r="H37" s="6"/>
      <c r="I37" s="6"/>
      <c r="J37" s="2"/>
      <c r="N37" s="130" t="s">
        <v>133</v>
      </c>
    </row>
    <row r="38" spans="1:15" x14ac:dyDescent="0.25">
      <c r="A38" s="26" t="s">
        <v>65</v>
      </c>
      <c r="B38" s="26"/>
      <c r="C38" s="37">
        <f>C57/$K$56</f>
        <v>3571.4285714285716</v>
      </c>
      <c r="D38" s="37">
        <f>D57/$K$56</f>
        <v>3571.4285714285716</v>
      </c>
      <c r="E38" s="37">
        <f>E57/$K$56</f>
        <v>3571.4285714285716</v>
      </c>
      <c r="F38" s="37">
        <f>F57/$K$56</f>
        <v>3571.4285714285716</v>
      </c>
      <c r="G38" s="37">
        <f>G57/$K$56</f>
        <v>3571.4285714285716</v>
      </c>
      <c r="H38" s="6"/>
      <c r="I38" s="6"/>
      <c r="N38" s="130"/>
    </row>
    <row r="39" spans="1:15" x14ac:dyDescent="0.25">
      <c r="C39" s="6"/>
      <c r="D39" s="6"/>
      <c r="E39" s="6"/>
      <c r="F39" s="6"/>
      <c r="G39" s="6"/>
      <c r="H39" s="6"/>
      <c r="I39" s="6"/>
      <c r="M39" s="2"/>
      <c r="N39" s="130"/>
      <c r="O39" s="11"/>
    </row>
    <row r="40" spans="1:15" x14ac:dyDescent="0.25">
      <c r="A40" s="26" t="s">
        <v>43</v>
      </c>
      <c r="B40" s="26"/>
      <c r="C40" s="37">
        <f>Mortgage!F19</f>
        <v>11305.399609717493</v>
      </c>
      <c r="D40" s="37">
        <f>Mortgage!F31</f>
        <v>11093.917048591022</v>
      </c>
      <c r="E40" s="37">
        <f>Mortgage!F43</f>
        <v>10874.256695932123</v>
      </c>
      <c r="F40" s="37">
        <f>Mortgage!F55</f>
        <v>10646.102325788213</v>
      </c>
      <c r="G40" s="37">
        <f>Mortgage!F67</f>
        <v>10409.125484106647</v>
      </c>
      <c r="H40" s="6"/>
      <c r="I40" s="6"/>
      <c r="M40" s="2"/>
      <c r="N40" s="130"/>
      <c r="O40" s="11"/>
    </row>
    <row r="41" spans="1:15" x14ac:dyDescent="0.25">
      <c r="A41" s="26" t="s">
        <v>44</v>
      </c>
      <c r="B41" s="26"/>
      <c r="C41" s="37">
        <f>C72*$J$41</f>
        <v>0</v>
      </c>
      <c r="D41" s="37">
        <f>D72*$J$41</f>
        <v>0</v>
      </c>
      <c r="E41" s="37">
        <f>E72*$J$41</f>
        <v>0</v>
      </c>
      <c r="F41" s="37">
        <f>F72*$J$41</f>
        <v>0</v>
      </c>
      <c r="G41" s="37">
        <f>G72*$J$41</f>
        <v>0</v>
      </c>
      <c r="H41" s="6"/>
      <c r="I41" s="6"/>
      <c r="J41" s="2">
        <v>0.12</v>
      </c>
      <c r="K41" t="s">
        <v>54</v>
      </c>
      <c r="M41" s="2"/>
      <c r="N41" s="130" t="s">
        <v>133</v>
      </c>
      <c r="O41" s="11"/>
    </row>
    <row r="42" spans="1:15" x14ac:dyDescent="0.25">
      <c r="C42" s="6"/>
      <c r="D42" s="6"/>
      <c r="E42" s="6"/>
      <c r="F42" s="6"/>
      <c r="G42" s="6"/>
      <c r="H42" s="6"/>
      <c r="I42" s="6"/>
      <c r="N42" s="130" t="s">
        <v>133</v>
      </c>
    </row>
    <row r="43" spans="1:15" x14ac:dyDescent="0.25">
      <c r="A43" s="26" t="s">
        <v>45</v>
      </c>
      <c r="B43" s="26"/>
      <c r="C43" s="37">
        <f>C26-SUM(C28:C41)</f>
        <v>15273.171818853938</v>
      </c>
      <c r="D43" s="37">
        <f t="shared" ref="D43:G43" si="5">D26-SUM(D28:D41)</f>
        <v>29960.443560087471</v>
      </c>
      <c r="E43" s="37">
        <f t="shared" si="5"/>
        <v>46949.024968319281</v>
      </c>
      <c r="F43" s="37">
        <f t="shared" si="5"/>
        <v>66579.783270055021</v>
      </c>
      <c r="G43" s="37">
        <f t="shared" si="5"/>
        <v>-88917.30220343158</v>
      </c>
      <c r="H43" s="6"/>
      <c r="I43" s="6"/>
      <c r="N43" s="130"/>
    </row>
    <row r="44" spans="1:15" x14ac:dyDescent="0.25">
      <c r="A44" s="26" t="s">
        <v>46</v>
      </c>
      <c r="B44" s="26"/>
      <c r="C44" s="37">
        <f>IF(C43&lt;0,0,C43*$J$44)</f>
        <v>5345.6101365988779</v>
      </c>
      <c r="D44" s="37">
        <f>IF(D43&lt;0,0,D43*$J$44)</f>
        <v>10486.155246030614</v>
      </c>
      <c r="E44" s="37">
        <f>IF(E43&lt;0,0,E43*$J$44)</f>
        <v>16432.158738911749</v>
      </c>
      <c r="F44" s="37">
        <f>IF(F43&lt;0,0,F43*$J$44)</f>
        <v>23302.924144519257</v>
      </c>
      <c r="G44" s="37">
        <f>IF(G43&lt;0,0,G43*$J$44)</f>
        <v>0</v>
      </c>
      <c r="H44" s="6"/>
      <c r="I44" s="6"/>
      <c r="J44" s="2">
        <v>0.35</v>
      </c>
      <c r="K44" t="s">
        <v>55</v>
      </c>
      <c r="M44" s="2"/>
      <c r="N44" s="130"/>
      <c r="O44" s="11"/>
    </row>
    <row r="45" spans="1:15" x14ac:dyDescent="0.25">
      <c r="A45" s="26" t="s">
        <v>47</v>
      </c>
      <c r="B45" s="26"/>
      <c r="C45" s="37">
        <f>C43-C44</f>
        <v>9927.5616822550601</v>
      </c>
      <c r="D45" s="37">
        <f t="shared" ref="D45:G45" si="6">D43-D44</f>
        <v>19474.288314056859</v>
      </c>
      <c r="E45" s="37">
        <f t="shared" si="6"/>
        <v>30516.866229407533</v>
      </c>
      <c r="F45" s="37">
        <f t="shared" si="6"/>
        <v>43276.859125535761</v>
      </c>
      <c r="G45" s="37">
        <f t="shared" si="6"/>
        <v>-88917.30220343158</v>
      </c>
      <c r="H45" s="6"/>
      <c r="I45" s="6"/>
      <c r="M45" s="2"/>
      <c r="N45" s="130" t="s">
        <v>133</v>
      </c>
      <c r="O45" s="11"/>
    </row>
    <row r="46" spans="1:15" x14ac:dyDescent="0.25">
      <c r="C46" s="6"/>
      <c r="D46" s="6"/>
      <c r="E46" s="6"/>
      <c r="F46" s="6"/>
      <c r="G46" s="6"/>
      <c r="H46" s="6"/>
      <c r="I46" s="6"/>
      <c r="M46" s="10" t="s">
        <v>130</v>
      </c>
      <c r="N46" s="130" t="s">
        <v>133</v>
      </c>
    </row>
    <row r="47" spans="1:15" x14ac:dyDescent="0.25">
      <c r="C47" s="6"/>
      <c r="D47" s="6"/>
      <c r="E47" s="6"/>
      <c r="F47" s="6"/>
      <c r="G47" s="6"/>
      <c r="H47" s="6"/>
      <c r="I47" s="6"/>
    </row>
    <row r="48" spans="1:15" x14ac:dyDescent="0.25">
      <c r="A48" s="10" t="s">
        <v>18</v>
      </c>
      <c r="B48" s="10"/>
      <c r="C48" s="6"/>
      <c r="D48" s="6"/>
      <c r="E48" s="6"/>
      <c r="F48" s="6"/>
      <c r="G48" s="6"/>
      <c r="H48" s="6"/>
      <c r="I48" s="6"/>
      <c r="M48" t="s">
        <v>131</v>
      </c>
      <c r="N48" t="s">
        <v>135</v>
      </c>
      <c r="O48" t="s">
        <v>132</v>
      </c>
    </row>
    <row r="49" spans="1:15" x14ac:dyDescent="0.25">
      <c r="A49" s="54" t="s">
        <v>19</v>
      </c>
      <c r="B49" s="109"/>
      <c r="C49" s="110">
        <f>C26*$J$49</f>
        <v>1600</v>
      </c>
      <c r="D49" s="110">
        <f>D26*$J$49</f>
        <v>1835.3252116433891</v>
      </c>
      <c r="E49" s="110">
        <f>E26*$J$49</f>
        <v>2105.2616453086566</v>
      </c>
      <c r="F49" s="110">
        <f>F26*$J$49</f>
        <v>2414.899859213012</v>
      </c>
      <c r="G49" s="111">
        <f>G26*$J$49</f>
        <v>110.95892209109881</v>
      </c>
      <c r="H49" s="50"/>
      <c r="I49" s="50"/>
      <c r="J49" s="51">
        <v>0.01</v>
      </c>
      <c r="K49" s="49"/>
      <c r="L49" s="49"/>
      <c r="M49" s="46">
        <v>1</v>
      </c>
      <c r="N49" s="45"/>
      <c r="O49" s="47">
        <f>G49*M49</f>
        <v>110.95892209109881</v>
      </c>
    </row>
    <row r="50" spans="1:15" x14ac:dyDescent="0.25">
      <c r="A50" s="54" t="s">
        <v>20</v>
      </c>
      <c r="B50" s="109"/>
      <c r="C50" s="110">
        <v>63618</v>
      </c>
      <c r="D50" s="110">
        <v>98486.5</v>
      </c>
      <c r="E50" s="110">
        <v>144992</v>
      </c>
      <c r="F50" s="110">
        <v>204967</v>
      </c>
      <c r="G50" s="110">
        <v>0</v>
      </c>
      <c r="H50" s="50"/>
      <c r="I50" s="50"/>
      <c r="J50" s="49"/>
      <c r="K50" s="49"/>
      <c r="L50" s="49"/>
      <c r="M50" s="46">
        <v>1</v>
      </c>
      <c r="N50" s="45"/>
      <c r="O50" s="47">
        <f>G50*M50</f>
        <v>0</v>
      </c>
    </row>
    <row r="51" spans="1:15" x14ac:dyDescent="0.25">
      <c r="A51" s="54" t="s">
        <v>21</v>
      </c>
      <c r="B51" s="109"/>
      <c r="C51" s="110">
        <f>C28/365*C12</f>
        <v>547.94520547945206</v>
      </c>
      <c r="D51" s="110">
        <f t="shared" ref="D51:G51" si="7">D28/365*D12</f>
        <v>628.53603138472226</v>
      </c>
      <c r="E51" s="110">
        <f t="shared" si="7"/>
        <v>720.98001551666334</v>
      </c>
      <c r="F51" s="110">
        <f t="shared" si="7"/>
        <v>827.02049973048361</v>
      </c>
      <c r="G51" s="110">
        <f t="shared" si="7"/>
        <v>37.999630853116031</v>
      </c>
      <c r="H51" s="50"/>
      <c r="I51" s="50"/>
      <c r="J51" s="49"/>
      <c r="K51" s="49"/>
      <c r="L51" s="49"/>
      <c r="M51" s="46">
        <v>0.2</v>
      </c>
      <c r="N51" s="45"/>
      <c r="O51" s="47">
        <f>G51*M51</f>
        <v>7.5999261706232062</v>
      </c>
    </row>
    <row r="52" spans="1:15" x14ac:dyDescent="0.25">
      <c r="A52" s="54" t="s">
        <v>22</v>
      </c>
      <c r="B52" s="109"/>
      <c r="C52" s="110">
        <f>C26/365*C11</f>
        <v>1753.4246575342465</v>
      </c>
      <c r="D52" s="110">
        <f t="shared" ref="D52:G52" si="8">D26/365*D11</f>
        <v>1910.7495354095556</v>
      </c>
      <c r="E52" s="110">
        <f t="shared" si="8"/>
        <v>2082.1902848121235</v>
      </c>
      <c r="F52" s="110">
        <f t="shared" si="8"/>
        <v>2269.0134430605544</v>
      </c>
      <c r="G52" s="110">
        <f t="shared" si="8"/>
        <v>99.042997848178672</v>
      </c>
      <c r="H52" s="50"/>
      <c r="I52" s="50"/>
      <c r="J52" s="49"/>
      <c r="K52" s="49"/>
      <c r="L52" s="49"/>
      <c r="M52" s="46">
        <v>0.5</v>
      </c>
      <c r="N52" s="45"/>
      <c r="O52" s="47">
        <f>G52*M52</f>
        <v>49.521498924089336</v>
      </c>
    </row>
    <row r="53" spans="1:15" x14ac:dyDescent="0.25">
      <c r="B53" s="49"/>
      <c r="C53" s="50"/>
      <c r="D53" s="50"/>
      <c r="E53" s="50"/>
      <c r="F53" s="50"/>
      <c r="G53" s="50"/>
      <c r="H53" s="50"/>
      <c r="I53" s="50"/>
      <c r="J53" s="49"/>
      <c r="K53" s="49"/>
      <c r="L53" s="49"/>
    </row>
    <row r="54" spans="1:15" x14ac:dyDescent="0.25">
      <c r="A54" s="54" t="s">
        <v>26</v>
      </c>
      <c r="B54" s="109"/>
      <c r="C54" s="110">
        <f>C21*C22</f>
        <v>10000</v>
      </c>
      <c r="D54" s="110">
        <f>C54</f>
        <v>10000</v>
      </c>
      <c r="E54" s="110">
        <f t="shared" ref="E54:G55" si="9">D54</f>
        <v>10000</v>
      </c>
      <c r="F54" s="110">
        <f t="shared" si="9"/>
        <v>10000</v>
      </c>
      <c r="G54" s="110">
        <f t="shared" si="9"/>
        <v>10000</v>
      </c>
      <c r="H54" s="50"/>
      <c r="I54" s="50"/>
      <c r="J54" s="49"/>
      <c r="K54" s="49"/>
      <c r="L54" s="49"/>
      <c r="M54" s="46">
        <v>0.9</v>
      </c>
      <c r="N54" s="48">
        <f>G54*M54</f>
        <v>9000</v>
      </c>
      <c r="O54" s="47"/>
    </row>
    <row r="55" spans="1:15" x14ac:dyDescent="0.25">
      <c r="A55" s="54" t="s">
        <v>27</v>
      </c>
      <c r="B55" s="109"/>
      <c r="C55" s="110">
        <f>C15*C16</f>
        <v>375000</v>
      </c>
      <c r="D55" s="110">
        <f>C55</f>
        <v>375000</v>
      </c>
      <c r="E55" s="110">
        <f t="shared" si="9"/>
        <v>375000</v>
      </c>
      <c r="F55" s="110">
        <f t="shared" si="9"/>
        <v>375000</v>
      </c>
      <c r="G55" s="110">
        <f t="shared" si="9"/>
        <v>375000</v>
      </c>
      <c r="H55" s="50"/>
      <c r="I55" s="50"/>
      <c r="J55" s="49"/>
      <c r="K55" s="49">
        <v>30</v>
      </c>
      <c r="L55" s="49" t="s">
        <v>31</v>
      </c>
      <c r="M55" s="46">
        <v>0.5</v>
      </c>
      <c r="N55" s="48">
        <f>G55*M55</f>
        <v>187500</v>
      </c>
      <c r="O55" s="47"/>
    </row>
    <row r="56" spans="1:15" x14ac:dyDescent="0.25">
      <c r="A56" s="26" t="s">
        <v>30</v>
      </c>
      <c r="B56" s="109"/>
      <c r="C56" s="110">
        <f>C37</f>
        <v>12500</v>
      </c>
      <c r="D56" s="110">
        <f>C56+D37</f>
        <v>25000</v>
      </c>
      <c r="E56" s="110">
        <f t="shared" ref="E56:G56" si="10">D56+E37</f>
        <v>37500</v>
      </c>
      <c r="F56" s="110">
        <f t="shared" si="10"/>
        <v>50000</v>
      </c>
      <c r="G56" s="110">
        <f t="shared" si="10"/>
        <v>62500</v>
      </c>
      <c r="H56" s="50"/>
      <c r="I56" s="50"/>
      <c r="J56" s="49"/>
      <c r="K56" s="49">
        <v>7</v>
      </c>
      <c r="L56" s="49" t="s">
        <v>31</v>
      </c>
      <c r="M56" s="2"/>
      <c r="O56" s="7"/>
    </row>
    <row r="57" spans="1:15" x14ac:dyDescent="0.25">
      <c r="A57" s="54" t="s">
        <v>28</v>
      </c>
      <c r="B57" s="109"/>
      <c r="C57" s="110">
        <f>C15*C19</f>
        <v>25000</v>
      </c>
      <c r="D57" s="110">
        <f>C57</f>
        <v>25000</v>
      </c>
      <c r="E57" s="110">
        <f t="shared" ref="E57:G57" si="11">D57</f>
        <v>25000</v>
      </c>
      <c r="F57" s="110">
        <f t="shared" si="11"/>
        <v>25000</v>
      </c>
      <c r="G57" s="110">
        <f t="shared" si="11"/>
        <v>25000</v>
      </c>
      <c r="H57" s="50"/>
      <c r="I57" s="50"/>
      <c r="J57" s="49"/>
      <c r="K57" s="49"/>
      <c r="L57" s="49"/>
      <c r="M57" s="46">
        <v>0.5</v>
      </c>
      <c r="N57" s="45"/>
      <c r="O57" s="47">
        <f>G57*M57</f>
        <v>12500</v>
      </c>
    </row>
    <row r="58" spans="1:15" x14ac:dyDescent="0.25">
      <c r="A58" s="26" t="s">
        <v>30</v>
      </c>
      <c r="B58" s="26"/>
      <c r="C58" s="37">
        <f>C38</f>
        <v>3571.4285714285716</v>
      </c>
      <c r="D58" s="37">
        <f>C58+D38</f>
        <v>7142.8571428571431</v>
      </c>
      <c r="E58" s="37">
        <f t="shared" ref="E58:G58" si="12">D58+E38</f>
        <v>10714.285714285714</v>
      </c>
      <c r="F58" s="37">
        <f t="shared" si="12"/>
        <v>14285.714285714286</v>
      </c>
      <c r="G58" s="37">
        <f t="shared" si="12"/>
        <v>17857.142857142859</v>
      </c>
      <c r="H58" s="6"/>
      <c r="I58" s="6"/>
      <c r="M58" s="2"/>
      <c r="O58" s="7"/>
    </row>
    <row r="59" spans="1:15" x14ac:dyDescent="0.25">
      <c r="C59" s="6"/>
      <c r="D59" s="6"/>
      <c r="E59" s="6"/>
      <c r="F59" s="6"/>
      <c r="G59" s="6"/>
      <c r="H59" s="6"/>
      <c r="I59" s="6"/>
      <c r="M59" s="2"/>
      <c r="O59" s="7"/>
    </row>
    <row r="60" spans="1:15" x14ac:dyDescent="0.25">
      <c r="A60" s="27" t="s">
        <v>39</v>
      </c>
      <c r="B60" s="27"/>
      <c r="C60" s="100">
        <f>C49+C50+C51+C52+C54+C55-C56+C57-C58</f>
        <v>461447.9412915851</v>
      </c>
      <c r="D60" s="37">
        <f t="shared" ref="D60:G60" si="13">D49+D50+D51+D52+D54+D55-D56+D57-D58</f>
        <v>480718.25363558054</v>
      </c>
      <c r="E60" s="37">
        <f t="shared" si="13"/>
        <v>511686.14623135171</v>
      </c>
      <c r="F60" s="37">
        <f t="shared" si="13"/>
        <v>556192.21951628977</v>
      </c>
      <c r="G60" s="37">
        <f t="shared" si="13"/>
        <v>329890.85869364953</v>
      </c>
      <c r="H60" s="6"/>
      <c r="I60" s="6"/>
    </row>
    <row r="61" spans="1:15" x14ac:dyDescent="0.25">
      <c r="C61" s="6"/>
      <c r="D61" s="6"/>
      <c r="E61" s="6"/>
      <c r="F61" s="6"/>
      <c r="G61" s="6"/>
      <c r="H61" s="6"/>
      <c r="I61" s="6"/>
    </row>
    <row r="62" spans="1:15" x14ac:dyDescent="0.25">
      <c r="A62" t="s">
        <v>40</v>
      </c>
      <c r="C62" s="6"/>
      <c r="D62" s="6"/>
      <c r="E62" s="6"/>
      <c r="F62" s="6"/>
      <c r="G62" s="6"/>
      <c r="H62" s="6"/>
      <c r="I62" s="6"/>
      <c r="M62" s="2"/>
      <c r="O62" s="11"/>
    </row>
    <row r="63" spans="1:15" x14ac:dyDescent="0.25">
      <c r="A63" s="54" t="s">
        <v>41</v>
      </c>
      <c r="B63" s="26"/>
      <c r="C63" s="37">
        <f>C28/365*C13</f>
        <v>1643.8356164383561</v>
      </c>
      <c r="D63" s="37">
        <f t="shared" ref="D63:G63" si="14">D28/365*D13</f>
        <v>1979.8884988618752</v>
      </c>
      <c r="E63" s="37">
        <f t="shared" si="14"/>
        <v>2384.6414013213639</v>
      </c>
      <c r="F63" s="37">
        <f t="shared" si="14"/>
        <v>2872.1388180015038</v>
      </c>
      <c r="G63" s="37">
        <f t="shared" si="14"/>
        <v>138.56636639896612</v>
      </c>
      <c r="H63" s="6"/>
      <c r="I63" s="6"/>
      <c r="M63" s="46">
        <v>-1</v>
      </c>
      <c r="N63" s="45"/>
      <c r="O63" s="47">
        <f>G63*M63</f>
        <v>-138.56636639896612</v>
      </c>
    </row>
    <row r="64" spans="1:15" x14ac:dyDescent="0.25">
      <c r="A64" s="54" t="s">
        <v>42</v>
      </c>
      <c r="B64" s="26"/>
      <c r="C64" s="37">
        <f>C44</f>
        <v>5345.6101365988779</v>
      </c>
      <c r="D64" s="37">
        <f t="shared" ref="D64:F64" si="15">D44</f>
        <v>10486.155246030614</v>
      </c>
      <c r="E64" s="37">
        <f t="shared" si="15"/>
        <v>16432.158738911749</v>
      </c>
      <c r="F64" s="37">
        <f t="shared" si="15"/>
        <v>23302.924144519257</v>
      </c>
      <c r="G64" s="37">
        <f>G44</f>
        <v>0</v>
      </c>
      <c r="H64" s="6"/>
      <c r="I64" s="6"/>
      <c r="M64" s="53">
        <v>-0.8</v>
      </c>
      <c r="N64" s="54"/>
      <c r="O64" s="71">
        <f>G64*M64</f>
        <v>0</v>
      </c>
    </row>
    <row r="65" spans="1:19" x14ac:dyDescent="0.25">
      <c r="A65" s="49"/>
      <c r="C65" s="6"/>
      <c r="D65" s="6"/>
      <c r="E65" s="6"/>
      <c r="F65" s="6"/>
      <c r="G65" s="6"/>
      <c r="H65" s="6"/>
      <c r="I65" s="6"/>
      <c r="M65" s="42" t="s">
        <v>136</v>
      </c>
      <c r="N65" s="3">
        <f>SUM(N49:N64)</f>
        <v>196500</v>
      </c>
      <c r="O65" s="7">
        <f>SUM(O49:O64)</f>
        <v>12529.513980786845</v>
      </c>
    </row>
    <row r="66" spans="1:19" x14ac:dyDescent="0.25">
      <c r="A66" s="49"/>
      <c r="C66" s="6"/>
      <c r="D66" s="6"/>
      <c r="E66" s="6"/>
      <c r="F66" s="6"/>
      <c r="G66" s="6"/>
      <c r="H66" s="6"/>
      <c r="I66" s="6"/>
      <c r="M66" s="42" t="s">
        <v>137</v>
      </c>
    </row>
    <row r="67" spans="1:19" x14ac:dyDescent="0.25">
      <c r="A67" s="49"/>
      <c r="C67" s="6"/>
      <c r="D67" s="6"/>
      <c r="E67" s="6"/>
      <c r="F67" s="6"/>
      <c r="G67" s="6"/>
      <c r="H67" s="6"/>
      <c r="I67" s="6"/>
      <c r="M67" s="42" t="s">
        <v>138</v>
      </c>
      <c r="O67" s="3">
        <v>3000</v>
      </c>
    </row>
    <row r="68" spans="1:19" x14ac:dyDescent="0.25">
      <c r="A68" s="49"/>
      <c r="C68" s="6"/>
      <c r="D68" s="6"/>
      <c r="E68" s="6"/>
      <c r="F68" s="6"/>
      <c r="G68" s="6"/>
      <c r="H68" s="6"/>
      <c r="I68" s="6"/>
      <c r="M68" s="42" t="s">
        <v>136</v>
      </c>
      <c r="N68" s="23"/>
      <c r="O68" s="55">
        <f>O65-O67</f>
        <v>9529.5139807868454</v>
      </c>
    </row>
    <row r="69" spans="1:19" x14ac:dyDescent="0.25">
      <c r="A69" s="49"/>
      <c r="C69" s="6"/>
      <c r="D69" s="6"/>
      <c r="E69" s="6"/>
      <c r="F69" s="6"/>
      <c r="G69" s="6"/>
      <c r="H69" s="6"/>
      <c r="I69" s="6"/>
      <c r="O69" s="23"/>
      <c r="P69" s="23"/>
      <c r="Q69" s="23"/>
    </row>
    <row r="70" spans="1:19" x14ac:dyDescent="0.25">
      <c r="C70" s="6"/>
      <c r="D70" s="6"/>
      <c r="E70" s="6"/>
      <c r="F70" s="6"/>
      <c r="G70" s="6"/>
      <c r="H70" s="6"/>
      <c r="I70" s="6"/>
      <c r="K70" s="17"/>
      <c r="N70" s="56" t="s">
        <v>135</v>
      </c>
      <c r="O70" s="56" t="s">
        <v>139</v>
      </c>
      <c r="P70" s="42" t="s">
        <v>140</v>
      </c>
      <c r="Q70" s="42" t="s">
        <v>132</v>
      </c>
      <c r="R70" s="42" t="s">
        <v>141</v>
      </c>
      <c r="S70" s="42" t="s">
        <v>134</v>
      </c>
    </row>
    <row r="71" spans="1:19" x14ac:dyDescent="0.25">
      <c r="A71" s="108" t="s">
        <v>56</v>
      </c>
      <c r="B71" s="26"/>
      <c r="C71" s="37">
        <f>Mortgage!E19</f>
        <v>294530.9349739129</v>
      </c>
      <c r="D71" s="37">
        <f>Mortgage!E31</f>
        <v>288850.38738669938</v>
      </c>
      <c r="E71" s="37">
        <f>Mortgage!E43</f>
        <v>282950.17944682698</v>
      </c>
      <c r="F71" s="37">
        <f>Mortgage!E55</f>
        <v>276821.81713681063</v>
      </c>
      <c r="G71" s="37">
        <f>Mortgage!E67</f>
        <v>270456.47798511264</v>
      </c>
      <c r="H71" s="6"/>
      <c r="I71" s="6"/>
      <c r="K71" s="11"/>
      <c r="N71" s="72">
        <f>N65</f>
        <v>196500</v>
      </c>
      <c r="O71" s="73">
        <f>G71-N71</f>
        <v>73956.477985112637</v>
      </c>
      <c r="P71" s="57">
        <f>O71/O73</f>
        <v>1</v>
      </c>
      <c r="Q71" s="58">
        <f>O68*P71</f>
        <v>9529.5139807868454</v>
      </c>
      <c r="R71" s="56">
        <f>N71+Q71</f>
        <v>206029.51398078684</v>
      </c>
      <c r="S71" s="59">
        <f>R71/G71</f>
        <v>0.76178435626943197</v>
      </c>
    </row>
    <row r="72" spans="1:19" x14ac:dyDescent="0.25">
      <c r="A72" s="108" t="s">
        <v>57</v>
      </c>
      <c r="B72" s="26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6"/>
      <c r="I72" s="6"/>
      <c r="K72" s="11"/>
      <c r="N72" s="72"/>
      <c r="O72" s="74">
        <f>G72-N72</f>
        <v>0</v>
      </c>
      <c r="P72" s="60">
        <f>O72/O73</f>
        <v>0</v>
      </c>
      <c r="Q72" s="58">
        <f>O68*P72</f>
        <v>0</v>
      </c>
      <c r="R72" s="56">
        <f>N72+Q72</f>
        <v>0</v>
      </c>
      <c r="S72" s="59" t="e">
        <f>R72/G72</f>
        <v>#DIV/0!</v>
      </c>
    </row>
    <row r="73" spans="1:19" x14ac:dyDescent="0.25">
      <c r="C73" s="6"/>
      <c r="D73" s="6"/>
      <c r="E73" s="6"/>
      <c r="F73" s="6"/>
      <c r="G73" s="6"/>
      <c r="H73" s="6"/>
      <c r="I73" s="6"/>
      <c r="N73" s="63"/>
      <c r="O73" s="63">
        <f>SUM(O71:O72)</f>
        <v>73956.477985112637</v>
      </c>
      <c r="P73" s="61"/>
      <c r="Q73" s="61"/>
      <c r="R73" s="62"/>
      <c r="S73" s="62"/>
    </row>
    <row r="74" spans="1:19" x14ac:dyDescent="0.25">
      <c r="A74" s="26" t="s">
        <v>58</v>
      </c>
      <c r="B74" s="26"/>
      <c r="C74" s="37">
        <v>150000</v>
      </c>
      <c r="D74" s="37">
        <f>C74</f>
        <v>150000</v>
      </c>
      <c r="E74" s="37">
        <f t="shared" ref="E74:G74" si="16">D74</f>
        <v>150000</v>
      </c>
      <c r="F74" s="37">
        <f t="shared" si="16"/>
        <v>150000</v>
      </c>
      <c r="G74" s="37">
        <f t="shared" si="16"/>
        <v>150000</v>
      </c>
      <c r="H74" s="6"/>
      <c r="I74" s="6"/>
      <c r="K74" s="11"/>
      <c r="N74" s="23"/>
    </row>
    <row r="75" spans="1:19" s="23" customFormat="1" x14ac:dyDescent="0.25">
      <c r="A75" s="26" t="s">
        <v>59</v>
      </c>
      <c r="B75" s="26"/>
      <c r="C75" s="37">
        <f>+C45</f>
        <v>9927.5616822550601</v>
      </c>
      <c r="D75" s="37">
        <f t="shared" ref="D75:G75" si="17">C75+D45</f>
        <v>29401.849996311917</v>
      </c>
      <c r="E75" s="37">
        <f t="shared" si="17"/>
        <v>59918.71622571945</v>
      </c>
      <c r="F75" s="37">
        <f t="shared" si="17"/>
        <v>103195.57535125522</v>
      </c>
      <c r="G75" s="37">
        <f t="shared" si="17"/>
        <v>14278.273147823638</v>
      </c>
      <c r="H75" s="6"/>
      <c r="I75" s="6"/>
      <c r="J75"/>
      <c r="K75" s="11"/>
      <c r="L75"/>
      <c r="M75"/>
      <c r="N75" s="52"/>
    </row>
    <row r="76" spans="1:19" x14ac:dyDescent="0.25">
      <c r="C76" s="6"/>
      <c r="D76" s="6"/>
      <c r="E76" s="6"/>
      <c r="F76" s="6"/>
      <c r="G76" s="6"/>
      <c r="H76" s="6"/>
      <c r="I76" s="6"/>
      <c r="K76" s="11"/>
      <c r="N76" s="23"/>
    </row>
    <row r="77" spans="1:19" x14ac:dyDescent="0.25">
      <c r="A77" s="27" t="s">
        <v>60</v>
      </c>
      <c r="B77" s="27"/>
      <c r="C77" s="100">
        <f t="shared" ref="C77:G77" si="18">SUM(C63:C75)</f>
        <v>461447.94240920519</v>
      </c>
      <c r="D77" s="37">
        <f t="shared" si="18"/>
        <v>480718.28112790379</v>
      </c>
      <c r="E77" s="37">
        <f t="shared" si="18"/>
        <v>511685.69581277954</v>
      </c>
      <c r="F77" s="37">
        <f t="shared" si="18"/>
        <v>556192.45545058663</v>
      </c>
      <c r="G77" s="37">
        <f t="shared" si="18"/>
        <v>434873.31749933521</v>
      </c>
      <c r="H77" s="6"/>
      <c r="I77" s="6"/>
      <c r="K77" s="11"/>
    </row>
    <row r="78" spans="1:19" x14ac:dyDescent="0.25">
      <c r="C78" s="6"/>
      <c r="D78" s="6"/>
      <c r="E78" s="6"/>
      <c r="F78" s="6"/>
      <c r="G78" s="6"/>
      <c r="H78" s="6"/>
      <c r="I78" s="6"/>
    </row>
    <row r="79" spans="1:19" x14ac:dyDescent="0.25">
      <c r="A79" s="27" t="s">
        <v>61</v>
      </c>
      <c r="B79" s="27"/>
      <c r="C79" s="37">
        <f t="shared" ref="C79:G79" si="19">C60-C77</f>
        <v>-1.1176200932823122E-3</v>
      </c>
      <c r="D79" s="100">
        <f t="shared" si="19"/>
        <v>-2.7492323250044137E-2</v>
      </c>
      <c r="E79" s="37">
        <f t="shared" si="19"/>
        <v>0.45041857217438519</v>
      </c>
      <c r="F79" s="37">
        <f t="shared" si="19"/>
        <v>-0.235934296855703</v>
      </c>
      <c r="G79" s="37">
        <f t="shared" si="19"/>
        <v>-104982.45880568569</v>
      </c>
      <c r="H79" s="6"/>
      <c r="I79" s="6"/>
    </row>
    <row r="80" spans="1:19" s="23" customFormat="1" x14ac:dyDescent="0.25">
      <c r="A80" s="27"/>
      <c r="B80" s="27"/>
      <c r="C80" s="37"/>
      <c r="D80" s="37"/>
      <c r="E80" s="37"/>
      <c r="F80" s="37"/>
      <c r="G80" s="37"/>
      <c r="H80" s="37"/>
      <c r="I80" s="37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2" spans="1:18" x14ac:dyDescent="0.25">
      <c r="A82" s="64" t="s">
        <v>142</v>
      </c>
      <c r="B82" s="65"/>
      <c r="C82" s="113">
        <v>0</v>
      </c>
      <c r="D82" s="113">
        <v>1</v>
      </c>
      <c r="E82" s="113">
        <v>2</v>
      </c>
      <c r="F82" s="113">
        <v>3</v>
      </c>
      <c r="G82" s="113">
        <v>4</v>
      </c>
      <c r="H82" s="113">
        <v>5</v>
      </c>
      <c r="I82" s="65"/>
      <c r="J82" s="49"/>
      <c r="Q82" s="14"/>
      <c r="R82" s="2"/>
    </row>
    <row r="83" spans="1:18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49"/>
    </row>
    <row r="84" spans="1:18" x14ac:dyDescent="0.25">
      <c r="A84" s="67" t="s">
        <v>143</v>
      </c>
      <c r="B84" s="67"/>
      <c r="C84" s="67"/>
      <c r="D84" s="67"/>
      <c r="E84" s="67"/>
      <c r="F84" s="67"/>
      <c r="G84" s="67"/>
      <c r="H84" s="67"/>
      <c r="I84" s="67"/>
      <c r="J84" s="49"/>
    </row>
    <row r="85" spans="1:18" x14ac:dyDescent="0.25">
      <c r="A85" s="67" t="s">
        <v>144</v>
      </c>
      <c r="B85" s="114" t="s">
        <v>145</v>
      </c>
      <c r="C85" s="115">
        <f>-(C71-B71)</f>
        <v>-294530.9349739129</v>
      </c>
      <c r="D85" s="115">
        <f>-(D71-C71)</f>
        <v>5680.5475872135139</v>
      </c>
      <c r="E85" s="115">
        <f>-(E71-D71)</f>
        <v>5900.2079398724018</v>
      </c>
      <c r="F85" s="115">
        <f>-(F71-E71)</f>
        <v>6128.3623100163531</v>
      </c>
      <c r="G85" s="115">
        <f>-(G71-F71)</f>
        <v>6365.33915169799</v>
      </c>
      <c r="H85" s="115"/>
      <c r="I85" s="67"/>
      <c r="J85" s="49"/>
    </row>
    <row r="86" spans="1:18" x14ac:dyDescent="0.25">
      <c r="A86" s="67" t="s">
        <v>146</v>
      </c>
      <c r="B86" s="118" t="s">
        <v>147</v>
      </c>
      <c r="C86" s="119"/>
      <c r="D86" s="118"/>
      <c r="E86" s="118"/>
      <c r="F86" s="118"/>
      <c r="G86" s="118"/>
      <c r="H86" s="120">
        <f>R71</f>
        <v>206029.51398078684</v>
      </c>
      <c r="I86" s="67"/>
      <c r="J86" s="49"/>
    </row>
    <row r="87" spans="1:18" s="23" customFormat="1" x14ac:dyDescent="0.25">
      <c r="A87" s="67" t="s">
        <v>146</v>
      </c>
      <c r="B87" s="114" t="s">
        <v>148</v>
      </c>
      <c r="C87" s="117"/>
      <c r="D87" s="116">
        <f>C40</f>
        <v>11305.399609717493</v>
      </c>
      <c r="E87" s="116">
        <f>D40</f>
        <v>11093.917048591022</v>
      </c>
      <c r="F87" s="116">
        <f>E40</f>
        <v>10874.256695932123</v>
      </c>
      <c r="G87" s="116">
        <f>F40</f>
        <v>10646.102325788213</v>
      </c>
      <c r="H87" s="116">
        <f>G40</f>
        <v>10409.125484106647</v>
      </c>
      <c r="I87" s="67"/>
      <c r="J87" s="49"/>
      <c r="K87"/>
      <c r="L87"/>
      <c r="M87"/>
      <c r="N87"/>
      <c r="O87"/>
      <c r="P87"/>
    </row>
    <row r="88" spans="1:18" x14ac:dyDescent="0.25">
      <c r="A88" s="67" t="s">
        <v>149</v>
      </c>
      <c r="B88" s="114"/>
      <c r="C88" s="116">
        <f t="shared" ref="C88:H88" si="20">SUM(C85:C87)</f>
        <v>-294530.9349739129</v>
      </c>
      <c r="D88" s="116">
        <f t="shared" si="20"/>
        <v>16985.947196931007</v>
      </c>
      <c r="E88" s="116">
        <f t="shared" si="20"/>
        <v>16994.124988463424</v>
      </c>
      <c r="F88" s="116">
        <f t="shared" si="20"/>
        <v>17002.619005948476</v>
      </c>
      <c r="G88" s="116">
        <f t="shared" si="20"/>
        <v>17011.441477486202</v>
      </c>
      <c r="H88" s="116">
        <f t="shared" si="20"/>
        <v>216438.63946489349</v>
      </c>
      <c r="I88" s="67" t="s">
        <v>154</v>
      </c>
      <c r="J88" s="49"/>
    </row>
    <row r="89" spans="1:18" x14ac:dyDescent="0.25">
      <c r="A89" s="67" t="s">
        <v>125</v>
      </c>
      <c r="B89" s="67"/>
      <c r="C89" s="122">
        <f>IRR(C88:H88)</f>
        <v>-7.8829670312423605E-3</v>
      </c>
      <c r="D89" s="70"/>
      <c r="E89" s="67"/>
      <c r="F89" s="67"/>
      <c r="G89" s="67"/>
      <c r="H89" s="67"/>
      <c r="I89" s="70">
        <v>0.05</v>
      </c>
      <c r="J89" s="49"/>
    </row>
    <row r="90" spans="1:18" x14ac:dyDescent="0.25">
      <c r="A90" s="67" t="s">
        <v>150</v>
      </c>
      <c r="B90" s="67"/>
      <c r="C90" s="122">
        <f>Mortgage!B3</f>
        <v>3.7999999999999999E-2</v>
      </c>
      <c r="D90" s="70"/>
      <c r="E90" s="67"/>
      <c r="F90" s="67"/>
      <c r="G90" s="67"/>
      <c r="H90" s="67"/>
      <c r="I90" s="70">
        <v>0.95</v>
      </c>
      <c r="J90" s="49"/>
    </row>
    <row r="91" spans="1:18" x14ac:dyDescent="0.25">
      <c r="A91" s="114" t="s">
        <v>151</v>
      </c>
      <c r="B91" s="114"/>
      <c r="C91" s="123">
        <f>I89*C89+I90*C90</f>
        <v>3.5705851648437884E-2</v>
      </c>
      <c r="D91" s="70"/>
      <c r="E91" s="67"/>
      <c r="F91" s="67"/>
      <c r="G91" s="67"/>
      <c r="H91" s="67"/>
      <c r="I91" s="70"/>
      <c r="J91" s="49"/>
    </row>
    <row r="92" spans="1:18" x14ac:dyDescent="0.25">
      <c r="A92" s="67"/>
      <c r="B92" s="67"/>
      <c r="C92" s="68"/>
      <c r="D92" s="67"/>
      <c r="E92" s="67"/>
      <c r="F92" s="67"/>
      <c r="G92" s="67"/>
      <c r="H92" s="67"/>
      <c r="I92" s="67"/>
      <c r="J92" s="49"/>
    </row>
    <row r="93" spans="1:18" x14ac:dyDescent="0.25">
      <c r="A93" s="67" t="s">
        <v>152</v>
      </c>
      <c r="B93" s="67"/>
      <c r="C93" s="68"/>
      <c r="D93" s="67"/>
      <c r="E93" s="67"/>
      <c r="F93" s="67"/>
      <c r="G93" s="67"/>
      <c r="H93" s="67"/>
      <c r="I93" s="67"/>
      <c r="J93" s="49"/>
    </row>
    <row r="94" spans="1:18" x14ac:dyDescent="0.25">
      <c r="A94" s="67" t="s">
        <v>144</v>
      </c>
      <c r="B94" s="114" t="s">
        <v>145</v>
      </c>
      <c r="C94" s="116">
        <f>-(C72-B72)</f>
        <v>0</v>
      </c>
      <c r="D94" s="116">
        <f>-(D72-C72)</f>
        <v>0</v>
      </c>
      <c r="E94" s="116">
        <f>-(E72-D72)</f>
        <v>0</v>
      </c>
      <c r="F94" s="116">
        <f>-(F72-E72)</f>
        <v>0</v>
      </c>
      <c r="G94" s="116">
        <f>-(G72-F72)</f>
        <v>0</v>
      </c>
      <c r="H94" s="116"/>
      <c r="I94" s="67"/>
      <c r="J94" s="49"/>
    </row>
    <row r="95" spans="1:18" x14ac:dyDescent="0.25">
      <c r="A95" s="67" t="s">
        <v>146</v>
      </c>
      <c r="B95" s="114" t="s">
        <v>147</v>
      </c>
      <c r="C95" s="116"/>
      <c r="D95" s="116"/>
      <c r="E95" s="116"/>
      <c r="F95" s="116"/>
      <c r="G95" s="116"/>
      <c r="H95" s="116">
        <f>R72</f>
        <v>0</v>
      </c>
      <c r="I95" s="67"/>
      <c r="J95" s="49"/>
    </row>
    <row r="96" spans="1:18" x14ac:dyDescent="0.25">
      <c r="A96" s="67" t="s">
        <v>146</v>
      </c>
      <c r="B96" s="114" t="s">
        <v>148</v>
      </c>
      <c r="C96" s="114"/>
      <c r="D96" s="116">
        <f>C41</f>
        <v>0</v>
      </c>
      <c r="E96" s="116">
        <f>D41</f>
        <v>0</v>
      </c>
      <c r="F96" s="116">
        <f>E41</f>
        <v>0</v>
      </c>
      <c r="G96" s="116">
        <f>F41</f>
        <v>0</v>
      </c>
      <c r="H96" s="116">
        <f>G41</f>
        <v>0</v>
      </c>
      <c r="I96" s="67"/>
      <c r="J96" s="49"/>
    </row>
    <row r="97" spans="1:16" x14ac:dyDescent="0.25">
      <c r="A97" s="67" t="s">
        <v>149</v>
      </c>
      <c r="B97" s="114"/>
      <c r="C97" s="116">
        <f>SUM(C94:C96)</f>
        <v>0</v>
      </c>
      <c r="D97" s="116">
        <f t="shared" ref="D97:H97" si="21">SUM(D94:D96)</f>
        <v>0</v>
      </c>
      <c r="E97" s="116">
        <f t="shared" si="21"/>
        <v>0</v>
      </c>
      <c r="F97" s="116">
        <f t="shared" si="21"/>
        <v>0</v>
      </c>
      <c r="G97" s="116">
        <f t="shared" si="21"/>
        <v>0</v>
      </c>
      <c r="H97" s="116">
        <f t="shared" si="21"/>
        <v>0</v>
      </c>
      <c r="I97" s="67" t="s">
        <v>154</v>
      </c>
      <c r="J97" s="49"/>
    </row>
    <row r="98" spans="1:16" x14ac:dyDescent="0.25">
      <c r="A98" s="67" t="s">
        <v>125</v>
      </c>
      <c r="B98" s="67"/>
      <c r="C98" s="121" t="e">
        <f>IRR(C97:H97,-50%)</f>
        <v>#NUM!</v>
      </c>
      <c r="D98" s="69"/>
      <c r="E98" s="69"/>
      <c r="F98" s="69"/>
      <c r="G98" s="69"/>
      <c r="H98" s="69"/>
      <c r="I98" s="70">
        <v>0.05</v>
      </c>
      <c r="J98" s="49"/>
    </row>
    <row r="99" spans="1:16" s="23" customFormat="1" x14ac:dyDescent="0.25">
      <c r="A99" s="67" t="s">
        <v>150</v>
      </c>
      <c r="B99" s="67"/>
      <c r="C99" s="122">
        <f>N3</f>
        <v>0.12</v>
      </c>
      <c r="D99" s="67"/>
      <c r="E99" s="67"/>
      <c r="F99" s="67"/>
      <c r="G99" s="67"/>
      <c r="H99" s="67"/>
      <c r="I99" s="70">
        <v>0.95</v>
      </c>
      <c r="J99" s="49"/>
      <c r="K99"/>
      <c r="L99"/>
      <c r="M99"/>
      <c r="N99"/>
      <c r="O99"/>
      <c r="P99"/>
    </row>
    <row r="100" spans="1:16" x14ac:dyDescent="0.25">
      <c r="A100" s="114" t="s">
        <v>151</v>
      </c>
      <c r="B100" s="114"/>
      <c r="C100" s="124" t="e">
        <f>I98*C98+I99*C99</f>
        <v>#NUM!</v>
      </c>
      <c r="D100" s="67"/>
      <c r="E100" s="67"/>
      <c r="F100" s="67"/>
      <c r="G100" s="67"/>
      <c r="H100" s="67"/>
      <c r="I100" s="70"/>
      <c r="J100" s="49"/>
    </row>
    <row r="101" spans="1:16" s="23" customForma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49"/>
      <c r="K101"/>
      <c r="L101"/>
      <c r="M101"/>
      <c r="N101"/>
      <c r="O101"/>
      <c r="P101"/>
    </row>
    <row r="102" spans="1:16" x14ac:dyDescent="0.25">
      <c r="J102" s="49"/>
    </row>
    <row r="103" spans="1:16" x14ac:dyDescent="0.25">
      <c r="J103" s="49"/>
    </row>
    <row r="104" spans="1:16" x14ac:dyDescent="0.25">
      <c r="J104" s="49"/>
    </row>
  </sheetData>
  <pageMargins left="0.7" right="0.7" top="0.75" bottom="0.75" header="0.3" footer="0.3"/>
  <pageSetup scale="38" orientation="landscape" horizontalDpi="4294967292" verticalDpi="4294967292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zoomScale="72" zoomScaleNormal="235" zoomScalePageLayoutView="235" workbookViewId="0">
      <selection activeCell="H28" sqref="H28"/>
    </sheetView>
  </sheetViews>
  <sheetFormatPr defaultColWidth="8.85546875" defaultRowHeight="15" x14ac:dyDescent="0.25"/>
  <cols>
    <col min="1" max="1" width="14.140625" customWidth="1"/>
    <col min="2" max="2" width="13.140625" customWidth="1"/>
    <col min="3" max="3" width="10.42578125" bestFit="1" customWidth="1"/>
    <col min="4" max="4" width="9.28515625" bestFit="1" customWidth="1"/>
    <col min="5" max="5" width="12.42578125" bestFit="1" customWidth="1"/>
    <col min="6" max="6" width="11.42578125" bestFit="1" customWidth="1"/>
  </cols>
  <sheetData>
    <row r="1" spans="1:5" x14ac:dyDescent="0.25">
      <c r="A1" t="s">
        <v>48</v>
      </c>
      <c r="B1" s="6">
        <v>300000</v>
      </c>
    </row>
    <row r="2" spans="1:5" x14ac:dyDescent="0.25">
      <c r="A2" t="s">
        <v>49</v>
      </c>
      <c r="B2">
        <f>30*12</f>
        <v>360</v>
      </c>
    </row>
    <row r="3" spans="1:5" x14ac:dyDescent="0.25">
      <c r="A3" t="s">
        <v>50</v>
      </c>
      <c r="B3" s="15">
        <v>3.7999999999999999E-2</v>
      </c>
    </row>
    <row r="4" spans="1:5" x14ac:dyDescent="0.25">
      <c r="A4" t="s">
        <v>51</v>
      </c>
      <c r="B4">
        <f>B3/12</f>
        <v>3.1666666666666666E-3</v>
      </c>
    </row>
    <row r="6" spans="1:5" x14ac:dyDescent="0.25">
      <c r="A6" t="s">
        <v>52</v>
      </c>
      <c r="B6" s="1">
        <f>PMT(B4,B2,B1)</f>
        <v>-1397.8720529837144</v>
      </c>
    </row>
    <row r="7" spans="1:5" x14ac:dyDescent="0.25">
      <c r="C7" t="s">
        <v>53</v>
      </c>
    </row>
    <row r="8" spans="1:5" x14ac:dyDescent="0.25">
      <c r="A8">
        <v>1</v>
      </c>
      <c r="B8" s="3">
        <f>B1</f>
        <v>300000</v>
      </c>
      <c r="C8" s="3">
        <f>B8*$B$4</f>
        <v>950</v>
      </c>
      <c r="D8" s="3">
        <f>-$B$6-C8</f>
        <v>447.87205298371441</v>
      </c>
      <c r="E8" s="3">
        <f>B8-D8</f>
        <v>299552.12794701627</v>
      </c>
    </row>
    <row r="9" spans="1:5" x14ac:dyDescent="0.25">
      <c r="A9">
        <v>2</v>
      </c>
      <c r="B9" s="7">
        <f>E8</f>
        <v>299552.12794701627</v>
      </c>
      <c r="C9" s="3">
        <f>B9*$B$4</f>
        <v>948.58173849888487</v>
      </c>
      <c r="D9" s="3">
        <f>-$B$6-C9</f>
        <v>449.29031448482954</v>
      </c>
      <c r="E9" s="3">
        <f>B9-D9</f>
        <v>299102.83763253142</v>
      </c>
    </row>
    <row r="10" spans="1:5" x14ac:dyDescent="0.25">
      <c r="A10">
        <v>3</v>
      </c>
      <c r="B10" s="7">
        <f t="shared" ref="B10:B63" si="0">E9</f>
        <v>299102.83763253142</v>
      </c>
      <c r="C10" s="3">
        <f t="shared" ref="C10:C73" si="1">B10*$B$4</f>
        <v>947.15898583634942</v>
      </c>
      <c r="D10" s="3">
        <f t="shared" ref="D10:D73" si="2">-$B$6-C10</f>
        <v>450.713067147365</v>
      </c>
      <c r="E10" s="3">
        <f t="shared" ref="E10:E63" si="3">B10-D10</f>
        <v>298652.12456538406</v>
      </c>
    </row>
    <row r="11" spans="1:5" x14ac:dyDescent="0.25">
      <c r="A11">
        <v>4</v>
      </c>
      <c r="B11" s="7">
        <f t="shared" si="0"/>
        <v>298652.12456538406</v>
      </c>
      <c r="C11" s="3">
        <f t="shared" si="1"/>
        <v>945.73172779038282</v>
      </c>
      <c r="D11" s="3">
        <f t="shared" si="2"/>
        <v>452.14032519333159</v>
      </c>
      <c r="E11" s="3">
        <f t="shared" si="3"/>
        <v>298199.98424019071</v>
      </c>
    </row>
    <row r="12" spans="1:5" x14ac:dyDescent="0.25">
      <c r="A12">
        <v>5</v>
      </c>
      <c r="B12" s="7">
        <f t="shared" si="0"/>
        <v>298199.98424019071</v>
      </c>
      <c r="C12" s="3">
        <f t="shared" si="1"/>
        <v>944.29995009393724</v>
      </c>
      <c r="D12" s="3">
        <f t="shared" si="2"/>
        <v>453.57210288977717</v>
      </c>
      <c r="E12" s="3">
        <f t="shared" si="3"/>
        <v>297746.41213730094</v>
      </c>
    </row>
    <row r="13" spans="1:5" x14ac:dyDescent="0.25">
      <c r="A13">
        <v>6</v>
      </c>
      <c r="B13" s="7">
        <f t="shared" si="0"/>
        <v>297746.41213730094</v>
      </c>
      <c r="C13" s="3">
        <f t="shared" si="1"/>
        <v>942.86363843478625</v>
      </c>
      <c r="D13" s="3">
        <f t="shared" si="2"/>
        <v>455.00841454892816</v>
      </c>
      <c r="E13" s="3">
        <f t="shared" si="3"/>
        <v>297291.403722752</v>
      </c>
    </row>
    <row r="14" spans="1:5" x14ac:dyDescent="0.25">
      <c r="A14">
        <v>7</v>
      </c>
      <c r="B14" s="7">
        <f t="shared" si="0"/>
        <v>297291.403722752</v>
      </c>
      <c r="C14" s="3">
        <f t="shared" si="1"/>
        <v>941.42277845538126</v>
      </c>
      <c r="D14" s="3">
        <f t="shared" si="2"/>
        <v>456.44927452833315</v>
      </c>
      <c r="E14" s="3">
        <f t="shared" si="3"/>
        <v>296834.9544482237</v>
      </c>
    </row>
    <row r="15" spans="1:5" x14ac:dyDescent="0.25">
      <c r="A15">
        <v>8</v>
      </c>
      <c r="B15" s="7">
        <f t="shared" si="0"/>
        <v>296834.9544482237</v>
      </c>
      <c r="C15" s="3">
        <f t="shared" si="1"/>
        <v>939.97735575270838</v>
      </c>
      <c r="D15" s="3">
        <f t="shared" si="2"/>
        <v>457.89469723100603</v>
      </c>
      <c r="E15" s="3">
        <f t="shared" si="3"/>
        <v>296377.05975099269</v>
      </c>
    </row>
    <row r="16" spans="1:5" x14ac:dyDescent="0.25">
      <c r="A16">
        <v>9</v>
      </c>
      <c r="B16" s="7">
        <f t="shared" si="0"/>
        <v>296377.05975099269</v>
      </c>
      <c r="C16" s="3">
        <f t="shared" si="1"/>
        <v>938.52735587814345</v>
      </c>
      <c r="D16" s="3">
        <f t="shared" si="2"/>
        <v>459.34469710557096</v>
      </c>
      <c r="E16" s="3">
        <f t="shared" si="3"/>
        <v>295917.71505388711</v>
      </c>
    </row>
    <row r="17" spans="1:6" x14ac:dyDescent="0.25">
      <c r="A17">
        <v>10</v>
      </c>
      <c r="B17" s="7">
        <f t="shared" si="0"/>
        <v>295917.71505388711</v>
      </c>
      <c r="C17" s="3">
        <f t="shared" si="1"/>
        <v>937.0727643373092</v>
      </c>
      <c r="D17" s="3">
        <f t="shared" si="2"/>
        <v>460.79928864640522</v>
      </c>
      <c r="E17" s="3">
        <f t="shared" si="3"/>
        <v>295456.91576524073</v>
      </c>
    </row>
    <row r="18" spans="1:6" x14ac:dyDescent="0.25">
      <c r="A18">
        <v>11</v>
      </c>
      <c r="B18" s="7">
        <f t="shared" si="0"/>
        <v>295456.91576524073</v>
      </c>
      <c r="C18" s="3">
        <f t="shared" si="1"/>
        <v>935.61356658992895</v>
      </c>
      <c r="D18" s="3">
        <f t="shared" si="2"/>
        <v>462.25848639378546</v>
      </c>
      <c r="E18" s="3">
        <f t="shared" si="3"/>
        <v>294994.65727884695</v>
      </c>
    </row>
    <row r="19" spans="1:6" x14ac:dyDescent="0.25">
      <c r="A19">
        <v>12</v>
      </c>
      <c r="B19" s="7">
        <f t="shared" si="0"/>
        <v>294994.65727884695</v>
      </c>
      <c r="C19" s="3">
        <f t="shared" si="1"/>
        <v>934.14974804968199</v>
      </c>
      <c r="D19" s="3">
        <f t="shared" si="2"/>
        <v>463.72230493403242</v>
      </c>
      <c r="E19" s="3">
        <f t="shared" si="3"/>
        <v>294530.9349739129</v>
      </c>
      <c r="F19" s="7">
        <f>SUM(C8:C19)</f>
        <v>11305.399609717493</v>
      </c>
    </row>
    <row r="20" spans="1:6" x14ac:dyDescent="0.25">
      <c r="A20">
        <v>13</v>
      </c>
      <c r="B20" s="7">
        <f t="shared" si="0"/>
        <v>294530.9349739129</v>
      </c>
      <c r="C20" s="3">
        <f t="shared" si="1"/>
        <v>932.68129408405753</v>
      </c>
      <c r="D20" s="3">
        <f t="shared" si="2"/>
        <v>465.19075889965688</v>
      </c>
      <c r="E20" s="3">
        <f t="shared" si="3"/>
        <v>294065.74421501323</v>
      </c>
    </row>
    <row r="21" spans="1:6" x14ac:dyDescent="0.25">
      <c r="A21">
        <v>14</v>
      </c>
      <c r="B21" s="7">
        <f t="shared" si="0"/>
        <v>294065.74421501323</v>
      </c>
      <c r="C21" s="3">
        <f t="shared" si="1"/>
        <v>931.20819001420853</v>
      </c>
      <c r="D21" s="3">
        <f t="shared" si="2"/>
        <v>466.66386296950589</v>
      </c>
      <c r="E21" s="3">
        <f t="shared" si="3"/>
        <v>293599.08035204373</v>
      </c>
    </row>
    <row r="22" spans="1:6" x14ac:dyDescent="0.25">
      <c r="A22">
        <v>15</v>
      </c>
      <c r="B22" s="7">
        <f t="shared" si="0"/>
        <v>293599.08035204373</v>
      </c>
      <c r="C22" s="3">
        <f t="shared" si="1"/>
        <v>929.73042111480515</v>
      </c>
      <c r="D22" s="3">
        <f t="shared" si="2"/>
        <v>468.14163186890926</v>
      </c>
      <c r="E22" s="3">
        <f t="shared" si="3"/>
        <v>293130.93872017483</v>
      </c>
    </row>
    <row r="23" spans="1:6" x14ac:dyDescent="0.25">
      <c r="A23">
        <v>16</v>
      </c>
      <c r="B23" s="7">
        <f t="shared" si="0"/>
        <v>293130.93872017483</v>
      </c>
      <c r="C23" s="3">
        <f t="shared" si="1"/>
        <v>928.24797261388699</v>
      </c>
      <c r="D23" s="3">
        <f t="shared" si="2"/>
        <v>469.62408036982742</v>
      </c>
      <c r="E23" s="3">
        <f t="shared" si="3"/>
        <v>292661.314639805</v>
      </c>
    </row>
    <row r="24" spans="1:6" x14ac:dyDescent="0.25">
      <c r="A24">
        <v>17</v>
      </c>
      <c r="B24" s="7">
        <f t="shared" si="0"/>
        <v>292661.314639805</v>
      </c>
      <c r="C24" s="3">
        <f t="shared" si="1"/>
        <v>926.76082969271579</v>
      </c>
      <c r="D24" s="3">
        <f t="shared" si="2"/>
        <v>471.11122329099862</v>
      </c>
      <c r="E24" s="3">
        <f t="shared" si="3"/>
        <v>292190.20341651398</v>
      </c>
    </row>
    <row r="25" spans="1:6" x14ac:dyDescent="0.25">
      <c r="A25">
        <v>18</v>
      </c>
      <c r="B25" s="7">
        <f t="shared" si="0"/>
        <v>292190.20341651398</v>
      </c>
      <c r="C25" s="3">
        <f t="shared" si="1"/>
        <v>925.2689774856276</v>
      </c>
      <c r="D25" s="3">
        <f t="shared" si="2"/>
        <v>472.60307549808681</v>
      </c>
      <c r="E25" s="3">
        <f t="shared" si="3"/>
        <v>291717.6003410159</v>
      </c>
    </row>
    <row r="26" spans="1:6" x14ac:dyDescent="0.25">
      <c r="A26">
        <v>19</v>
      </c>
      <c r="B26" s="7">
        <f t="shared" si="0"/>
        <v>291717.6003410159</v>
      </c>
      <c r="C26" s="3">
        <f t="shared" si="1"/>
        <v>923.77240107988371</v>
      </c>
      <c r="D26" s="3">
        <f t="shared" si="2"/>
        <v>474.0996519038307</v>
      </c>
      <c r="E26" s="3">
        <f t="shared" si="3"/>
        <v>291243.50068911206</v>
      </c>
    </row>
    <row r="27" spans="1:6" x14ac:dyDescent="0.25">
      <c r="A27">
        <v>20</v>
      </c>
      <c r="B27" s="7">
        <f t="shared" si="0"/>
        <v>291243.50068911206</v>
      </c>
      <c r="C27" s="3">
        <f t="shared" si="1"/>
        <v>922.27108551552146</v>
      </c>
      <c r="D27" s="3">
        <f t="shared" si="2"/>
        <v>475.60096746819295</v>
      </c>
      <c r="E27" s="3">
        <f t="shared" si="3"/>
        <v>290767.89972164389</v>
      </c>
    </row>
    <row r="28" spans="1:6" x14ac:dyDescent="0.25">
      <c r="A28">
        <v>21</v>
      </c>
      <c r="B28" s="7">
        <f t="shared" si="0"/>
        <v>290767.89972164389</v>
      </c>
      <c r="C28" s="3">
        <f t="shared" si="1"/>
        <v>920.76501578520561</v>
      </c>
      <c r="D28" s="3">
        <f t="shared" si="2"/>
        <v>477.10703719850881</v>
      </c>
      <c r="E28" s="3">
        <f t="shared" si="3"/>
        <v>290290.79268444539</v>
      </c>
    </row>
    <row r="29" spans="1:6" x14ac:dyDescent="0.25">
      <c r="A29">
        <v>22</v>
      </c>
      <c r="B29" s="7">
        <f t="shared" si="0"/>
        <v>290290.79268444539</v>
      </c>
      <c r="C29" s="3">
        <f t="shared" si="1"/>
        <v>919.25417683407704</v>
      </c>
      <c r="D29" s="3">
        <f t="shared" si="2"/>
        <v>478.61787614963737</v>
      </c>
      <c r="E29" s="3">
        <f t="shared" si="3"/>
        <v>289812.17480829573</v>
      </c>
    </row>
    <row r="30" spans="1:6" x14ac:dyDescent="0.25">
      <c r="A30">
        <v>23</v>
      </c>
      <c r="B30" s="7">
        <f t="shared" si="0"/>
        <v>289812.17480829573</v>
      </c>
      <c r="C30" s="3">
        <f t="shared" si="1"/>
        <v>917.73855355960313</v>
      </c>
      <c r="D30" s="3">
        <f t="shared" si="2"/>
        <v>480.13349942411128</v>
      </c>
      <c r="E30" s="3">
        <f t="shared" si="3"/>
        <v>289332.04130887165</v>
      </c>
    </row>
    <row r="31" spans="1:6" x14ac:dyDescent="0.25">
      <c r="A31">
        <v>24</v>
      </c>
      <c r="B31" s="7">
        <f t="shared" si="0"/>
        <v>289332.04130887165</v>
      </c>
      <c r="C31" s="3">
        <f t="shared" si="1"/>
        <v>916.21813081142682</v>
      </c>
      <c r="D31" s="3">
        <f t="shared" si="2"/>
        <v>481.65392217228759</v>
      </c>
      <c r="E31" s="3">
        <f t="shared" si="3"/>
        <v>288850.38738669938</v>
      </c>
      <c r="F31" s="7">
        <f>SUM(C20:C31)</f>
        <v>11093.917048591022</v>
      </c>
    </row>
    <row r="32" spans="1:6" x14ac:dyDescent="0.25">
      <c r="A32">
        <v>25</v>
      </c>
      <c r="B32" s="7">
        <f t="shared" si="0"/>
        <v>288850.38738669938</v>
      </c>
      <c r="C32" s="3">
        <f t="shared" si="1"/>
        <v>914.69289339121474</v>
      </c>
      <c r="D32" s="3">
        <f t="shared" si="2"/>
        <v>483.17915959249967</v>
      </c>
      <c r="E32" s="3">
        <f t="shared" si="3"/>
        <v>288367.20822710689</v>
      </c>
    </row>
    <row r="33" spans="1:6" x14ac:dyDescent="0.25">
      <c r="A33">
        <v>26</v>
      </c>
      <c r="B33" s="7">
        <f t="shared" si="0"/>
        <v>288367.20822710689</v>
      </c>
      <c r="C33" s="3">
        <f t="shared" si="1"/>
        <v>913.16282605250512</v>
      </c>
      <c r="D33" s="3">
        <f t="shared" si="2"/>
        <v>484.70922693120929</v>
      </c>
      <c r="E33" s="3">
        <f t="shared" si="3"/>
        <v>287882.49900017568</v>
      </c>
    </row>
    <row r="34" spans="1:6" x14ac:dyDescent="0.25">
      <c r="A34">
        <v>27</v>
      </c>
      <c r="B34" s="7">
        <f t="shared" si="0"/>
        <v>287882.49900017568</v>
      </c>
      <c r="C34" s="3">
        <f t="shared" si="1"/>
        <v>911.62791350055625</v>
      </c>
      <c r="D34" s="3">
        <f t="shared" si="2"/>
        <v>486.24413948315816</v>
      </c>
      <c r="E34" s="3">
        <f t="shared" si="3"/>
        <v>287396.25486069254</v>
      </c>
    </row>
    <row r="35" spans="1:6" x14ac:dyDescent="0.25">
      <c r="A35">
        <v>28</v>
      </c>
      <c r="B35" s="7">
        <f t="shared" si="0"/>
        <v>287396.25486069254</v>
      </c>
      <c r="C35" s="3">
        <f t="shared" si="1"/>
        <v>910.08814039219305</v>
      </c>
      <c r="D35" s="3">
        <f t="shared" si="2"/>
        <v>487.78391259152136</v>
      </c>
      <c r="E35" s="3">
        <f t="shared" si="3"/>
        <v>286908.47094810102</v>
      </c>
    </row>
    <row r="36" spans="1:6" x14ac:dyDescent="0.25">
      <c r="A36">
        <v>29</v>
      </c>
      <c r="B36" s="7">
        <f t="shared" si="0"/>
        <v>286908.47094810102</v>
      </c>
      <c r="C36" s="3">
        <f t="shared" si="1"/>
        <v>908.54349133565324</v>
      </c>
      <c r="D36" s="3">
        <f t="shared" si="2"/>
        <v>489.32856164806117</v>
      </c>
      <c r="E36" s="3">
        <f t="shared" si="3"/>
        <v>286419.14238645294</v>
      </c>
    </row>
    <row r="37" spans="1:6" x14ac:dyDescent="0.25">
      <c r="A37">
        <v>30</v>
      </c>
      <c r="B37" s="7">
        <f t="shared" si="0"/>
        <v>286419.14238645294</v>
      </c>
      <c r="C37" s="3">
        <f t="shared" si="1"/>
        <v>906.99395089043423</v>
      </c>
      <c r="D37" s="3">
        <f t="shared" si="2"/>
        <v>490.87810209328018</v>
      </c>
      <c r="E37" s="3">
        <f t="shared" si="3"/>
        <v>285928.26428435964</v>
      </c>
    </row>
    <row r="38" spans="1:6" x14ac:dyDescent="0.25">
      <c r="A38">
        <v>31</v>
      </c>
      <c r="B38" s="7">
        <f t="shared" si="0"/>
        <v>285928.26428435964</v>
      </c>
      <c r="C38" s="3">
        <f t="shared" si="1"/>
        <v>905.43950356713879</v>
      </c>
      <c r="D38" s="3">
        <f t="shared" si="2"/>
        <v>492.43254941657563</v>
      </c>
      <c r="E38" s="3">
        <f t="shared" si="3"/>
        <v>285435.83173494309</v>
      </c>
    </row>
    <row r="39" spans="1:6" x14ac:dyDescent="0.25">
      <c r="A39">
        <v>32</v>
      </c>
      <c r="B39" s="7">
        <f t="shared" si="0"/>
        <v>285435.83173494309</v>
      </c>
      <c r="C39" s="3">
        <f t="shared" si="1"/>
        <v>903.88013382731981</v>
      </c>
      <c r="D39" s="3">
        <f t="shared" si="2"/>
        <v>493.9919191563946</v>
      </c>
      <c r="E39" s="3">
        <f t="shared" si="3"/>
        <v>284941.83981578669</v>
      </c>
    </row>
    <row r="40" spans="1:6" x14ac:dyDescent="0.25">
      <c r="A40">
        <v>33</v>
      </c>
      <c r="B40" s="7">
        <f t="shared" si="0"/>
        <v>284941.83981578669</v>
      </c>
      <c r="C40" s="3">
        <f t="shared" si="1"/>
        <v>902.31582608332451</v>
      </c>
      <c r="D40" s="3">
        <f t="shared" si="2"/>
        <v>495.5562269003899</v>
      </c>
      <c r="E40" s="3">
        <f t="shared" si="3"/>
        <v>284446.28358888632</v>
      </c>
    </row>
    <row r="41" spans="1:6" x14ac:dyDescent="0.25">
      <c r="A41">
        <v>34</v>
      </c>
      <c r="B41" s="7">
        <f t="shared" si="0"/>
        <v>284446.28358888632</v>
      </c>
      <c r="C41" s="3">
        <f t="shared" si="1"/>
        <v>900.74656469813999</v>
      </c>
      <c r="D41" s="3">
        <f t="shared" si="2"/>
        <v>497.12548828557442</v>
      </c>
      <c r="E41" s="3">
        <f t="shared" si="3"/>
        <v>283949.15810060076</v>
      </c>
    </row>
    <row r="42" spans="1:6" x14ac:dyDescent="0.25">
      <c r="A42">
        <v>35</v>
      </c>
      <c r="B42" s="7">
        <f t="shared" si="0"/>
        <v>283949.15810060076</v>
      </c>
      <c r="C42" s="3">
        <f t="shared" si="1"/>
        <v>899.1723339852357</v>
      </c>
      <c r="D42" s="3">
        <f t="shared" si="2"/>
        <v>498.69971899847872</v>
      </c>
      <c r="E42" s="3">
        <f t="shared" si="3"/>
        <v>283450.45838160231</v>
      </c>
    </row>
    <row r="43" spans="1:6" x14ac:dyDescent="0.25">
      <c r="A43">
        <v>36</v>
      </c>
      <c r="B43" s="7">
        <f t="shared" si="0"/>
        <v>283450.45838160231</v>
      </c>
      <c r="C43" s="3">
        <f t="shared" si="1"/>
        <v>897.5931182084073</v>
      </c>
      <c r="D43" s="3">
        <f t="shared" si="2"/>
        <v>500.27893477530711</v>
      </c>
      <c r="E43" s="3">
        <f t="shared" si="3"/>
        <v>282950.17944682698</v>
      </c>
      <c r="F43" s="7">
        <f>SUM(C32:C43)</f>
        <v>10874.256695932123</v>
      </c>
    </row>
    <row r="44" spans="1:6" x14ac:dyDescent="0.25">
      <c r="A44">
        <v>37</v>
      </c>
      <c r="B44" s="7">
        <f t="shared" si="0"/>
        <v>282950.17944682698</v>
      </c>
      <c r="C44" s="3">
        <f t="shared" si="1"/>
        <v>896.00890158161872</v>
      </c>
      <c r="D44" s="3">
        <f t="shared" si="2"/>
        <v>501.8631514020957</v>
      </c>
      <c r="E44" s="3">
        <f t="shared" si="3"/>
        <v>282448.31629542488</v>
      </c>
    </row>
    <row r="45" spans="1:6" x14ac:dyDescent="0.25">
      <c r="A45">
        <v>38</v>
      </c>
      <c r="B45" s="7">
        <f t="shared" si="0"/>
        <v>282448.31629542488</v>
      </c>
      <c r="C45" s="3">
        <f t="shared" si="1"/>
        <v>894.4196682688455</v>
      </c>
      <c r="D45" s="3">
        <f t="shared" si="2"/>
        <v>503.45238471486891</v>
      </c>
      <c r="E45" s="3">
        <f t="shared" si="3"/>
        <v>281944.86391071003</v>
      </c>
    </row>
    <row r="46" spans="1:6" x14ac:dyDescent="0.25">
      <c r="A46">
        <v>39</v>
      </c>
      <c r="B46" s="7">
        <f t="shared" si="0"/>
        <v>281944.86391071003</v>
      </c>
      <c r="C46" s="3">
        <f t="shared" si="1"/>
        <v>892.82540238391505</v>
      </c>
      <c r="D46" s="3">
        <f t="shared" si="2"/>
        <v>505.04665059979936</v>
      </c>
      <c r="E46" s="3">
        <f t="shared" si="3"/>
        <v>281439.81726011023</v>
      </c>
    </row>
    <row r="47" spans="1:6" x14ac:dyDescent="0.25">
      <c r="A47">
        <v>40</v>
      </c>
      <c r="B47" s="7">
        <f t="shared" si="0"/>
        <v>281439.81726011023</v>
      </c>
      <c r="C47" s="3">
        <f t="shared" si="1"/>
        <v>891.22608799034901</v>
      </c>
      <c r="D47" s="3">
        <f t="shared" si="2"/>
        <v>506.6459649933654</v>
      </c>
      <c r="E47" s="3">
        <f t="shared" si="3"/>
        <v>280933.17129511689</v>
      </c>
    </row>
    <row r="48" spans="1:6" x14ac:dyDescent="0.25">
      <c r="A48">
        <v>41</v>
      </c>
      <c r="B48" s="7">
        <f t="shared" si="0"/>
        <v>280933.17129511689</v>
      </c>
      <c r="C48" s="3">
        <f t="shared" si="1"/>
        <v>889.62170910120346</v>
      </c>
      <c r="D48" s="3">
        <f t="shared" si="2"/>
        <v>508.25034388251095</v>
      </c>
      <c r="E48" s="3">
        <f t="shared" si="3"/>
        <v>280424.92095123435</v>
      </c>
    </row>
    <row r="49" spans="1:6" x14ac:dyDescent="0.25">
      <c r="A49">
        <v>42</v>
      </c>
      <c r="B49" s="7">
        <f t="shared" si="0"/>
        <v>280424.92095123435</v>
      </c>
      <c r="C49" s="3">
        <f t="shared" si="1"/>
        <v>888.0122496789088</v>
      </c>
      <c r="D49" s="3">
        <f t="shared" si="2"/>
        <v>509.85980330480561</v>
      </c>
      <c r="E49" s="3">
        <f t="shared" si="3"/>
        <v>279915.06114792952</v>
      </c>
    </row>
    <row r="50" spans="1:6" x14ac:dyDescent="0.25">
      <c r="A50">
        <v>43</v>
      </c>
      <c r="B50" s="7">
        <f t="shared" si="0"/>
        <v>279915.06114792952</v>
      </c>
      <c r="C50" s="3">
        <f t="shared" si="1"/>
        <v>886.39769363511016</v>
      </c>
      <c r="D50" s="3">
        <f t="shared" si="2"/>
        <v>511.47435934860425</v>
      </c>
      <c r="E50" s="3">
        <f t="shared" si="3"/>
        <v>279403.58678858093</v>
      </c>
    </row>
    <row r="51" spans="1:6" x14ac:dyDescent="0.25">
      <c r="A51">
        <v>44</v>
      </c>
      <c r="B51" s="7">
        <f t="shared" si="0"/>
        <v>279403.58678858093</v>
      </c>
      <c r="C51" s="3">
        <f t="shared" si="1"/>
        <v>884.7780248305063</v>
      </c>
      <c r="D51" s="3">
        <f t="shared" si="2"/>
        <v>513.09402815320811</v>
      </c>
      <c r="E51" s="3">
        <f t="shared" si="3"/>
        <v>278890.4927604277</v>
      </c>
    </row>
    <row r="52" spans="1:6" x14ac:dyDescent="0.25">
      <c r="A52">
        <v>45</v>
      </c>
      <c r="B52" s="7">
        <f t="shared" si="0"/>
        <v>278890.4927604277</v>
      </c>
      <c r="C52" s="3">
        <f t="shared" si="1"/>
        <v>883.15322707468772</v>
      </c>
      <c r="D52" s="3">
        <f t="shared" si="2"/>
        <v>514.71882590902669</v>
      </c>
      <c r="E52" s="3">
        <f t="shared" si="3"/>
        <v>278375.77393451869</v>
      </c>
    </row>
    <row r="53" spans="1:6" x14ac:dyDescent="0.25">
      <c r="A53">
        <v>46</v>
      </c>
      <c r="B53" s="7">
        <f t="shared" si="0"/>
        <v>278375.77393451869</v>
      </c>
      <c r="C53" s="3">
        <f t="shared" si="1"/>
        <v>881.52328412597581</v>
      </c>
      <c r="D53" s="3">
        <f t="shared" si="2"/>
        <v>516.34876885773861</v>
      </c>
      <c r="E53" s="3">
        <f t="shared" si="3"/>
        <v>277859.42516566097</v>
      </c>
    </row>
    <row r="54" spans="1:6" x14ac:dyDescent="0.25">
      <c r="A54">
        <v>47</v>
      </c>
      <c r="B54" s="7">
        <f t="shared" si="0"/>
        <v>277859.42516566097</v>
      </c>
      <c r="C54" s="3">
        <f t="shared" si="1"/>
        <v>879.88817969125967</v>
      </c>
      <c r="D54" s="3">
        <f t="shared" si="2"/>
        <v>517.98387329245475</v>
      </c>
      <c r="E54" s="3">
        <f t="shared" si="3"/>
        <v>277341.44129236852</v>
      </c>
    </row>
    <row r="55" spans="1:6" x14ac:dyDescent="0.25">
      <c r="A55">
        <v>48</v>
      </c>
      <c r="B55" s="7">
        <f t="shared" si="0"/>
        <v>277341.44129236852</v>
      </c>
      <c r="C55" s="3">
        <f t="shared" si="1"/>
        <v>878.24789742583357</v>
      </c>
      <c r="D55" s="3">
        <f t="shared" si="2"/>
        <v>519.62415555788084</v>
      </c>
      <c r="E55" s="3">
        <f t="shared" si="3"/>
        <v>276821.81713681063</v>
      </c>
      <c r="F55" s="7">
        <f>SUM(C44:C55)</f>
        <v>10646.102325788213</v>
      </c>
    </row>
    <row r="56" spans="1:6" x14ac:dyDescent="0.25">
      <c r="A56">
        <v>49</v>
      </c>
      <c r="B56" s="7">
        <f t="shared" si="0"/>
        <v>276821.81713681063</v>
      </c>
      <c r="C56" s="3">
        <f t="shared" si="1"/>
        <v>876.60242093323359</v>
      </c>
      <c r="D56" s="3">
        <f t="shared" si="2"/>
        <v>521.26963205048082</v>
      </c>
      <c r="E56" s="3">
        <f t="shared" si="3"/>
        <v>276300.54750476015</v>
      </c>
    </row>
    <row r="57" spans="1:6" x14ac:dyDescent="0.25">
      <c r="A57">
        <v>50</v>
      </c>
      <c r="B57" s="7">
        <f t="shared" si="0"/>
        <v>276300.54750476015</v>
      </c>
      <c r="C57" s="3">
        <f t="shared" si="1"/>
        <v>874.95173376507375</v>
      </c>
      <c r="D57" s="3">
        <f t="shared" si="2"/>
        <v>522.92031921864066</v>
      </c>
      <c r="E57" s="3">
        <f t="shared" si="3"/>
        <v>275777.6271855415</v>
      </c>
    </row>
    <row r="58" spans="1:6" x14ac:dyDescent="0.25">
      <c r="A58">
        <v>51</v>
      </c>
      <c r="B58" s="7">
        <f t="shared" si="0"/>
        <v>275777.6271855415</v>
      </c>
      <c r="C58" s="3">
        <f t="shared" si="1"/>
        <v>873.29581942088134</v>
      </c>
      <c r="D58" s="3">
        <f t="shared" si="2"/>
        <v>524.57623356283307</v>
      </c>
      <c r="E58" s="3">
        <f t="shared" si="3"/>
        <v>275253.05095197866</v>
      </c>
    </row>
    <row r="59" spans="1:6" x14ac:dyDescent="0.25">
      <c r="A59">
        <v>52</v>
      </c>
      <c r="B59" s="7">
        <f t="shared" si="0"/>
        <v>275253.05095197866</v>
      </c>
      <c r="C59" s="3">
        <f t="shared" si="1"/>
        <v>871.63466134793237</v>
      </c>
      <c r="D59" s="3">
        <f t="shared" si="2"/>
        <v>526.23739163578205</v>
      </c>
      <c r="E59" s="3">
        <f t="shared" si="3"/>
        <v>274726.81356034288</v>
      </c>
    </row>
    <row r="60" spans="1:6" x14ac:dyDescent="0.25">
      <c r="A60">
        <v>53</v>
      </c>
      <c r="B60" s="7">
        <f t="shared" si="0"/>
        <v>274726.81356034288</v>
      </c>
      <c r="C60" s="3">
        <f t="shared" si="1"/>
        <v>869.9682429410858</v>
      </c>
      <c r="D60" s="3">
        <f t="shared" si="2"/>
        <v>527.90381004262861</v>
      </c>
      <c r="E60" s="3">
        <f t="shared" si="3"/>
        <v>274198.90975030023</v>
      </c>
    </row>
    <row r="61" spans="1:6" x14ac:dyDescent="0.25">
      <c r="A61">
        <v>54</v>
      </c>
      <c r="B61" s="7">
        <f t="shared" si="0"/>
        <v>274198.90975030023</v>
      </c>
      <c r="C61" s="3">
        <f t="shared" si="1"/>
        <v>868.29654754261742</v>
      </c>
      <c r="D61" s="3">
        <f t="shared" si="2"/>
        <v>529.57550544109699</v>
      </c>
      <c r="E61" s="3">
        <f t="shared" si="3"/>
        <v>273669.33424485911</v>
      </c>
    </row>
    <row r="62" spans="1:6" x14ac:dyDescent="0.25">
      <c r="A62">
        <v>55</v>
      </c>
      <c r="B62" s="7">
        <f t="shared" si="0"/>
        <v>273669.33424485911</v>
      </c>
      <c r="C62" s="3">
        <f t="shared" si="1"/>
        <v>866.61955844205386</v>
      </c>
      <c r="D62" s="3">
        <f t="shared" si="2"/>
        <v>531.25249454166055</v>
      </c>
      <c r="E62" s="3">
        <f t="shared" si="3"/>
        <v>273138.08175031748</v>
      </c>
    </row>
    <row r="63" spans="1:6" x14ac:dyDescent="0.25">
      <c r="A63">
        <v>56</v>
      </c>
      <c r="B63" s="7">
        <f t="shared" si="0"/>
        <v>273138.08175031748</v>
      </c>
      <c r="C63" s="3">
        <f t="shared" si="1"/>
        <v>864.93725887600533</v>
      </c>
      <c r="D63" s="3">
        <f t="shared" si="2"/>
        <v>532.93479410770908</v>
      </c>
      <c r="E63" s="3">
        <f t="shared" si="3"/>
        <v>272605.14695620979</v>
      </c>
    </row>
    <row r="64" spans="1:6" x14ac:dyDescent="0.25">
      <c r="A64">
        <v>57</v>
      </c>
      <c r="B64" s="7">
        <f t="shared" ref="B64:B127" si="4">E63</f>
        <v>272605.14695620979</v>
      </c>
      <c r="C64" s="3">
        <f t="shared" si="1"/>
        <v>863.24963202799768</v>
      </c>
      <c r="D64" s="3">
        <f t="shared" si="2"/>
        <v>534.62242095571673</v>
      </c>
      <c r="E64" s="3">
        <f t="shared" ref="E64:E127" si="5">B64-D64</f>
        <v>272070.52453525405</v>
      </c>
    </row>
    <row r="65" spans="1:6" x14ac:dyDescent="0.25">
      <c r="A65">
        <v>58</v>
      </c>
      <c r="B65" s="7">
        <f t="shared" si="4"/>
        <v>272070.52453525405</v>
      </c>
      <c r="C65" s="3">
        <f t="shared" si="1"/>
        <v>861.55666102830446</v>
      </c>
      <c r="D65" s="3">
        <f t="shared" si="2"/>
        <v>536.31539195540995</v>
      </c>
      <c r="E65" s="3">
        <f t="shared" si="5"/>
        <v>271534.20914329862</v>
      </c>
    </row>
    <row r="66" spans="1:6" x14ac:dyDescent="0.25">
      <c r="A66">
        <v>59</v>
      </c>
      <c r="B66" s="7">
        <f t="shared" si="4"/>
        <v>271534.20914329862</v>
      </c>
      <c r="C66" s="3">
        <f t="shared" si="1"/>
        <v>859.85832895377894</v>
      </c>
      <c r="D66" s="3">
        <f t="shared" si="2"/>
        <v>538.01372402993547</v>
      </c>
      <c r="E66" s="3">
        <f t="shared" si="5"/>
        <v>270996.19541926868</v>
      </c>
    </row>
    <row r="67" spans="1:6" x14ac:dyDescent="0.25">
      <c r="A67">
        <v>60</v>
      </c>
      <c r="B67" s="7">
        <f t="shared" si="4"/>
        <v>270996.19541926868</v>
      </c>
      <c r="C67" s="3">
        <f t="shared" si="1"/>
        <v>858.15461882768409</v>
      </c>
      <c r="D67" s="3">
        <f t="shared" si="2"/>
        <v>539.71743415603032</v>
      </c>
      <c r="E67" s="3">
        <f t="shared" si="5"/>
        <v>270456.47798511264</v>
      </c>
      <c r="F67" s="7">
        <f>SUM(C56:C67)</f>
        <v>10409.125484106647</v>
      </c>
    </row>
    <row r="68" spans="1:6" x14ac:dyDescent="0.25">
      <c r="A68">
        <v>61</v>
      </c>
      <c r="B68" s="7">
        <f t="shared" si="4"/>
        <v>270456.47798511264</v>
      </c>
      <c r="C68" s="3">
        <f t="shared" si="1"/>
        <v>856.44551361952335</v>
      </c>
      <c r="D68" s="3">
        <f t="shared" si="2"/>
        <v>541.42653936419106</v>
      </c>
      <c r="E68" s="3">
        <f t="shared" si="5"/>
        <v>269915.05144574842</v>
      </c>
    </row>
    <row r="69" spans="1:6" x14ac:dyDescent="0.25">
      <c r="A69">
        <v>62</v>
      </c>
      <c r="B69" s="7">
        <f t="shared" si="4"/>
        <v>269915.05144574842</v>
      </c>
      <c r="C69" s="3">
        <f t="shared" si="1"/>
        <v>854.73099624486997</v>
      </c>
      <c r="D69" s="3">
        <f t="shared" si="2"/>
        <v>543.14105673884444</v>
      </c>
      <c r="E69" s="3">
        <f t="shared" si="5"/>
        <v>269371.91038900957</v>
      </c>
    </row>
    <row r="70" spans="1:6" x14ac:dyDescent="0.25">
      <c r="A70">
        <v>63</v>
      </c>
      <c r="B70" s="7">
        <f t="shared" si="4"/>
        <v>269371.91038900957</v>
      </c>
      <c r="C70" s="3">
        <f t="shared" si="1"/>
        <v>853.01104956519691</v>
      </c>
      <c r="D70" s="3">
        <f t="shared" si="2"/>
        <v>544.8610034185175</v>
      </c>
      <c r="E70" s="3">
        <f t="shared" si="5"/>
        <v>268827.04938559106</v>
      </c>
    </row>
    <row r="71" spans="1:6" x14ac:dyDescent="0.25">
      <c r="A71">
        <v>64</v>
      </c>
      <c r="B71" s="7">
        <f t="shared" si="4"/>
        <v>268827.04938559106</v>
      </c>
      <c r="C71" s="3">
        <f t="shared" si="1"/>
        <v>851.28565638770499</v>
      </c>
      <c r="D71" s="3">
        <f t="shared" si="2"/>
        <v>546.58639659600942</v>
      </c>
      <c r="E71" s="3">
        <f t="shared" si="5"/>
        <v>268280.46298899507</v>
      </c>
    </row>
    <row r="72" spans="1:6" x14ac:dyDescent="0.25">
      <c r="A72">
        <v>65</v>
      </c>
      <c r="B72" s="7">
        <f t="shared" si="4"/>
        <v>268280.46298899507</v>
      </c>
      <c r="C72" s="3">
        <f t="shared" si="1"/>
        <v>849.55479946515106</v>
      </c>
      <c r="D72" s="3">
        <f t="shared" si="2"/>
        <v>548.31725351856335</v>
      </c>
      <c r="E72" s="3">
        <f t="shared" si="5"/>
        <v>267732.14573547652</v>
      </c>
    </row>
    <row r="73" spans="1:6" x14ac:dyDescent="0.25">
      <c r="A73">
        <v>66</v>
      </c>
      <c r="B73" s="7">
        <f t="shared" si="4"/>
        <v>267732.14573547652</v>
      </c>
      <c r="C73" s="3">
        <f t="shared" si="1"/>
        <v>847.81846149567559</v>
      </c>
      <c r="D73" s="3">
        <f t="shared" si="2"/>
        <v>550.05359148803882</v>
      </c>
      <c r="E73" s="3">
        <f t="shared" si="5"/>
        <v>267182.09214398847</v>
      </c>
    </row>
    <row r="74" spans="1:6" x14ac:dyDescent="0.25">
      <c r="A74">
        <v>67</v>
      </c>
      <c r="B74" s="7">
        <f t="shared" si="4"/>
        <v>267182.09214398847</v>
      </c>
      <c r="C74" s="3">
        <f t="shared" ref="C74:C127" si="6">B74*$B$4</f>
        <v>846.07662512263016</v>
      </c>
      <c r="D74" s="3">
        <f t="shared" ref="D74:D127" si="7">-$B$6-C74</f>
        <v>551.79542786108425</v>
      </c>
      <c r="E74" s="3">
        <f t="shared" si="5"/>
        <v>266630.29671612737</v>
      </c>
    </row>
    <row r="75" spans="1:6" x14ac:dyDescent="0.25">
      <c r="A75">
        <v>68</v>
      </c>
      <c r="B75" s="7">
        <f t="shared" si="4"/>
        <v>266630.29671612737</v>
      </c>
      <c r="C75" s="3">
        <f t="shared" si="6"/>
        <v>844.32927293440332</v>
      </c>
      <c r="D75" s="3">
        <f t="shared" si="7"/>
        <v>553.54278004931109</v>
      </c>
      <c r="E75" s="3">
        <f t="shared" si="5"/>
        <v>266076.75393607805</v>
      </c>
    </row>
    <row r="76" spans="1:6" x14ac:dyDescent="0.25">
      <c r="A76">
        <v>69</v>
      </c>
      <c r="B76" s="7">
        <f t="shared" si="4"/>
        <v>266076.75393607805</v>
      </c>
      <c r="C76" s="3">
        <f t="shared" si="6"/>
        <v>842.57638746424709</v>
      </c>
      <c r="D76" s="3">
        <f t="shared" si="7"/>
        <v>555.29566551946732</v>
      </c>
      <c r="E76" s="3">
        <f t="shared" si="5"/>
        <v>265521.45827055856</v>
      </c>
    </row>
    <row r="77" spans="1:6" x14ac:dyDescent="0.25">
      <c r="A77">
        <v>70</v>
      </c>
      <c r="B77" s="7">
        <f t="shared" si="4"/>
        <v>265521.45827055856</v>
      </c>
      <c r="C77" s="3">
        <f t="shared" si="6"/>
        <v>840.81795119010212</v>
      </c>
      <c r="D77" s="3">
        <f t="shared" si="7"/>
        <v>557.05410179361229</v>
      </c>
      <c r="E77" s="3">
        <f t="shared" si="5"/>
        <v>264964.40416876494</v>
      </c>
    </row>
    <row r="78" spans="1:6" x14ac:dyDescent="0.25">
      <c r="A78">
        <v>71</v>
      </c>
      <c r="B78" s="7">
        <f t="shared" si="4"/>
        <v>264964.40416876494</v>
      </c>
      <c r="C78" s="3">
        <f t="shared" si="6"/>
        <v>839.05394653442227</v>
      </c>
      <c r="D78" s="3">
        <f t="shared" si="7"/>
        <v>558.81810644929215</v>
      </c>
      <c r="E78" s="3">
        <f t="shared" si="5"/>
        <v>264405.58606231568</v>
      </c>
    </row>
    <row r="79" spans="1:6" x14ac:dyDescent="0.25">
      <c r="A79">
        <v>72</v>
      </c>
      <c r="B79" s="7">
        <f t="shared" si="4"/>
        <v>264405.58606231568</v>
      </c>
      <c r="C79" s="3">
        <f t="shared" si="6"/>
        <v>837.28435586399962</v>
      </c>
      <c r="D79" s="3">
        <f t="shared" si="7"/>
        <v>560.58769711971479</v>
      </c>
      <c r="E79" s="3">
        <f t="shared" si="5"/>
        <v>263844.99836519593</v>
      </c>
      <c r="F79" s="7">
        <f>SUM(C68:C79)</f>
        <v>10162.985015887927</v>
      </c>
    </row>
    <row r="80" spans="1:6" x14ac:dyDescent="0.25">
      <c r="A80">
        <v>73</v>
      </c>
      <c r="B80" s="7">
        <f t="shared" si="4"/>
        <v>263844.99836519593</v>
      </c>
      <c r="C80" s="3">
        <f t="shared" si="6"/>
        <v>835.50916148978706</v>
      </c>
      <c r="D80" s="3">
        <f t="shared" si="7"/>
        <v>562.36289149392735</v>
      </c>
      <c r="E80" s="3">
        <f t="shared" si="5"/>
        <v>263282.63547370199</v>
      </c>
    </row>
    <row r="81" spans="1:6" x14ac:dyDescent="0.25">
      <c r="A81">
        <v>74</v>
      </c>
      <c r="B81" s="7">
        <f t="shared" si="4"/>
        <v>263282.63547370199</v>
      </c>
      <c r="C81" s="3">
        <f t="shared" si="6"/>
        <v>833.72834566672293</v>
      </c>
      <c r="D81" s="3">
        <f t="shared" si="7"/>
        <v>564.14370731699148</v>
      </c>
      <c r="E81" s="3">
        <f t="shared" si="5"/>
        <v>262718.49176638498</v>
      </c>
    </row>
    <row r="82" spans="1:6" x14ac:dyDescent="0.25">
      <c r="A82">
        <v>75</v>
      </c>
      <c r="B82" s="7">
        <f t="shared" si="4"/>
        <v>262718.49176638498</v>
      </c>
      <c r="C82" s="3">
        <f t="shared" si="6"/>
        <v>831.94189059355244</v>
      </c>
      <c r="D82" s="3">
        <f t="shared" si="7"/>
        <v>565.93016239016197</v>
      </c>
      <c r="E82" s="3">
        <f t="shared" si="5"/>
        <v>262152.56160399481</v>
      </c>
    </row>
    <row r="83" spans="1:6" x14ac:dyDescent="0.25">
      <c r="A83">
        <v>76</v>
      </c>
      <c r="B83" s="7">
        <f t="shared" si="4"/>
        <v>262152.56160399481</v>
      </c>
      <c r="C83" s="3">
        <f t="shared" si="6"/>
        <v>830.14977841265022</v>
      </c>
      <c r="D83" s="3">
        <f t="shared" si="7"/>
        <v>567.72227457106419</v>
      </c>
      <c r="E83" s="3">
        <f t="shared" si="5"/>
        <v>261584.83932942373</v>
      </c>
    </row>
    <row r="84" spans="1:6" x14ac:dyDescent="0.25">
      <c r="A84">
        <v>77</v>
      </c>
      <c r="B84" s="7">
        <f t="shared" si="4"/>
        <v>261584.83932942373</v>
      </c>
      <c r="C84" s="3">
        <f t="shared" si="6"/>
        <v>828.3519912098418</v>
      </c>
      <c r="D84" s="3">
        <f t="shared" si="7"/>
        <v>569.52006177387261</v>
      </c>
      <c r="E84" s="3">
        <f t="shared" si="5"/>
        <v>261015.31926764987</v>
      </c>
    </row>
    <row r="85" spans="1:6" x14ac:dyDescent="0.25">
      <c r="A85">
        <v>78</v>
      </c>
      <c r="B85" s="7">
        <f t="shared" si="4"/>
        <v>261015.31926764987</v>
      </c>
      <c r="C85" s="3">
        <f t="shared" si="6"/>
        <v>826.54851101422457</v>
      </c>
      <c r="D85" s="3">
        <f t="shared" si="7"/>
        <v>571.32354196948984</v>
      </c>
      <c r="E85" s="3">
        <f t="shared" si="5"/>
        <v>260443.99572568038</v>
      </c>
    </row>
    <row r="86" spans="1:6" x14ac:dyDescent="0.25">
      <c r="A86">
        <v>79</v>
      </c>
      <c r="B86" s="7">
        <f t="shared" si="4"/>
        <v>260443.99572568038</v>
      </c>
      <c r="C86" s="3">
        <f t="shared" si="6"/>
        <v>824.73931979798783</v>
      </c>
      <c r="D86" s="3">
        <f t="shared" si="7"/>
        <v>573.13273318572658</v>
      </c>
      <c r="E86" s="3">
        <f t="shared" si="5"/>
        <v>259870.86299249466</v>
      </c>
    </row>
    <row r="87" spans="1:6" x14ac:dyDescent="0.25">
      <c r="A87">
        <v>80</v>
      </c>
      <c r="B87" s="7">
        <f t="shared" si="4"/>
        <v>259870.86299249466</v>
      </c>
      <c r="C87" s="3">
        <f t="shared" si="6"/>
        <v>822.92439947623302</v>
      </c>
      <c r="D87" s="3">
        <f t="shared" si="7"/>
        <v>574.94765350748139</v>
      </c>
      <c r="E87" s="3">
        <f t="shared" si="5"/>
        <v>259295.91533898716</v>
      </c>
    </row>
    <row r="88" spans="1:6" x14ac:dyDescent="0.25">
      <c r="A88">
        <v>81</v>
      </c>
      <c r="B88" s="7">
        <f t="shared" si="4"/>
        <v>259295.91533898716</v>
      </c>
      <c r="C88" s="3">
        <f t="shared" si="6"/>
        <v>821.10373190679263</v>
      </c>
      <c r="D88" s="3">
        <f t="shared" si="7"/>
        <v>576.76832107692178</v>
      </c>
      <c r="E88" s="3">
        <f t="shared" si="5"/>
        <v>258719.14701791023</v>
      </c>
    </row>
    <row r="89" spans="1:6" x14ac:dyDescent="0.25">
      <c r="A89">
        <v>82</v>
      </c>
      <c r="B89" s="7">
        <f t="shared" si="4"/>
        <v>258719.14701791023</v>
      </c>
      <c r="C89" s="3">
        <f t="shared" si="6"/>
        <v>819.277298890049</v>
      </c>
      <c r="D89" s="3">
        <f t="shared" si="7"/>
        <v>578.59475409366541</v>
      </c>
      <c r="E89" s="3">
        <f t="shared" si="5"/>
        <v>258140.55226381656</v>
      </c>
    </row>
    <row r="90" spans="1:6" x14ac:dyDescent="0.25">
      <c r="A90">
        <v>83</v>
      </c>
      <c r="B90" s="7">
        <f t="shared" si="4"/>
        <v>258140.55226381656</v>
      </c>
      <c r="C90" s="3">
        <f t="shared" si="6"/>
        <v>817.44508216875238</v>
      </c>
      <c r="D90" s="3">
        <f t="shared" si="7"/>
        <v>580.42697081496203</v>
      </c>
      <c r="E90" s="3">
        <f t="shared" si="5"/>
        <v>257560.12529300159</v>
      </c>
    </row>
    <row r="91" spans="1:6" x14ac:dyDescent="0.25">
      <c r="A91">
        <v>84</v>
      </c>
      <c r="B91" s="7">
        <f t="shared" si="4"/>
        <v>257560.12529300159</v>
      </c>
      <c r="C91" s="3">
        <f t="shared" si="6"/>
        <v>815.6070634278384</v>
      </c>
      <c r="D91" s="3">
        <f t="shared" si="7"/>
        <v>582.26498955587601</v>
      </c>
      <c r="E91" s="3">
        <f t="shared" si="5"/>
        <v>256977.86030344572</v>
      </c>
      <c r="F91" s="7">
        <f>SUM(C80:C91)</f>
        <v>9907.3265740544321</v>
      </c>
    </row>
    <row r="92" spans="1:6" x14ac:dyDescent="0.25">
      <c r="A92">
        <v>85</v>
      </c>
      <c r="B92" s="7">
        <f t="shared" si="4"/>
        <v>256977.86030344572</v>
      </c>
      <c r="C92" s="3">
        <f t="shared" si="6"/>
        <v>813.76322429424476</v>
      </c>
      <c r="D92" s="3">
        <f t="shared" si="7"/>
        <v>584.10882868946965</v>
      </c>
      <c r="E92" s="3">
        <f t="shared" si="5"/>
        <v>256393.75147475625</v>
      </c>
    </row>
    <row r="93" spans="1:6" x14ac:dyDescent="0.25">
      <c r="A93">
        <v>86</v>
      </c>
      <c r="B93" s="7">
        <f t="shared" si="4"/>
        <v>256393.75147475625</v>
      </c>
      <c r="C93" s="3">
        <f t="shared" si="6"/>
        <v>811.91354633672813</v>
      </c>
      <c r="D93" s="3">
        <f t="shared" si="7"/>
        <v>585.95850664698628</v>
      </c>
      <c r="E93" s="3">
        <f t="shared" si="5"/>
        <v>255807.79296810928</v>
      </c>
    </row>
    <row r="94" spans="1:6" x14ac:dyDescent="0.25">
      <c r="A94">
        <v>87</v>
      </c>
      <c r="B94" s="7">
        <f t="shared" si="4"/>
        <v>255807.79296810928</v>
      </c>
      <c r="C94" s="3">
        <f t="shared" si="6"/>
        <v>810.05801106567935</v>
      </c>
      <c r="D94" s="3">
        <f t="shared" si="7"/>
        <v>587.81404191803506</v>
      </c>
      <c r="E94" s="3">
        <f t="shared" si="5"/>
        <v>255219.97892619125</v>
      </c>
    </row>
    <row r="95" spans="1:6" x14ac:dyDescent="0.25">
      <c r="A95">
        <v>88</v>
      </c>
      <c r="B95" s="7">
        <f t="shared" si="4"/>
        <v>255219.97892619125</v>
      </c>
      <c r="C95" s="3">
        <f t="shared" si="6"/>
        <v>808.19659993293897</v>
      </c>
      <c r="D95" s="3">
        <f t="shared" si="7"/>
        <v>589.67545305077545</v>
      </c>
      <c r="E95" s="3">
        <f t="shared" si="5"/>
        <v>254630.30347314046</v>
      </c>
    </row>
    <row r="96" spans="1:6" x14ac:dyDescent="0.25">
      <c r="A96">
        <v>89</v>
      </c>
      <c r="B96" s="7">
        <f t="shared" si="4"/>
        <v>254630.30347314046</v>
      </c>
      <c r="C96" s="3">
        <f t="shared" si="6"/>
        <v>806.32929433161144</v>
      </c>
      <c r="D96" s="3">
        <f t="shared" si="7"/>
        <v>591.54275865210298</v>
      </c>
      <c r="E96" s="3">
        <f t="shared" si="5"/>
        <v>254038.76071448837</v>
      </c>
    </row>
    <row r="97" spans="1:6" x14ac:dyDescent="0.25">
      <c r="A97">
        <v>90</v>
      </c>
      <c r="B97" s="7">
        <f t="shared" si="4"/>
        <v>254038.76071448837</v>
      </c>
      <c r="C97" s="3">
        <f t="shared" si="6"/>
        <v>804.45607559587984</v>
      </c>
      <c r="D97" s="3">
        <f t="shared" si="7"/>
        <v>593.41597738783457</v>
      </c>
      <c r="E97" s="3">
        <f t="shared" si="5"/>
        <v>253445.34473710053</v>
      </c>
    </row>
    <row r="98" spans="1:6" x14ac:dyDescent="0.25">
      <c r="A98">
        <v>91</v>
      </c>
      <c r="B98" s="7">
        <f t="shared" si="4"/>
        <v>253445.34473710053</v>
      </c>
      <c r="C98" s="3">
        <f t="shared" si="6"/>
        <v>802.57692500081828</v>
      </c>
      <c r="D98" s="3">
        <f t="shared" si="7"/>
        <v>595.29512798289613</v>
      </c>
      <c r="E98" s="3">
        <f t="shared" si="5"/>
        <v>252850.04960911765</v>
      </c>
    </row>
    <row r="99" spans="1:6" x14ac:dyDescent="0.25">
      <c r="A99">
        <v>92</v>
      </c>
      <c r="B99" s="7">
        <f t="shared" si="4"/>
        <v>252850.04960911765</v>
      </c>
      <c r="C99" s="3">
        <f t="shared" si="6"/>
        <v>800.6918237622059</v>
      </c>
      <c r="D99" s="3">
        <f t="shared" si="7"/>
        <v>597.18022922150851</v>
      </c>
      <c r="E99" s="3">
        <f t="shared" si="5"/>
        <v>252252.86937989615</v>
      </c>
    </row>
    <row r="100" spans="1:6" x14ac:dyDescent="0.25">
      <c r="A100">
        <v>93</v>
      </c>
      <c r="B100" s="7">
        <f t="shared" si="4"/>
        <v>252252.86937989615</v>
      </c>
      <c r="C100" s="3">
        <f t="shared" si="6"/>
        <v>798.80075303633782</v>
      </c>
      <c r="D100" s="3">
        <f t="shared" si="7"/>
        <v>599.07129994737659</v>
      </c>
      <c r="E100" s="3">
        <f t="shared" si="5"/>
        <v>251653.79807994876</v>
      </c>
    </row>
    <row r="101" spans="1:6" x14ac:dyDescent="0.25">
      <c r="A101">
        <v>94</v>
      </c>
      <c r="B101" s="7">
        <f t="shared" si="4"/>
        <v>251653.79807994876</v>
      </c>
      <c r="C101" s="3">
        <f t="shared" si="6"/>
        <v>796.90369391983768</v>
      </c>
      <c r="D101" s="3">
        <f t="shared" si="7"/>
        <v>600.96835906387673</v>
      </c>
      <c r="E101" s="3">
        <f t="shared" si="5"/>
        <v>251052.82972088488</v>
      </c>
    </row>
    <row r="102" spans="1:6" x14ac:dyDescent="0.25">
      <c r="A102">
        <v>95</v>
      </c>
      <c r="B102" s="7">
        <f t="shared" si="4"/>
        <v>251052.82972088488</v>
      </c>
      <c r="C102" s="3">
        <f t="shared" si="6"/>
        <v>795.00062744946877</v>
      </c>
      <c r="D102" s="3">
        <f t="shared" si="7"/>
        <v>602.87142553424565</v>
      </c>
      <c r="E102" s="3">
        <f t="shared" si="5"/>
        <v>250449.95829535063</v>
      </c>
    </row>
    <row r="103" spans="1:6" x14ac:dyDescent="0.25">
      <c r="A103">
        <v>96</v>
      </c>
      <c r="B103" s="7">
        <f t="shared" si="4"/>
        <v>250449.95829535063</v>
      </c>
      <c r="C103" s="3">
        <f t="shared" si="6"/>
        <v>793.09153460194364</v>
      </c>
      <c r="D103" s="3">
        <f t="shared" si="7"/>
        <v>604.78051838177078</v>
      </c>
      <c r="E103" s="3">
        <f t="shared" si="5"/>
        <v>249845.17777696886</v>
      </c>
      <c r="F103" s="7">
        <f>SUM(C92:C103)</f>
        <v>9641.7821093276925</v>
      </c>
    </row>
    <row r="104" spans="1:6" x14ac:dyDescent="0.25">
      <c r="A104">
        <v>97</v>
      </c>
      <c r="B104" s="7">
        <f t="shared" si="4"/>
        <v>249845.17777696886</v>
      </c>
      <c r="C104" s="3">
        <f t="shared" si="6"/>
        <v>791.17639629373468</v>
      </c>
      <c r="D104" s="3">
        <f t="shared" si="7"/>
        <v>606.69565668997973</v>
      </c>
      <c r="E104" s="3">
        <f t="shared" si="5"/>
        <v>249238.48212027887</v>
      </c>
    </row>
    <row r="105" spans="1:6" x14ac:dyDescent="0.25">
      <c r="A105">
        <v>98</v>
      </c>
      <c r="B105" s="7">
        <f t="shared" si="4"/>
        <v>249238.48212027887</v>
      </c>
      <c r="C105" s="3">
        <f t="shared" si="6"/>
        <v>789.25519338088304</v>
      </c>
      <c r="D105" s="3">
        <f t="shared" si="7"/>
        <v>608.61685960283137</v>
      </c>
      <c r="E105" s="3">
        <f t="shared" si="5"/>
        <v>248629.86526067604</v>
      </c>
    </row>
    <row r="106" spans="1:6" x14ac:dyDescent="0.25">
      <c r="A106">
        <v>99</v>
      </c>
      <c r="B106" s="7">
        <f t="shared" si="4"/>
        <v>248629.86526067604</v>
      </c>
      <c r="C106" s="3">
        <f t="shared" si="6"/>
        <v>787.32790665880748</v>
      </c>
      <c r="D106" s="3">
        <f t="shared" si="7"/>
        <v>610.54414632490693</v>
      </c>
      <c r="E106" s="3">
        <f t="shared" si="5"/>
        <v>248019.32111435113</v>
      </c>
    </row>
    <row r="107" spans="1:6" x14ac:dyDescent="0.25">
      <c r="A107">
        <v>100</v>
      </c>
      <c r="B107" s="7">
        <f t="shared" si="4"/>
        <v>248019.32111435113</v>
      </c>
      <c r="C107" s="3">
        <f t="shared" si="6"/>
        <v>785.39451686211191</v>
      </c>
      <c r="D107" s="3">
        <f t="shared" si="7"/>
        <v>612.4775361216025</v>
      </c>
      <c r="E107" s="3">
        <f t="shared" si="5"/>
        <v>247406.84357822951</v>
      </c>
    </row>
    <row r="108" spans="1:6" x14ac:dyDescent="0.25">
      <c r="A108">
        <v>101</v>
      </c>
      <c r="B108" s="7">
        <f t="shared" si="4"/>
        <v>247406.84357822951</v>
      </c>
      <c r="C108" s="3">
        <f t="shared" si="6"/>
        <v>783.45500466439341</v>
      </c>
      <c r="D108" s="3">
        <f t="shared" si="7"/>
        <v>614.417048319321</v>
      </c>
      <c r="E108" s="3">
        <f t="shared" si="5"/>
        <v>246792.42652991018</v>
      </c>
    </row>
    <row r="109" spans="1:6" x14ac:dyDescent="0.25">
      <c r="A109">
        <v>102</v>
      </c>
      <c r="B109" s="7">
        <f t="shared" si="4"/>
        <v>246792.42652991018</v>
      </c>
      <c r="C109" s="3">
        <f t="shared" si="6"/>
        <v>781.50935067804892</v>
      </c>
      <c r="D109" s="3">
        <f t="shared" si="7"/>
        <v>616.36270230566549</v>
      </c>
      <c r="E109" s="3">
        <f t="shared" si="5"/>
        <v>246176.06382760452</v>
      </c>
    </row>
    <row r="110" spans="1:6" x14ac:dyDescent="0.25">
      <c r="A110">
        <v>103</v>
      </c>
      <c r="B110" s="7">
        <f t="shared" si="4"/>
        <v>246176.06382760452</v>
      </c>
      <c r="C110" s="3">
        <f t="shared" si="6"/>
        <v>779.55753545408095</v>
      </c>
      <c r="D110" s="3">
        <f t="shared" si="7"/>
        <v>618.31451752963346</v>
      </c>
      <c r="E110" s="3">
        <f t="shared" si="5"/>
        <v>245557.7493100749</v>
      </c>
    </row>
    <row r="111" spans="1:6" x14ac:dyDescent="0.25">
      <c r="A111">
        <v>104</v>
      </c>
      <c r="B111" s="7">
        <f t="shared" si="4"/>
        <v>245557.7493100749</v>
      </c>
      <c r="C111" s="3">
        <f t="shared" si="6"/>
        <v>777.59953948190378</v>
      </c>
      <c r="D111" s="3">
        <f t="shared" si="7"/>
        <v>620.27251350181064</v>
      </c>
      <c r="E111" s="3">
        <f t="shared" si="5"/>
        <v>244937.47679657309</v>
      </c>
    </row>
    <row r="112" spans="1:6" x14ac:dyDescent="0.25">
      <c r="A112">
        <v>105</v>
      </c>
      <c r="B112" s="7">
        <f t="shared" si="4"/>
        <v>244937.47679657309</v>
      </c>
      <c r="C112" s="3">
        <f t="shared" si="6"/>
        <v>775.6353431891481</v>
      </c>
      <c r="D112" s="3">
        <f t="shared" si="7"/>
        <v>622.23670979456631</v>
      </c>
      <c r="E112" s="3">
        <f t="shared" si="5"/>
        <v>244315.24008677853</v>
      </c>
    </row>
    <row r="113" spans="1:6" x14ac:dyDescent="0.25">
      <c r="A113">
        <v>106</v>
      </c>
      <c r="B113" s="7">
        <f t="shared" si="4"/>
        <v>244315.24008677853</v>
      </c>
      <c r="C113" s="3">
        <f t="shared" si="6"/>
        <v>773.6649269414653</v>
      </c>
      <c r="D113" s="3">
        <f t="shared" si="7"/>
        <v>624.20712604224912</v>
      </c>
      <c r="E113" s="3">
        <f t="shared" si="5"/>
        <v>243691.03296073628</v>
      </c>
    </row>
    <row r="114" spans="1:6" x14ac:dyDescent="0.25">
      <c r="A114">
        <v>107</v>
      </c>
      <c r="B114" s="7">
        <f t="shared" si="4"/>
        <v>243691.03296073628</v>
      </c>
      <c r="C114" s="3">
        <f t="shared" si="6"/>
        <v>771.68827104233151</v>
      </c>
      <c r="D114" s="3">
        <f t="shared" si="7"/>
        <v>626.1837819413829</v>
      </c>
      <c r="E114" s="3">
        <f t="shared" si="5"/>
        <v>243064.84917879489</v>
      </c>
    </row>
    <row r="115" spans="1:6" x14ac:dyDescent="0.25">
      <c r="A115">
        <v>108</v>
      </c>
      <c r="B115" s="7">
        <f t="shared" si="4"/>
        <v>243064.84917879489</v>
      </c>
      <c r="C115" s="3">
        <f t="shared" si="6"/>
        <v>769.70535573285042</v>
      </c>
      <c r="D115" s="3">
        <f t="shared" si="7"/>
        <v>628.16669725086399</v>
      </c>
      <c r="E115" s="3">
        <f t="shared" si="5"/>
        <v>242436.68248154403</v>
      </c>
      <c r="F115" s="7">
        <f>SUM(C104:C115)</f>
        <v>9365.969340379761</v>
      </c>
    </row>
    <row r="116" spans="1:6" x14ac:dyDescent="0.25">
      <c r="A116">
        <v>109</v>
      </c>
      <c r="B116" s="7">
        <f t="shared" si="4"/>
        <v>242436.68248154403</v>
      </c>
      <c r="C116" s="3">
        <f t="shared" si="6"/>
        <v>767.71616119155613</v>
      </c>
      <c r="D116" s="3">
        <f t="shared" si="7"/>
        <v>630.15589179215829</v>
      </c>
      <c r="E116" s="3">
        <f t="shared" si="5"/>
        <v>241806.52658975188</v>
      </c>
    </row>
    <row r="117" spans="1:6" x14ac:dyDescent="0.25">
      <c r="A117">
        <v>110</v>
      </c>
      <c r="B117" s="7">
        <f t="shared" si="4"/>
        <v>241806.52658975188</v>
      </c>
      <c r="C117" s="3">
        <f t="shared" si="6"/>
        <v>765.72066753421427</v>
      </c>
      <c r="D117" s="3">
        <f t="shared" si="7"/>
        <v>632.15138544950014</v>
      </c>
      <c r="E117" s="3">
        <f t="shared" si="5"/>
        <v>241174.37520430237</v>
      </c>
    </row>
    <row r="118" spans="1:6" x14ac:dyDescent="0.25">
      <c r="A118">
        <v>111</v>
      </c>
      <c r="B118" s="7">
        <f t="shared" si="4"/>
        <v>241174.37520430237</v>
      </c>
      <c r="C118" s="3">
        <f t="shared" si="6"/>
        <v>763.71885481362415</v>
      </c>
      <c r="D118" s="3">
        <f t="shared" si="7"/>
        <v>634.15319817009026</v>
      </c>
      <c r="E118" s="3">
        <f t="shared" si="5"/>
        <v>240540.22200613227</v>
      </c>
    </row>
    <row r="119" spans="1:6" x14ac:dyDescent="0.25">
      <c r="A119">
        <v>112</v>
      </c>
      <c r="B119" s="7">
        <f t="shared" si="4"/>
        <v>240540.22200613227</v>
      </c>
      <c r="C119" s="3">
        <f t="shared" si="6"/>
        <v>761.71070301941882</v>
      </c>
      <c r="D119" s="3">
        <f t="shared" si="7"/>
        <v>636.1613499642956</v>
      </c>
      <c r="E119" s="3">
        <f t="shared" si="5"/>
        <v>239904.06065616797</v>
      </c>
    </row>
    <row r="120" spans="1:6" x14ac:dyDescent="0.25">
      <c r="A120">
        <v>113</v>
      </c>
      <c r="B120" s="7">
        <f t="shared" si="4"/>
        <v>239904.06065616797</v>
      </c>
      <c r="C120" s="3">
        <f t="shared" si="6"/>
        <v>759.69619207786525</v>
      </c>
      <c r="D120" s="3">
        <f t="shared" si="7"/>
        <v>638.17586090584916</v>
      </c>
      <c r="E120" s="3">
        <f t="shared" si="5"/>
        <v>239265.88479526213</v>
      </c>
    </row>
    <row r="121" spans="1:6" x14ac:dyDescent="0.25">
      <c r="A121">
        <v>114</v>
      </c>
      <c r="B121" s="7">
        <f t="shared" si="4"/>
        <v>239265.88479526213</v>
      </c>
      <c r="C121" s="3">
        <f t="shared" si="6"/>
        <v>757.67530185166333</v>
      </c>
      <c r="D121" s="3">
        <f t="shared" si="7"/>
        <v>640.19675113205108</v>
      </c>
      <c r="E121" s="3">
        <f t="shared" si="5"/>
        <v>238625.68804413007</v>
      </c>
    </row>
    <row r="122" spans="1:6" x14ac:dyDescent="0.25">
      <c r="A122">
        <v>115</v>
      </c>
      <c r="B122" s="7">
        <f t="shared" si="4"/>
        <v>238625.68804413007</v>
      </c>
      <c r="C122" s="3">
        <f t="shared" si="6"/>
        <v>755.64801213974522</v>
      </c>
      <c r="D122" s="3">
        <f t="shared" si="7"/>
        <v>642.22404084396919</v>
      </c>
      <c r="E122" s="3">
        <f t="shared" si="5"/>
        <v>237983.46400328609</v>
      </c>
    </row>
    <row r="123" spans="1:6" x14ac:dyDescent="0.25">
      <c r="A123">
        <v>116</v>
      </c>
      <c r="B123" s="7">
        <f t="shared" si="4"/>
        <v>237983.46400328609</v>
      </c>
      <c r="C123" s="3">
        <f t="shared" si="6"/>
        <v>753.6143026770726</v>
      </c>
      <c r="D123" s="3">
        <f t="shared" si="7"/>
        <v>644.25775030664181</v>
      </c>
      <c r="E123" s="3">
        <f t="shared" si="5"/>
        <v>237339.20625297946</v>
      </c>
    </row>
    <row r="124" spans="1:6" x14ac:dyDescent="0.25">
      <c r="A124">
        <v>117</v>
      </c>
      <c r="B124" s="7">
        <f t="shared" si="4"/>
        <v>237339.20625297946</v>
      </c>
      <c r="C124" s="3">
        <f t="shared" si="6"/>
        <v>751.57415313443494</v>
      </c>
      <c r="D124" s="3">
        <f t="shared" si="7"/>
        <v>646.29789984927947</v>
      </c>
      <c r="E124" s="3">
        <f t="shared" si="5"/>
        <v>236692.90835313019</v>
      </c>
    </row>
    <row r="125" spans="1:6" x14ac:dyDescent="0.25">
      <c r="A125">
        <v>118</v>
      </c>
      <c r="B125" s="7">
        <f t="shared" si="4"/>
        <v>236692.90835313019</v>
      </c>
      <c r="C125" s="3">
        <f t="shared" si="6"/>
        <v>749.5275431182456</v>
      </c>
      <c r="D125" s="3">
        <f t="shared" si="7"/>
        <v>648.34450986546881</v>
      </c>
      <c r="E125" s="3">
        <f t="shared" si="5"/>
        <v>236044.56384326471</v>
      </c>
    </row>
    <row r="126" spans="1:6" x14ac:dyDescent="0.25">
      <c r="A126">
        <v>119</v>
      </c>
      <c r="B126" s="7">
        <f t="shared" si="4"/>
        <v>236044.56384326471</v>
      </c>
      <c r="C126" s="3">
        <f t="shared" si="6"/>
        <v>747.47445217033828</v>
      </c>
      <c r="D126" s="3">
        <f t="shared" si="7"/>
        <v>650.39760081337613</v>
      </c>
      <c r="E126" s="3">
        <f t="shared" si="5"/>
        <v>235394.16624245132</v>
      </c>
    </row>
    <row r="127" spans="1:6" x14ac:dyDescent="0.25">
      <c r="A127">
        <v>120</v>
      </c>
      <c r="B127" s="7">
        <f t="shared" si="4"/>
        <v>235394.16624245132</v>
      </c>
      <c r="C127" s="3">
        <f t="shared" si="6"/>
        <v>745.41485976776255</v>
      </c>
      <c r="D127" s="3">
        <f t="shared" si="7"/>
        <v>652.45719321595186</v>
      </c>
      <c r="E127" s="3">
        <f t="shared" si="5"/>
        <v>234741.70904923536</v>
      </c>
      <c r="F127" s="7">
        <f>SUM(C116:C127)</f>
        <v>9079.4912034959416</v>
      </c>
    </row>
    <row r="139" spans="6:6" x14ac:dyDescent="0.25">
      <c r="F139" s="7"/>
    </row>
    <row r="151" spans="6:6" x14ac:dyDescent="0.25">
      <c r="F151" s="7">
        <f>SUM(C140:C151)</f>
        <v>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F17" sqref="F17"/>
    </sheetView>
  </sheetViews>
  <sheetFormatPr defaultColWidth="8.85546875" defaultRowHeight="15" x14ac:dyDescent="0.25"/>
  <sheetData>
    <row r="1" spans="1:12" x14ac:dyDescent="0.25">
      <c r="A1" t="s">
        <v>95</v>
      </c>
      <c r="B1">
        <v>4.91</v>
      </c>
      <c r="C1">
        <v>15.79</v>
      </c>
      <c r="D1">
        <v>5.49</v>
      </c>
      <c r="E1">
        <v>-37</v>
      </c>
      <c r="F1">
        <v>26.46</v>
      </c>
      <c r="G1">
        <v>15.06</v>
      </c>
      <c r="H1">
        <v>2.11</v>
      </c>
      <c r="I1">
        <v>16</v>
      </c>
      <c r="J1">
        <v>32.39</v>
      </c>
      <c r="K1">
        <v>13.69</v>
      </c>
      <c r="L1" s="16">
        <f>AVERAGE(G1:K1)/100</f>
        <v>0.1585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FCF-Statement</vt:lpstr>
      <vt:lpstr>Bankrupt</vt:lpstr>
      <vt:lpstr>Mortgage</vt:lpstr>
      <vt:lpstr>Sheet3</vt:lpstr>
      <vt:lpstr>Bankrupt!Print_Area</vt:lpstr>
      <vt:lpstr>'FCF-Statement'!Print_Area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2019-08-27T21:06:28Z</dcterms:created>
  <dcterms:modified xsi:type="dcterms:W3CDTF">2019-08-27T21:06:37Z</dcterms:modified>
</cp:coreProperties>
</file>