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autoCompressPictures="0"/>
  <bookViews>
    <workbookView xWindow="0" yWindow="0" windowWidth="20490" windowHeight="7755" tabRatio="500"/>
  </bookViews>
  <sheets>
    <sheet name="Forecast" sheetId="1" r:id="rId1"/>
    <sheet name="Mortgage" sheetId="2" r:id="rId2"/>
    <sheet name="Bankruptcy" sheetId="3" r:id="rId3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7" i="1" l="1"/>
  <c r="H84" i="1"/>
  <c r="G84" i="1"/>
  <c r="E84" i="1"/>
  <c r="D86" i="1"/>
  <c r="C86" i="1"/>
  <c r="D84" i="1"/>
  <c r="C84" i="1"/>
  <c r="C82" i="1"/>
  <c r="D78" i="3"/>
  <c r="N124" i="1"/>
  <c r="E16" i="1" l="1"/>
  <c r="F16" i="1"/>
  <c r="R19" i="1"/>
  <c r="N109" i="1"/>
  <c r="E115" i="1"/>
  <c r="G115" i="1"/>
  <c r="I115" i="1"/>
  <c r="K115" i="1"/>
  <c r="D115" i="1"/>
  <c r="F43" i="1"/>
  <c r="E47" i="1"/>
  <c r="F47" i="1"/>
  <c r="G47" i="1" s="1"/>
  <c r="H47" i="1" s="1"/>
  <c r="I47" i="1" s="1"/>
  <c r="J47" i="1" s="1"/>
  <c r="K47" i="1" s="1"/>
  <c r="L47" i="1" s="1"/>
  <c r="M47" i="1" s="1"/>
  <c r="N47" i="1" s="1"/>
  <c r="E49" i="1"/>
  <c r="E33" i="1" s="1"/>
  <c r="F49" i="1"/>
  <c r="G49" i="1" s="1"/>
  <c r="H49" i="1" s="1"/>
  <c r="I49" i="1" s="1"/>
  <c r="J49" i="1" s="1"/>
  <c r="K49" i="1" s="1"/>
  <c r="L49" i="1" s="1"/>
  <c r="M49" i="1" s="1"/>
  <c r="E32" i="1"/>
  <c r="E48" i="1"/>
  <c r="F32" i="1"/>
  <c r="F48" i="1"/>
  <c r="G48" i="1" s="1"/>
  <c r="F51" i="1"/>
  <c r="G43" i="1"/>
  <c r="G32" i="1"/>
  <c r="G51" i="1"/>
  <c r="F115" i="1" s="1"/>
  <c r="H43" i="1"/>
  <c r="H32" i="1"/>
  <c r="H93" i="1" s="1"/>
  <c r="H51" i="1"/>
  <c r="I43" i="1"/>
  <c r="I51" i="1"/>
  <c r="H115" i="1" s="1"/>
  <c r="J43" i="1"/>
  <c r="J51" i="1"/>
  <c r="K43" i="1"/>
  <c r="K51" i="1"/>
  <c r="J115" i="1" s="1"/>
  <c r="L43" i="1"/>
  <c r="L51" i="1"/>
  <c r="M43" i="1"/>
  <c r="M51" i="1"/>
  <c r="N43" i="1"/>
  <c r="N32" i="1"/>
  <c r="E19" i="1"/>
  <c r="E44" i="1"/>
  <c r="E46" i="1"/>
  <c r="E43" i="1"/>
  <c r="G83" i="3"/>
  <c r="E81" i="3"/>
  <c r="F81" i="3"/>
  <c r="G81" i="3"/>
  <c r="G84" i="3" s="1"/>
  <c r="H81" i="3"/>
  <c r="D81" i="3"/>
  <c r="D84" i="3" s="1"/>
  <c r="T49" i="3"/>
  <c r="F47" i="3"/>
  <c r="G47" i="3" s="1"/>
  <c r="H47" i="3" s="1"/>
  <c r="I47" i="3" s="1"/>
  <c r="U49" i="3" s="1"/>
  <c r="Y49" i="3" s="1"/>
  <c r="E51" i="3"/>
  <c r="F51" i="3"/>
  <c r="G51" i="3" s="1"/>
  <c r="H51" i="3"/>
  <c r="E16" i="3"/>
  <c r="T45" i="3"/>
  <c r="T46" i="3"/>
  <c r="T47" i="3"/>
  <c r="T48" i="3"/>
  <c r="T50" i="3"/>
  <c r="T52" i="3"/>
  <c r="T44" i="3"/>
  <c r="I44" i="3"/>
  <c r="V44" i="3"/>
  <c r="Z44" i="3" s="1"/>
  <c r="R19" i="3"/>
  <c r="E19" i="3" s="1"/>
  <c r="V46" i="3"/>
  <c r="Z46" i="3" s="1"/>
  <c r="E49" i="3"/>
  <c r="I36" i="3"/>
  <c r="I83" i="3" s="1"/>
  <c r="E24" i="3"/>
  <c r="F24" i="3" s="1"/>
  <c r="G24" i="3" s="1"/>
  <c r="H24" i="3" s="1"/>
  <c r="I24" i="3" s="1"/>
  <c r="J24" i="3" s="1"/>
  <c r="K24" i="3" s="1"/>
  <c r="L24" i="3" s="1"/>
  <c r="M24" i="3" s="1"/>
  <c r="N24" i="3" s="1"/>
  <c r="E28" i="3"/>
  <c r="F28" i="3"/>
  <c r="G28" i="3" s="1"/>
  <c r="H28" i="3" s="1"/>
  <c r="I28" i="3" s="1"/>
  <c r="J28" i="3" s="1"/>
  <c r="K28" i="3" s="1"/>
  <c r="L28" i="3" s="1"/>
  <c r="M28" i="3" s="1"/>
  <c r="N28" i="3" s="1"/>
  <c r="E29" i="3"/>
  <c r="F29" i="3" s="1"/>
  <c r="G29" i="3" s="1"/>
  <c r="H29" i="3" s="1"/>
  <c r="I29" i="3" s="1"/>
  <c r="J29" i="3" s="1"/>
  <c r="K29" i="3" s="1"/>
  <c r="L29" i="3" s="1"/>
  <c r="M29" i="3" s="1"/>
  <c r="N29" i="3" s="1"/>
  <c r="E34" i="3"/>
  <c r="H36" i="3"/>
  <c r="H83" i="3" s="1"/>
  <c r="E36" i="3"/>
  <c r="E83" i="3" s="1"/>
  <c r="E63" i="3"/>
  <c r="F36" i="3"/>
  <c r="F83" i="3" s="1"/>
  <c r="G36" i="3"/>
  <c r="J36" i="3"/>
  <c r="K36" i="3"/>
  <c r="L36" i="3"/>
  <c r="M36" i="3"/>
  <c r="N33" i="3"/>
  <c r="N36" i="3"/>
  <c r="F61" i="3"/>
  <c r="G61" i="3" s="1"/>
  <c r="H61" i="3"/>
  <c r="I61" i="3" s="1"/>
  <c r="J61" i="3" s="1"/>
  <c r="K61" i="3" s="1"/>
  <c r="L61" i="3" s="1"/>
  <c r="M61" i="3" s="1"/>
  <c r="N61" i="3" s="1"/>
  <c r="N44" i="3"/>
  <c r="M44" i="3"/>
  <c r="L44" i="3"/>
  <c r="K44" i="3"/>
  <c r="J44" i="3"/>
  <c r="H44" i="3"/>
  <c r="G44" i="3"/>
  <c r="F44" i="3"/>
  <c r="E45" i="3"/>
  <c r="E48" i="3"/>
  <c r="E44" i="3"/>
  <c r="E56" i="3"/>
  <c r="S27" i="3"/>
  <c r="E20" i="1"/>
  <c r="E28" i="1"/>
  <c r="F28" i="1" s="1"/>
  <c r="E29" i="1"/>
  <c r="E30" i="1"/>
  <c r="E100" i="1" s="1"/>
  <c r="E35" i="1"/>
  <c r="E62" i="1"/>
  <c r="E55" i="1"/>
  <c r="F24" i="1"/>
  <c r="G24" i="1" s="1"/>
  <c r="F29" i="1"/>
  <c r="G29" i="1" s="1"/>
  <c r="F35" i="1"/>
  <c r="F60" i="1"/>
  <c r="G28" i="1"/>
  <c r="H28" i="1" s="1"/>
  <c r="G35" i="1"/>
  <c r="G60" i="1"/>
  <c r="H60" i="1" s="1"/>
  <c r="H24" i="1"/>
  <c r="I24" i="1" s="1"/>
  <c r="H29" i="1"/>
  <c r="I29" i="1" s="1"/>
  <c r="H35" i="1"/>
  <c r="I28" i="1"/>
  <c r="J28" i="1" s="1"/>
  <c r="I35" i="1"/>
  <c r="I60" i="1"/>
  <c r="J60" i="1" s="1"/>
  <c r="J24" i="1"/>
  <c r="K24" i="1" s="1"/>
  <c r="J29" i="1"/>
  <c r="K29" i="1" s="1"/>
  <c r="J35" i="1"/>
  <c r="K28" i="1"/>
  <c r="L28" i="1" s="1"/>
  <c r="K35" i="1"/>
  <c r="K60" i="1"/>
  <c r="L60" i="1" s="1"/>
  <c r="L24" i="1"/>
  <c r="M24" i="1" s="1"/>
  <c r="N24" i="1" s="1"/>
  <c r="L29" i="1"/>
  <c r="M29" i="1" s="1"/>
  <c r="N29" i="1" s="1"/>
  <c r="L35" i="1"/>
  <c r="M28" i="1"/>
  <c r="M35" i="1"/>
  <c r="M60" i="1"/>
  <c r="N60" i="1" s="1"/>
  <c r="C83" i="1" s="1"/>
  <c r="N28" i="1"/>
  <c r="N35" i="1"/>
  <c r="G82" i="1"/>
  <c r="B79" i="1"/>
  <c r="F83" i="1"/>
  <c r="G83" i="1" s="1"/>
  <c r="E109" i="1"/>
  <c r="E107" i="1"/>
  <c r="E123" i="1"/>
  <c r="F109" i="1"/>
  <c r="F119" i="1"/>
  <c r="F107" i="1"/>
  <c r="F123" i="1"/>
  <c r="G109" i="1"/>
  <c r="G119" i="1"/>
  <c r="G107" i="1"/>
  <c r="G123" i="1"/>
  <c r="H109" i="1"/>
  <c r="H119" i="1"/>
  <c r="H107" i="1"/>
  <c r="H123" i="1"/>
  <c r="I109" i="1"/>
  <c r="I119" i="1"/>
  <c r="I107" i="1"/>
  <c r="I123" i="1"/>
  <c r="J109" i="1"/>
  <c r="J119" i="1"/>
  <c r="J107" i="1"/>
  <c r="J123" i="1"/>
  <c r="K109" i="1"/>
  <c r="K119" i="1"/>
  <c r="K107" i="1"/>
  <c r="K123" i="1"/>
  <c r="L109" i="1"/>
  <c r="L119" i="1"/>
  <c r="L107" i="1"/>
  <c r="L123" i="1"/>
  <c r="M109" i="1"/>
  <c r="M107" i="1"/>
  <c r="M123" i="1"/>
  <c r="N107" i="1"/>
  <c r="N123" i="1"/>
  <c r="Q124" i="1" s="1"/>
  <c r="N125" i="1" s="1"/>
  <c r="D109" i="1"/>
  <c r="D119" i="1"/>
  <c r="D107" i="1"/>
  <c r="D108" i="1"/>
  <c r="D110" i="1"/>
  <c r="D111" i="1"/>
  <c r="D123" i="1"/>
  <c r="E92" i="1"/>
  <c r="E93" i="1"/>
  <c r="E94" i="1" s="1"/>
  <c r="E95" i="1" s="1"/>
  <c r="E96" i="1" s="1"/>
  <c r="F93" i="1"/>
  <c r="G93" i="1"/>
  <c r="M93" i="1"/>
  <c r="N93" i="1"/>
  <c r="D92" i="1"/>
  <c r="D93" i="1"/>
  <c r="D94" i="1" s="1"/>
  <c r="D95" i="1" s="1"/>
  <c r="D96" i="1" s="1"/>
  <c r="S27" i="1"/>
  <c r="G6" i="2"/>
  <c r="C2" i="2"/>
  <c r="C4" i="2" s="1"/>
  <c r="E72" i="1"/>
  <c r="E70" i="1"/>
  <c r="E50" i="1" l="1"/>
  <c r="E52" i="1" s="1"/>
  <c r="F33" i="1"/>
  <c r="E101" i="1"/>
  <c r="E102" i="1" s="1"/>
  <c r="E103" i="1" s="1"/>
  <c r="E119" i="1"/>
  <c r="I32" i="1"/>
  <c r="D7" i="2"/>
  <c r="D8" i="2"/>
  <c r="D9" i="2"/>
  <c r="D10" i="2"/>
  <c r="D11" i="2"/>
  <c r="D12" i="2"/>
  <c r="D13" i="2"/>
  <c r="D14" i="2"/>
  <c r="D15" i="2"/>
  <c r="D16" i="2"/>
  <c r="D17" i="2"/>
  <c r="D18" i="2"/>
  <c r="D30" i="2"/>
  <c r="D31" i="2"/>
  <c r="D32" i="2"/>
  <c r="D33" i="2"/>
  <c r="D34" i="2"/>
  <c r="D35" i="2"/>
  <c r="D36" i="2"/>
  <c r="D37" i="2"/>
  <c r="D38" i="2"/>
  <c r="D39" i="2"/>
  <c r="D40" i="2"/>
  <c r="D41" i="2"/>
  <c r="D54" i="2"/>
  <c r="D55" i="2"/>
  <c r="D56" i="2"/>
  <c r="D57" i="2"/>
  <c r="D58" i="2"/>
  <c r="D59" i="2"/>
  <c r="D60" i="2"/>
  <c r="D61" i="2"/>
  <c r="D62" i="2"/>
  <c r="D63" i="2"/>
  <c r="D64" i="2"/>
  <c r="D65" i="2"/>
  <c r="D78" i="2"/>
  <c r="D79" i="2"/>
  <c r="D80" i="2"/>
  <c r="D81" i="2"/>
  <c r="D82" i="2"/>
  <c r="D83" i="2"/>
  <c r="D84" i="2"/>
  <c r="D85" i="2"/>
  <c r="D86" i="2"/>
  <c r="D87" i="2"/>
  <c r="D88" i="2"/>
  <c r="D89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9" i="2"/>
  <c r="D20" i="2"/>
  <c r="D21" i="2"/>
  <c r="D22" i="2"/>
  <c r="D23" i="2"/>
  <c r="D24" i="2"/>
  <c r="D25" i="2"/>
  <c r="D26" i="2"/>
  <c r="D27" i="2"/>
  <c r="D28" i="2"/>
  <c r="D29" i="2"/>
  <c r="D42" i="2"/>
  <c r="D43" i="2"/>
  <c r="D44" i="2"/>
  <c r="D45" i="2"/>
  <c r="D46" i="2"/>
  <c r="D47" i="2"/>
  <c r="D48" i="2"/>
  <c r="D49" i="2"/>
  <c r="D50" i="2"/>
  <c r="D51" i="2"/>
  <c r="D52" i="2"/>
  <c r="D53" i="2"/>
  <c r="D66" i="2"/>
  <c r="D67" i="2"/>
  <c r="D68" i="2"/>
  <c r="D69" i="2"/>
  <c r="D70" i="2"/>
  <c r="D71" i="2"/>
  <c r="D72" i="2"/>
  <c r="D73" i="2"/>
  <c r="D74" i="2"/>
  <c r="D75" i="2"/>
  <c r="D76" i="2"/>
  <c r="D77" i="2"/>
  <c r="D90" i="2"/>
  <c r="D91" i="2"/>
  <c r="D92" i="2"/>
  <c r="D93" i="2"/>
  <c r="D94" i="2"/>
  <c r="D95" i="2"/>
  <c r="D96" i="2"/>
  <c r="D97" i="2"/>
  <c r="D98" i="2"/>
  <c r="D99" i="2"/>
  <c r="D100" i="2"/>
  <c r="D101" i="2"/>
  <c r="D114" i="2"/>
  <c r="D115" i="2"/>
  <c r="D116" i="2"/>
  <c r="D126" i="2"/>
  <c r="D125" i="2"/>
  <c r="D124" i="2"/>
  <c r="D123" i="2"/>
  <c r="D122" i="2"/>
  <c r="D121" i="2"/>
  <c r="D120" i="2"/>
  <c r="D119" i="2"/>
  <c r="D118" i="2"/>
  <c r="D117" i="2"/>
  <c r="E7" i="2"/>
  <c r="H48" i="1"/>
  <c r="N49" i="1"/>
  <c r="F34" i="3"/>
  <c r="E52" i="3"/>
  <c r="F49" i="3"/>
  <c r="G49" i="3" s="1"/>
  <c r="H49" i="3" s="1"/>
  <c r="I49" i="3" s="1"/>
  <c r="E33" i="3"/>
  <c r="I51" i="3"/>
  <c r="F16" i="3"/>
  <c r="E20" i="3"/>
  <c r="E30" i="3" s="1"/>
  <c r="E84" i="3"/>
  <c r="G16" i="1"/>
  <c r="F19" i="1"/>
  <c r="F46" i="1"/>
  <c r="E110" i="1" s="1"/>
  <c r="H84" i="3"/>
  <c r="F84" i="3"/>
  <c r="L115" i="1"/>
  <c r="N51" i="1"/>
  <c r="I93" i="1" l="1"/>
  <c r="J32" i="1"/>
  <c r="G33" i="1"/>
  <c r="F50" i="1"/>
  <c r="F101" i="1"/>
  <c r="E104" i="1"/>
  <c r="D112" i="1"/>
  <c r="D126" i="1" s="1"/>
  <c r="F44" i="1"/>
  <c r="F20" i="1"/>
  <c r="F30" i="1" s="1"/>
  <c r="F92" i="1"/>
  <c r="F55" i="1"/>
  <c r="F72" i="1"/>
  <c r="F33" i="3"/>
  <c r="G33" i="3" s="1"/>
  <c r="H33" i="3" s="1"/>
  <c r="I33" i="3" s="1"/>
  <c r="J33" i="3" s="1"/>
  <c r="K33" i="3" s="1"/>
  <c r="L33" i="3" s="1"/>
  <c r="E50" i="3"/>
  <c r="M119" i="1"/>
  <c r="N119" i="1"/>
  <c r="N115" i="1"/>
  <c r="M115" i="1"/>
  <c r="G19" i="1"/>
  <c r="G46" i="1"/>
  <c r="F110" i="1" s="1"/>
  <c r="H16" i="1"/>
  <c r="G92" i="1"/>
  <c r="G16" i="3"/>
  <c r="F19" i="3"/>
  <c r="F48" i="3"/>
  <c r="U50" i="3"/>
  <c r="Y50" i="3" s="1"/>
  <c r="Y53" i="3" s="1"/>
  <c r="J51" i="3"/>
  <c r="V48" i="3"/>
  <c r="Z48" i="3" s="1"/>
  <c r="J49" i="3"/>
  <c r="K49" i="3" s="1"/>
  <c r="L49" i="3" s="1"/>
  <c r="M49" i="3" s="1"/>
  <c r="N49" i="3" s="1"/>
  <c r="G34" i="3"/>
  <c r="F52" i="3"/>
  <c r="I48" i="1"/>
  <c r="F7" i="2"/>
  <c r="G7" i="2" s="1"/>
  <c r="K32" i="1" l="1"/>
  <c r="J93" i="1"/>
  <c r="G101" i="1"/>
  <c r="H33" i="1"/>
  <c r="G50" i="1"/>
  <c r="J48" i="1"/>
  <c r="H34" i="3"/>
  <c r="G52" i="3"/>
  <c r="K51" i="3"/>
  <c r="H16" i="3"/>
  <c r="G19" i="3"/>
  <c r="G48" i="3"/>
  <c r="G94" i="1"/>
  <c r="G95" i="1" s="1"/>
  <c r="G96" i="1"/>
  <c r="I16" i="1"/>
  <c r="H19" i="1"/>
  <c r="H46" i="1"/>
  <c r="G110" i="1" s="1"/>
  <c r="H20" i="1"/>
  <c r="H30" i="1" s="1"/>
  <c r="G44" i="1"/>
  <c r="G55" i="1"/>
  <c r="G72" i="1"/>
  <c r="N116" i="1"/>
  <c r="Q116" i="1"/>
  <c r="N117" i="1" s="1"/>
  <c r="P116" i="1"/>
  <c r="N120" i="1"/>
  <c r="F94" i="1"/>
  <c r="F95" i="1" s="1"/>
  <c r="F96" i="1"/>
  <c r="F52" i="1"/>
  <c r="E108" i="1"/>
  <c r="E8" i="2"/>
  <c r="F45" i="3"/>
  <c r="F56" i="3"/>
  <c r="F20" i="3"/>
  <c r="F30" i="3" s="1"/>
  <c r="G20" i="1"/>
  <c r="G30" i="1" s="1"/>
  <c r="F50" i="3"/>
  <c r="E53" i="3"/>
  <c r="E111" i="1"/>
  <c r="F70" i="1"/>
  <c r="F100" i="1"/>
  <c r="I33" i="1" l="1"/>
  <c r="H101" i="1"/>
  <c r="H50" i="1"/>
  <c r="K93" i="1"/>
  <c r="L32" i="1"/>
  <c r="L93" i="1" s="1"/>
  <c r="F102" i="1"/>
  <c r="F103" i="1" s="1"/>
  <c r="E112" i="1" s="1"/>
  <c r="E126" i="1" s="1"/>
  <c r="G50" i="3"/>
  <c r="F53" i="3"/>
  <c r="F108" i="1"/>
  <c r="G52" i="1"/>
  <c r="H100" i="1"/>
  <c r="H44" i="1"/>
  <c r="H55" i="1"/>
  <c r="H72" i="1"/>
  <c r="G45" i="3"/>
  <c r="G56" i="3"/>
  <c r="G100" i="1"/>
  <c r="F8" i="2"/>
  <c r="G8" i="2" s="1"/>
  <c r="F111" i="1"/>
  <c r="G70" i="1"/>
  <c r="H92" i="1"/>
  <c r="I19" i="1"/>
  <c r="I46" i="1"/>
  <c r="H110" i="1" s="1"/>
  <c r="J16" i="1"/>
  <c r="I20" i="1"/>
  <c r="I30" i="1" s="1"/>
  <c r="I92" i="1"/>
  <c r="G20" i="3"/>
  <c r="G30" i="3" s="1"/>
  <c r="H19" i="3"/>
  <c r="I16" i="3"/>
  <c r="H48" i="3"/>
  <c r="H20" i="3"/>
  <c r="H30" i="3" s="1"/>
  <c r="L51" i="3"/>
  <c r="I34" i="3"/>
  <c r="H52" i="3"/>
  <c r="K48" i="1"/>
  <c r="I101" i="1" l="1"/>
  <c r="I50" i="1"/>
  <c r="J33" i="1"/>
  <c r="L48" i="1"/>
  <c r="J34" i="3"/>
  <c r="I52" i="3"/>
  <c r="M51" i="3"/>
  <c r="H45" i="3"/>
  <c r="H56" i="3"/>
  <c r="I94" i="1"/>
  <c r="I95" i="1" s="1"/>
  <c r="I96" i="1" s="1"/>
  <c r="K16" i="1"/>
  <c r="J19" i="1"/>
  <c r="J92" i="1" s="1"/>
  <c r="J46" i="1"/>
  <c r="I110" i="1" s="1"/>
  <c r="J20" i="1"/>
  <c r="J30" i="1" s="1"/>
  <c r="I44" i="1"/>
  <c r="I55" i="1"/>
  <c r="I72" i="1"/>
  <c r="G102" i="1"/>
  <c r="G103" i="1" s="1"/>
  <c r="F112" i="1" s="1"/>
  <c r="G104" i="1"/>
  <c r="G108" i="1"/>
  <c r="H52" i="1"/>
  <c r="H102" i="1"/>
  <c r="H103" i="1" s="1"/>
  <c r="G112" i="1" s="1"/>
  <c r="G53" i="3"/>
  <c r="H50" i="3"/>
  <c r="F104" i="1"/>
  <c r="F126" i="1" s="1"/>
  <c r="I19" i="3"/>
  <c r="I20" i="3" s="1"/>
  <c r="I30" i="3" s="1"/>
  <c r="I48" i="3"/>
  <c r="V47" i="3" s="1"/>
  <c r="Z47" i="3" s="1"/>
  <c r="J16" i="3"/>
  <c r="I100" i="1"/>
  <c r="H94" i="1"/>
  <c r="H95" i="1" s="1"/>
  <c r="H96" i="1" s="1"/>
  <c r="E9" i="2"/>
  <c r="G111" i="1"/>
  <c r="H70" i="1"/>
  <c r="K33" i="1" l="1"/>
  <c r="J50" i="1"/>
  <c r="J101" i="1"/>
  <c r="J94" i="1"/>
  <c r="J95" i="1" s="1"/>
  <c r="J96" i="1" s="1"/>
  <c r="I102" i="1"/>
  <c r="I103" i="1" s="1"/>
  <c r="H112" i="1" s="1"/>
  <c r="J19" i="3"/>
  <c r="J20" i="3" s="1"/>
  <c r="J30" i="3" s="1"/>
  <c r="K16" i="3"/>
  <c r="J48" i="3"/>
  <c r="I50" i="3"/>
  <c r="H53" i="3"/>
  <c r="H104" i="1"/>
  <c r="H111" i="1"/>
  <c r="I70" i="1"/>
  <c r="K19" i="1"/>
  <c r="K46" i="1"/>
  <c r="J110" i="1" s="1"/>
  <c r="L16" i="1"/>
  <c r="K20" i="1"/>
  <c r="K30" i="1" s="1"/>
  <c r="K92" i="1"/>
  <c r="N51" i="3"/>
  <c r="K34" i="3"/>
  <c r="J52" i="3"/>
  <c r="M48" i="1"/>
  <c r="F9" i="2"/>
  <c r="G9" i="2" s="1"/>
  <c r="I56" i="3"/>
  <c r="I45" i="3"/>
  <c r="V45" i="3" s="1"/>
  <c r="Z45" i="3" s="1"/>
  <c r="G126" i="1"/>
  <c r="H108" i="1"/>
  <c r="I52" i="1"/>
  <c r="J100" i="1"/>
  <c r="J44" i="1"/>
  <c r="J55" i="1"/>
  <c r="J72" i="1"/>
  <c r="K50" i="1" l="1"/>
  <c r="K101" i="1"/>
  <c r="L33" i="1"/>
  <c r="N48" i="1"/>
  <c r="L34" i="3"/>
  <c r="K52" i="3"/>
  <c r="K100" i="1"/>
  <c r="L16" i="3"/>
  <c r="K48" i="3"/>
  <c r="K19" i="3"/>
  <c r="K20" i="3" s="1"/>
  <c r="K30" i="3" s="1"/>
  <c r="I104" i="1"/>
  <c r="I111" i="1"/>
  <c r="J70" i="1"/>
  <c r="J102" i="1"/>
  <c r="J103" i="1" s="1"/>
  <c r="I112" i="1" s="1"/>
  <c r="I108" i="1"/>
  <c r="J52" i="1"/>
  <c r="V52" i="3"/>
  <c r="Z52" i="3" s="1"/>
  <c r="Z53" i="3" s="1"/>
  <c r="Z56" i="3" s="1"/>
  <c r="E10" i="2"/>
  <c r="K94" i="1"/>
  <c r="K95" i="1" s="1"/>
  <c r="K96" i="1"/>
  <c r="M16" i="1"/>
  <c r="L19" i="1"/>
  <c r="L46" i="1"/>
  <c r="K110" i="1" s="1"/>
  <c r="L20" i="1"/>
  <c r="L30" i="1" s="1"/>
  <c r="L92" i="1"/>
  <c r="K44" i="1"/>
  <c r="K55" i="1"/>
  <c r="K72" i="1"/>
  <c r="H126" i="1"/>
  <c r="J50" i="3"/>
  <c r="I53" i="3"/>
  <c r="J56" i="3"/>
  <c r="J45" i="3"/>
  <c r="J104" i="1" l="1"/>
  <c r="L50" i="1"/>
  <c r="M33" i="1"/>
  <c r="L101" i="1"/>
  <c r="J111" i="1"/>
  <c r="K70" i="1"/>
  <c r="L94" i="1"/>
  <c r="L95" i="1" s="1"/>
  <c r="L96" i="1"/>
  <c r="M19" i="1"/>
  <c r="M46" i="1"/>
  <c r="L110" i="1" s="1"/>
  <c r="N16" i="1"/>
  <c r="M20" i="1"/>
  <c r="M30" i="1" s="1"/>
  <c r="M92" i="1"/>
  <c r="F10" i="2"/>
  <c r="G10" i="2" s="1"/>
  <c r="I126" i="1"/>
  <c r="K102" i="1"/>
  <c r="K103" i="1" s="1"/>
  <c r="J112" i="1" s="1"/>
  <c r="K104" i="1"/>
  <c r="K50" i="3"/>
  <c r="J53" i="3"/>
  <c r="J108" i="1"/>
  <c r="K52" i="1"/>
  <c r="L100" i="1"/>
  <c r="L44" i="1"/>
  <c r="L55" i="1"/>
  <c r="L72" i="1"/>
  <c r="K45" i="3"/>
  <c r="K56" i="3"/>
  <c r="L19" i="3"/>
  <c r="M16" i="3"/>
  <c r="L48" i="3"/>
  <c r="M34" i="3"/>
  <c r="L52" i="3"/>
  <c r="M101" i="1" l="1"/>
  <c r="N33" i="1"/>
  <c r="M50" i="1"/>
  <c r="J126" i="1"/>
  <c r="M52" i="3"/>
  <c r="N34" i="3"/>
  <c r="N52" i="3" s="1"/>
  <c r="L45" i="3"/>
  <c r="L56" i="3"/>
  <c r="K108" i="1"/>
  <c r="L52" i="1"/>
  <c r="L50" i="3"/>
  <c r="K53" i="3"/>
  <c r="E11" i="2"/>
  <c r="F11" i="2" s="1"/>
  <c r="G11" i="2" s="1"/>
  <c r="M100" i="1"/>
  <c r="L20" i="3"/>
  <c r="L30" i="3" s="1"/>
  <c r="N16" i="3"/>
  <c r="M48" i="3"/>
  <c r="M19" i="3"/>
  <c r="K111" i="1"/>
  <c r="L70" i="1"/>
  <c r="L102" i="1"/>
  <c r="L103" i="1" s="1"/>
  <c r="K112" i="1" s="1"/>
  <c r="M94" i="1"/>
  <c r="M95" i="1" s="1"/>
  <c r="M96" i="1" s="1"/>
  <c r="N46" i="1"/>
  <c r="N19" i="1"/>
  <c r="M44" i="1"/>
  <c r="M55" i="1"/>
  <c r="M72" i="1"/>
  <c r="K126" i="1" l="1"/>
  <c r="L104" i="1"/>
  <c r="N50" i="1"/>
  <c r="N101" i="1"/>
  <c r="E12" i="2"/>
  <c r="F12" i="2" s="1"/>
  <c r="G12" i="2"/>
  <c r="N44" i="1"/>
  <c r="N55" i="1"/>
  <c r="N72" i="1"/>
  <c r="N20" i="1"/>
  <c r="N30" i="1" s="1"/>
  <c r="M45" i="3"/>
  <c r="M56" i="3"/>
  <c r="N48" i="3"/>
  <c r="N19" i="3"/>
  <c r="L108" i="1"/>
  <c r="M52" i="1"/>
  <c r="L111" i="1"/>
  <c r="L126" i="1" s="1"/>
  <c r="M70" i="1"/>
  <c r="N92" i="1"/>
  <c r="N110" i="1"/>
  <c r="M110" i="1"/>
  <c r="M20" i="3"/>
  <c r="M30" i="3" s="1"/>
  <c r="M102" i="1"/>
  <c r="M103" i="1" s="1"/>
  <c r="L112" i="1" s="1"/>
  <c r="M104" i="1"/>
  <c r="M50" i="3"/>
  <c r="L53" i="3"/>
  <c r="Q120" i="1" l="1"/>
  <c r="N121" i="1" s="1"/>
  <c r="P120" i="1"/>
  <c r="N100" i="1"/>
  <c r="N111" i="1"/>
  <c r="M111" i="1"/>
  <c r="N70" i="1"/>
  <c r="E13" i="2"/>
  <c r="F13" i="2" s="1"/>
  <c r="G13" i="2" s="1"/>
  <c r="N50" i="3"/>
  <c r="M53" i="3"/>
  <c r="N94" i="1"/>
  <c r="N95" i="1" s="1"/>
  <c r="N96" i="1" s="1"/>
  <c r="N45" i="3"/>
  <c r="N56" i="3"/>
  <c r="N20" i="3"/>
  <c r="N30" i="3" s="1"/>
  <c r="N108" i="1"/>
  <c r="M108" i="1"/>
  <c r="N52" i="1"/>
  <c r="E14" i="2" l="1"/>
  <c r="F14" i="2" s="1"/>
  <c r="G14" i="2" s="1"/>
  <c r="N102" i="1"/>
  <c r="N103" i="1" s="1"/>
  <c r="N104" i="1" s="1"/>
  <c r="N53" i="3"/>
  <c r="E15" i="2" l="1"/>
  <c r="F15" i="2" s="1"/>
  <c r="G15" i="2" s="1"/>
  <c r="N112" i="1"/>
  <c r="N126" i="1" s="1"/>
  <c r="D128" i="1" s="1"/>
  <c r="M112" i="1"/>
  <c r="M126" i="1" s="1"/>
  <c r="E16" i="2" l="1"/>
  <c r="F16" i="2" s="1"/>
  <c r="G16" i="2" s="1"/>
  <c r="E17" i="2" l="1"/>
  <c r="F17" i="2" s="1"/>
  <c r="G17" i="2"/>
  <c r="E18" i="2" l="1"/>
  <c r="F18" i="2" l="1"/>
  <c r="G18" i="2" s="1"/>
  <c r="H18" i="2"/>
  <c r="E35" i="3" l="1"/>
  <c r="E34" i="1"/>
  <c r="E37" i="1" s="1"/>
  <c r="J2" i="2"/>
  <c r="E19" i="2"/>
  <c r="I18" i="2"/>
  <c r="E58" i="3" l="1"/>
  <c r="E57" i="1"/>
  <c r="J3" i="2"/>
  <c r="F19" i="2"/>
  <c r="G19" i="2" s="1"/>
  <c r="E38" i="1"/>
  <c r="E39" i="1" s="1"/>
  <c r="E76" i="3"/>
  <c r="E38" i="3"/>
  <c r="E59" i="1" l="1"/>
  <c r="E40" i="3"/>
  <c r="E64" i="3" s="1"/>
  <c r="E66" i="3" s="1"/>
  <c r="E39" i="3"/>
  <c r="E63" i="1"/>
  <c r="E65" i="1" s="1"/>
  <c r="E73" i="1"/>
  <c r="E74" i="1"/>
  <c r="E20" i="2"/>
  <c r="D74" i="3"/>
  <c r="D77" i="3" s="1"/>
  <c r="E60" i="3"/>
  <c r="F20" i="2" l="1"/>
  <c r="G20" i="2" s="1"/>
  <c r="E66" i="1"/>
  <c r="F62" i="1"/>
  <c r="E71" i="1"/>
  <c r="F63" i="3"/>
  <c r="E67" i="3"/>
  <c r="E67" i="1" l="1"/>
  <c r="E68" i="1"/>
  <c r="E21" i="2"/>
  <c r="E68" i="3"/>
  <c r="E69" i="3"/>
  <c r="F21" i="2" l="1"/>
  <c r="G21" i="2" s="1"/>
  <c r="E22" i="2" l="1"/>
  <c r="F22" i="2" l="1"/>
  <c r="G22" i="2" s="1"/>
  <c r="E23" i="2" l="1"/>
  <c r="F23" i="2" l="1"/>
  <c r="G23" i="2" s="1"/>
  <c r="E24" i="2" l="1"/>
  <c r="F24" i="2" s="1"/>
  <c r="G24" i="2" s="1"/>
  <c r="E25" i="2" l="1"/>
  <c r="F25" i="2" s="1"/>
  <c r="G25" i="2"/>
  <c r="E26" i="2" l="1"/>
  <c r="F26" i="2" s="1"/>
  <c r="G26" i="2" s="1"/>
  <c r="E27" i="2" l="1"/>
  <c r="F27" i="2" s="1"/>
  <c r="G27" i="2"/>
  <c r="E28" i="2" l="1"/>
  <c r="F28" i="2" s="1"/>
  <c r="G28" i="2"/>
  <c r="E29" i="2" l="1"/>
  <c r="F29" i="2" s="1"/>
  <c r="G29" i="2"/>
  <c r="E30" i="2" l="1"/>
  <c r="F30" i="2" l="1"/>
  <c r="G30" i="2" s="1"/>
  <c r="H30" i="2"/>
  <c r="F35" i="3" l="1"/>
  <c r="F34" i="1"/>
  <c r="F37" i="1" s="1"/>
  <c r="K2" i="2"/>
  <c r="E31" i="2"/>
  <c r="I30" i="2"/>
  <c r="F57" i="1" l="1"/>
  <c r="F58" i="3"/>
  <c r="K3" i="2"/>
  <c r="F38" i="1"/>
  <c r="F39" i="1" s="1"/>
  <c r="F31" i="2"/>
  <c r="G31" i="2" s="1"/>
  <c r="F76" i="3"/>
  <c r="F38" i="3"/>
  <c r="F63" i="1" l="1"/>
  <c r="F65" i="1" s="1"/>
  <c r="F74" i="1"/>
  <c r="F73" i="1"/>
  <c r="E74" i="3"/>
  <c r="E77" i="3" s="1"/>
  <c r="F60" i="3"/>
  <c r="F40" i="3"/>
  <c r="F64" i="3" s="1"/>
  <c r="F66" i="3" s="1"/>
  <c r="F39" i="3"/>
  <c r="E32" i="2"/>
  <c r="F59" i="1"/>
  <c r="G63" i="3" l="1"/>
  <c r="F67" i="3"/>
  <c r="F32" i="2"/>
  <c r="G32" i="2" s="1"/>
  <c r="G62" i="1"/>
  <c r="F66" i="1"/>
  <c r="F71" i="1"/>
  <c r="F67" i="1" l="1"/>
  <c r="F68" i="1"/>
  <c r="E33" i="2"/>
  <c r="F68" i="3"/>
  <c r="F69" i="3"/>
  <c r="F33" i="2" l="1"/>
  <c r="G33" i="2" s="1"/>
  <c r="E34" i="2" l="1"/>
  <c r="F34" i="2" l="1"/>
  <c r="G34" i="2" s="1"/>
  <c r="E35" i="2" l="1"/>
  <c r="F35" i="2" l="1"/>
  <c r="G35" i="2" s="1"/>
  <c r="E36" i="2" l="1"/>
  <c r="F36" i="2" s="1"/>
  <c r="G36" i="2" s="1"/>
  <c r="E37" i="2" l="1"/>
  <c r="F37" i="2" s="1"/>
  <c r="G37" i="2" s="1"/>
  <c r="E38" i="2" l="1"/>
  <c r="F38" i="2" s="1"/>
  <c r="G38" i="2" s="1"/>
  <c r="E39" i="2" l="1"/>
  <c r="F39" i="2" s="1"/>
  <c r="G39" i="2" s="1"/>
  <c r="E40" i="2" l="1"/>
  <c r="F40" i="2" s="1"/>
  <c r="G40" i="2" s="1"/>
  <c r="E41" i="2" l="1"/>
  <c r="F41" i="2" s="1"/>
  <c r="G41" i="2" s="1"/>
  <c r="E42" i="2" l="1"/>
  <c r="F42" i="2" l="1"/>
  <c r="G42" i="2" s="1"/>
  <c r="H42" i="2"/>
  <c r="G35" i="3" l="1"/>
  <c r="G34" i="1"/>
  <c r="G37" i="1" s="1"/>
  <c r="L2" i="2"/>
  <c r="E43" i="2"/>
  <c r="I42" i="2"/>
  <c r="G58" i="3" l="1"/>
  <c r="G57" i="1"/>
  <c r="L3" i="2"/>
  <c r="G38" i="1"/>
  <c r="G39" i="1" s="1"/>
  <c r="F43" i="2"/>
  <c r="G43" i="2" s="1"/>
  <c r="G76" i="3"/>
  <c r="G38" i="3"/>
  <c r="G63" i="1" l="1"/>
  <c r="G65" i="1" s="1"/>
  <c r="G73" i="1"/>
  <c r="G74" i="1"/>
  <c r="G39" i="3"/>
  <c r="G40" i="3"/>
  <c r="G64" i="3" s="1"/>
  <c r="G66" i="3" s="1"/>
  <c r="G59" i="1"/>
  <c r="E44" i="2"/>
  <c r="F74" i="3"/>
  <c r="F77" i="3" s="1"/>
  <c r="G60" i="3"/>
  <c r="F44" i="2" l="1"/>
  <c r="G44" i="2" s="1"/>
  <c r="H63" i="3"/>
  <c r="G67" i="3"/>
  <c r="G66" i="1"/>
  <c r="H62" i="1"/>
  <c r="G71" i="1"/>
  <c r="G67" i="1" l="1"/>
  <c r="G68" i="1"/>
  <c r="E45" i="2"/>
  <c r="G68" i="3"/>
  <c r="G69" i="3"/>
  <c r="F45" i="2" l="1"/>
  <c r="G45" i="2" s="1"/>
  <c r="E46" i="2" l="1"/>
  <c r="F46" i="2" l="1"/>
  <c r="G46" i="2" s="1"/>
  <c r="E47" i="2" l="1"/>
  <c r="F47" i="2" l="1"/>
  <c r="G47" i="2" s="1"/>
  <c r="E48" i="2" l="1"/>
  <c r="F48" i="2" s="1"/>
  <c r="G48" i="2" s="1"/>
  <c r="E49" i="2" l="1"/>
  <c r="F49" i="2" s="1"/>
  <c r="G49" i="2" s="1"/>
  <c r="E50" i="2" l="1"/>
  <c r="F50" i="2" s="1"/>
  <c r="G50" i="2"/>
  <c r="E51" i="2" l="1"/>
  <c r="F51" i="2" s="1"/>
  <c r="G51" i="2" s="1"/>
  <c r="E52" i="2" l="1"/>
  <c r="F52" i="2" s="1"/>
  <c r="G52" i="2"/>
  <c r="E53" i="2" l="1"/>
  <c r="F53" i="2" s="1"/>
  <c r="G53" i="2"/>
  <c r="E54" i="2" l="1"/>
  <c r="F54" i="2" l="1"/>
  <c r="G54" i="2" s="1"/>
  <c r="H54" i="2"/>
  <c r="H35" i="3" l="1"/>
  <c r="H34" i="1"/>
  <c r="H37" i="1" s="1"/>
  <c r="M2" i="2"/>
  <c r="E55" i="2"/>
  <c r="I54" i="2"/>
  <c r="H38" i="1" l="1"/>
  <c r="H39" i="1" s="1"/>
  <c r="H58" i="3"/>
  <c r="H57" i="1"/>
  <c r="M3" i="2"/>
  <c r="F55" i="2"/>
  <c r="G55" i="2" s="1"/>
  <c r="H76" i="3"/>
  <c r="H38" i="3"/>
  <c r="H63" i="1" l="1"/>
  <c r="H65" i="1" s="1"/>
  <c r="H74" i="1"/>
  <c r="H73" i="1"/>
  <c r="H39" i="3"/>
  <c r="H40" i="3" s="1"/>
  <c r="H64" i="3" s="1"/>
  <c r="H66" i="3" s="1"/>
  <c r="H59" i="1"/>
  <c r="E56" i="2"/>
  <c r="G74" i="3"/>
  <c r="G77" i="3" s="1"/>
  <c r="H60" i="3"/>
  <c r="I63" i="3" l="1"/>
  <c r="H67" i="3"/>
  <c r="F56" i="2"/>
  <c r="G56" i="2" s="1"/>
  <c r="I62" i="1"/>
  <c r="H66" i="1"/>
  <c r="H71" i="1"/>
  <c r="H67" i="1" l="1"/>
  <c r="H68" i="1"/>
  <c r="H68" i="3"/>
  <c r="H69" i="3"/>
  <c r="E57" i="2"/>
  <c r="F57" i="2" l="1"/>
  <c r="G57" i="2" s="1"/>
  <c r="E58" i="2" l="1"/>
  <c r="F58" i="2" l="1"/>
  <c r="G58" i="2" s="1"/>
  <c r="E59" i="2" l="1"/>
  <c r="F59" i="2" l="1"/>
  <c r="G59" i="2" s="1"/>
  <c r="E60" i="2" l="1"/>
  <c r="F60" i="2" s="1"/>
  <c r="G60" i="2" s="1"/>
  <c r="E61" i="2" l="1"/>
  <c r="F61" i="2" s="1"/>
  <c r="G61" i="2" s="1"/>
  <c r="E62" i="2" l="1"/>
  <c r="F62" i="2" s="1"/>
  <c r="G62" i="2" s="1"/>
  <c r="E63" i="2" l="1"/>
  <c r="F63" i="2" s="1"/>
  <c r="G63" i="2" s="1"/>
  <c r="E64" i="2" l="1"/>
  <c r="F64" i="2" s="1"/>
  <c r="G64" i="2" s="1"/>
  <c r="E65" i="2" l="1"/>
  <c r="F65" i="2" s="1"/>
  <c r="G65" i="2" s="1"/>
  <c r="E66" i="2" l="1"/>
  <c r="F66" i="2" l="1"/>
  <c r="G66" i="2" s="1"/>
  <c r="H66" i="2"/>
  <c r="I35" i="3" l="1"/>
  <c r="I34" i="1"/>
  <c r="I37" i="1" s="1"/>
  <c r="E67" i="2"/>
  <c r="I66" i="2"/>
  <c r="I38" i="1" l="1"/>
  <c r="I39" i="1" s="1"/>
  <c r="I58" i="3"/>
  <c r="I57" i="1"/>
  <c r="F67" i="2"/>
  <c r="G67" i="2" s="1"/>
  <c r="I76" i="3"/>
  <c r="I38" i="3"/>
  <c r="I63" i="1" l="1"/>
  <c r="I65" i="1" s="1"/>
  <c r="I73" i="1"/>
  <c r="I74" i="1"/>
  <c r="E68" i="2"/>
  <c r="I59" i="1"/>
  <c r="I39" i="3"/>
  <c r="I40" i="3"/>
  <c r="I64" i="3" s="1"/>
  <c r="I66" i="3" s="1"/>
  <c r="H74" i="3"/>
  <c r="H77" i="3" s="1"/>
  <c r="X56" i="3"/>
  <c r="I60" i="3"/>
  <c r="J63" i="3" l="1"/>
  <c r="I67" i="3"/>
  <c r="F68" i="2"/>
  <c r="G68" i="2" s="1"/>
  <c r="I75" i="3"/>
  <c r="I77" i="3" s="1"/>
  <c r="X57" i="3"/>
  <c r="Z55" i="3" s="1"/>
  <c r="Z57" i="3" s="1"/>
  <c r="I82" i="3" s="1"/>
  <c r="I84" i="3" s="1"/>
  <c r="D85" i="3" s="1"/>
  <c r="I66" i="1"/>
  <c r="J62" i="1"/>
  <c r="I71" i="1"/>
  <c r="I68" i="3" l="1"/>
  <c r="I69" i="3"/>
  <c r="I67" i="1"/>
  <c r="I68" i="1"/>
  <c r="E69" i="2"/>
  <c r="F69" i="2" l="1"/>
  <c r="G69" i="2" s="1"/>
  <c r="E70" i="2" l="1"/>
  <c r="F70" i="2" l="1"/>
  <c r="G70" i="2" s="1"/>
  <c r="E71" i="2" l="1"/>
  <c r="F71" i="2" l="1"/>
  <c r="G71" i="2" s="1"/>
  <c r="E72" i="2" l="1"/>
  <c r="F72" i="2" s="1"/>
  <c r="G72" i="2" s="1"/>
  <c r="E73" i="2" l="1"/>
  <c r="F73" i="2" s="1"/>
  <c r="G73" i="2" s="1"/>
  <c r="E74" i="2" l="1"/>
  <c r="F74" i="2" s="1"/>
  <c r="G74" i="2"/>
  <c r="E75" i="2" l="1"/>
  <c r="F75" i="2" s="1"/>
  <c r="G75" i="2" s="1"/>
  <c r="E76" i="2" l="1"/>
  <c r="F76" i="2" s="1"/>
  <c r="G76" i="2"/>
  <c r="E77" i="2" l="1"/>
  <c r="F77" i="2" s="1"/>
  <c r="G77" i="2" s="1"/>
  <c r="E78" i="2" l="1"/>
  <c r="F78" i="2" l="1"/>
  <c r="G78" i="2" s="1"/>
  <c r="H78" i="2"/>
  <c r="J35" i="3" l="1"/>
  <c r="J38" i="3" s="1"/>
  <c r="J34" i="1"/>
  <c r="J37" i="1" s="1"/>
  <c r="E79" i="2"/>
  <c r="I78" i="2"/>
  <c r="F79" i="2" l="1"/>
  <c r="G79" i="2" s="1"/>
  <c r="J38" i="1"/>
  <c r="J39" i="1"/>
  <c r="J57" i="1"/>
  <c r="J59" i="1" s="1"/>
  <c r="J58" i="3"/>
  <c r="J60" i="3" s="1"/>
  <c r="J39" i="3"/>
  <c r="J40" i="3" s="1"/>
  <c r="J64" i="3" s="1"/>
  <c r="J66" i="3" s="1"/>
  <c r="K63" i="3" l="1"/>
  <c r="J67" i="3"/>
  <c r="J63" i="1"/>
  <c r="J65" i="1" s="1"/>
  <c r="J73" i="1"/>
  <c r="J74" i="1"/>
  <c r="E80" i="2"/>
  <c r="J68" i="3" l="1"/>
  <c r="J69" i="3"/>
  <c r="F80" i="2"/>
  <c r="G80" i="2" s="1"/>
  <c r="K62" i="1"/>
  <c r="J66" i="1"/>
  <c r="J71" i="1"/>
  <c r="J67" i="1" l="1"/>
  <c r="J68" i="1"/>
  <c r="E81" i="2"/>
  <c r="F81" i="2" l="1"/>
  <c r="G81" i="2" s="1"/>
  <c r="E82" i="2" l="1"/>
  <c r="F82" i="2" l="1"/>
  <c r="G82" i="2" s="1"/>
  <c r="E83" i="2" l="1"/>
  <c r="F83" i="2" l="1"/>
  <c r="G83" i="2" s="1"/>
  <c r="E84" i="2" l="1"/>
  <c r="F84" i="2" s="1"/>
  <c r="G84" i="2" s="1"/>
  <c r="E85" i="2" l="1"/>
  <c r="F85" i="2" s="1"/>
  <c r="G85" i="2" s="1"/>
  <c r="E86" i="2" l="1"/>
  <c r="F86" i="2" s="1"/>
  <c r="G86" i="2" s="1"/>
  <c r="E87" i="2" l="1"/>
  <c r="F87" i="2" s="1"/>
  <c r="G87" i="2" s="1"/>
  <c r="E88" i="2" l="1"/>
  <c r="F88" i="2" s="1"/>
  <c r="G88" i="2" s="1"/>
  <c r="E89" i="2" l="1"/>
  <c r="F89" i="2" s="1"/>
  <c r="G89" i="2" s="1"/>
  <c r="E90" i="2" l="1"/>
  <c r="F90" i="2" l="1"/>
  <c r="G90" i="2" s="1"/>
  <c r="H90" i="2"/>
  <c r="E91" i="2" l="1"/>
  <c r="I90" i="2"/>
  <c r="K35" i="3"/>
  <c r="K38" i="3" s="1"/>
  <c r="K34" i="1"/>
  <c r="K37" i="1" s="1"/>
  <c r="K39" i="3" l="1"/>
  <c r="K40" i="3"/>
  <c r="K64" i="3" s="1"/>
  <c r="K66" i="3" s="1"/>
  <c r="K38" i="1"/>
  <c r="K39" i="1" s="1"/>
  <c r="K57" i="1"/>
  <c r="K59" i="1" s="1"/>
  <c r="K58" i="3"/>
  <c r="K60" i="3" s="1"/>
  <c r="F91" i="2"/>
  <c r="G91" i="2" s="1"/>
  <c r="K63" i="1" l="1"/>
  <c r="K65" i="1" s="1"/>
  <c r="K74" i="1"/>
  <c r="K73" i="1"/>
  <c r="E92" i="2"/>
  <c r="L63" i="3"/>
  <c r="K67" i="3"/>
  <c r="F92" i="2" l="1"/>
  <c r="G92" i="2" s="1"/>
  <c r="K68" i="3"/>
  <c r="K69" i="3"/>
  <c r="K66" i="1"/>
  <c r="L62" i="1"/>
  <c r="K71" i="1"/>
  <c r="K67" i="1" l="1"/>
  <c r="K68" i="1"/>
  <c r="E93" i="2"/>
  <c r="F93" i="2" l="1"/>
  <c r="G93" i="2" s="1"/>
  <c r="E94" i="2" l="1"/>
  <c r="F94" i="2" l="1"/>
  <c r="G94" i="2" s="1"/>
  <c r="E95" i="2" l="1"/>
  <c r="F95" i="2" l="1"/>
  <c r="G95" i="2" s="1"/>
  <c r="E96" i="2" l="1"/>
  <c r="F96" i="2" s="1"/>
  <c r="G96" i="2" s="1"/>
  <c r="E97" i="2" l="1"/>
  <c r="F97" i="2" s="1"/>
  <c r="G97" i="2"/>
  <c r="E98" i="2" l="1"/>
  <c r="F98" i="2" s="1"/>
  <c r="G98" i="2" s="1"/>
  <c r="E99" i="2" l="1"/>
  <c r="F99" i="2" s="1"/>
  <c r="G99" i="2"/>
  <c r="E100" i="2" l="1"/>
  <c r="F100" i="2" s="1"/>
  <c r="G100" i="2" s="1"/>
  <c r="E101" i="2" l="1"/>
  <c r="F101" i="2" s="1"/>
  <c r="G101" i="2"/>
  <c r="E102" i="2" l="1"/>
  <c r="F102" i="2" l="1"/>
  <c r="G102" i="2" s="1"/>
  <c r="H102" i="2"/>
  <c r="L35" i="3" l="1"/>
  <c r="L38" i="3" s="1"/>
  <c r="L34" i="1"/>
  <c r="L37" i="1" s="1"/>
  <c r="E103" i="2"/>
  <c r="I102" i="2"/>
  <c r="F103" i="2" l="1"/>
  <c r="G103" i="2" s="1"/>
  <c r="L38" i="1"/>
  <c r="L39" i="1"/>
  <c r="L58" i="3"/>
  <c r="L60" i="3" s="1"/>
  <c r="L57" i="1"/>
  <c r="L59" i="1" s="1"/>
  <c r="L39" i="3"/>
  <c r="L40" i="3" s="1"/>
  <c r="L64" i="3" s="1"/>
  <c r="L66" i="3" s="1"/>
  <c r="L67" i="3" l="1"/>
  <c r="M63" i="3"/>
  <c r="L63" i="1"/>
  <c r="L65" i="1" s="1"/>
  <c r="L73" i="1"/>
  <c r="L74" i="1"/>
  <c r="E104" i="2"/>
  <c r="F104" i="2" l="1"/>
  <c r="G104" i="2" s="1"/>
  <c r="M62" i="1"/>
  <c r="L66" i="1"/>
  <c r="L71" i="1"/>
  <c r="L68" i="3"/>
  <c r="L69" i="3"/>
  <c r="L67" i="1" l="1"/>
  <c r="L68" i="1"/>
  <c r="E105" i="2"/>
  <c r="F105" i="2" l="1"/>
  <c r="G105" i="2" s="1"/>
  <c r="E106" i="2" l="1"/>
  <c r="F106" i="2" l="1"/>
  <c r="G106" i="2" s="1"/>
  <c r="E107" i="2" l="1"/>
  <c r="F107" i="2" l="1"/>
  <c r="G107" i="2" s="1"/>
  <c r="E108" i="2" l="1"/>
  <c r="F108" i="2" s="1"/>
  <c r="G108" i="2" s="1"/>
  <c r="E109" i="2" l="1"/>
  <c r="F109" i="2" s="1"/>
  <c r="G109" i="2" s="1"/>
  <c r="E110" i="2" l="1"/>
  <c r="F110" i="2" s="1"/>
  <c r="G110" i="2" s="1"/>
  <c r="E111" i="2" l="1"/>
  <c r="F111" i="2" s="1"/>
  <c r="G111" i="2" s="1"/>
  <c r="E112" i="2" l="1"/>
  <c r="F112" i="2" s="1"/>
  <c r="G112" i="2" s="1"/>
  <c r="E113" i="2" l="1"/>
  <c r="F113" i="2" s="1"/>
  <c r="G113" i="2" s="1"/>
  <c r="E114" i="2" l="1"/>
  <c r="F114" i="2" l="1"/>
  <c r="G114" i="2" s="1"/>
  <c r="H114" i="2"/>
  <c r="M35" i="3" l="1"/>
  <c r="M38" i="3" s="1"/>
  <c r="M34" i="1"/>
  <c r="M37" i="1" s="1"/>
  <c r="E115" i="2"/>
  <c r="I114" i="2"/>
  <c r="M38" i="1" l="1"/>
  <c r="M39" i="1" s="1"/>
  <c r="M57" i="1"/>
  <c r="M59" i="1" s="1"/>
  <c r="M58" i="3"/>
  <c r="M60" i="3" s="1"/>
  <c r="F115" i="2"/>
  <c r="G115" i="2" s="1"/>
  <c r="M39" i="3"/>
  <c r="M40" i="3" s="1"/>
  <c r="M64" i="3" s="1"/>
  <c r="M66" i="3" s="1"/>
  <c r="M67" i="3" l="1"/>
  <c r="N63" i="3"/>
  <c r="M63" i="1"/>
  <c r="M65" i="1" s="1"/>
  <c r="M74" i="1"/>
  <c r="M73" i="1"/>
  <c r="E116" i="2"/>
  <c r="F116" i="2" l="1"/>
  <c r="G116" i="2" s="1"/>
  <c r="M66" i="1"/>
  <c r="N62" i="1"/>
  <c r="M71" i="1"/>
  <c r="M68" i="3"/>
  <c r="M69" i="3"/>
  <c r="M67" i="1" l="1"/>
  <c r="M68" i="1"/>
  <c r="E117" i="2"/>
  <c r="F117" i="2" l="1"/>
  <c r="G117" i="2" s="1"/>
  <c r="E118" i="2" l="1"/>
  <c r="F118" i="2" l="1"/>
  <c r="G118" i="2" s="1"/>
  <c r="E119" i="2" l="1"/>
  <c r="F119" i="2" l="1"/>
  <c r="G119" i="2" s="1"/>
  <c r="E120" i="2" l="1"/>
  <c r="F120" i="2" s="1"/>
  <c r="G120" i="2" s="1"/>
  <c r="E121" i="2" l="1"/>
  <c r="F121" i="2" s="1"/>
  <c r="G121" i="2" s="1"/>
  <c r="E122" i="2" l="1"/>
  <c r="F122" i="2" s="1"/>
  <c r="G122" i="2" s="1"/>
  <c r="E123" i="2" l="1"/>
  <c r="F123" i="2" s="1"/>
  <c r="G123" i="2" s="1"/>
  <c r="E124" i="2" l="1"/>
  <c r="F124" i="2" s="1"/>
  <c r="G124" i="2" s="1"/>
  <c r="E125" i="2" l="1"/>
  <c r="F125" i="2" s="1"/>
  <c r="G125" i="2" s="1"/>
  <c r="E126" i="2" l="1"/>
  <c r="F126" i="2" l="1"/>
  <c r="G126" i="2" s="1"/>
  <c r="I126" i="2" s="1"/>
  <c r="H126" i="2"/>
  <c r="N35" i="3" l="1"/>
  <c r="N38" i="3" s="1"/>
  <c r="N34" i="1"/>
  <c r="N37" i="1" s="1"/>
  <c r="N58" i="3"/>
  <c r="N60" i="3" s="1"/>
  <c r="N57" i="1"/>
  <c r="N59" i="1" l="1"/>
  <c r="N38" i="1"/>
  <c r="N39" i="1"/>
  <c r="N39" i="3"/>
  <c r="N40" i="3"/>
  <c r="N64" i="3" s="1"/>
  <c r="N66" i="3" s="1"/>
  <c r="N67" i="3" s="1"/>
  <c r="N68" i="3" l="1"/>
  <c r="N69" i="3"/>
  <c r="N63" i="1"/>
  <c r="N65" i="1" s="1"/>
  <c r="N73" i="1"/>
  <c r="N74" i="1"/>
  <c r="N66" i="1" l="1"/>
  <c r="N71" i="1"/>
  <c r="C85" i="1"/>
  <c r="N67" i="1" l="1"/>
  <c r="N68" i="1"/>
  <c r="D83" i="1" l="1"/>
  <c r="D82" i="1"/>
  <c r="E82" i="1" s="1"/>
  <c r="H82" i="1" s="1"/>
  <c r="D85" i="1"/>
  <c r="E83" i="1" l="1"/>
  <c r="H83" i="1" s="1"/>
  <c r="D129" i="1" s="1"/>
  <c r="D134" i="1" l="1"/>
  <c r="E131" i="1"/>
  <c r="G131" i="1"/>
  <c r="I131" i="1"/>
  <c r="K131" i="1"/>
  <c r="M131" i="1"/>
  <c r="D131" i="1"/>
  <c r="F131" i="1"/>
  <c r="H131" i="1"/>
  <c r="J131" i="1"/>
  <c r="L131" i="1"/>
  <c r="N131" i="1"/>
  <c r="D132" i="1" l="1"/>
</calcChain>
</file>

<file path=xl/sharedStrings.xml><?xml version="1.0" encoding="utf-8"?>
<sst xmlns="http://schemas.openxmlformats.org/spreadsheetml/2006/main" count="214" uniqueCount="117">
  <si>
    <t>Income Statement</t>
  </si>
  <si>
    <t>Sales Revenue</t>
  </si>
  <si>
    <t>Cost of Goods Sold</t>
  </si>
  <si>
    <t>Materials</t>
  </si>
  <si>
    <t>Operating Expenses</t>
  </si>
  <si>
    <t>Advertising and Promotion</t>
  </si>
  <si>
    <t>Operating Profit</t>
  </si>
  <si>
    <t>Loan Interest Expense</t>
  </si>
  <si>
    <t>Taxable Income</t>
  </si>
  <si>
    <t>Tax Expense</t>
  </si>
  <si>
    <t>Net Income</t>
  </si>
  <si>
    <t>Balance Sheet</t>
  </si>
  <si>
    <t>Assets</t>
  </si>
  <si>
    <t>Minimum Cash</t>
  </si>
  <si>
    <t>Inventory</t>
  </si>
  <si>
    <t>Extra Cash</t>
  </si>
  <si>
    <t>Less:  Accumlated Depreciation</t>
  </si>
  <si>
    <t>Total Assets</t>
  </si>
  <si>
    <t>Liabilities and Equity</t>
  </si>
  <si>
    <t>Retained Earnings</t>
  </si>
  <si>
    <t>Prior Year Retained Earnings</t>
  </si>
  <si>
    <t>Current Net Income</t>
  </si>
  <si>
    <t>Total Liabilities and Equity</t>
  </si>
  <si>
    <t>DFN</t>
  </si>
  <si>
    <t>Outside Assumptions</t>
  </si>
  <si>
    <t>Employees</t>
  </si>
  <si>
    <t>Average per Ounce Cost</t>
  </si>
  <si>
    <t>Saleries and Wages</t>
  </si>
  <si>
    <t>Administrative</t>
  </si>
  <si>
    <t>Equipment and Furniture</t>
  </si>
  <si>
    <t>Accounts Payable</t>
  </si>
  <si>
    <t>Extra Bank Loan</t>
  </si>
  <si>
    <t>Average Ounces per Person</t>
  </si>
  <si>
    <t>Average Customers Per Day</t>
  </si>
  <si>
    <t>Gross Income</t>
  </si>
  <si>
    <t>Minimum wage CT per Hour</t>
  </si>
  <si>
    <t>Hourly  Wage for Manager</t>
  </si>
  <si>
    <t>Years Depreciated</t>
  </si>
  <si>
    <t>Cost per Machine</t>
  </si>
  <si>
    <t>Cost of furniture/Refrigerators</t>
  </si>
  <si>
    <t>Number of Machines</t>
  </si>
  <si>
    <t>Years already depreciated</t>
  </si>
  <si>
    <t>Number of Employees</t>
  </si>
  <si>
    <t>Minimum cash on Hand</t>
  </si>
  <si>
    <t>Days in Inventory</t>
  </si>
  <si>
    <t>Accounts Receivable</t>
  </si>
  <si>
    <t>Days for A/R</t>
  </si>
  <si>
    <t>Days for A/P</t>
  </si>
  <si>
    <t>Difference between Gross income and Asking Price</t>
  </si>
  <si>
    <t>Owners Capital</t>
  </si>
  <si>
    <t>Current Retained Earnings</t>
  </si>
  <si>
    <t>Tied to Material Cost</t>
  </si>
  <si>
    <t>Speculated Bank Loan Interest</t>
  </si>
  <si>
    <t>Cents per Ounce for COGS</t>
  </si>
  <si>
    <t>Rational Owners Captial Assumption</t>
  </si>
  <si>
    <t>Sq Ft in the Building</t>
  </si>
  <si>
    <t>Cost per sq ft per year for the Lease</t>
  </si>
  <si>
    <t>Rational Tax Expense Assumption</t>
  </si>
  <si>
    <t>Current Ratio</t>
  </si>
  <si>
    <t>Total Liabilities</t>
  </si>
  <si>
    <t>Leverage</t>
  </si>
  <si>
    <t>Inventory Turnover</t>
  </si>
  <si>
    <t>Return on Assets</t>
  </si>
  <si>
    <t>Return on Sales</t>
  </si>
  <si>
    <t xml:space="preserve">Forecast </t>
  </si>
  <si>
    <t>Growth per Year</t>
  </si>
  <si>
    <t>Advertising Per Year</t>
  </si>
  <si>
    <t>% Growth on Advertising Expense</t>
  </si>
  <si>
    <t>Growth because of Minimum wage changes</t>
  </si>
  <si>
    <t>Increase in Dividends per year</t>
  </si>
  <si>
    <t>Tutti Frutti Forecast</t>
  </si>
  <si>
    <t>Mortgage Interest Expense</t>
  </si>
  <si>
    <t>RATE</t>
  </si>
  <si>
    <t>NPER</t>
  </si>
  <si>
    <t>PMT</t>
  </si>
  <si>
    <t>PV</t>
  </si>
  <si>
    <t xml:space="preserve">Mortgage on Building </t>
  </si>
  <si>
    <t>WACC</t>
  </si>
  <si>
    <t>Owner's Capital</t>
  </si>
  <si>
    <t>Eq Beta</t>
  </si>
  <si>
    <t>Tbill</t>
  </si>
  <si>
    <t>S&amp;P</t>
  </si>
  <si>
    <t>Mortgage Loan</t>
  </si>
  <si>
    <t>WACC=</t>
  </si>
  <si>
    <t>CAPM</t>
  </si>
  <si>
    <t>FCF</t>
  </si>
  <si>
    <t>Cash From Operations</t>
  </si>
  <si>
    <t>Less: Depreciation</t>
  </si>
  <si>
    <t>Tax</t>
  </si>
  <si>
    <t>Total Cash from Operations</t>
  </si>
  <si>
    <t>Cash from Changes in Balance Sheet</t>
  </si>
  <si>
    <t>Operating Rev</t>
  </si>
  <si>
    <t>Working Capital</t>
  </si>
  <si>
    <t>Extra Cash Above Minimum</t>
  </si>
  <si>
    <t>Income Tax Payable</t>
  </si>
  <si>
    <t>Fixed and Other Assets</t>
  </si>
  <si>
    <t>Land</t>
  </si>
  <si>
    <t>Adjustment for Sale</t>
  </si>
  <si>
    <t>Taxes on Sale</t>
  </si>
  <si>
    <t>Buildings</t>
  </si>
  <si>
    <t>Equipment</t>
  </si>
  <si>
    <t>Building</t>
  </si>
  <si>
    <t>Less: Accumulated Depreciation</t>
  </si>
  <si>
    <t>Depreciation Expense Equipment</t>
  </si>
  <si>
    <t>Depreciation Expense: Building</t>
  </si>
  <si>
    <t>BV</t>
  </si>
  <si>
    <t>IRR</t>
  </si>
  <si>
    <t>Litigation Expense</t>
  </si>
  <si>
    <t xml:space="preserve">Secured </t>
  </si>
  <si>
    <t>Unsecured</t>
  </si>
  <si>
    <t>Book Value of Assets</t>
  </si>
  <si>
    <t>Sold for:</t>
  </si>
  <si>
    <t>Debt to Mortgage</t>
  </si>
  <si>
    <t>Remaining Mortgage Debt</t>
  </si>
  <si>
    <t>Mortgage</t>
  </si>
  <si>
    <t>Paid</t>
  </si>
  <si>
    <t>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</si>
</sst>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&quot;$&quot;#,##0;[Red]\-&quot;$&quot;#,##0"/>
    <numFmt numFmtId="165" formatCode="&quot;$&quot;#,##0.00;[Red]\-&quot;$&quot;#,##0.00"/>
    <numFmt numFmtId="166" formatCode="0.0"/>
    <numFmt numFmtId="167" formatCode="&quot;$&quot;#,##0.00;[Red]&quot;$&quot;#,##0.00"/>
    <numFmt numFmtId="168" formatCode="_(&quot;$&quot;* #,##0_);_(&quot;$&quot;* \(#,##0\);_(&quot;$&quot;* &quot;-&quot;??_);_(@_)"/>
    <numFmt numFmtId="169" formatCode="&quot;$&quot;#,##0;[Red]&quot;$&quot;#,##0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5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44" fontId="1" fillId="0" borderId="0" applyFont="0" applyFill="0" applyBorder="0" applyAlignment="0" applyProtection="0"/>
    <xf numFmtId="0" fontId="9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9" fontId="0" fillId="0" borderId="0" xfId="0" applyNumberFormat="1"/>
    <xf numFmtId="9" fontId="0" fillId="0" borderId="0" xfId="1" applyFont="1"/>
    <xf numFmtId="2" fontId="0" fillId="0" borderId="0" xfId="0" applyNumberFormat="1"/>
    <xf numFmtId="167" fontId="0" fillId="0" borderId="0" xfId="0" applyNumberFormat="1"/>
    <xf numFmtId="0" fontId="0" fillId="0" borderId="0" xfId="0" applyBorder="1"/>
    <xf numFmtId="167" fontId="0" fillId="0" borderId="0" xfId="0" applyNumberFormat="1" applyBorder="1"/>
    <xf numFmtId="1" fontId="0" fillId="0" borderId="1" xfId="0" applyNumberFormat="1" applyBorder="1"/>
    <xf numFmtId="1" fontId="0" fillId="0" borderId="0" xfId="0" applyNumberFormat="1" applyBorder="1"/>
    <xf numFmtId="1" fontId="0" fillId="0" borderId="0" xfId="0" applyNumberFormat="1" applyFill="1" applyBorder="1"/>
    <xf numFmtId="1" fontId="0" fillId="0" borderId="2" xfId="0" applyNumberFormat="1" applyBorder="1"/>
    <xf numFmtId="1" fontId="6" fillId="0" borderId="1" xfId="0" applyNumberFormat="1" applyFont="1" applyBorder="1"/>
    <xf numFmtId="1" fontId="6" fillId="0" borderId="0" xfId="0" applyNumberFormat="1" applyFont="1" applyBorder="1"/>
    <xf numFmtId="1" fontId="6" fillId="0" borderId="0" xfId="0" applyNumberFormat="1" applyFont="1" applyFill="1" applyBorder="1"/>
    <xf numFmtId="165" fontId="0" fillId="0" borderId="0" xfId="0" applyNumberFormat="1"/>
    <xf numFmtId="0" fontId="0" fillId="2" borderId="0" xfId="0" applyFill="1"/>
    <xf numFmtId="10" fontId="0" fillId="0" borderId="0" xfId="0" applyNumberFormat="1"/>
    <xf numFmtId="1" fontId="0" fillId="0" borderId="0" xfId="0" applyNumberFormat="1"/>
    <xf numFmtId="9" fontId="0" fillId="0" borderId="0" xfId="1" applyFont="1" applyFill="1" applyBorder="1"/>
    <xf numFmtId="0" fontId="7" fillId="0" borderId="0" xfId="0" applyFont="1"/>
    <xf numFmtId="1" fontId="0" fillId="0" borderId="3" xfId="0" applyNumberFormat="1" applyBorder="1"/>
    <xf numFmtId="1" fontId="8" fillId="0" borderId="0" xfId="0" applyNumberFormat="1" applyFont="1" applyBorder="1"/>
    <xf numFmtId="10" fontId="0" fillId="0" borderId="0" xfId="1" applyNumberFormat="1" applyFont="1"/>
    <xf numFmtId="0" fontId="9" fillId="0" borderId="0" xfId="4"/>
    <xf numFmtId="10" fontId="1" fillId="0" borderId="0" xfId="1" applyNumberFormat="1"/>
    <xf numFmtId="10" fontId="9" fillId="0" borderId="0" xfId="4" applyNumberFormat="1"/>
    <xf numFmtId="2" fontId="0" fillId="0" borderId="0" xfId="0" applyNumberFormat="1" applyBorder="1"/>
    <xf numFmtId="166" fontId="0" fillId="0" borderId="0" xfId="0" applyNumberFormat="1" applyBorder="1"/>
    <xf numFmtId="1" fontId="0" fillId="0" borderId="4" xfId="0" applyNumberFormat="1" applyBorder="1"/>
    <xf numFmtId="1" fontId="0" fillId="0" borderId="5" xfId="0" applyNumberFormat="1" applyBorder="1"/>
    <xf numFmtId="168" fontId="0" fillId="0" borderId="0" xfId="5" applyNumberFormat="1" applyFont="1"/>
    <xf numFmtId="0" fontId="0" fillId="0" borderId="0" xfId="0" applyFont="1"/>
    <xf numFmtId="168" fontId="0" fillId="0" borderId="0" xfId="0" applyNumberFormat="1"/>
    <xf numFmtId="0" fontId="10" fillId="0" borderId="0" xfId="6" applyFont="1" applyFill="1"/>
    <xf numFmtId="0" fontId="9" fillId="3" borderId="0" xfId="6" applyFill="1"/>
    <xf numFmtId="0" fontId="9" fillId="3" borderId="0" xfId="6" applyFont="1" applyFill="1"/>
    <xf numFmtId="164" fontId="0" fillId="0" borderId="0" xfId="0" applyNumberFormat="1"/>
    <xf numFmtId="169" fontId="0" fillId="0" borderId="0" xfId="0" applyNumberFormat="1"/>
    <xf numFmtId="0" fontId="0" fillId="0" borderId="6" xfId="0" applyBorder="1"/>
    <xf numFmtId="1" fontId="0" fillId="0" borderId="6" xfId="0" applyNumberFormat="1" applyBorder="1"/>
    <xf numFmtId="0" fontId="0" fillId="4" borderId="5" xfId="0" applyFill="1" applyBorder="1"/>
    <xf numFmtId="10" fontId="0" fillId="4" borderId="7" xfId="0" applyNumberFormat="1" applyFill="1" applyBorder="1"/>
  </cellXfs>
  <cellStyles count="45">
    <cellStyle name="Currency" xfId="5" builtinId="4"/>
    <cellStyle name="Excel Built-in Normal" xfId="4"/>
    <cellStyle name="Excel Built-in Normal 1" xfId="6"/>
    <cellStyle name="Followed Hyperlink" xfId="3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Hyperlink" xfId="2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4"/>
  <sheetViews>
    <sheetView tabSelected="1" topLeftCell="A67" zoomScaleNormal="100" workbookViewId="0">
      <selection activeCell="H87" sqref="H87"/>
    </sheetView>
  </sheetViews>
  <sheetFormatPr defaultColWidth="11" defaultRowHeight="15.75" x14ac:dyDescent="0.25"/>
  <cols>
    <col min="2" max="2" width="11.375" customWidth="1"/>
    <col min="4" max="4" width="16" bestFit="1" customWidth="1"/>
    <col min="5" max="7" width="12.125" bestFit="1" customWidth="1"/>
    <col min="8" max="8" width="18" bestFit="1" customWidth="1"/>
    <col min="9" max="14" width="12.125" bestFit="1" customWidth="1"/>
    <col min="17" max="17" width="24" customWidth="1"/>
  </cols>
  <sheetData>
    <row r="1" spans="1:17" x14ac:dyDescent="0.25">
      <c r="A1" t="s">
        <v>70</v>
      </c>
    </row>
    <row r="2" spans="1:17" x14ac:dyDescent="0.25">
      <c r="A2" t="s">
        <v>24</v>
      </c>
    </row>
    <row r="3" spans="1:17" x14ac:dyDescent="0.25">
      <c r="A3" t="s">
        <v>25</v>
      </c>
    </row>
    <row r="4" spans="1:17" x14ac:dyDescent="0.25">
      <c r="A4" t="s">
        <v>26</v>
      </c>
      <c r="C4">
        <v>0.6</v>
      </c>
    </row>
    <row r="5" spans="1:17" x14ac:dyDescent="0.25">
      <c r="A5" t="s">
        <v>32</v>
      </c>
      <c r="C5">
        <v>10</v>
      </c>
    </row>
    <row r="6" spans="1:17" x14ac:dyDescent="0.25">
      <c r="A6" t="s">
        <v>33</v>
      </c>
      <c r="C6">
        <v>105</v>
      </c>
    </row>
    <row r="7" spans="1:17" x14ac:dyDescent="0.25">
      <c r="A7" t="s">
        <v>38</v>
      </c>
      <c r="C7">
        <v>2000</v>
      </c>
    </row>
    <row r="8" spans="1:17" x14ac:dyDescent="0.25">
      <c r="A8" t="s">
        <v>39</v>
      </c>
      <c r="C8">
        <v>8000</v>
      </c>
    </row>
    <row r="9" spans="1:17" x14ac:dyDescent="0.25">
      <c r="A9" t="s">
        <v>40</v>
      </c>
      <c r="C9">
        <v>8</v>
      </c>
    </row>
    <row r="10" spans="1:17" x14ac:dyDescent="0.25">
      <c r="A10" t="s">
        <v>44</v>
      </c>
      <c r="C10">
        <v>10</v>
      </c>
    </row>
    <row r="11" spans="1:17" x14ac:dyDescent="0.25">
      <c r="A11" t="s">
        <v>46</v>
      </c>
      <c r="C11">
        <v>3</v>
      </c>
    </row>
    <row r="12" spans="1:17" x14ac:dyDescent="0.25">
      <c r="A12" t="s">
        <v>47</v>
      </c>
      <c r="C12">
        <v>14</v>
      </c>
    </row>
    <row r="13" spans="1:17" x14ac:dyDescent="0.25">
      <c r="D13">
        <v>0</v>
      </c>
      <c r="E13">
        <v>1</v>
      </c>
      <c r="F13">
        <v>2</v>
      </c>
      <c r="G13">
        <v>3</v>
      </c>
      <c r="H13">
        <v>4</v>
      </c>
      <c r="I13">
        <v>5</v>
      </c>
      <c r="J13">
        <v>6</v>
      </c>
      <c r="K13">
        <v>7</v>
      </c>
      <c r="L13">
        <v>8</v>
      </c>
      <c r="M13">
        <v>9</v>
      </c>
      <c r="N13">
        <v>10</v>
      </c>
    </row>
    <row r="14" spans="1:17" ht="19.5" x14ac:dyDescent="0.3">
      <c r="A14" t="s">
        <v>64</v>
      </c>
      <c r="E14" s="13">
        <v>2015</v>
      </c>
      <c r="F14" s="14">
        <v>2016</v>
      </c>
      <c r="G14" s="14">
        <v>2017</v>
      </c>
      <c r="H14" s="15">
        <v>2018</v>
      </c>
      <c r="I14" s="15">
        <v>2019</v>
      </c>
      <c r="J14" s="15">
        <v>2020</v>
      </c>
      <c r="K14" s="15">
        <v>2021</v>
      </c>
      <c r="L14" s="15">
        <v>2022</v>
      </c>
      <c r="M14" s="15">
        <v>2023</v>
      </c>
      <c r="N14" s="15">
        <v>2024</v>
      </c>
      <c r="O14" s="7"/>
    </row>
    <row r="15" spans="1:17" x14ac:dyDescent="0.25">
      <c r="A15" s="1" t="s">
        <v>0</v>
      </c>
      <c r="B15" s="1"/>
      <c r="E15" s="9"/>
      <c r="F15" s="10"/>
      <c r="G15" s="10"/>
      <c r="H15" s="10"/>
      <c r="I15" s="10"/>
      <c r="J15" s="10"/>
      <c r="K15" s="10"/>
      <c r="L15" s="10"/>
      <c r="M15" s="10"/>
      <c r="N15" s="10"/>
      <c r="O15" s="7"/>
    </row>
    <row r="16" spans="1:17" x14ac:dyDescent="0.25">
      <c r="A16" s="2" t="s">
        <v>1</v>
      </c>
      <c r="B16" s="2"/>
      <c r="E16" s="9">
        <f>C6*365*C5*C4</f>
        <v>229950</v>
      </c>
      <c r="F16" s="10">
        <f>E16*(1+$P$16)</f>
        <v>232249.5</v>
      </c>
      <c r="G16" s="10">
        <f t="shared" ref="G16:I16" si="0">F16*(1+$P$16)</f>
        <v>234571.995</v>
      </c>
      <c r="H16" s="10">
        <f t="shared" si="0"/>
        <v>236917.71494999999</v>
      </c>
      <c r="I16" s="10">
        <f t="shared" si="0"/>
        <v>239286.89209949999</v>
      </c>
      <c r="J16" s="10">
        <f t="shared" ref="J16" si="1">I16*(1+$P$16)</f>
        <v>241679.761020495</v>
      </c>
      <c r="K16" s="10">
        <f t="shared" ref="K16" si="2">J16*(1+$P$16)</f>
        <v>244096.55863069996</v>
      </c>
      <c r="L16" s="10">
        <f t="shared" ref="L16" si="3">K16*(1+$P$16)</f>
        <v>246537.52421700695</v>
      </c>
      <c r="M16" s="10">
        <f t="shared" ref="M16" si="4">L16*(1+$P$16)</f>
        <v>249002.89945917702</v>
      </c>
      <c r="N16" s="10">
        <f t="shared" ref="N16" si="5">M16*(1+$P$16)</f>
        <v>251492.92845376878</v>
      </c>
      <c r="O16" s="7"/>
      <c r="P16" s="3">
        <v>0.01</v>
      </c>
      <c r="Q16" t="s">
        <v>65</v>
      </c>
    </row>
    <row r="17" spans="1:19" x14ac:dyDescent="0.25">
      <c r="A17" s="2"/>
      <c r="B17" s="2"/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7"/>
    </row>
    <row r="18" spans="1:19" x14ac:dyDescent="0.25">
      <c r="A18" s="2" t="s">
        <v>2</v>
      </c>
      <c r="B18" s="2"/>
      <c r="E18" s="9"/>
      <c r="F18" s="10"/>
      <c r="G18" s="10"/>
      <c r="H18" s="10"/>
      <c r="I18" s="10"/>
      <c r="J18" s="10"/>
      <c r="K18" s="10"/>
      <c r="L18" s="10"/>
      <c r="M18" s="10"/>
      <c r="N18" s="10"/>
      <c r="O18" s="7"/>
    </row>
    <row r="19" spans="1:19" x14ac:dyDescent="0.25">
      <c r="A19" s="2"/>
      <c r="B19" s="2" t="s">
        <v>3</v>
      </c>
      <c r="E19" s="9">
        <f>R19*E16</f>
        <v>95812.5</v>
      </c>
      <c r="F19" s="10">
        <f>F16*$R$19</f>
        <v>96770.625</v>
      </c>
      <c r="G19" s="10">
        <f t="shared" ref="G19:N19" si="6">G16*$R$19</f>
        <v>97738.331250000003</v>
      </c>
      <c r="H19" s="10">
        <f t="shared" si="6"/>
        <v>98715.714562499998</v>
      </c>
      <c r="I19" s="10">
        <f t="shared" si="6"/>
        <v>99702.871708125007</v>
      </c>
      <c r="J19" s="10">
        <f t="shared" si="6"/>
        <v>100699.90042520626</v>
      </c>
      <c r="K19" s="10">
        <f t="shared" si="6"/>
        <v>101706.89942945832</v>
      </c>
      <c r="L19" s="10">
        <f t="shared" si="6"/>
        <v>102723.9684237529</v>
      </c>
      <c r="M19" s="10">
        <f t="shared" si="6"/>
        <v>103751.20810799043</v>
      </c>
      <c r="N19" s="10">
        <f t="shared" si="6"/>
        <v>104788.72018907033</v>
      </c>
      <c r="O19" s="20"/>
      <c r="P19">
        <v>0.25</v>
      </c>
      <c r="Q19" s="3" t="s">
        <v>53</v>
      </c>
      <c r="R19" s="4">
        <f>0.25/C4</f>
        <v>0.41666666666666669</v>
      </c>
    </row>
    <row r="20" spans="1:19" x14ac:dyDescent="0.25">
      <c r="A20" s="2" t="s">
        <v>34</v>
      </c>
      <c r="B20" s="2"/>
      <c r="E20" s="9">
        <f>E16-E19</f>
        <v>134137.5</v>
      </c>
      <c r="F20" s="10">
        <f>F16-F19</f>
        <v>135478.875</v>
      </c>
      <c r="G20" s="10">
        <f t="shared" ref="G20:N20" si="7">G16-G19</f>
        <v>136833.66375000001</v>
      </c>
      <c r="H20" s="10">
        <f t="shared" si="7"/>
        <v>138202.00038749998</v>
      </c>
      <c r="I20" s="10">
        <f t="shared" si="7"/>
        <v>139584.020391375</v>
      </c>
      <c r="J20" s="10">
        <f t="shared" si="7"/>
        <v>140979.86059528874</v>
      </c>
      <c r="K20" s="10">
        <f t="shared" si="7"/>
        <v>142389.65920124162</v>
      </c>
      <c r="L20" s="10">
        <f t="shared" si="7"/>
        <v>143813.55579325405</v>
      </c>
      <c r="M20" s="10">
        <f t="shared" si="7"/>
        <v>145251.6913511866</v>
      </c>
      <c r="N20" s="10">
        <f t="shared" si="7"/>
        <v>146704.20826469845</v>
      </c>
      <c r="O20" s="7"/>
    </row>
    <row r="21" spans="1:19" x14ac:dyDescent="0.25">
      <c r="A21" s="2"/>
      <c r="B21" s="2"/>
      <c r="E21" s="9"/>
      <c r="F21" s="10"/>
      <c r="G21" s="10"/>
      <c r="H21" s="10"/>
      <c r="I21" s="10"/>
      <c r="J21" s="10"/>
      <c r="K21" s="10"/>
      <c r="L21" s="10"/>
      <c r="M21" s="10"/>
      <c r="N21" s="10"/>
      <c r="O21" s="7"/>
    </row>
    <row r="22" spans="1:19" x14ac:dyDescent="0.25">
      <c r="A22" s="2" t="s">
        <v>4</v>
      </c>
      <c r="B22" s="2"/>
      <c r="E22" s="9"/>
      <c r="F22" s="10"/>
      <c r="G22" s="10"/>
      <c r="H22" s="10"/>
      <c r="I22" s="10"/>
      <c r="J22" s="10"/>
      <c r="K22" s="10"/>
      <c r="L22" s="10"/>
      <c r="M22" s="10"/>
      <c r="N22" s="10"/>
      <c r="O22" s="7"/>
    </row>
    <row r="23" spans="1:19" x14ac:dyDescent="0.25">
      <c r="A23" s="2"/>
      <c r="B23" s="2"/>
      <c r="E23" s="9"/>
      <c r="F23" s="10"/>
      <c r="G23" s="10"/>
      <c r="H23" s="10"/>
      <c r="I23" s="10"/>
      <c r="J23" s="10"/>
      <c r="K23" s="10"/>
      <c r="L23" s="10"/>
      <c r="M23" s="10"/>
      <c r="N23" s="10"/>
      <c r="O23" s="7"/>
    </row>
    <row r="24" spans="1:19" x14ac:dyDescent="0.25">
      <c r="A24" s="2"/>
      <c r="B24" s="2" t="s">
        <v>5</v>
      </c>
      <c r="E24" s="9">
        <v>5000</v>
      </c>
      <c r="F24" s="10">
        <f>E24*(1+$P$25)</f>
        <v>5100</v>
      </c>
      <c r="G24" s="10">
        <f t="shared" ref="G24:I24" si="8">F24*(1+$P$25)</f>
        <v>5202</v>
      </c>
      <c r="H24" s="10">
        <f t="shared" si="8"/>
        <v>5306.04</v>
      </c>
      <c r="I24" s="10">
        <f t="shared" si="8"/>
        <v>5412.1607999999997</v>
      </c>
      <c r="J24" s="10">
        <f t="shared" ref="J24" si="9">I24*(1+$P$25)</f>
        <v>5520.4040159999995</v>
      </c>
      <c r="K24" s="10">
        <f t="shared" ref="K24" si="10">J24*(1+$P$25)</f>
        <v>5630.8120963199999</v>
      </c>
      <c r="L24" s="10">
        <f t="shared" ref="L24" si="11">K24*(1+$P$25)</f>
        <v>5743.4283382464</v>
      </c>
      <c r="M24" s="10">
        <f t="shared" ref="M24" si="12">L24*(1+$P$25)</f>
        <v>5858.2969050113279</v>
      </c>
      <c r="N24" s="10">
        <f t="shared" ref="N24" si="13">M24*(1+$P$25)</f>
        <v>5975.4628431115543</v>
      </c>
      <c r="O24" s="11"/>
      <c r="P24">
        <v>5000</v>
      </c>
      <c r="Q24" t="s">
        <v>66</v>
      </c>
    </row>
    <row r="25" spans="1:19" x14ac:dyDescent="0.25">
      <c r="A25" s="2"/>
      <c r="B25" s="2"/>
      <c r="E25" s="9"/>
      <c r="F25" s="10"/>
      <c r="G25" s="7"/>
      <c r="H25" s="7"/>
      <c r="I25" s="7"/>
      <c r="J25" s="7"/>
      <c r="K25" s="7"/>
      <c r="L25" s="7"/>
      <c r="M25" s="7"/>
      <c r="N25" s="7"/>
      <c r="O25" s="7"/>
      <c r="P25" s="3">
        <v>0.02</v>
      </c>
      <c r="Q25" t="s">
        <v>67</v>
      </c>
    </row>
    <row r="26" spans="1:19" x14ac:dyDescent="0.25">
      <c r="A26" s="2"/>
      <c r="B26" s="2"/>
      <c r="E26" s="9"/>
      <c r="F26" s="10"/>
      <c r="G26" s="10"/>
      <c r="H26" s="10"/>
      <c r="I26" s="10"/>
      <c r="J26" s="10"/>
      <c r="K26" s="10"/>
      <c r="L26" s="10"/>
      <c r="M26" s="10"/>
      <c r="N26" s="10"/>
      <c r="O26" s="7"/>
      <c r="P26">
        <v>40</v>
      </c>
      <c r="Q26" t="s">
        <v>56</v>
      </c>
    </row>
    <row r="27" spans="1:19" x14ac:dyDescent="0.25">
      <c r="A27" s="2"/>
      <c r="B27" s="2"/>
      <c r="E27" s="9"/>
      <c r="F27" s="10"/>
      <c r="G27" s="10"/>
      <c r="H27" s="10"/>
      <c r="I27" s="10"/>
      <c r="J27" s="10"/>
      <c r="K27" s="10"/>
      <c r="L27" s="10"/>
      <c r="M27" s="10"/>
      <c r="N27" s="10"/>
      <c r="O27" s="7"/>
      <c r="P27">
        <v>1500</v>
      </c>
      <c r="Q27" t="s">
        <v>55</v>
      </c>
      <c r="S27">
        <f>P26*P27</f>
        <v>60000</v>
      </c>
    </row>
    <row r="28" spans="1:19" x14ac:dyDescent="0.25">
      <c r="A28" s="2"/>
      <c r="B28" s="2" t="s">
        <v>28</v>
      </c>
      <c r="E28" s="9">
        <f>P28*40*52</f>
        <v>29120</v>
      </c>
      <c r="F28" s="10">
        <f>E28</f>
        <v>29120</v>
      </c>
      <c r="G28" s="10">
        <f t="shared" ref="G28:I28" si="14">F28</f>
        <v>29120</v>
      </c>
      <c r="H28" s="10">
        <f t="shared" si="14"/>
        <v>29120</v>
      </c>
      <c r="I28" s="10">
        <f t="shared" si="14"/>
        <v>29120</v>
      </c>
      <c r="J28" s="10">
        <f t="shared" ref="J28" si="15">I28</f>
        <v>29120</v>
      </c>
      <c r="K28" s="10">
        <f t="shared" ref="K28" si="16">J28</f>
        <v>29120</v>
      </c>
      <c r="L28" s="10">
        <f t="shared" ref="L28" si="17">K28</f>
        <v>29120</v>
      </c>
      <c r="M28" s="10">
        <f t="shared" ref="M28" si="18">L28</f>
        <v>29120</v>
      </c>
      <c r="N28" s="10">
        <f t="shared" ref="N28" si="19">M28</f>
        <v>29120</v>
      </c>
      <c r="O28" s="7"/>
      <c r="P28" s="6">
        <v>14</v>
      </c>
      <c r="Q28" t="s">
        <v>36</v>
      </c>
    </row>
    <row r="29" spans="1:19" x14ac:dyDescent="0.25">
      <c r="A29" s="2"/>
      <c r="B29" s="2" t="s">
        <v>27</v>
      </c>
      <c r="E29" s="9">
        <f>P29*25*52*P30</f>
        <v>67859.999999999985</v>
      </c>
      <c r="F29" s="10">
        <f>E29*(1+$P$31)</f>
        <v>69217.199999999983</v>
      </c>
      <c r="G29" s="10">
        <f t="shared" ref="G29:I29" si="20">F29*(1+$P$31)</f>
        <v>70601.54399999998</v>
      </c>
      <c r="H29" s="10">
        <f t="shared" si="20"/>
        <v>72013.574879999986</v>
      </c>
      <c r="I29" s="10">
        <f t="shared" si="20"/>
        <v>73453.846377599984</v>
      </c>
      <c r="J29" s="10">
        <f t="shared" ref="J29" si="21">I29*(1+$P$31)</f>
        <v>74922.923305151984</v>
      </c>
      <c r="K29" s="10">
        <f t="shared" ref="K29" si="22">J29*(1+$P$31)</f>
        <v>76421.381771255023</v>
      </c>
      <c r="L29" s="10">
        <f t="shared" ref="L29" si="23">K29*(1+$P$31)</f>
        <v>77949.809406680128</v>
      </c>
      <c r="M29" s="10">
        <f t="shared" ref="M29" si="24">L29*(1+$P$31)</f>
        <v>79508.805594813733</v>
      </c>
      <c r="N29" s="10">
        <f t="shared" ref="N29" si="25">M29*(1+$P$31)</f>
        <v>81098.981706710008</v>
      </c>
      <c r="O29" s="8"/>
      <c r="P29" s="6">
        <v>8.6999999999999993</v>
      </c>
      <c r="Q29" t="s">
        <v>35</v>
      </c>
    </row>
    <row r="30" spans="1:19" x14ac:dyDescent="0.25">
      <c r="A30" s="2" t="s">
        <v>6</v>
      </c>
      <c r="B30" s="2"/>
      <c r="E30" s="9">
        <f>E20-E24-E26-E28-E29</f>
        <v>32157.500000000015</v>
      </c>
      <c r="F30" s="10">
        <f>F20-F24-F26-F28-F29</f>
        <v>32041.675000000017</v>
      </c>
      <c r="G30" s="10">
        <f t="shared" ref="G30:N30" si="26">G20-G24-G26-G28-G29</f>
        <v>31910.119750000027</v>
      </c>
      <c r="H30" s="10">
        <f t="shared" si="26"/>
        <v>31762.385507499988</v>
      </c>
      <c r="I30" s="10">
        <f t="shared" si="26"/>
        <v>31598.013213775004</v>
      </c>
      <c r="J30" s="10">
        <f t="shared" si="26"/>
        <v>31416.533274136775</v>
      </c>
      <c r="K30" s="10">
        <f t="shared" si="26"/>
        <v>31217.465333666594</v>
      </c>
      <c r="L30" s="10">
        <f t="shared" si="26"/>
        <v>31000.318048327536</v>
      </c>
      <c r="M30" s="10">
        <f t="shared" si="26"/>
        <v>30764.58885136155</v>
      </c>
      <c r="N30" s="10">
        <f t="shared" si="26"/>
        <v>30509.763714876899</v>
      </c>
      <c r="O30" s="7"/>
      <c r="P30">
        <v>6</v>
      </c>
      <c r="Q30" t="s">
        <v>42</v>
      </c>
    </row>
    <row r="31" spans="1:19" x14ac:dyDescent="0.25">
      <c r="A31" s="2"/>
      <c r="B31" s="2"/>
      <c r="E31" s="9"/>
      <c r="F31" s="10"/>
      <c r="G31" s="10"/>
      <c r="H31" s="10"/>
      <c r="I31" s="10"/>
      <c r="J31" s="10"/>
      <c r="K31" s="10"/>
      <c r="L31" s="10"/>
      <c r="M31" s="10"/>
      <c r="N31" s="10"/>
      <c r="O31" s="7"/>
      <c r="P31" s="3">
        <v>0.02</v>
      </c>
      <c r="Q31" t="s">
        <v>68</v>
      </c>
    </row>
    <row r="32" spans="1:19" x14ac:dyDescent="0.25">
      <c r="A32" s="2" t="s">
        <v>103</v>
      </c>
      <c r="B32" s="2"/>
      <c r="E32" s="9">
        <f>E47/P32</f>
        <v>2400</v>
      </c>
      <c r="F32" s="10">
        <f>E32</f>
        <v>2400</v>
      </c>
      <c r="G32" s="10">
        <f t="shared" ref="G32:I33" si="27">F32</f>
        <v>2400</v>
      </c>
      <c r="H32" s="10">
        <f t="shared" si="27"/>
        <v>2400</v>
      </c>
      <c r="I32" s="10">
        <f t="shared" si="27"/>
        <v>2400</v>
      </c>
      <c r="J32" s="10">
        <f t="shared" ref="J32:J33" si="28">I32</f>
        <v>2400</v>
      </c>
      <c r="K32" s="10">
        <f t="shared" ref="K32:K33" si="29">J32</f>
        <v>2400</v>
      </c>
      <c r="L32" s="10">
        <f t="shared" ref="L32:L33" si="30">K32</f>
        <v>2400</v>
      </c>
      <c r="M32" s="10">
        <v>0</v>
      </c>
      <c r="N32" s="10">
        <f t="shared" ref="N32:N33" si="31">M32</f>
        <v>0</v>
      </c>
      <c r="O32" s="7"/>
      <c r="P32">
        <v>10</v>
      </c>
      <c r="Q32" t="s">
        <v>37</v>
      </c>
    </row>
    <row r="33" spans="1:17" x14ac:dyDescent="0.25">
      <c r="A33" s="2" t="s">
        <v>104</v>
      </c>
      <c r="B33" s="2"/>
      <c r="E33" s="9">
        <f>E49/20</f>
        <v>4500</v>
      </c>
      <c r="F33" s="10">
        <f>E33</f>
        <v>4500</v>
      </c>
      <c r="G33" s="10">
        <f t="shared" si="27"/>
        <v>4500</v>
      </c>
      <c r="H33" s="10">
        <f t="shared" si="27"/>
        <v>4500</v>
      </c>
      <c r="I33" s="10">
        <f t="shared" si="27"/>
        <v>4500</v>
      </c>
      <c r="J33" s="10">
        <f t="shared" si="28"/>
        <v>4500</v>
      </c>
      <c r="K33" s="10">
        <f t="shared" si="29"/>
        <v>4500</v>
      </c>
      <c r="L33" s="10">
        <f t="shared" si="30"/>
        <v>4500</v>
      </c>
      <c r="M33" s="10">
        <f t="shared" ref="M33" si="32">L33</f>
        <v>4500</v>
      </c>
      <c r="N33" s="10">
        <f t="shared" si="31"/>
        <v>4500</v>
      </c>
      <c r="O33" s="7"/>
      <c r="P33">
        <v>20</v>
      </c>
      <c r="Q33" t="s">
        <v>37</v>
      </c>
    </row>
    <row r="34" spans="1:17" x14ac:dyDescent="0.25">
      <c r="A34" s="2" t="s">
        <v>71</v>
      </c>
      <c r="B34" s="2"/>
      <c r="E34" s="9">
        <f>Mortgage!H18</f>
        <v>3571.1524011001115</v>
      </c>
      <c r="F34" s="10">
        <f>Mortgage!H30</f>
        <v>3506.5797938143241</v>
      </c>
      <c r="G34" s="10">
        <f>Mortgage!H42</f>
        <v>3439.3763988773599</v>
      </c>
      <c r="H34" s="10">
        <f>Mortgage!H54</f>
        <v>3369.4350339412172</v>
      </c>
      <c r="I34" s="10">
        <f>Mortgage!H66</f>
        <v>3296.6441498836593</v>
      </c>
      <c r="J34" s="10">
        <f>Mortgage!H78</f>
        <v>3220.8876528991004</v>
      </c>
      <c r="K34" s="10">
        <f>Mortgage!H90</f>
        <v>3142.0447193411947</v>
      </c>
      <c r="L34" s="10">
        <f>Mortgage!H102</f>
        <v>3059.989603021816</v>
      </c>
      <c r="M34" s="10">
        <f>Mortgage!H114</f>
        <v>2974.5914346591226</v>
      </c>
      <c r="N34" s="10">
        <f>Mortgage!H126</f>
        <v>2885.714013154809</v>
      </c>
      <c r="O34" s="7"/>
    </row>
    <row r="35" spans="1:17" x14ac:dyDescent="0.25">
      <c r="A35" s="2" t="s">
        <v>7</v>
      </c>
      <c r="B35" s="2"/>
      <c r="E35" s="9">
        <f t="shared" ref="E35:N35" si="33">$P$35*E58</f>
        <v>11264.979760199145</v>
      </c>
      <c r="F35" s="10">
        <f t="shared" si="33"/>
        <v>9704.0370565473713</v>
      </c>
      <c r="G35" s="10">
        <f t="shared" si="33"/>
        <v>8016.590667265622</v>
      </c>
      <c r="H35" s="10">
        <f t="shared" si="33"/>
        <v>6192.8025535438201</v>
      </c>
      <c r="I35" s="10">
        <f t="shared" si="33"/>
        <v>4221.9946794796178</v>
      </c>
      <c r="J35" s="10">
        <f t="shared" si="33"/>
        <v>2092.5745646068776</v>
      </c>
      <c r="K35" s="10">
        <f t="shared" si="33"/>
        <v>0</v>
      </c>
      <c r="L35" s="10">
        <f t="shared" si="33"/>
        <v>0</v>
      </c>
      <c r="M35" s="10">
        <f t="shared" si="33"/>
        <v>0</v>
      </c>
      <c r="N35" s="10">
        <f t="shared" si="33"/>
        <v>0</v>
      </c>
      <c r="O35" s="7"/>
      <c r="P35" s="3">
        <v>0.11</v>
      </c>
      <c r="Q35" t="s">
        <v>52</v>
      </c>
    </row>
    <row r="36" spans="1:17" x14ac:dyDescent="0.25">
      <c r="A36" s="2"/>
      <c r="B36" s="2"/>
      <c r="E36" s="9"/>
      <c r="F36" s="10"/>
      <c r="G36" s="10"/>
      <c r="H36" s="10"/>
      <c r="I36" s="10"/>
      <c r="J36" s="10"/>
      <c r="K36" s="10"/>
      <c r="L36" s="10"/>
      <c r="M36" s="10"/>
      <c r="N36" s="10"/>
      <c r="O36" s="7"/>
    </row>
    <row r="37" spans="1:17" x14ac:dyDescent="0.25">
      <c r="A37" s="2" t="s">
        <v>8</v>
      </c>
      <c r="B37" s="2"/>
      <c r="E37" s="9">
        <f>E30-E32-E35-E34-E33</f>
        <v>10421.367838700759</v>
      </c>
      <c r="F37" s="9">
        <f t="shared" ref="F37:N37" si="34">F30-F32-F35-F34-F33</f>
        <v>11931.058149638324</v>
      </c>
      <c r="G37" s="9">
        <f t="shared" si="34"/>
        <v>13554.152683857046</v>
      </c>
      <c r="H37" s="9">
        <f t="shared" si="34"/>
        <v>15300.147920014952</v>
      </c>
      <c r="I37" s="9">
        <f t="shared" si="34"/>
        <v>17179.374384411727</v>
      </c>
      <c r="J37" s="9">
        <f t="shared" si="34"/>
        <v>19203.071056630797</v>
      </c>
      <c r="K37" s="9">
        <f t="shared" si="34"/>
        <v>21175.420614325398</v>
      </c>
      <c r="L37" s="9">
        <f t="shared" si="34"/>
        <v>21040.32844530572</v>
      </c>
      <c r="M37" s="9">
        <f t="shared" si="34"/>
        <v>23289.997416702427</v>
      </c>
      <c r="N37" s="9">
        <f t="shared" si="34"/>
        <v>23124.049701722091</v>
      </c>
      <c r="O37" s="7"/>
    </row>
    <row r="38" spans="1:17" x14ac:dyDescent="0.25">
      <c r="A38" s="2" t="s">
        <v>9</v>
      </c>
      <c r="B38" s="2"/>
      <c r="E38" s="9">
        <f>E37*P38</f>
        <v>2605.3419596751896</v>
      </c>
      <c r="F38" s="10">
        <f>F37*$P$38</f>
        <v>2982.764537409581</v>
      </c>
      <c r="G38" s="10">
        <f t="shared" ref="G38:N38" si="35">G37*$P$38</f>
        <v>3388.5381709642616</v>
      </c>
      <c r="H38" s="10">
        <f t="shared" si="35"/>
        <v>3825.0369800037379</v>
      </c>
      <c r="I38" s="10">
        <f t="shared" si="35"/>
        <v>4294.8435961029318</v>
      </c>
      <c r="J38" s="10">
        <f t="shared" si="35"/>
        <v>4800.7677641576993</v>
      </c>
      <c r="K38" s="10">
        <f t="shared" si="35"/>
        <v>5293.8551535813494</v>
      </c>
      <c r="L38" s="10">
        <f t="shared" si="35"/>
        <v>5260.0821113264301</v>
      </c>
      <c r="M38" s="10">
        <f t="shared" si="35"/>
        <v>5822.4993541756066</v>
      </c>
      <c r="N38" s="10">
        <f t="shared" si="35"/>
        <v>5781.0124254305229</v>
      </c>
      <c r="O38" s="7"/>
      <c r="P38" s="3">
        <v>0.25</v>
      </c>
      <c r="Q38" t="s">
        <v>57</v>
      </c>
    </row>
    <row r="39" spans="1:17" x14ac:dyDescent="0.25">
      <c r="A39" s="1" t="s">
        <v>10</v>
      </c>
      <c r="B39" s="1"/>
      <c r="E39" s="9">
        <f>E37-E38</f>
        <v>7816.0258790255684</v>
      </c>
      <c r="F39" s="10">
        <f>F37-F38</f>
        <v>8948.2936122287429</v>
      </c>
      <c r="G39" s="10">
        <f t="shared" ref="G39:N39" si="36">G37-G38</f>
        <v>10165.614512892786</v>
      </c>
      <c r="H39" s="10">
        <f t="shared" si="36"/>
        <v>11475.110940011215</v>
      </c>
      <c r="I39" s="10">
        <f t="shared" si="36"/>
        <v>12884.530788308795</v>
      </c>
      <c r="J39" s="10">
        <f t="shared" si="36"/>
        <v>14402.303292473098</v>
      </c>
      <c r="K39" s="10">
        <f t="shared" si="36"/>
        <v>15881.565460744048</v>
      </c>
      <c r="L39" s="10">
        <f t="shared" si="36"/>
        <v>15780.24633397929</v>
      </c>
      <c r="M39" s="10">
        <f t="shared" si="36"/>
        <v>17467.498062526822</v>
      </c>
      <c r="N39" s="10">
        <f t="shared" si="36"/>
        <v>17343.037276291569</v>
      </c>
      <c r="O39" s="7"/>
    </row>
    <row r="40" spans="1:17" x14ac:dyDescent="0.25">
      <c r="A40" s="2"/>
      <c r="B40" s="2"/>
      <c r="E40" s="9"/>
      <c r="F40" s="10"/>
      <c r="G40" s="10"/>
      <c r="H40" s="10"/>
      <c r="I40" s="10"/>
      <c r="J40" s="10"/>
      <c r="K40" s="10"/>
      <c r="L40" s="10"/>
      <c r="M40" s="10"/>
      <c r="N40" s="10"/>
      <c r="O40" s="7"/>
    </row>
    <row r="41" spans="1:17" x14ac:dyDescent="0.25">
      <c r="A41" s="1" t="s">
        <v>11</v>
      </c>
      <c r="B41" s="1"/>
      <c r="E41" s="9"/>
      <c r="F41" s="10"/>
      <c r="G41" s="10"/>
      <c r="H41" s="10"/>
      <c r="I41" s="10"/>
      <c r="J41" s="10"/>
      <c r="K41" s="10"/>
      <c r="L41" s="10"/>
      <c r="M41" s="10"/>
      <c r="N41" s="10"/>
      <c r="O41" s="7"/>
    </row>
    <row r="42" spans="1:17" x14ac:dyDescent="0.25">
      <c r="A42" s="1" t="s">
        <v>12</v>
      </c>
      <c r="B42" s="1"/>
      <c r="E42" s="9"/>
      <c r="F42" s="10"/>
      <c r="G42" s="10"/>
      <c r="H42" s="10"/>
      <c r="I42" s="10"/>
      <c r="J42" s="10"/>
      <c r="K42" s="10"/>
      <c r="L42" s="10"/>
      <c r="M42" s="10"/>
      <c r="N42" s="10"/>
      <c r="O42" s="7"/>
    </row>
    <row r="43" spans="1:17" x14ac:dyDescent="0.25">
      <c r="A43" s="2" t="s">
        <v>13</v>
      </c>
      <c r="B43" s="2"/>
      <c r="E43" s="9">
        <f>P43</f>
        <v>500</v>
      </c>
      <c r="F43" s="10">
        <f>$P$43</f>
        <v>500</v>
      </c>
      <c r="G43" s="10">
        <f t="shared" ref="G43:N43" si="37">$P$43</f>
        <v>500</v>
      </c>
      <c r="H43" s="10">
        <f t="shared" si="37"/>
        <v>500</v>
      </c>
      <c r="I43" s="10">
        <f t="shared" si="37"/>
        <v>500</v>
      </c>
      <c r="J43" s="10">
        <f t="shared" si="37"/>
        <v>500</v>
      </c>
      <c r="K43" s="10">
        <f t="shared" si="37"/>
        <v>500</v>
      </c>
      <c r="L43" s="10">
        <f t="shared" si="37"/>
        <v>500</v>
      </c>
      <c r="M43" s="10">
        <f t="shared" si="37"/>
        <v>500</v>
      </c>
      <c r="N43" s="10">
        <f t="shared" si="37"/>
        <v>500</v>
      </c>
      <c r="O43" s="7"/>
      <c r="P43">
        <v>500</v>
      </c>
      <c r="Q43" t="s">
        <v>43</v>
      </c>
    </row>
    <row r="44" spans="1:17" x14ac:dyDescent="0.25">
      <c r="A44" s="2" t="s">
        <v>14</v>
      </c>
      <c r="B44" s="2"/>
      <c r="E44" s="9">
        <f>E19/365*$C$10</f>
        <v>2625</v>
      </c>
      <c r="F44" s="10">
        <f t="shared" ref="F44:N44" si="38">F19/365*$C$10</f>
        <v>2651.25</v>
      </c>
      <c r="G44" s="10">
        <f t="shared" si="38"/>
        <v>2677.7624999999998</v>
      </c>
      <c r="H44" s="10">
        <f t="shared" si="38"/>
        <v>2704.5401249999995</v>
      </c>
      <c r="I44" s="10">
        <f t="shared" si="38"/>
        <v>2731.5855262500004</v>
      </c>
      <c r="J44" s="10">
        <f t="shared" si="38"/>
        <v>2758.9013815125004</v>
      </c>
      <c r="K44" s="10">
        <f t="shared" si="38"/>
        <v>2786.4903953276253</v>
      </c>
      <c r="L44" s="10">
        <f t="shared" si="38"/>
        <v>2814.3552992809014</v>
      </c>
      <c r="M44" s="10">
        <f t="shared" si="38"/>
        <v>2842.4988522737108</v>
      </c>
      <c r="N44" s="10">
        <f t="shared" si="38"/>
        <v>2870.9238407964472</v>
      </c>
      <c r="O44" s="7"/>
    </row>
    <row r="45" spans="1:17" x14ac:dyDescent="0.25">
      <c r="A45" s="2" t="s">
        <v>15</v>
      </c>
      <c r="B45" s="2"/>
      <c r="E45" s="9">
        <v>0</v>
      </c>
      <c r="F45" s="10">
        <v>0</v>
      </c>
      <c r="G45" s="10">
        <v>0</v>
      </c>
      <c r="H45" s="11">
        <v>0</v>
      </c>
      <c r="I45" s="11">
        <v>0</v>
      </c>
      <c r="J45" s="11">
        <v>0</v>
      </c>
      <c r="K45" s="11">
        <v>1735.2913718476493</v>
      </c>
      <c r="L45" s="11">
        <v>22310.53</v>
      </c>
      <c r="M45" s="11">
        <v>42087.519999999997</v>
      </c>
      <c r="N45" s="11">
        <v>61651.09</v>
      </c>
      <c r="O45" s="7"/>
    </row>
    <row r="46" spans="1:17" x14ac:dyDescent="0.25">
      <c r="A46" s="2" t="s">
        <v>45</v>
      </c>
      <c r="B46" s="2"/>
      <c r="E46" s="9">
        <f>E16/365*$C$11</f>
        <v>1890</v>
      </c>
      <c r="F46" s="10">
        <f t="shared" ref="F46:N46" si="39">F16/365*$C$11</f>
        <v>1908.8999999999999</v>
      </c>
      <c r="G46" s="10">
        <f t="shared" si="39"/>
        <v>1927.989</v>
      </c>
      <c r="H46" s="10">
        <f t="shared" si="39"/>
        <v>1947.2688899999998</v>
      </c>
      <c r="I46" s="10">
        <f t="shared" si="39"/>
        <v>1966.7415788999999</v>
      </c>
      <c r="J46" s="10">
        <f t="shared" si="39"/>
        <v>1986.4089946889999</v>
      </c>
      <c r="K46" s="10">
        <f t="shared" si="39"/>
        <v>2006.27308463589</v>
      </c>
      <c r="L46" s="10">
        <f t="shared" si="39"/>
        <v>2026.3358154822488</v>
      </c>
      <c r="M46" s="10">
        <f t="shared" si="39"/>
        <v>2046.5991736370711</v>
      </c>
      <c r="N46" s="10">
        <f t="shared" si="39"/>
        <v>2067.0651653734421</v>
      </c>
      <c r="O46" s="7"/>
    </row>
    <row r="47" spans="1:17" x14ac:dyDescent="0.25">
      <c r="A47" s="2" t="s">
        <v>29</v>
      </c>
      <c r="B47" s="2"/>
      <c r="E47" s="9">
        <f>C8+(C7*C9)</f>
        <v>24000</v>
      </c>
      <c r="F47" s="10">
        <f>E47</f>
        <v>24000</v>
      </c>
      <c r="G47" s="10">
        <f t="shared" ref="G47:I47" si="40">F47</f>
        <v>24000</v>
      </c>
      <c r="H47" s="10">
        <f t="shared" si="40"/>
        <v>24000</v>
      </c>
      <c r="I47" s="10">
        <f t="shared" si="40"/>
        <v>24000</v>
      </c>
      <c r="J47" s="10">
        <f t="shared" ref="J47" si="41">I47</f>
        <v>24000</v>
      </c>
      <c r="K47" s="10">
        <f t="shared" ref="K47" si="42">J47</f>
        <v>24000</v>
      </c>
      <c r="L47" s="10">
        <f t="shared" ref="L47" si="43">K47</f>
        <v>24000</v>
      </c>
      <c r="M47" s="10">
        <f t="shared" ref="M47" si="44">L47</f>
        <v>24000</v>
      </c>
      <c r="N47" s="10">
        <f t="shared" ref="N47" si="45">M47</f>
        <v>24000</v>
      </c>
      <c r="O47" s="7"/>
    </row>
    <row r="48" spans="1:17" x14ac:dyDescent="0.25">
      <c r="A48" s="2" t="s">
        <v>16</v>
      </c>
      <c r="B48" s="2"/>
      <c r="E48" s="9">
        <f>P48*E32</f>
        <v>7200</v>
      </c>
      <c r="F48" s="10">
        <f>E48+F32</f>
        <v>9600</v>
      </c>
      <c r="G48" s="10">
        <f t="shared" ref="G48:I48" si="46">F48+G32</f>
        <v>12000</v>
      </c>
      <c r="H48" s="10">
        <f t="shared" si="46"/>
        <v>14400</v>
      </c>
      <c r="I48" s="10">
        <f t="shared" si="46"/>
        <v>16800</v>
      </c>
      <c r="J48" s="10">
        <f t="shared" ref="J48" si="47">I48+J32</f>
        <v>19200</v>
      </c>
      <c r="K48" s="10">
        <f t="shared" ref="K48" si="48">J48+K32</f>
        <v>21600</v>
      </c>
      <c r="L48" s="10">
        <f t="shared" ref="L48" si="49">K48+L32</f>
        <v>24000</v>
      </c>
      <c r="M48" s="10">
        <f t="shared" ref="M48" si="50">L48+M32</f>
        <v>24000</v>
      </c>
      <c r="N48" s="10">
        <f t="shared" ref="N48" si="51">M48+N32</f>
        <v>24000</v>
      </c>
      <c r="O48" s="7"/>
      <c r="P48">
        <v>3</v>
      </c>
      <c r="Q48" t="s">
        <v>41</v>
      </c>
    </row>
    <row r="49" spans="1:17" x14ac:dyDescent="0.25">
      <c r="A49" s="2" t="s">
        <v>101</v>
      </c>
      <c r="B49" s="2"/>
      <c r="E49" s="9">
        <f>Mortgage!C5</f>
        <v>90000</v>
      </c>
      <c r="F49" s="10">
        <f>E49</f>
        <v>90000</v>
      </c>
      <c r="G49" s="10">
        <f t="shared" ref="G49:N49" si="52">F49</f>
        <v>90000</v>
      </c>
      <c r="H49" s="10">
        <f t="shared" si="52"/>
        <v>90000</v>
      </c>
      <c r="I49" s="10">
        <f t="shared" si="52"/>
        <v>90000</v>
      </c>
      <c r="J49" s="10">
        <f t="shared" si="52"/>
        <v>90000</v>
      </c>
      <c r="K49" s="10">
        <f t="shared" si="52"/>
        <v>90000</v>
      </c>
      <c r="L49" s="10">
        <f t="shared" si="52"/>
        <v>90000</v>
      </c>
      <c r="M49" s="10">
        <f t="shared" si="52"/>
        <v>90000</v>
      </c>
      <c r="N49" s="10">
        <f t="shared" si="52"/>
        <v>90000</v>
      </c>
      <c r="O49" s="7"/>
    </row>
    <row r="50" spans="1:17" x14ac:dyDescent="0.25">
      <c r="A50" s="2" t="s">
        <v>102</v>
      </c>
      <c r="B50" s="2"/>
      <c r="E50" s="9">
        <f>D33+E33</f>
        <v>4500</v>
      </c>
      <c r="F50" s="9">
        <f t="shared" ref="F50:N50" si="53">F33+E50</f>
        <v>9000</v>
      </c>
      <c r="G50" s="9">
        <f t="shared" si="53"/>
        <v>13500</v>
      </c>
      <c r="H50" s="9">
        <f t="shared" si="53"/>
        <v>18000</v>
      </c>
      <c r="I50" s="9">
        <f t="shared" si="53"/>
        <v>22500</v>
      </c>
      <c r="J50" s="9">
        <f t="shared" si="53"/>
        <v>27000</v>
      </c>
      <c r="K50" s="9">
        <f t="shared" si="53"/>
        <v>31500</v>
      </c>
      <c r="L50" s="9">
        <f t="shared" si="53"/>
        <v>36000</v>
      </c>
      <c r="M50" s="9">
        <f t="shared" si="53"/>
        <v>40500</v>
      </c>
      <c r="N50" s="9">
        <f t="shared" si="53"/>
        <v>45000</v>
      </c>
      <c r="O50" s="7"/>
    </row>
    <row r="51" spans="1:17" x14ac:dyDescent="0.25">
      <c r="A51" s="2" t="s">
        <v>96</v>
      </c>
      <c r="B51" s="2"/>
      <c r="E51" s="9">
        <v>100000</v>
      </c>
      <c r="F51" s="9">
        <f>E51</f>
        <v>100000</v>
      </c>
      <c r="G51" s="9">
        <f>F51</f>
        <v>100000</v>
      </c>
      <c r="H51" s="9">
        <f t="shared" ref="H51:N51" si="54">G51</f>
        <v>100000</v>
      </c>
      <c r="I51" s="9">
        <f t="shared" si="54"/>
        <v>100000</v>
      </c>
      <c r="J51" s="9">
        <f t="shared" si="54"/>
        <v>100000</v>
      </c>
      <c r="K51" s="9">
        <f t="shared" si="54"/>
        <v>100000</v>
      </c>
      <c r="L51" s="9">
        <f t="shared" si="54"/>
        <v>100000</v>
      </c>
      <c r="M51" s="9">
        <f t="shared" si="54"/>
        <v>100000</v>
      </c>
      <c r="N51" s="9">
        <f t="shared" si="54"/>
        <v>100000</v>
      </c>
      <c r="O51" s="7"/>
    </row>
    <row r="52" spans="1:17" x14ac:dyDescent="0.25">
      <c r="A52" s="1" t="s">
        <v>17</v>
      </c>
      <c r="B52" s="1"/>
      <c r="E52" s="9">
        <f>SUM(E43:E47)+E49-E48-E50+E51</f>
        <v>207315</v>
      </c>
      <c r="F52" s="9">
        <f t="shared" ref="F52:N52" si="55">SUM(F43:F47)+F49-F48-F50+F51</f>
        <v>200460.15</v>
      </c>
      <c r="G52" s="9">
        <f t="shared" si="55"/>
        <v>193605.75150000001</v>
      </c>
      <c r="H52" s="9">
        <f t="shared" si="55"/>
        <v>186751.80901500001</v>
      </c>
      <c r="I52" s="9">
        <f t="shared" si="55"/>
        <v>179898.32710515001</v>
      </c>
      <c r="J52" s="9">
        <f t="shared" si="55"/>
        <v>173045.31037620149</v>
      </c>
      <c r="K52" s="9">
        <f t="shared" si="55"/>
        <v>167928.05485181115</v>
      </c>
      <c r="L52" s="9">
        <f t="shared" si="55"/>
        <v>181651.22111476315</v>
      </c>
      <c r="M52" s="9">
        <f t="shared" si="55"/>
        <v>196976.61802591078</v>
      </c>
      <c r="N52" s="9">
        <f t="shared" si="55"/>
        <v>212089.07900616986</v>
      </c>
      <c r="O52" s="7"/>
    </row>
    <row r="53" spans="1:17" x14ac:dyDescent="0.25">
      <c r="A53" s="2"/>
      <c r="B53" s="2"/>
      <c r="E53" s="9"/>
      <c r="F53" s="10"/>
      <c r="G53" s="10"/>
      <c r="H53" s="10"/>
      <c r="I53" s="10"/>
      <c r="J53" s="10"/>
      <c r="K53" s="10"/>
      <c r="L53" s="10"/>
      <c r="M53" s="10"/>
      <c r="N53" s="10"/>
      <c r="O53" s="7"/>
    </row>
    <row r="54" spans="1:17" x14ac:dyDescent="0.25">
      <c r="A54" s="1" t="s">
        <v>18</v>
      </c>
      <c r="B54" s="1"/>
      <c r="E54" s="9"/>
      <c r="F54" s="10"/>
      <c r="G54" s="10"/>
      <c r="H54" s="10"/>
      <c r="I54" s="10"/>
      <c r="J54" s="10"/>
      <c r="K54" s="10"/>
      <c r="L54" s="10"/>
      <c r="M54" s="10"/>
      <c r="N54" s="10"/>
      <c r="O54" s="7"/>
    </row>
    <row r="55" spans="1:17" x14ac:dyDescent="0.25">
      <c r="A55" s="2" t="s">
        <v>30</v>
      </c>
      <c r="B55" s="2"/>
      <c r="E55" s="9">
        <f t="shared" ref="E55:N55" si="56">E19/365*$C$12</f>
        <v>3675</v>
      </c>
      <c r="F55" s="10">
        <f t="shared" si="56"/>
        <v>3711.75</v>
      </c>
      <c r="G55" s="10">
        <f t="shared" si="56"/>
        <v>3748.8675000000003</v>
      </c>
      <c r="H55" s="10">
        <f t="shared" si="56"/>
        <v>3786.3561749999999</v>
      </c>
      <c r="I55" s="10">
        <f t="shared" si="56"/>
        <v>3824.2197367500003</v>
      </c>
      <c r="J55" s="10">
        <f t="shared" si="56"/>
        <v>3862.4619341175003</v>
      </c>
      <c r="K55" s="10">
        <f t="shared" si="56"/>
        <v>3901.0865534586751</v>
      </c>
      <c r="L55" s="10">
        <f t="shared" si="56"/>
        <v>3940.0974189932622</v>
      </c>
      <c r="M55" s="10">
        <f t="shared" si="56"/>
        <v>3979.4983931831948</v>
      </c>
      <c r="N55" s="10">
        <f t="shared" si="56"/>
        <v>4019.293377115026</v>
      </c>
      <c r="O55" s="7"/>
      <c r="Q55" t="s">
        <v>51</v>
      </c>
    </row>
    <row r="56" spans="1:17" x14ac:dyDescent="0.25">
      <c r="A56" s="2"/>
      <c r="B56" s="2"/>
      <c r="E56" s="9"/>
      <c r="F56" s="10"/>
      <c r="G56" s="10"/>
      <c r="H56" s="10"/>
      <c r="I56" s="10"/>
      <c r="J56" s="10"/>
      <c r="K56" s="10"/>
      <c r="L56" s="10"/>
      <c r="M56" s="10"/>
      <c r="N56" s="10"/>
      <c r="O56" s="7"/>
    </row>
    <row r="57" spans="1:17" x14ac:dyDescent="0.25">
      <c r="A57" s="2" t="s">
        <v>76</v>
      </c>
      <c r="B57" s="2"/>
      <c r="E57" s="9">
        <f>Mortgage!I18</f>
        <v>88415.067210073132</v>
      </c>
      <c r="F57" s="10">
        <f>Mortgage!I30</f>
        <v>86765.561812860498</v>
      </c>
      <c r="G57" s="10">
        <f>Mortgage!I42</f>
        <v>85048.853020710885</v>
      </c>
      <c r="H57" s="10">
        <f>Mortgage!I54</f>
        <v>83262.202863625134</v>
      </c>
      <c r="I57" s="10">
        <f>Mortgage!I66</f>
        <v>81402.761822481829</v>
      </c>
      <c r="J57" s="10">
        <f>Mortgage!I78</f>
        <v>79467.564284353983</v>
      </c>
      <c r="K57" s="10">
        <f>Mortgage!I90</f>
        <v>77453.523812668238</v>
      </c>
      <c r="L57" s="10">
        <f>Mortgage!I102</f>
        <v>75357.42822466309</v>
      </c>
      <c r="M57" s="10">
        <f>Mortgage!I114</f>
        <v>73175.934468295251</v>
      </c>
      <c r="N57" s="10">
        <f>Mortgage!I126</f>
        <v>70905.563290423117</v>
      </c>
      <c r="O57" s="7"/>
    </row>
    <row r="58" spans="1:17" x14ac:dyDescent="0.25">
      <c r="A58" s="2" t="s">
        <v>31</v>
      </c>
      <c r="B58" s="2"/>
      <c r="E58" s="9">
        <v>102408.90691090132</v>
      </c>
      <c r="F58" s="10">
        <v>88218.518695885199</v>
      </c>
      <c r="G58" s="10">
        <v>72878.09697514202</v>
      </c>
      <c r="H58" s="10">
        <v>56298.205032216545</v>
      </c>
      <c r="I58" s="10">
        <v>38381.769813451072</v>
      </c>
      <c r="J58" s="10">
        <v>19023.405132789798</v>
      </c>
      <c r="K58" s="10">
        <v>0</v>
      </c>
      <c r="L58" s="10">
        <v>0</v>
      </c>
      <c r="M58" s="10">
        <v>0</v>
      </c>
      <c r="N58" s="10">
        <v>0</v>
      </c>
      <c r="O58" s="7"/>
    </row>
    <row r="59" spans="1:17" x14ac:dyDescent="0.25">
      <c r="A59" s="2" t="s">
        <v>59</v>
      </c>
      <c r="B59" s="2"/>
      <c r="E59" s="9">
        <f>SUM(E55:E58)</f>
        <v>194498.97412097445</v>
      </c>
      <c r="F59" s="10">
        <f t="shared" ref="F59:N59" si="57">SUM(F55:F58)</f>
        <v>178695.83050874568</v>
      </c>
      <c r="G59" s="10">
        <f t="shared" si="57"/>
        <v>161675.81749585291</v>
      </c>
      <c r="H59" s="10">
        <f t="shared" si="57"/>
        <v>143346.76407084166</v>
      </c>
      <c r="I59" s="10">
        <f t="shared" si="57"/>
        <v>123608.75137268291</v>
      </c>
      <c r="J59" s="10">
        <f t="shared" si="57"/>
        <v>102353.43135126127</v>
      </c>
      <c r="K59" s="10">
        <f t="shared" si="57"/>
        <v>81354.610366126915</v>
      </c>
      <c r="L59" s="10">
        <f t="shared" si="57"/>
        <v>79297.52564365635</v>
      </c>
      <c r="M59" s="10">
        <f t="shared" si="57"/>
        <v>77155.432861478446</v>
      </c>
      <c r="N59" s="10">
        <f t="shared" si="57"/>
        <v>74924.856667538144</v>
      </c>
      <c r="O59" s="7"/>
    </row>
    <row r="60" spans="1:17" x14ac:dyDescent="0.25">
      <c r="A60" s="2" t="s">
        <v>49</v>
      </c>
      <c r="B60" s="2"/>
      <c r="E60" s="9">
        <v>17000</v>
      </c>
      <c r="F60" s="10">
        <f>E60</f>
        <v>17000</v>
      </c>
      <c r="G60" s="10">
        <f t="shared" ref="G60:I60" si="58">F60</f>
        <v>17000</v>
      </c>
      <c r="H60" s="10">
        <f t="shared" si="58"/>
        <v>17000</v>
      </c>
      <c r="I60" s="10">
        <f t="shared" si="58"/>
        <v>17000</v>
      </c>
      <c r="J60" s="10">
        <f t="shared" ref="J60" si="59">I60</f>
        <v>17000</v>
      </c>
      <c r="K60" s="10">
        <f t="shared" ref="K60" si="60">J60</f>
        <v>17000</v>
      </c>
      <c r="L60" s="10">
        <f t="shared" ref="L60" si="61">K60</f>
        <v>17000</v>
      </c>
      <c r="M60" s="10">
        <f t="shared" ref="M60" si="62">L60</f>
        <v>17000</v>
      </c>
      <c r="N60" s="10">
        <f t="shared" ref="N60" si="63">M60</f>
        <v>17000</v>
      </c>
      <c r="O60" s="7"/>
      <c r="P60">
        <v>10000</v>
      </c>
      <c r="Q60" t="s">
        <v>54</v>
      </c>
    </row>
    <row r="61" spans="1:17" x14ac:dyDescent="0.25">
      <c r="A61" s="2" t="s">
        <v>19</v>
      </c>
      <c r="B61" s="2"/>
      <c r="E61" s="9"/>
      <c r="F61" s="10"/>
      <c r="G61" s="10"/>
      <c r="H61" s="10"/>
      <c r="I61" s="10"/>
      <c r="J61" s="10"/>
      <c r="K61" s="10"/>
      <c r="L61" s="10"/>
      <c r="M61" s="10"/>
      <c r="N61" s="10"/>
      <c r="O61" s="7"/>
    </row>
    <row r="62" spans="1:17" x14ac:dyDescent="0.25">
      <c r="A62" s="2"/>
      <c r="B62" s="2" t="s">
        <v>20</v>
      </c>
      <c r="E62" s="9">
        <f>P62</f>
        <v>-12000</v>
      </c>
      <c r="F62" s="10">
        <f>E65</f>
        <v>-4183.9741209744316</v>
      </c>
      <c r="G62" s="10">
        <f>F65</f>
        <v>4764.3194912543113</v>
      </c>
      <c r="H62" s="10">
        <f t="shared" ref="H62:I62" si="64">G65</f>
        <v>14929.934004147097</v>
      </c>
      <c r="I62" s="10">
        <f t="shared" si="64"/>
        <v>26405.044944158311</v>
      </c>
      <c r="J62" s="10">
        <f t="shared" ref="J62" si="65">I65</f>
        <v>39289.575732467107</v>
      </c>
      <c r="K62" s="10">
        <f t="shared" ref="K62" si="66">J65</f>
        <v>53691.879024940208</v>
      </c>
      <c r="L62" s="10">
        <f t="shared" ref="L62" si="67">K65</f>
        <v>69573.44448568426</v>
      </c>
      <c r="M62" s="10">
        <f t="shared" ref="M62" si="68">L65</f>
        <v>85353.690819663549</v>
      </c>
      <c r="N62" s="10">
        <f t="shared" ref="N62" si="69">M65</f>
        <v>102821.18888219037</v>
      </c>
      <c r="O62" s="7"/>
      <c r="P62">
        <v>-12000</v>
      </c>
      <c r="Q62" t="s">
        <v>48</v>
      </c>
    </row>
    <row r="63" spans="1:17" x14ac:dyDescent="0.25">
      <c r="A63" s="2"/>
      <c r="B63" s="2" t="s">
        <v>21</v>
      </c>
      <c r="E63" s="9">
        <f t="shared" ref="E63:N63" si="70">E39</f>
        <v>7816.0258790255684</v>
      </c>
      <c r="F63" s="10">
        <f t="shared" si="70"/>
        <v>8948.2936122287429</v>
      </c>
      <c r="G63" s="10">
        <f t="shared" si="70"/>
        <v>10165.614512892786</v>
      </c>
      <c r="H63" s="10">
        <f t="shared" si="70"/>
        <v>11475.110940011215</v>
      </c>
      <c r="I63" s="10">
        <f t="shared" si="70"/>
        <v>12884.530788308795</v>
      </c>
      <c r="J63" s="10">
        <f t="shared" si="70"/>
        <v>14402.303292473098</v>
      </c>
      <c r="K63" s="10">
        <f t="shared" si="70"/>
        <v>15881.565460744048</v>
      </c>
      <c r="L63" s="10">
        <f t="shared" si="70"/>
        <v>15780.24633397929</v>
      </c>
      <c r="M63" s="10">
        <f t="shared" si="70"/>
        <v>17467.498062526822</v>
      </c>
      <c r="N63" s="10">
        <f t="shared" si="70"/>
        <v>17343.037276291569</v>
      </c>
      <c r="O63" s="7"/>
    </row>
    <row r="64" spans="1:17" x14ac:dyDescent="0.25">
      <c r="A64" s="2"/>
      <c r="B64" s="2"/>
      <c r="E64" s="12"/>
      <c r="F64" s="30"/>
      <c r="G64" s="31"/>
      <c r="H64" s="31"/>
      <c r="I64" s="31"/>
      <c r="J64" s="31"/>
      <c r="K64" s="31"/>
      <c r="L64" s="31"/>
      <c r="M64" s="31"/>
      <c r="N64" s="31"/>
      <c r="O64" s="7"/>
      <c r="P64" s="3">
        <v>0.2</v>
      </c>
      <c r="Q64" t="s">
        <v>69</v>
      </c>
    </row>
    <row r="65" spans="1:15" x14ac:dyDescent="0.25">
      <c r="A65" s="2"/>
      <c r="B65" s="2" t="s">
        <v>50</v>
      </c>
      <c r="E65" s="9">
        <f t="shared" ref="E65:N65" si="71">E63+E62-E64</f>
        <v>-4183.9741209744316</v>
      </c>
      <c r="F65" s="30">
        <f t="shared" si="71"/>
        <v>4764.3194912543113</v>
      </c>
      <c r="G65" s="31">
        <f t="shared" si="71"/>
        <v>14929.934004147097</v>
      </c>
      <c r="H65" s="31">
        <f t="shared" si="71"/>
        <v>26405.044944158311</v>
      </c>
      <c r="I65" s="31">
        <f t="shared" si="71"/>
        <v>39289.575732467107</v>
      </c>
      <c r="J65" s="31">
        <f t="shared" si="71"/>
        <v>53691.879024940208</v>
      </c>
      <c r="K65" s="31">
        <f t="shared" si="71"/>
        <v>69573.44448568426</v>
      </c>
      <c r="L65" s="31">
        <f t="shared" si="71"/>
        <v>85353.690819663549</v>
      </c>
      <c r="M65" s="31">
        <f t="shared" si="71"/>
        <v>102821.18888219037</v>
      </c>
      <c r="N65" s="31">
        <f t="shared" si="71"/>
        <v>120164.22615848194</v>
      </c>
      <c r="O65" s="7"/>
    </row>
    <row r="66" spans="1:15" x14ac:dyDescent="0.25">
      <c r="A66" s="1" t="s">
        <v>22</v>
      </c>
      <c r="B66" s="1"/>
      <c r="E66" s="22">
        <f t="shared" ref="E66:N66" si="72">E65+E60+E59</f>
        <v>207315.00000000003</v>
      </c>
      <c r="F66" s="10">
        <f t="shared" si="72"/>
        <v>200460.15</v>
      </c>
      <c r="G66" s="10">
        <f t="shared" si="72"/>
        <v>193605.75150000001</v>
      </c>
      <c r="H66" s="10">
        <f t="shared" si="72"/>
        <v>186751.80901499998</v>
      </c>
      <c r="I66" s="10">
        <f t="shared" si="72"/>
        <v>179898.32710515001</v>
      </c>
      <c r="J66" s="10">
        <f t="shared" si="72"/>
        <v>173045.31037620147</v>
      </c>
      <c r="K66" s="10">
        <f t="shared" si="72"/>
        <v>167928.05485181118</v>
      </c>
      <c r="L66" s="10">
        <f t="shared" si="72"/>
        <v>181651.2164633199</v>
      </c>
      <c r="M66" s="10">
        <f t="shared" si="72"/>
        <v>196976.6217436688</v>
      </c>
      <c r="N66" s="10">
        <f t="shared" si="72"/>
        <v>212089.08282602008</v>
      </c>
      <c r="O66" s="7"/>
    </row>
    <row r="67" spans="1:15" x14ac:dyDescent="0.25">
      <c r="A67" s="2"/>
      <c r="B67" s="2"/>
      <c r="E67" s="23">
        <f t="shared" ref="E67:N67" si="73">E66-E55</f>
        <v>203640.00000000003</v>
      </c>
      <c r="F67" s="23">
        <f t="shared" si="73"/>
        <v>196748.4</v>
      </c>
      <c r="G67" s="23">
        <f t="shared" si="73"/>
        <v>189856.88400000002</v>
      </c>
      <c r="H67" s="23">
        <f t="shared" si="73"/>
        <v>182965.45283999998</v>
      </c>
      <c r="I67" s="23">
        <f t="shared" si="73"/>
        <v>176074.1073684</v>
      </c>
      <c r="J67" s="23">
        <f t="shared" si="73"/>
        <v>169182.84844208395</v>
      </c>
      <c r="K67" s="23">
        <f t="shared" si="73"/>
        <v>164026.9682983525</v>
      </c>
      <c r="L67" s="23">
        <f t="shared" si="73"/>
        <v>177711.11904432662</v>
      </c>
      <c r="M67" s="23">
        <f t="shared" si="73"/>
        <v>192997.12335048561</v>
      </c>
      <c r="N67" s="23">
        <f t="shared" si="73"/>
        <v>208069.78944890507</v>
      </c>
      <c r="O67" s="7"/>
    </row>
    <row r="68" spans="1:15" x14ac:dyDescent="0.25">
      <c r="A68" s="2" t="s">
        <v>23</v>
      </c>
      <c r="B68" s="2"/>
      <c r="E68" s="7">
        <f t="shared" ref="E68:N68" si="74">E52-E66</f>
        <v>0</v>
      </c>
      <c r="F68" s="7">
        <f t="shared" si="74"/>
        <v>0</v>
      </c>
      <c r="G68" s="28">
        <f t="shared" si="74"/>
        <v>0</v>
      </c>
      <c r="H68" s="29">
        <f t="shared" si="74"/>
        <v>0</v>
      </c>
      <c r="I68" s="28">
        <f t="shared" si="74"/>
        <v>0</v>
      </c>
      <c r="J68" s="28">
        <f t="shared" si="74"/>
        <v>0</v>
      </c>
      <c r="K68" s="28">
        <f t="shared" si="74"/>
        <v>0</v>
      </c>
      <c r="L68" s="28">
        <f t="shared" si="74"/>
        <v>4.6514432469848543E-3</v>
      </c>
      <c r="M68" s="28">
        <f t="shared" si="74"/>
        <v>-3.7177580234128982E-3</v>
      </c>
      <c r="N68" s="28">
        <f t="shared" si="74"/>
        <v>-3.8198502152226865E-3</v>
      </c>
      <c r="O68" s="7"/>
    </row>
    <row r="70" spans="1:15" x14ac:dyDescent="0.25">
      <c r="A70" t="s">
        <v>58</v>
      </c>
      <c r="E70" s="5">
        <f t="shared" ref="E70:N70" si="75">SUM(E43:E46)/E55</f>
        <v>1.3646258503401361</v>
      </c>
      <c r="F70" s="5">
        <f t="shared" si="75"/>
        <v>1.3632787768572774</v>
      </c>
      <c r="G70" s="5">
        <f t="shared" si="75"/>
        <v>1.3619450407356355</v>
      </c>
      <c r="H70" s="5">
        <f t="shared" si="75"/>
        <v>1.3606245099221284</v>
      </c>
      <c r="I70" s="5">
        <f t="shared" si="75"/>
        <v>1.3593170536711314</v>
      </c>
      <c r="J70" s="5">
        <f t="shared" si="75"/>
        <v>1.3580225425315302</v>
      </c>
      <c r="K70" s="5">
        <f t="shared" si="75"/>
        <v>1.801563424830998</v>
      </c>
      <c r="L70" s="5">
        <f t="shared" si="75"/>
        <v>7.0179029029765303</v>
      </c>
      <c r="M70" s="5">
        <f t="shared" si="75"/>
        <v>11.930302097178208</v>
      </c>
      <c r="N70" s="5">
        <f t="shared" si="75"/>
        <v>16.691759648141229</v>
      </c>
      <c r="O70" s="5"/>
    </row>
    <row r="71" spans="1:15" x14ac:dyDescent="0.25">
      <c r="A71" t="s">
        <v>60</v>
      </c>
      <c r="E71" s="5">
        <f t="shared" ref="E71:N71" si="76">E52/(E65+E60)</f>
        <v>16.176231380687774</v>
      </c>
      <c r="F71" s="5">
        <f t="shared" si="76"/>
        <v>9.2104947310919645</v>
      </c>
      <c r="G71" s="5">
        <f t="shared" si="76"/>
        <v>6.0634560495757448</v>
      </c>
      <c r="H71" s="5">
        <f t="shared" si="76"/>
        <v>4.302536934479873</v>
      </c>
      <c r="I71" s="5">
        <f t="shared" si="76"/>
        <v>3.1959439161554553</v>
      </c>
      <c r="J71" s="5">
        <f t="shared" si="76"/>
        <v>2.4478810404113154</v>
      </c>
      <c r="K71" s="5">
        <f t="shared" si="76"/>
        <v>1.939717841301551</v>
      </c>
      <c r="L71" s="5">
        <f t="shared" si="76"/>
        <v>1.7747403113661384</v>
      </c>
      <c r="M71" s="5">
        <f t="shared" si="76"/>
        <v>1.6439214120933197</v>
      </c>
      <c r="N71" s="5">
        <f t="shared" si="76"/>
        <v>1.5462419389230428</v>
      </c>
      <c r="O71" s="5"/>
    </row>
    <row r="72" spans="1:15" x14ac:dyDescent="0.25">
      <c r="A72" t="s">
        <v>61</v>
      </c>
      <c r="E72" s="5">
        <f t="shared" ref="E72:N72" si="77">E19/E44</f>
        <v>36.5</v>
      </c>
      <c r="F72" s="5">
        <f t="shared" si="77"/>
        <v>36.5</v>
      </c>
      <c r="G72" s="5">
        <f t="shared" si="77"/>
        <v>36.500000000000007</v>
      </c>
      <c r="H72" s="5">
        <f t="shared" si="77"/>
        <v>36.500000000000007</v>
      </c>
      <c r="I72" s="5">
        <f t="shared" si="77"/>
        <v>36.5</v>
      </c>
      <c r="J72" s="5">
        <f t="shared" si="77"/>
        <v>36.5</v>
      </c>
      <c r="K72" s="5">
        <f t="shared" si="77"/>
        <v>36.5</v>
      </c>
      <c r="L72" s="5">
        <f t="shared" si="77"/>
        <v>36.5</v>
      </c>
      <c r="M72" s="5">
        <f t="shared" si="77"/>
        <v>36.499999999999993</v>
      </c>
      <c r="N72" s="5">
        <f t="shared" si="77"/>
        <v>36.5</v>
      </c>
      <c r="O72" s="5"/>
    </row>
    <row r="73" spans="1:15" x14ac:dyDescent="0.25">
      <c r="A73" t="s">
        <v>62</v>
      </c>
      <c r="E73" s="5">
        <f t="shared" ref="E73:N73" si="78">E39/E52</f>
        <v>3.7701207722671146E-2</v>
      </c>
      <c r="F73" s="5">
        <f t="shared" si="78"/>
        <v>4.4638765421599967E-2</v>
      </c>
      <c r="G73" s="5">
        <f t="shared" si="78"/>
        <v>5.2506779546230502E-2</v>
      </c>
      <c r="H73" s="5">
        <f t="shared" si="78"/>
        <v>6.1445781974136207E-2</v>
      </c>
      <c r="I73" s="5">
        <f t="shared" si="78"/>
        <v>7.1621181784407739E-2</v>
      </c>
      <c r="J73" s="5">
        <f t="shared" si="78"/>
        <v>8.3228509695884897E-2</v>
      </c>
      <c r="K73" s="5">
        <f t="shared" si="78"/>
        <v>9.4573628419377609E-2</v>
      </c>
      <c r="L73" s="5">
        <f t="shared" si="78"/>
        <v>8.6871127191650896E-2</v>
      </c>
      <c r="M73" s="5">
        <f t="shared" si="78"/>
        <v>8.867802807046421E-2</v>
      </c>
      <c r="N73" s="5">
        <f t="shared" si="78"/>
        <v>8.1772420143269353E-2</v>
      </c>
      <c r="O73" s="5"/>
    </row>
    <row r="74" spans="1:15" x14ac:dyDescent="0.25">
      <c r="A74" t="s">
        <v>63</v>
      </c>
      <c r="E74" s="5">
        <f t="shared" ref="E74:N74" si="79">E39/E16</f>
        <v>3.3990110367582378E-2</v>
      </c>
      <c r="F74" s="5">
        <f t="shared" si="79"/>
        <v>3.8528796024227145E-2</v>
      </c>
      <c r="G74" s="5">
        <f t="shared" si="79"/>
        <v>4.3336863434583421E-2</v>
      </c>
      <c r="H74" s="5">
        <f t="shared" si="79"/>
        <v>4.8435005978480612E-2</v>
      </c>
      <c r="I74" s="5">
        <f t="shared" si="79"/>
        <v>5.38455352704868E-2</v>
      </c>
      <c r="J74" s="5">
        <f t="shared" si="79"/>
        <v>5.9592508829284012E-2</v>
      </c>
      <c r="K74" s="5">
        <f t="shared" si="79"/>
        <v>6.5062635662847187E-2</v>
      </c>
      <c r="L74" s="5">
        <f t="shared" si="79"/>
        <v>6.4007482772031166E-2</v>
      </c>
      <c r="M74" s="5">
        <f t="shared" si="79"/>
        <v>7.0149777775541711E-2</v>
      </c>
      <c r="N74" s="5">
        <f t="shared" si="79"/>
        <v>6.8960337703808203E-2</v>
      </c>
      <c r="O74" s="5"/>
    </row>
    <row r="76" spans="1:15" x14ac:dyDescent="0.25">
      <c r="A76" s="25" t="s">
        <v>79</v>
      </c>
      <c r="B76" s="25">
        <v>0.89</v>
      </c>
    </row>
    <row r="77" spans="1:15" x14ac:dyDescent="0.25">
      <c r="A77" s="25" t="s">
        <v>80</v>
      </c>
      <c r="B77" s="27">
        <v>1.5E-3</v>
      </c>
    </row>
    <row r="78" spans="1:15" x14ac:dyDescent="0.25">
      <c r="A78" s="25" t="s">
        <v>81</v>
      </c>
      <c r="B78" s="27">
        <v>9.5000000000000001E-2</v>
      </c>
    </row>
    <row r="79" spans="1:15" x14ac:dyDescent="0.25">
      <c r="A79" s="25" t="s">
        <v>84</v>
      </c>
      <c r="B79" s="26">
        <f>B77+B76*(B78-B77)</f>
        <v>8.4714999999999999E-2</v>
      </c>
    </row>
    <row r="81" spans="1:14" x14ac:dyDescent="0.25">
      <c r="A81" s="21" t="s">
        <v>77</v>
      </c>
    </row>
    <row r="82" spans="1:14" x14ac:dyDescent="0.25">
      <c r="A82" t="s">
        <v>82</v>
      </c>
      <c r="C82" s="19">
        <f>AVERAGE(E59:N59)</f>
        <v>121691.19944591587</v>
      </c>
      <c r="D82" s="4">
        <f>C82/$C$86</f>
        <v>0.53445291398365724</v>
      </c>
      <c r="E82" s="3">
        <f>D82</f>
        <v>0.53445291398365724</v>
      </c>
      <c r="F82" s="18">
        <v>0.04</v>
      </c>
      <c r="G82" s="24">
        <f>F82*(1-$P$38)</f>
        <v>0.03</v>
      </c>
      <c r="H82" s="18">
        <f>G82*E82</f>
        <v>1.6033587419509717E-2</v>
      </c>
    </row>
    <row r="83" spans="1:14" x14ac:dyDescent="0.25">
      <c r="A83" t="s">
        <v>78</v>
      </c>
      <c r="C83" s="19">
        <f>AVERAGE(E60:N60)</f>
        <v>17000</v>
      </c>
      <c r="D83" s="4">
        <f>C83/$C$86</f>
        <v>7.4661927724364308E-2</v>
      </c>
      <c r="E83" s="3">
        <f>D83+D85</f>
        <v>0.2998815341342822</v>
      </c>
      <c r="F83" s="18">
        <f>B79</f>
        <v>8.4714999999999999E-2</v>
      </c>
      <c r="G83" s="24">
        <f>F83</f>
        <v>8.4714999999999999E-2</v>
      </c>
      <c r="H83" s="18">
        <f>G83*E83</f>
        <v>2.5404464164185715E-2</v>
      </c>
    </row>
    <row r="84" spans="1:14" x14ac:dyDescent="0.25">
      <c r="A84" t="s">
        <v>31</v>
      </c>
      <c r="C84" s="19">
        <f>AVERAGE(E58:N58)</f>
        <v>37720.89025603859</v>
      </c>
      <c r="D84" s="4">
        <f>C84/C86</f>
        <v>0.16566555188206067</v>
      </c>
      <c r="E84" s="3">
        <f>D84</f>
        <v>0.16566555188206067</v>
      </c>
      <c r="F84" s="18">
        <v>0.11</v>
      </c>
      <c r="G84" s="24">
        <f>F84*(1-$P$38)</f>
        <v>8.2500000000000004E-2</v>
      </c>
      <c r="H84" s="18">
        <f>D84*G84</f>
        <v>1.3667408030270006E-2</v>
      </c>
    </row>
    <row r="85" spans="1:14" x14ac:dyDescent="0.25">
      <c r="A85" t="s">
        <v>19</v>
      </c>
      <c r="C85" s="19">
        <f>AVERAGE(E65:N65)</f>
        <v>51280.932942201267</v>
      </c>
      <c r="D85" s="4">
        <f>C85/$C$86</f>
        <v>0.22521960640991787</v>
      </c>
    </row>
    <row r="86" spans="1:14" x14ac:dyDescent="0.25">
      <c r="A86" t="s">
        <v>22</v>
      </c>
      <c r="C86" s="19">
        <f>SUM(C82:C85)</f>
        <v>227693.02264415572</v>
      </c>
      <c r="D86" s="4">
        <f>SUM(D82:D85)</f>
        <v>1</v>
      </c>
    </row>
    <row r="87" spans="1:14" x14ac:dyDescent="0.25">
      <c r="C87" s="19"/>
      <c r="G87" t="s">
        <v>83</v>
      </c>
      <c r="H87" s="18">
        <f>H82+H83+H84</f>
        <v>5.5105459613965437E-2</v>
      </c>
    </row>
    <row r="89" spans="1:14" x14ac:dyDescent="0.25">
      <c r="A89" s="21" t="s">
        <v>85</v>
      </c>
    </row>
    <row r="90" spans="1:14" x14ac:dyDescent="0.25">
      <c r="D90">
        <v>0</v>
      </c>
      <c r="E90">
        <v>1</v>
      </c>
      <c r="F90">
        <v>2</v>
      </c>
      <c r="G90">
        <v>3</v>
      </c>
      <c r="H90">
        <v>4</v>
      </c>
      <c r="I90">
        <v>5</v>
      </c>
      <c r="J90">
        <v>6</v>
      </c>
      <c r="K90">
        <v>7</v>
      </c>
      <c r="L90">
        <v>8</v>
      </c>
      <c r="M90">
        <v>9</v>
      </c>
      <c r="N90">
        <v>10</v>
      </c>
    </row>
    <row r="91" spans="1:14" x14ac:dyDescent="0.25">
      <c r="A91" s="21" t="s">
        <v>86</v>
      </c>
    </row>
    <row r="92" spans="1:14" x14ac:dyDescent="0.25">
      <c r="A92" t="s">
        <v>6</v>
      </c>
      <c r="D92" s="32">
        <f t="shared" ref="D92:N92" si="80">D16-D19-D24-D28-D29</f>
        <v>0</v>
      </c>
      <c r="E92" s="32">
        <f t="shared" si="80"/>
        <v>32157.500000000015</v>
      </c>
      <c r="F92" s="32">
        <f t="shared" si="80"/>
        <v>32041.675000000017</v>
      </c>
      <c r="G92" s="32">
        <f t="shared" si="80"/>
        <v>31910.119750000027</v>
      </c>
      <c r="H92" s="32">
        <f t="shared" si="80"/>
        <v>31762.385507499988</v>
      </c>
      <c r="I92" s="32">
        <f t="shared" si="80"/>
        <v>31598.013213775004</v>
      </c>
      <c r="J92" s="32">
        <f t="shared" si="80"/>
        <v>31416.533274136775</v>
      </c>
      <c r="K92" s="32">
        <f t="shared" si="80"/>
        <v>31217.465333666594</v>
      </c>
      <c r="L92" s="32">
        <f t="shared" si="80"/>
        <v>31000.318048327536</v>
      </c>
      <c r="M92" s="32">
        <f t="shared" si="80"/>
        <v>30764.58885136155</v>
      </c>
      <c r="N92" s="32">
        <f t="shared" si="80"/>
        <v>30509.763714876899</v>
      </c>
    </row>
    <row r="93" spans="1:14" x14ac:dyDescent="0.25">
      <c r="A93" s="33" t="s">
        <v>87</v>
      </c>
      <c r="D93" s="32">
        <f t="shared" ref="D93:N93" si="81">D32</f>
        <v>0</v>
      </c>
      <c r="E93" s="32">
        <f t="shared" si="81"/>
        <v>2400</v>
      </c>
      <c r="F93" s="32">
        <f t="shared" si="81"/>
        <v>2400</v>
      </c>
      <c r="G93" s="32">
        <f t="shared" si="81"/>
        <v>2400</v>
      </c>
      <c r="H93" s="32">
        <f t="shared" si="81"/>
        <v>2400</v>
      </c>
      <c r="I93" s="32">
        <f t="shared" si="81"/>
        <v>2400</v>
      </c>
      <c r="J93" s="32">
        <f t="shared" si="81"/>
        <v>2400</v>
      </c>
      <c r="K93" s="32">
        <f t="shared" si="81"/>
        <v>2400</v>
      </c>
      <c r="L93" s="32">
        <f t="shared" si="81"/>
        <v>2400</v>
      </c>
      <c r="M93" s="32">
        <f t="shared" si="81"/>
        <v>0</v>
      </c>
      <c r="N93" s="32">
        <f t="shared" si="81"/>
        <v>0</v>
      </c>
    </row>
    <row r="94" spans="1:14" x14ac:dyDescent="0.25">
      <c r="A94" s="33" t="s">
        <v>8</v>
      </c>
      <c r="D94" s="34">
        <f>D92-D93</f>
        <v>0</v>
      </c>
      <c r="E94" s="34">
        <f t="shared" ref="E94:N94" si="82">E92-E93</f>
        <v>29757.500000000015</v>
      </c>
      <c r="F94" s="34">
        <f t="shared" si="82"/>
        <v>29641.675000000017</v>
      </c>
      <c r="G94" s="34">
        <f t="shared" si="82"/>
        <v>29510.119750000027</v>
      </c>
      <c r="H94" s="34">
        <f t="shared" si="82"/>
        <v>29362.385507499988</v>
      </c>
      <c r="I94" s="34">
        <f t="shared" si="82"/>
        <v>29198.013213775004</v>
      </c>
      <c r="J94" s="34">
        <f t="shared" si="82"/>
        <v>29016.533274136775</v>
      </c>
      <c r="K94" s="34">
        <f t="shared" si="82"/>
        <v>28817.465333666594</v>
      </c>
      <c r="L94" s="34">
        <f t="shared" si="82"/>
        <v>28600.318048327536</v>
      </c>
      <c r="M94" s="34">
        <f t="shared" si="82"/>
        <v>30764.58885136155</v>
      </c>
      <c r="N94" s="34">
        <f t="shared" si="82"/>
        <v>30509.763714876899</v>
      </c>
    </row>
    <row r="95" spans="1:14" x14ac:dyDescent="0.25">
      <c r="A95" s="33" t="s">
        <v>88</v>
      </c>
      <c r="D95" s="34">
        <f>D94*$P$38</f>
        <v>0</v>
      </c>
      <c r="E95" s="34">
        <f t="shared" ref="E95:N95" si="83">E94*$P$38</f>
        <v>7439.3750000000036</v>
      </c>
      <c r="F95" s="34">
        <f t="shared" si="83"/>
        <v>7410.4187500000044</v>
      </c>
      <c r="G95" s="34">
        <f t="shared" si="83"/>
        <v>7377.5299375000068</v>
      </c>
      <c r="H95" s="34">
        <f t="shared" si="83"/>
        <v>7340.5963768749971</v>
      </c>
      <c r="I95" s="34">
        <f t="shared" si="83"/>
        <v>7299.5033034437511</v>
      </c>
      <c r="J95" s="34">
        <f t="shared" si="83"/>
        <v>7254.1333185341937</v>
      </c>
      <c r="K95" s="34">
        <f t="shared" si="83"/>
        <v>7204.3663334166486</v>
      </c>
      <c r="L95" s="34">
        <f t="shared" si="83"/>
        <v>7150.0795120818839</v>
      </c>
      <c r="M95" s="34">
        <f t="shared" si="83"/>
        <v>7691.1472128403875</v>
      </c>
      <c r="N95" s="34">
        <f t="shared" si="83"/>
        <v>7627.4409287192248</v>
      </c>
    </row>
    <row r="96" spans="1:14" x14ac:dyDescent="0.25">
      <c r="A96" s="33" t="s">
        <v>89</v>
      </c>
      <c r="D96" s="34">
        <f>D92-D95</f>
        <v>0</v>
      </c>
      <c r="E96" s="34">
        <f t="shared" ref="E96:N96" si="84">E92-E95</f>
        <v>24718.125000000011</v>
      </c>
      <c r="F96" s="34">
        <f t="shared" si="84"/>
        <v>24631.256250000013</v>
      </c>
      <c r="G96" s="34">
        <f t="shared" si="84"/>
        <v>24532.58981250002</v>
      </c>
      <c r="H96" s="34">
        <f t="shared" si="84"/>
        <v>24421.789130624991</v>
      </c>
      <c r="I96" s="34">
        <f t="shared" si="84"/>
        <v>24298.509910331253</v>
      </c>
      <c r="J96" s="34">
        <f t="shared" si="84"/>
        <v>24162.399955602581</v>
      </c>
      <c r="K96" s="34">
        <f t="shared" si="84"/>
        <v>24013.099000249946</v>
      </c>
      <c r="L96" s="34">
        <f t="shared" si="84"/>
        <v>23850.238536245652</v>
      </c>
      <c r="M96" s="34">
        <f t="shared" si="84"/>
        <v>23073.441638521163</v>
      </c>
      <c r="N96" s="34">
        <f t="shared" si="84"/>
        <v>22882.322786157674</v>
      </c>
    </row>
    <row r="98" spans="1:14" x14ac:dyDescent="0.25">
      <c r="A98" s="35" t="s">
        <v>90</v>
      </c>
    </row>
    <row r="100" spans="1:14" x14ac:dyDescent="0.25">
      <c r="B100" t="s">
        <v>91</v>
      </c>
      <c r="E100" s="19">
        <f t="shared" ref="E100:N100" si="85">E30</f>
        <v>32157.500000000015</v>
      </c>
      <c r="F100" s="19">
        <f t="shared" si="85"/>
        <v>32041.675000000017</v>
      </c>
      <c r="G100" s="19">
        <f t="shared" si="85"/>
        <v>31910.119750000027</v>
      </c>
      <c r="H100" s="19">
        <f t="shared" si="85"/>
        <v>31762.385507499988</v>
      </c>
      <c r="I100" s="19">
        <f t="shared" si="85"/>
        <v>31598.013213775004</v>
      </c>
      <c r="J100" s="19">
        <f t="shared" si="85"/>
        <v>31416.533274136775</v>
      </c>
      <c r="K100" s="19">
        <f t="shared" si="85"/>
        <v>31217.465333666594</v>
      </c>
      <c r="L100" s="19">
        <f t="shared" si="85"/>
        <v>31000.318048327536</v>
      </c>
      <c r="M100" s="19">
        <f t="shared" si="85"/>
        <v>30764.58885136155</v>
      </c>
      <c r="N100" s="19">
        <f t="shared" si="85"/>
        <v>30509.763714876899</v>
      </c>
    </row>
    <row r="101" spans="1:14" x14ac:dyDescent="0.25">
      <c r="E101" s="19">
        <f t="shared" ref="E101:N101" si="86">E32+E33</f>
        <v>6900</v>
      </c>
      <c r="F101" s="19">
        <f t="shared" si="86"/>
        <v>6900</v>
      </c>
      <c r="G101" s="19">
        <f t="shared" si="86"/>
        <v>6900</v>
      </c>
      <c r="H101" s="19">
        <f t="shared" si="86"/>
        <v>6900</v>
      </c>
      <c r="I101" s="19">
        <f t="shared" si="86"/>
        <v>6900</v>
      </c>
      <c r="J101" s="19">
        <f t="shared" si="86"/>
        <v>6900</v>
      </c>
      <c r="K101" s="19">
        <f t="shared" si="86"/>
        <v>6900</v>
      </c>
      <c r="L101" s="19">
        <f t="shared" si="86"/>
        <v>6900</v>
      </c>
      <c r="M101" s="19">
        <f t="shared" si="86"/>
        <v>4500</v>
      </c>
      <c r="N101" s="19">
        <f t="shared" si="86"/>
        <v>4500</v>
      </c>
    </row>
    <row r="102" spans="1:14" x14ac:dyDescent="0.25">
      <c r="E102" s="19">
        <f>E100-E101</f>
        <v>25257.500000000015</v>
      </c>
      <c r="F102" s="19">
        <f t="shared" ref="F102:N102" si="87">F100-F101</f>
        <v>25141.675000000017</v>
      </c>
      <c r="G102" s="19">
        <f t="shared" si="87"/>
        <v>25010.119750000027</v>
      </c>
      <c r="H102" s="19">
        <f t="shared" si="87"/>
        <v>24862.385507499988</v>
      </c>
      <c r="I102" s="19">
        <f t="shared" si="87"/>
        <v>24698.013213775004</v>
      </c>
      <c r="J102" s="19">
        <f t="shared" si="87"/>
        <v>24516.533274136775</v>
      </c>
      <c r="K102" s="19">
        <f t="shared" si="87"/>
        <v>24317.465333666594</v>
      </c>
      <c r="L102" s="19">
        <f t="shared" si="87"/>
        <v>24100.318048327536</v>
      </c>
      <c r="M102" s="19">
        <f t="shared" si="87"/>
        <v>26264.58885136155</v>
      </c>
      <c r="N102" s="19">
        <f t="shared" si="87"/>
        <v>26009.763714876899</v>
      </c>
    </row>
    <row r="103" spans="1:14" x14ac:dyDescent="0.25">
      <c r="E103" s="19">
        <f>E102*$P$38</f>
        <v>6314.3750000000036</v>
      </c>
      <c r="F103" s="19">
        <f t="shared" ref="F103:N103" si="88">F102*$P$38</f>
        <v>6285.4187500000044</v>
      </c>
      <c r="G103" s="19">
        <f t="shared" si="88"/>
        <v>6252.5299375000068</v>
      </c>
      <c r="H103" s="19">
        <f t="shared" si="88"/>
        <v>6215.5963768749971</v>
      </c>
      <c r="I103" s="19">
        <f t="shared" si="88"/>
        <v>6174.5033034437511</v>
      </c>
      <c r="J103" s="19">
        <f t="shared" si="88"/>
        <v>6129.1333185341937</v>
      </c>
      <c r="K103" s="19">
        <f t="shared" si="88"/>
        <v>6079.3663334166486</v>
      </c>
      <c r="L103" s="19">
        <f t="shared" si="88"/>
        <v>6025.0795120818839</v>
      </c>
      <c r="M103" s="19">
        <f t="shared" si="88"/>
        <v>6566.1472128403875</v>
      </c>
      <c r="N103" s="19">
        <f t="shared" si="88"/>
        <v>6502.4409287192248</v>
      </c>
    </row>
    <row r="104" spans="1:14" x14ac:dyDescent="0.25">
      <c r="E104" s="19">
        <f>E100-E103</f>
        <v>25843.125000000011</v>
      </c>
      <c r="F104" s="19">
        <f t="shared" ref="F104:N104" si="89">F100-F103</f>
        <v>25756.256250000013</v>
      </c>
      <c r="G104" s="19">
        <f t="shared" si="89"/>
        <v>25657.58981250002</v>
      </c>
      <c r="H104" s="19">
        <f t="shared" si="89"/>
        <v>25546.789130624991</v>
      </c>
      <c r="I104" s="19">
        <f t="shared" si="89"/>
        <v>25423.509910331253</v>
      </c>
      <c r="J104" s="19">
        <f t="shared" si="89"/>
        <v>25287.399955602581</v>
      </c>
      <c r="K104" s="19">
        <f t="shared" si="89"/>
        <v>25138.099000249946</v>
      </c>
      <c r="L104" s="19">
        <f t="shared" si="89"/>
        <v>24975.238536245652</v>
      </c>
      <c r="M104" s="19">
        <f t="shared" si="89"/>
        <v>24198.441638521163</v>
      </c>
      <c r="N104" s="19">
        <f t="shared" si="89"/>
        <v>24007.322786157674</v>
      </c>
    </row>
    <row r="106" spans="1:14" x14ac:dyDescent="0.25">
      <c r="A106" s="36" t="s">
        <v>92</v>
      </c>
      <c r="B106" s="37"/>
    </row>
    <row r="107" spans="1:14" x14ac:dyDescent="0.25">
      <c r="A107" s="36"/>
      <c r="B107" s="37" t="s">
        <v>13</v>
      </c>
      <c r="D107" s="19">
        <f t="shared" ref="D107:N107" si="90">-(E43-D43)</f>
        <v>-500</v>
      </c>
      <c r="E107" s="19">
        <f t="shared" si="90"/>
        <v>0</v>
      </c>
      <c r="F107" s="19">
        <f t="shared" si="90"/>
        <v>0</v>
      </c>
      <c r="G107" s="19">
        <f t="shared" si="90"/>
        <v>0</v>
      </c>
      <c r="H107" s="19">
        <f t="shared" si="90"/>
        <v>0</v>
      </c>
      <c r="I107" s="19">
        <f t="shared" si="90"/>
        <v>0</v>
      </c>
      <c r="J107" s="19">
        <f t="shared" si="90"/>
        <v>0</v>
      </c>
      <c r="K107" s="19">
        <f t="shared" si="90"/>
        <v>0</v>
      </c>
      <c r="L107" s="19">
        <f t="shared" si="90"/>
        <v>0</v>
      </c>
      <c r="M107" s="19">
        <f t="shared" si="90"/>
        <v>0</v>
      </c>
      <c r="N107" s="19">
        <f t="shared" si="90"/>
        <v>500</v>
      </c>
    </row>
    <row r="108" spans="1:14" x14ac:dyDescent="0.25">
      <c r="A108" s="36"/>
      <c r="B108" s="37" t="s">
        <v>14</v>
      </c>
      <c r="D108" s="19">
        <f t="shared" ref="D108:N108" si="91">-(E44-D44)</f>
        <v>-2625</v>
      </c>
      <c r="E108" s="19">
        <f t="shared" si="91"/>
        <v>-26.25</v>
      </c>
      <c r="F108" s="19">
        <f t="shared" si="91"/>
        <v>-26.512499999999818</v>
      </c>
      <c r="G108" s="19">
        <f t="shared" si="91"/>
        <v>-26.777624999999716</v>
      </c>
      <c r="H108" s="19">
        <f t="shared" si="91"/>
        <v>-27.04540125000085</v>
      </c>
      <c r="I108" s="19">
        <f t="shared" si="91"/>
        <v>-27.315855262500008</v>
      </c>
      <c r="J108" s="19">
        <f t="shared" si="91"/>
        <v>-27.589013815124872</v>
      </c>
      <c r="K108" s="19">
        <f t="shared" si="91"/>
        <v>-27.864903953276098</v>
      </c>
      <c r="L108" s="19">
        <f t="shared" si="91"/>
        <v>-28.143552992809418</v>
      </c>
      <c r="M108" s="19">
        <f t="shared" si="91"/>
        <v>-28.424988522736385</v>
      </c>
      <c r="N108" s="19">
        <f t="shared" si="91"/>
        <v>2870.9238407964472</v>
      </c>
    </row>
    <row r="109" spans="1:14" x14ac:dyDescent="0.25">
      <c r="A109" s="36"/>
      <c r="B109" s="37" t="s">
        <v>93</v>
      </c>
      <c r="D109" s="19">
        <f t="shared" ref="D109:N109" si="92">-(E45-D45)</f>
        <v>0</v>
      </c>
      <c r="E109" s="19">
        <f t="shared" si="92"/>
        <v>0</v>
      </c>
      <c r="F109" s="19">
        <f t="shared" si="92"/>
        <v>0</v>
      </c>
      <c r="G109" s="19">
        <f t="shared" si="92"/>
        <v>0</v>
      </c>
      <c r="H109" s="19">
        <f t="shared" si="92"/>
        <v>0</v>
      </c>
      <c r="I109" s="19">
        <f t="shared" si="92"/>
        <v>0</v>
      </c>
      <c r="J109" s="19">
        <f t="shared" si="92"/>
        <v>-1735.2913718476493</v>
      </c>
      <c r="K109" s="19">
        <f t="shared" si="92"/>
        <v>-20575.23862815235</v>
      </c>
      <c r="L109" s="19">
        <f t="shared" si="92"/>
        <v>-19776.989999999998</v>
      </c>
      <c r="M109" s="19">
        <f t="shared" si="92"/>
        <v>-19563.57</v>
      </c>
      <c r="N109" s="19">
        <f t="shared" si="92"/>
        <v>61651.09</v>
      </c>
    </row>
    <row r="110" spans="1:14" x14ac:dyDescent="0.25">
      <c r="A110" s="36"/>
      <c r="B110" s="37" t="s">
        <v>45</v>
      </c>
      <c r="D110" s="19">
        <f t="shared" ref="D110:N110" si="93">-(E46-D46)</f>
        <v>-1890</v>
      </c>
      <c r="E110" s="19">
        <f t="shared" si="93"/>
        <v>-18.899999999999864</v>
      </c>
      <c r="F110" s="19">
        <f t="shared" si="93"/>
        <v>-19.089000000000169</v>
      </c>
      <c r="G110" s="19">
        <f t="shared" si="93"/>
        <v>-19.279889999999796</v>
      </c>
      <c r="H110" s="19">
        <f t="shared" si="93"/>
        <v>-19.472688900000094</v>
      </c>
      <c r="I110" s="19">
        <f t="shared" si="93"/>
        <v>-19.667415788999961</v>
      </c>
      <c r="J110" s="19">
        <f t="shared" si="93"/>
        <v>-19.86408994689009</v>
      </c>
      <c r="K110" s="19">
        <f t="shared" si="93"/>
        <v>-20.062730846358818</v>
      </c>
      <c r="L110" s="19">
        <f t="shared" si="93"/>
        <v>-20.263358154822299</v>
      </c>
      <c r="M110" s="19">
        <f t="shared" si="93"/>
        <v>-20.465991736371052</v>
      </c>
      <c r="N110" s="19">
        <f t="shared" si="93"/>
        <v>2067.0651653734421</v>
      </c>
    </row>
    <row r="111" spans="1:14" x14ac:dyDescent="0.25">
      <c r="A111" s="36"/>
      <c r="B111" s="37" t="s">
        <v>30</v>
      </c>
      <c r="D111" s="19">
        <f t="shared" ref="D111:N111" si="94">E55-D55</f>
        <v>3675</v>
      </c>
      <c r="E111" s="19">
        <f t="shared" si="94"/>
        <v>36.75</v>
      </c>
      <c r="F111" s="19">
        <f t="shared" si="94"/>
        <v>37.117500000000291</v>
      </c>
      <c r="G111" s="19">
        <f t="shared" si="94"/>
        <v>37.488674999999603</v>
      </c>
      <c r="H111" s="19">
        <f t="shared" si="94"/>
        <v>37.863561750000372</v>
      </c>
      <c r="I111" s="19">
        <f t="shared" si="94"/>
        <v>38.242197367500012</v>
      </c>
      <c r="J111" s="19">
        <f t="shared" si="94"/>
        <v>38.624619341174821</v>
      </c>
      <c r="K111" s="19">
        <f t="shared" si="94"/>
        <v>39.010865534587083</v>
      </c>
      <c r="L111" s="19">
        <f t="shared" si="94"/>
        <v>39.40097418993264</v>
      </c>
      <c r="M111" s="19">
        <f t="shared" si="94"/>
        <v>39.794983931831212</v>
      </c>
      <c r="N111" s="19">
        <f t="shared" si="94"/>
        <v>-4019.293377115026</v>
      </c>
    </row>
    <row r="112" spans="1:14" x14ac:dyDescent="0.25">
      <c r="A112" s="36"/>
      <c r="B112" s="37" t="s">
        <v>94</v>
      </c>
      <c r="D112" s="19">
        <f>E103-D103</f>
        <v>6314.3750000000036</v>
      </c>
      <c r="E112" s="19">
        <f>F103-E103</f>
        <v>-28.956249999999272</v>
      </c>
      <c r="F112" s="19">
        <f t="shared" ref="F112:N112" si="95">G103-F103</f>
        <v>-32.888812499997584</v>
      </c>
      <c r="G112" s="19">
        <f t="shared" si="95"/>
        <v>-36.933560625009704</v>
      </c>
      <c r="H112" s="19">
        <f t="shared" si="95"/>
        <v>-41.093073431246012</v>
      </c>
      <c r="I112" s="19">
        <f t="shared" si="95"/>
        <v>-45.369984909557388</v>
      </c>
      <c r="J112" s="19">
        <f t="shared" si="95"/>
        <v>-49.766985117545119</v>
      </c>
      <c r="K112" s="19">
        <f t="shared" si="95"/>
        <v>-54.286821334764682</v>
      </c>
      <c r="L112" s="19">
        <f t="shared" si="95"/>
        <v>541.06770075850363</v>
      </c>
      <c r="M112" s="19">
        <f t="shared" si="95"/>
        <v>-63.706284121162753</v>
      </c>
      <c r="N112" s="19">
        <f t="shared" si="95"/>
        <v>-6502.4409287192248</v>
      </c>
    </row>
    <row r="113" spans="1:17" x14ac:dyDescent="0.25">
      <c r="A113" s="36"/>
    </row>
    <row r="114" spans="1:17" x14ac:dyDescent="0.25">
      <c r="A114" s="36" t="s">
        <v>95</v>
      </c>
      <c r="B114" s="36"/>
    </row>
    <row r="115" spans="1:17" x14ac:dyDescent="0.25">
      <c r="A115" s="36"/>
      <c r="B115" s="36" t="s">
        <v>96</v>
      </c>
      <c r="D115" s="19">
        <f>-(E51-D51)</f>
        <v>-100000</v>
      </c>
      <c r="E115" s="19">
        <f t="shared" ref="E115:N115" si="96">-(F51-E51)</f>
        <v>0</v>
      </c>
      <c r="F115" s="19">
        <f t="shared" si="96"/>
        <v>0</v>
      </c>
      <c r="G115" s="19">
        <f t="shared" si="96"/>
        <v>0</v>
      </c>
      <c r="H115" s="19">
        <f t="shared" si="96"/>
        <v>0</v>
      </c>
      <c r="I115" s="19">
        <f t="shared" si="96"/>
        <v>0</v>
      </c>
      <c r="J115" s="19">
        <f t="shared" si="96"/>
        <v>0</v>
      </c>
      <c r="K115" s="19">
        <f t="shared" si="96"/>
        <v>0</v>
      </c>
      <c r="L115" s="19">
        <f t="shared" si="96"/>
        <v>0</v>
      </c>
      <c r="M115" s="19">
        <f t="shared" si="96"/>
        <v>0</v>
      </c>
      <c r="N115" s="19">
        <f t="shared" si="96"/>
        <v>100000</v>
      </c>
      <c r="O115" s="3">
        <v>0.1</v>
      </c>
    </row>
    <row r="116" spans="1:17" x14ac:dyDescent="0.25">
      <c r="A116" s="36"/>
      <c r="B116" s="36" t="s">
        <v>97</v>
      </c>
      <c r="N116">
        <f>N115*O115</f>
        <v>10000</v>
      </c>
      <c r="O116" t="s">
        <v>105</v>
      </c>
      <c r="P116" s="19">
        <f>N115</f>
        <v>100000</v>
      </c>
      <c r="Q116" s="19">
        <f>N115+N116-P116</f>
        <v>10000</v>
      </c>
    </row>
    <row r="117" spans="1:17" x14ac:dyDescent="0.25">
      <c r="A117" s="36"/>
      <c r="B117" s="36" t="s">
        <v>98</v>
      </c>
      <c r="N117">
        <f>-P38*Q116</f>
        <v>-2500</v>
      </c>
    </row>
    <row r="118" spans="1:17" x14ac:dyDescent="0.25">
      <c r="A118" s="36"/>
      <c r="B118" s="36"/>
    </row>
    <row r="119" spans="1:17" x14ac:dyDescent="0.25">
      <c r="A119" s="36"/>
      <c r="B119" s="36" t="s">
        <v>99</v>
      </c>
      <c r="D119" s="19">
        <f t="shared" ref="D119:N119" si="97">-(E49-D49)</f>
        <v>-90000</v>
      </c>
      <c r="E119" s="19">
        <f t="shared" si="97"/>
        <v>0</v>
      </c>
      <c r="F119" s="19">
        <f t="shared" si="97"/>
        <v>0</v>
      </c>
      <c r="G119" s="19">
        <f t="shared" si="97"/>
        <v>0</v>
      </c>
      <c r="H119" s="19">
        <f t="shared" si="97"/>
        <v>0</v>
      </c>
      <c r="I119" s="19">
        <f t="shared" si="97"/>
        <v>0</v>
      </c>
      <c r="J119" s="19">
        <f t="shared" si="97"/>
        <v>0</v>
      </c>
      <c r="K119" s="19">
        <f t="shared" si="97"/>
        <v>0</v>
      </c>
      <c r="L119" s="19">
        <f t="shared" si="97"/>
        <v>0</v>
      </c>
      <c r="M119" s="19">
        <f t="shared" si="97"/>
        <v>0</v>
      </c>
      <c r="N119" s="19">
        <f t="shared" si="97"/>
        <v>90000</v>
      </c>
      <c r="O119" s="3">
        <v>0.05</v>
      </c>
    </row>
    <row r="120" spans="1:17" x14ac:dyDescent="0.25">
      <c r="A120" s="36"/>
      <c r="B120" s="36" t="s">
        <v>97</v>
      </c>
      <c r="N120">
        <f>N119*O119</f>
        <v>4500</v>
      </c>
      <c r="O120" t="s">
        <v>105</v>
      </c>
      <c r="P120" s="19">
        <f>N119-N50</f>
        <v>45000</v>
      </c>
      <c r="Q120" s="19">
        <f>N119+N120-P120</f>
        <v>49500</v>
      </c>
    </row>
    <row r="121" spans="1:17" x14ac:dyDescent="0.25">
      <c r="A121" s="36"/>
      <c r="B121" s="36" t="s">
        <v>98</v>
      </c>
      <c r="N121">
        <f>Q120*-P38</f>
        <v>-12375</v>
      </c>
    </row>
    <row r="122" spans="1:17" x14ac:dyDescent="0.25">
      <c r="A122" s="36"/>
      <c r="B122" s="36"/>
    </row>
    <row r="123" spans="1:17" x14ac:dyDescent="0.25">
      <c r="A123" s="36"/>
      <c r="B123" s="36" t="s">
        <v>100</v>
      </c>
      <c r="D123" s="19">
        <f t="shared" ref="D123:N123" si="98">-(E47-D47)</f>
        <v>-24000</v>
      </c>
      <c r="E123" s="19">
        <f t="shared" si="98"/>
        <v>0</v>
      </c>
      <c r="F123" s="19">
        <f t="shared" si="98"/>
        <v>0</v>
      </c>
      <c r="G123" s="19">
        <f t="shared" si="98"/>
        <v>0</v>
      </c>
      <c r="H123" s="19">
        <f t="shared" si="98"/>
        <v>0</v>
      </c>
      <c r="I123" s="19">
        <f t="shared" si="98"/>
        <v>0</v>
      </c>
      <c r="J123" s="19">
        <f t="shared" si="98"/>
        <v>0</v>
      </c>
      <c r="K123" s="19">
        <f t="shared" si="98"/>
        <v>0</v>
      </c>
      <c r="L123" s="19">
        <f t="shared" si="98"/>
        <v>0</v>
      </c>
      <c r="M123" s="19">
        <f t="shared" si="98"/>
        <v>0</v>
      </c>
      <c r="N123" s="19">
        <f t="shared" si="98"/>
        <v>24000</v>
      </c>
      <c r="O123" s="3">
        <v>-0.5</v>
      </c>
    </row>
    <row r="124" spans="1:17" x14ac:dyDescent="0.25">
      <c r="A124" s="36"/>
      <c r="B124" s="36" t="s">
        <v>97</v>
      </c>
      <c r="N124">
        <f>N123*O123</f>
        <v>-12000</v>
      </c>
      <c r="O124" t="s">
        <v>105</v>
      </c>
      <c r="P124">
        <v>0</v>
      </c>
      <c r="Q124" s="19">
        <f>N123+N124-P124</f>
        <v>12000</v>
      </c>
    </row>
    <row r="125" spans="1:17" x14ac:dyDescent="0.25">
      <c r="A125" s="36"/>
      <c r="B125" s="36" t="s">
        <v>98</v>
      </c>
      <c r="N125">
        <f>Q124*-P38</f>
        <v>-3000</v>
      </c>
    </row>
    <row r="126" spans="1:17" x14ac:dyDescent="0.25">
      <c r="A126" s="36"/>
      <c r="B126" s="36"/>
      <c r="D126" s="19">
        <f>SUM(D104:D125)</f>
        <v>-209025.625</v>
      </c>
      <c r="E126" s="19">
        <f t="shared" ref="E126:M126" si="99">SUM(E104:E125)</f>
        <v>25805.76875000001</v>
      </c>
      <c r="F126" s="19">
        <f t="shared" si="99"/>
        <v>25714.883437500015</v>
      </c>
      <c r="G126" s="19">
        <f t="shared" si="99"/>
        <v>25612.087411875014</v>
      </c>
      <c r="H126" s="19">
        <f t="shared" si="99"/>
        <v>25497.041528793743</v>
      </c>
      <c r="I126" s="19">
        <f t="shared" si="99"/>
        <v>25369.398851737697</v>
      </c>
      <c r="J126" s="19">
        <f t="shared" si="99"/>
        <v>23493.513114216545</v>
      </c>
      <c r="K126" s="19">
        <f t="shared" si="99"/>
        <v>4499.6567814977825</v>
      </c>
      <c r="L126" s="19">
        <f t="shared" si="99"/>
        <v>5730.310300046458</v>
      </c>
      <c r="M126" s="19">
        <f t="shared" si="99"/>
        <v>4562.0693580727238</v>
      </c>
      <c r="N126" s="19">
        <f>SUM(N104:N125)</f>
        <v>279199.6674864933</v>
      </c>
    </row>
    <row r="128" spans="1:17" x14ac:dyDescent="0.25">
      <c r="C128" t="s">
        <v>106</v>
      </c>
      <c r="D128" s="3">
        <f>IRR(D126:N126)</f>
        <v>0.11244978995509047</v>
      </c>
    </row>
    <row r="129" spans="3:14" x14ac:dyDescent="0.25">
      <c r="C129" t="s">
        <v>77</v>
      </c>
      <c r="D129" s="18">
        <f>H87</f>
        <v>5.5105459613965437E-2</v>
      </c>
    </row>
    <row r="131" spans="3:14" x14ac:dyDescent="0.25">
      <c r="D131" s="16">
        <f t="shared" ref="D131:N131" si="100">-PV($D$129,D13,,D126)</f>
        <v>-209025.625</v>
      </c>
      <c r="E131" s="16">
        <f t="shared" si="100"/>
        <v>24457.999449118233</v>
      </c>
      <c r="F131" s="16">
        <f t="shared" si="100"/>
        <v>23098.980885719709</v>
      </c>
      <c r="G131" s="16">
        <f t="shared" si="100"/>
        <v>21805.063939501302</v>
      </c>
      <c r="H131" s="16">
        <f t="shared" si="100"/>
        <v>20573.411378870573</v>
      </c>
      <c r="I131" s="16">
        <f t="shared" si="100"/>
        <v>19401.299722524818</v>
      </c>
      <c r="J131" s="16">
        <f t="shared" si="100"/>
        <v>17028.356833590013</v>
      </c>
      <c r="K131" s="16">
        <f t="shared" si="100"/>
        <v>3091.0661307302407</v>
      </c>
      <c r="L131" s="16">
        <f t="shared" si="100"/>
        <v>3730.8791152990157</v>
      </c>
      <c r="M131" s="16">
        <f t="shared" si="100"/>
        <v>2815.1338641069378</v>
      </c>
      <c r="N131" s="16">
        <f t="shared" si="100"/>
        <v>163288.72345380971</v>
      </c>
    </row>
    <row r="132" spans="3:14" x14ac:dyDescent="0.25">
      <c r="D132" s="38">
        <f>SUM(D131:N131)</f>
        <v>90265.289773270575</v>
      </c>
    </row>
    <row r="134" spans="3:14" x14ac:dyDescent="0.25">
      <c r="D134" s="39">
        <f>NPV(D129,E126:N126)+D126</f>
        <v>90265.289773270546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6"/>
  <sheetViews>
    <sheetView workbookViewId="0">
      <selection activeCell="C2" sqref="C2"/>
    </sheetView>
  </sheetViews>
  <sheetFormatPr defaultColWidth="11" defaultRowHeight="15.75" x14ac:dyDescent="0.25"/>
  <cols>
    <col min="7" max="7" width="11.375" bestFit="1" customWidth="1"/>
    <col min="9" max="13" width="11.375" bestFit="1" customWidth="1"/>
  </cols>
  <sheetData>
    <row r="2" spans="2:13" x14ac:dyDescent="0.25">
      <c r="B2" t="s">
        <v>72</v>
      </c>
      <c r="C2" s="18">
        <f>4%/12</f>
        <v>3.3333333333333335E-3</v>
      </c>
      <c r="J2">
        <f>H18</f>
        <v>3571.1524011001115</v>
      </c>
      <c r="K2">
        <f>H30</f>
        <v>3506.5797938143241</v>
      </c>
      <c r="L2">
        <f>H42</f>
        <v>3439.3763988773599</v>
      </c>
      <c r="M2">
        <f>H54</f>
        <v>3369.4350339412172</v>
      </c>
    </row>
    <row r="3" spans="2:13" x14ac:dyDescent="0.25">
      <c r="B3" t="s">
        <v>73</v>
      </c>
      <c r="C3">
        <v>360</v>
      </c>
      <c r="J3" s="16">
        <f>I18</f>
        <v>88415.067210073132</v>
      </c>
      <c r="K3" s="16">
        <f>I30</f>
        <v>86765.561812860498</v>
      </c>
      <c r="L3" s="16">
        <f>I42</f>
        <v>85048.853020710885</v>
      </c>
      <c r="M3" s="16">
        <f>I54</f>
        <v>83262.202863625134</v>
      </c>
    </row>
    <row r="4" spans="2:13" x14ac:dyDescent="0.25">
      <c r="B4" t="s">
        <v>74</v>
      </c>
      <c r="C4" s="16">
        <f>PMT(C2,C3,C5)</f>
        <v>-429.67376591891355</v>
      </c>
    </row>
    <row r="5" spans="2:13" x14ac:dyDescent="0.25">
      <c r="B5" t="s">
        <v>75</v>
      </c>
      <c r="C5">
        <v>90000</v>
      </c>
    </row>
    <row r="6" spans="2:13" x14ac:dyDescent="0.25">
      <c r="G6">
        <f>C5</f>
        <v>90000</v>
      </c>
    </row>
    <row r="7" spans="2:13" x14ac:dyDescent="0.25">
      <c r="C7">
        <v>1</v>
      </c>
      <c r="D7" s="16">
        <f>-$C$4</f>
        <v>429.67376591891355</v>
      </c>
      <c r="E7">
        <f>G6*$C$2</f>
        <v>300</v>
      </c>
      <c r="F7" s="16">
        <f>D7-E7</f>
        <v>129.67376591891355</v>
      </c>
      <c r="G7" s="16">
        <f>G6-F7</f>
        <v>89870.326234081091</v>
      </c>
    </row>
    <row r="8" spans="2:13" x14ac:dyDescent="0.25">
      <c r="C8">
        <v>2</v>
      </c>
      <c r="D8" s="16">
        <f t="shared" ref="D8:D71" si="0">-$C$4</f>
        <v>429.67376591891355</v>
      </c>
      <c r="E8">
        <f t="shared" ref="E8:E71" si="1">G7*$C$2</f>
        <v>299.56775411360366</v>
      </c>
      <c r="F8" s="16">
        <f t="shared" ref="F8:F71" si="2">D8-E8</f>
        <v>130.10601180530989</v>
      </c>
      <c r="G8" s="16">
        <f t="shared" ref="G8:G71" si="3">G7-F8</f>
        <v>89740.220222275777</v>
      </c>
    </row>
    <row r="9" spans="2:13" x14ac:dyDescent="0.25">
      <c r="C9">
        <v>3</v>
      </c>
      <c r="D9" s="16">
        <f t="shared" si="0"/>
        <v>429.67376591891355</v>
      </c>
      <c r="E9">
        <f t="shared" si="1"/>
        <v>299.13406740758592</v>
      </c>
      <c r="F9" s="16">
        <f t="shared" si="2"/>
        <v>130.53969851132763</v>
      </c>
      <c r="G9" s="16">
        <f t="shared" si="3"/>
        <v>89609.680523764444</v>
      </c>
    </row>
    <row r="10" spans="2:13" x14ac:dyDescent="0.25">
      <c r="C10">
        <v>4</v>
      </c>
      <c r="D10" s="16">
        <f t="shared" si="0"/>
        <v>429.67376591891355</v>
      </c>
      <c r="E10">
        <f t="shared" si="1"/>
        <v>298.69893507921483</v>
      </c>
      <c r="F10" s="16">
        <f t="shared" si="2"/>
        <v>130.97483083969871</v>
      </c>
      <c r="G10" s="16">
        <f t="shared" si="3"/>
        <v>89478.705692924748</v>
      </c>
    </row>
    <row r="11" spans="2:13" x14ac:dyDescent="0.25">
      <c r="C11">
        <v>5</v>
      </c>
      <c r="D11" s="16">
        <f t="shared" si="0"/>
        <v>429.67376591891355</v>
      </c>
      <c r="E11">
        <f t="shared" si="1"/>
        <v>298.26235230974919</v>
      </c>
      <c r="F11" s="16">
        <f t="shared" si="2"/>
        <v>131.41141360916436</v>
      </c>
      <c r="G11" s="16">
        <f t="shared" si="3"/>
        <v>89347.294279315582</v>
      </c>
    </row>
    <row r="12" spans="2:13" x14ac:dyDescent="0.25">
      <c r="C12">
        <v>6</v>
      </c>
      <c r="D12" s="16">
        <f t="shared" si="0"/>
        <v>429.67376591891355</v>
      </c>
      <c r="E12">
        <f t="shared" si="1"/>
        <v>297.82431426438529</v>
      </c>
      <c r="F12" s="16">
        <f t="shared" si="2"/>
        <v>131.84945165452825</v>
      </c>
      <c r="G12" s="16">
        <f t="shared" si="3"/>
        <v>89215.444827661049</v>
      </c>
    </row>
    <row r="13" spans="2:13" x14ac:dyDescent="0.25">
      <c r="C13">
        <v>7</v>
      </c>
      <c r="D13" s="16">
        <f t="shared" si="0"/>
        <v>429.67376591891355</v>
      </c>
      <c r="E13">
        <f t="shared" si="1"/>
        <v>297.38481609220349</v>
      </c>
      <c r="F13" s="16">
        <f t="shared" si="2"/>
        <v>132.28894982671005</v>
      </c>
      <c r="G13" s="16">
        <f t="shared" si="3"/>
        <v>89083.155877834346</v>
      </c>
    </row>
    <row r="14" spans="2:13" x14ac:dyDescent="0.25">
      <c r="C14">
        <v>8</v>
      </c>
      <c r="D14" s="16">
        <f t="shared" si="0"/>
        <v>429.67376591891355</v>
      </c>
      <c r="E14">
        <f t="shared" si="1"/>
        <v>296.94385292611452</v>
      </c>
      <c r="F14" s="16">
        <f t="shared" si="2"/>
        <v>132.72991299279903</v>
      </c>
      <c r="G14" s="16">
        <f t="shared" si="3"/>
        <v>88950.425964841546</v>
      </c>
    </row>
    <row r="15" spans="2:13" x14ac:dyDescent="0.25">
      <c r="C15">
        <v>9</v>
      </c>
      <c r="D15" s="16">
        <f t="shared" si="0"/>
        <v>429.67376591891355</v>
      </c>
      <c r="E15">
        <f t="shared" si="1"/>
        <v>296.50141988280518</v>
      </c>
      <c r="F15" s="16">
        <f t="shared" si="2"/>
        <v>133.17234603610837</v>
      </c>
      <c r="G15" s="16">
        <f t="shared" si="3"/>
        <v>88817.253618805436</v>
      </c>
    </row>
    <row r="16" spans="2:13" x14ac:dyDescent="0.25">
      <c r="C16">
        <v>10</v>
      </c>
      <c r="D16" s="16">
        <f t="shared" si="0"/>
        <v>429.67376591891355</v>
      </c>
      <c r="E16">
        <f t="shared" si="1"/>
        <v>296.05751206268479</v>
      </c>
      <c r="F16" s="16">
        <f t="shared" si="2"/>
        <v>133.61625385622875</v>
      </c>
      <c r="G16" s="16">
        <f t="shared" si="3"/>
        <v>88683.637364949202</v>
      </c>
    </row>
    <row r="17" spans="3:9" x14ac:dyDescent="0.25">
      <c r="C17">
        <v>11</v>
      </c>
      <c r="D17" s="16">
        <f t="shared" si="0"/>
        <v>429.67376591891355</v>
      </c>
      <c r="E17">
        <f t="shared" si="1"/>
        <v>295.6121245498307</v>
      </c>
      <c r="F17" s="16">
        <f t="shared" si="2"/>
        <v>134.06164136908285</v>
      </c>
      <c r="G17" s="16">
        <f t="shared" si="3"/>
        <v>88549.575723580114</v>
      </c>
    </row>
    <row r="18" spans="3:9" x14ac:dyDescent="0.25">
      <c r="C18" s="17">
        <v>12</v>
      </c>
      <c r="D18" s="16">
        <f t="shared" si="0"/>
        <v>429.67376591891355</v>
      </c>
      <c r="E18">
        <f t="shared" si="1"/>
        <v>295.16525241193375</v>
      </c>
      <c r="F18" s="16">
        <f t="shared" si="2"/>
        <v>134.5085135069798</v>
      </c>
      <c r="G18" s="16">
        <f t="shared" si="3"/>
        <v>88415.067210073132</v>
      </c>
      <c r="H18" s="19">
        <f>SUM(E7:E18)</f>
        <v>3571.1524011001115</v>
      </c>
      <c r="I18" s="16">
        <f>G18</f>
        <v>88415.067210073132</v>
      </c>
    </row>
    <row r="19" spans="3:9" x14ac:dyDescent="0.25">
      <c r="C19">
        <v>13</v>
      </c>
      <c r="D19" s="16">
        <f t="shared" si="0"/>
        <v>429.67376591891355</v>
      </c>
      <c r="E19">
        <f t="shared" si="1"/>
        <v>294.71689070024377</v>
      </c>
      <c r="F19" s="16">
        <f t="shared" si="2"/>
        <v>134.95687521866978</v>
      </c>
      <c r="G19" s="16">
        <f t="shared" si="3"/>
        <v>88280.110334854457</v>
      </c>
    </row>
    <row r="20" spans="3:9" x14ac:dyDescent="0.25">
      <c r="C20">
        <v>14</v>
      </c>
      <c r="D20" s="16">
        <f t="shared" si="0"/>
        <v>429.67376591891355</v>
      </c>
      <c r="E20">
        <f t="shared" si="1"/>
        <v>294.26703444951488</v>
      </c>
      <c r="F20" s="16">
        <f t="shared" si="2"/>
        <v>135.40673146939866</v>
      </c>
      <c r="G20" s="16">
        <f t="shared" si="3"/>
        <v>88144.70360338506</v>
      </c>
    </row>
    <row r="21" spans="3:9" x14ac:dyDescent="0.25">
      <c r="C21">
        <v>15</v>
      </c>
      <c r="D21" s="16">
        <f t="shared" si="0"/>
        <v>429.67376591891355</v>
      </c>
      <c r="E21">
        <f t="shared" si="1"/>
        <v>293.81567867795025</v>
      </c>
      <c r="F21" s="16">
        <f t="shared" si="2"/>
        <v>135.8580872409633</v>
      </c>
      <c r="G21" s="16">
        <f t="shared" si="3"/>
        <v>88008.845516144094</v>
      </c>
    </row>
    <row r="22" spans="3:9" x14ac:dyDescent="0.25">
      <c r="C22">
        <v>16</v>
      </c>
      <c r="D22" s="16">
        <f t="shared" si="0"/>
        <v>429.67376591891355</v>
      </c>
      <c r="E22">
        <f t="shared" si="1"/>
        <v>293.362818387147</v>
      </c>
      <c r="F22" s="16">
        <f t="shared" si="2"/>
        <v>136.31094753176654</v>
      </c>
      <c r="G22" s="16">
        <f t="shared" si="3"/>
        <v>87872.534568612333</v>
      </c>
    </row>
    <row r="23" spans="3:9" x14ac:dyDescent="0.25">
      <c r="C23">
        <v>17</v>
      </c>
      <c r="D23" s="16">
        <f t="shared" si="0"/>
        <v>429.67376591891355</v>
      </c>
      <c r="E23">
        <f t="shared" si="1"/>
        <v>292.90844856204114</v>
      </c>
      <c r="F23" s="16">
        <f t="shared" si="2"/>
        <v>136.7653173568724</v>
      </c>
      <c r="G23" s="16">
        <f t="shared" si="3"/>
        <v>87735.769251255464</v>
      </c>
    </row>
    <row r="24" spans="3:9" x14ac:dyDescent="0.25">
      <c r="C24">
        <v>18</v>
      </c>
      <c r="D24" s="16">
        <f t="shared" si="0"/>
        <v>429.67376591891355</v>
      </c>
      <c r="E24">
        <f t="shared" si="1"/>
        <v>292.45256417085159</v>
      </c>
      <c r="F24" s="16">
        <f t="shared" si="2"/>
        <v>137.22120174806196</v>
      </c>
      <c r="G24" s="16">
        <f t="shared" si="3"/>
        <v>87598.548049507401</v>
      </c>
    </row>
    <row r="25" spans="3:9" x14ac:dyDescent="0.25">
      <c r="C25">
        <v>19</v>
      </c>
      <c r="D25" s="16">
        <f t="shared" si="0"/>
        <v>429.67376591891355</v>
      </c>
      <c r="E25">
        <f t="shared" si="1"/>
        <v>291.99516016502469</v>
      </c>
      <c r="F25" s="16">
        <f t="shared" si="2"/>
        <v>137.67860575388886</v>
      </c>
      <c r="G25" s="16">
        <f t="shared" si="3"/>
        <v>87460.869443753516</v>
      </c>
    </row>
    <row r="26" spans="3:9" x14ac:dyDescent="0.25">
      <c r="C26">
        <v>20</v>
      </c>
      <c r="D26" s="16">
        <f t="shared" si="0"/>
        <v>429.67376591891355</v>
      </c>
      <c r="E26">
        <f t="shared" si="1"/>
        <v>291.53623147917841</v>
      </c>
      <c r="F26" s="16">
        <f t="shared" si="2"/>
        <v>138.13753443973513</v>
      </c>
      <c r="G26" s="16">
        <f t="shared" si="3"/>
        <v>87322.731909313778</v>
      </c>
    </row>
    <row r="27" spans="3:9" x14ac:dyDescent="0.25">
      <c r="C27">
        <v>21</v>
      </c>
      <c r="D27" s="16">
        <f t="shared" si="0"/>
        <v>429.67376591891355</v>
      </c>
      <c r="E27">
        <f t="shared" si="1"/>
        <v>291.07577303104597</v>
      </c>
      <c r="F27" s="16">
        <f t="shared" si="2"/>
        <v>138.59799288786758</v>
      </c>
      <c r="G27" s="16">
        <f t="shared" si="3"/>
        <v>87184.133916425912</v>
      </c>
    </row>
    <row r="28" spans="3:9" x14ac:dyDescent="0.25">
      <c r="C28">
        <v>22</v>
      </c>
      <c r="D28" s="16">
        <f t="shared" si="0"/>
        <v>429.67376591891355</v>
      </c>
      <c r="E28">
        <f t="shared" si="1"/>
        <v>290.61377972141975</v>
      </c>
      <c r="F28" s="16">
        <f t="shared" si="2"/>
        <v>139.0599861974938</v>
      </c>
      <c r="G28" s="16">
        <f t="shared" si="3"/>
        <v>87045.07393022842</v>
      </c>
    </row>
    <row r="29" spans="3:9" x14ac:dyDescent="0.25">
      <c r="C29">
        <v>23</v>
      </c>
      <c r="D29" s="16">
        <f t="shared" si="0"/>
        <v>429.67376591891355</v>
      </c>
      <c r="E29">
        <f t="shared" si="1"/>
        <v>290.15024643409475</v>
      </c>
      <c r="F29" s="16">
        <f t="shared" si="2"/>
        <v>139.52351948481879</v>
      </c>
      <c r="G29" s="16">
        <f t="shared" si="3"/>
        <v>86905.550410743599</v>
      </c>
    </row>
    <row r="30" spans="3:9" x14ac:dyDescent="0.25">
      <c r="C30" s="17">
        <v>24</v>
      </c>
      <c r="D30" s="16">
        <f t="shared" si="0"/>
        <v>429.67376591891355</v>
      </c>
      <c r="E30">
        <f t="shared" si="1"/>
        <v>289.68516803581201</v>
      </c>
      <c r="F30" s="16">
        <f t="shared" si="2"/>
        <v>139.98859788310153</v>
      </c>
      <c r="G30" s="16">
        <f t="shared" si="3"/>
        <v>86765.561812860498</v>
      </c>
      <c r="H30">
        <f>SUM(E19:E30)</f>
        <v>3506.5797938143241</v>
      </c>
      <c r="I30" s="16">
        <f>G30</f>
        <v>86765.561812860498</v>
      </c>
    </row>
    <row r="31" spans="3:9" x14ac:dyDescent="0.25">
      <c r="C31">
        <v>25</v>
      </c>
      <c r="D31" s="16">
        <f t="shared" si="0"/>
        <v>429.67376591891355</v>
      </c>
      <c r="E31">
        <f t="shared" si="1"/>
        <v>289.2185393762017</v>
      </c>
      <c r="F31" s="16">
        <f t="shared" si="2"/>
        <v>140.45522654271184</v>
      </c>
      <c r="G31" s="16">
        <f t="shared" si="3"/>
        <v>86625.106586317794</v>
      </c>
    </row>
    <row r="32" spans="3:9" x14ac:dyDescent="0.25">
      <c r="C32">
        <v>26</v>
      </c>
      <c r="D32" s="16">
        <f t="shared" si="0"/>
        <v>429.67376591891355</v>
      </c>
      <c r="E32">
        <f t="shared" si="1"/>
        <v>288.75035528772599</v>
      </c>
      <c r="F32" s="16">
        <f t="shared" si="2"/>
        <v>140.92341063118755</v>
      </c>
      <c r="G32" s="16">
        <f t="shared" si="3"/>
        <v>86484.183175686601</v>
      </c>
    </row>
    <row r="33" spans="3:9" x14ac:dyDescent="0.25">
      <c r="C33">
        <v>27</v>
      </c>
      <c r="D33" s="16">
        <f t="shared" si="0"/>
        <v>429.67376591891355</v>
      </c>
      <c r="E33">
        <f t="shared" si="1"/>
        <v>288.28061058562201</v>
      </c>
      <c r="F33" s="16">
        <f t="shared" si="2"/>
        <v>141.39315533329153</v>
      </c>
      <c r="G33" s="16">
        <f t="shared" si="3"/>
        <v>86342.790020353306</v>
      </c>
    </row>
    <row r="34" spans="3:9" x14ac:dyDescent="0.25">
      <c r="C34">
        <v>28</v>
      </c>
      <c r="D34" s="16">
        <f t="shared" si="0"/>
        <v>429.67376591891355</v>
      </c>
      <c r="E34">
        <f t="shared" si="1"/>
        <v>287.80930006784439</v>
      </c>
      <c r="F34" s="16">
        <f t="shared" si="2"/>
        <v>141.86446585106916</v>
      </c>
      <c r="G34" s="16">
        <f t="shared" si="3"/>
        <v>86200.925554502232</v>
      </c>
    </row>
    <row r="35" spans="3:9" x14ac:dyDescent="0.25">
      <c r="C35">
        <v>29</v>
      </c>
      <c r="D35" s="16">
        <f t="shared" si="0"/>
        <v>429.67376591891355</v>
      </c>
      <c r="E35">
        <f t="shared" si="1"/>
        <v>287.33641851500744</v>
      </c>
      <c r="F35" s="16">
        <f t="shared" si="2"/>
        <v>142.33734740390611</v>
      </c>
      <c r="G35" s="16">
        <f t="shared" si="3"/>
        <v>86058.588207098321</v>
      </c>
    </row>
    <row r="36" spans="3:9" x14ac:dyDescent="0.25">
      <c r="C36">
        <v>30</v>
      </c>
      <c r="D36" s="16">
        <f t="shared" si="0"/>
        <v>429.67376591891355</v>
      </c>
      <c r="E36">
        <f t="shared" si="1"/>
        <v>286.86196069032775</v>
      </c>
      <c r="F36" s="16">
        <f t="shared" si="2"/>
        <v>142.8118052285858</v>
      </c>
      <c r="G36" s="16">
        <f t="shared" si="3"/>
        <v>85915.776401869734</v>
      </c>
    </row>
    <row r="37" spans="3:9" x14ac:dyDescent="0.25">
      <c r="C37">
        <v>31</v>
      </c>
      <c r="D37" s="16">
        <f t="shared" si="0"/>
        <v>429.67376591891355</v>
      </c>
      <c r="E37">
        <f t="shared" si="1"/>
        <v>286.38592133956581</v>
      </c>
      <c r="F37" s="16">
        <f t="shared" si="2"/>
        <v>143.28784457934773</v>
      </c>
      <c r="G37" s="16">
        <f t="shared" si="3"/>
        <v>85772.488557290388</v>
      </c>
    </row>
    <row r="38" spans="3:9" x14ac:dyDescent="0.25">
      <c r="C38">
        <v>32</v>
      </c>
      <c r="D38" s="16">
        <f t="shared" si="0"/>
        <v>429.67376591891355</v>
      </c>
      <c r="E38">
        <f t="shared" si="1"/>
        <v>285.90829519096798</v>
      </c>
      <c r="F38" s="16">
        <f t="shared" si="2"/>
        <v>143.76547072794557</v>
      </c>
      <c r="G38" s="16">
        <f t="shared" si="3"/>
        <v>85628.723086562444</v>
      </c>
    </row>
    <row r="39" spans="3:9" x14ac:dyDescent="0.25">
      <c r="C39">
        <v>33</v>
      </c>
      <c r="D39" s="16">
        <f t="shared" si="0"/>
        <v>429.67376591891355</v>
      </c>
      <c r="E39">
        <f t="shared" si="1"/>
        <v>285.42907695520819</v>
      </c>
      <c r="F39" s="16">
        <f t="shared" si="2"/>
        <v>144.24468896370536</v>
      </c>
      <c r="G39" s="16">
        <f t="shared" si="3"/>
        <v>85484.478397598738</v>
      </c>
    </row>
    <row r="40" spans="3:9" x14ac:dyDescent="0.25">
      <c r="C40">
        <v>34</v>
      </c>
      <c r="D40" s="16">
        <f t="shared" si="0"/>
        <v>429.67376591891355</v>
      </c>
      <c r="E40">
        <f t="shared" si="1"/>
        <v>284.94826132532916</v>
      </c>
      <c r="F40" s="16">
        <f t="shared" si="2"/>
        <v>144.72550459358439</v>
      </c>
      <c r="G40" s="16">
        <f t="shared" si="3"/>
        <v>85339.752893005149</v>
      </c>
    </row>
    <row r="41" spans="3:9" x14ac:dyDescent="0.25">
      <c r="C41">
        <v>35</v>
      </c>
      <c r="D41" s="16">
        <f t="shared" si="0"/>
        <v>429.67376591891355</v>
      </c>
      <c r="E41">
        <f t="shared" si="1"/>
        <v>284.46584297668386</v>
      </c>
      <c r="F41" s="16">
        <f t="shared" si="2"/>
        <v>145.20792294222969</v>
      </c>
      <c r="G41" s="16">
        <f t="shared" si="3"/>
        <v>85194.544970062925</v>
      </c>
    </row>
    <row r="42" spans="3:9" x14ac:dyDescent="0.25">
      <c r="C42" s="17">
        <v>36</v>
      </c>
      <c r="D42" s="16">
        <f t="shared" si="0"/>
        <v>429.67376591891355</v>
      </c>
      <c r="E42">
        <f t="shared" si="1"/>
        <v>283.98181656687643</v>
      </c>
      <c r="F42" s="16">
        <f t="shared" si="2"/>
        <v>145.69194935203711</v>
      </c>
      <c r="G42" s="16">
        <f t="shared" si="3"/>
        <v>85048.853020710885</v>
      </c>
      <c r="H42">
        <f>SUM(E31:E42)</f>
        <v>3439.3763988773599</v>
      </c>
      <c r="I42" s="16">
        <f>G42</f>
        <v>85048.853020710885</v>
      </c>
    </row>
    <row r="43" spans="3:9" x14ac:dyDescent="0.25">
      <c r="C43">
        <v>37</v>
      </c>
      <c r="D43" s="16">
        <f t="shared" si="0"/>
        <v>429.67376591891355</v>
      </c>
      <c r="E43">
        <f t="shared" si="1"/>
        <v>283.49617673570299</v>
      </c>
      <c r="F43" s="16">
        <f t="shared" si="2"/>
        <v>146.17758918321056</v>
      </c>
      <c r="G43" s="16">
        <f t="shared" si="3"/>
        <v>84902.675431527678</v>
      </c>
    </row>
    <row r="44" spans="3:9" x14ac:dyDescent="0.25">
      <c r="C44">
        <v>38</v>
      </c>
      <c r="D44" s="16">
        <f t="shared" si="0"/>
        <v>429.67376591891355</v>
      </c>
      <c r="E44">
        <f t="shared" si="1"/>
        <v>283.00891810509228</v>
      </c>
      <c r="F44" s="16">
        <f t="shared" si="2"/>
        <v>146.66484781382127</v>
      </c>
      <c r="G44" s="16">
        <f t="shared" si="3"/>
        <v>84756.010583713854</v>
      </c>
    </row>
    <row r="45" spans="3:9" x14ac:dyDescent="0.25">
      <c r="C45">
        <v>39</v>
      </c>
      <c r="D45" s="16">
        <f t="shared" si="0"/>
        <v>429.67376591891355</v>
      </c>
      <c r="E45">
        <f t="shared" si="1"/>
        <v>282.52003527904623</v>
      </c>
      <c r="F45" s="16">
        <f t="shared" si="2"/>
        <v>147.15373063986732</v>
      </c>
      <c r="G45" s="16">
        <f t="shared" si="3"/>
        <v>84608.856853073987</v>
      </c>
    </row>
    <row r="46" spans="3:9" x14ac:dyDescent="0.25">
      <c r="C46">
        <v>40</v>
      </c>
      <c r="D46" s="16">
        <f t="shared" si="0"/>
        <v>429.67376591891355</v>
      </c>
      <c r="E46">
        <f t="shared" si="1"/>
        <v>282.02952284357997</v>
      </c>
      <c r="F46" s="16">
        <f t="shared" si="2"/>
        <v>147.64424307533358</v>
      </c>
      <c r="G46" s="16">
        <f t="shared" si="3"/>
        <v>84461.212609998649</v>
      </c>
    </row>
    <row r="47" spans="3:9" x14ac:dyDescent="0.25">
      <c r="C47">
        <v>41</v>
      </c>
      <c r="D47" s="16">
        <f t="shared" si="0"/>
        <v>429.67376591891355</v>
      </c>
      <c r="E47">
        <f t="shared" si="1"/>
        <v>281.53737536666216</v>
      </c>
      <c r="F47" s="16">
        <f t="shared" si="2"/>
        <v>148.13639055225138</v>
      </c>
      <c r="G47" s="16">
        <f t="shared" si="3"/>
        <v>84313.076219446404</v>
      </c>
    </row>
    <row r="48" spans="3:9" x14ac:dyDescent="0.25">
      <c r="C48">
        <v>42</v>
      </c>
      <c r="D48" s="16">
        <f t="shared" si="0"/>
        <v>429.67376591891355</v>
      </c>
      <c r="E48">
        <f t="shared" si="1"/>
        <v>281.04358739815467</v>
      </c>
      <c r="F48" s="16">
        <f t="shared" si="2"/>
        <v>148.63017852075888</v>
      </c>
      <c r="G48" s="16">
        <f t="shared" si="3"/>
        <v>84164.446040925643</v>
      </c>
    </row>
    <row r="49" spans="3:9" x14ac:dyDescent="0.25">
      <c r="C49">
        <v>43</v>
      </c>
      <c r="D49" s="16">
        <f t="shared" si="0"/>
        <v>429.67376591891355</v>
      </c>
      <c r="E49">
        <f t="shared" si="1"/>
        <v>280.54815346975215</v>
      </c>
      <c r="F49" s="16">
        <f t="shared" si="2"/>
        <v>149.12561244916139</v>
      </c>
      <c r="G49" s="16">
        <f t="shared" si="3"/>
        <v>84015.32042847648</v>
      </c>
    </row>
    <row r="50" spans="3:9" x14ac:dyDescent="0.25">
      <c r="C50">
        <v>44</v>
      </c>
      <c r="D50" s="16">
        <f t="shared" si="0"/>
        <v>429.67376591891355</v>
      </c>
      <c r="E50">
        <f t="shared" si="1"/>
        <v>280.05106809492162</v>
      </c>
      <c r="F50" s="16">
        <f t="shared" si="2"/>
        <v>149.62269782399193</v>
      </c>
      <c r="G50" s="16">
        <f t="shared" si="3"/>
        <v>83865.697730652493</v>
      </c>
    </row>
    <row r="51" spans="3:9" x14ac:dyDescent="0.25">
      <c r="C51">
        <v>45</v>
      </c>
      <c r="D51" s="16">
        <f t="shared" si="0"/>
        <v>429.67376591891355</v>
      </c>
      <c r="E51">
        <f t="shared" si="1"/>
        <v>279.55232576884168</v>
      </c>
      <c r="F51" s="16">
        <f t="shared" si="2"/>
        <v>150.12144015007186</v>
      </c>
      <c r="G51" s="16">
        <f t="shared" si="3"/>
        <v>83715.576290502417</v>
      </c>
    </row>
    <row r="52" spans="3:9" x14ac:dyDescent="0.25">
      <c r="C52">
        <v>46</v>
      </c>
      <c r="D52" s="16">
        <f t="shared" si="0"/>
        <v>429.67376591891355</v>
      </c>
      <c r="E52">
        <f t="shared" si="1"/>
        <v>279.05192096834139</v>
      </c>
      <c r="F52" s="16">
        <f t="shared" si="2"/>
        <v>150.62184495057215</v>
      </c>
      <c r="G52" s="16">
        <f t="shared" si="3"/>
        <v>83564.954445551848</v>
      </c>
    </row>
    <row r="53" spans="3:9" x14ac:dyDescent="0.25">
      <c r="C53">
        <v>47</v>
      </c>
      <c r="D53" s="16">
        <f t="shared" si="0"/>
        <v>429.67376591891355</v>
      </c>
      <c r="E53">
        <f t="shared" si="1"/>
        <v>278.54984815183951</v>
      </c>
      <c r="F53" s="16">
        <f t="shared" si="2"/>
        <v>151.12391776707403</v>
      </c>
      <c r="G53" s="16">
        <f t="shared" si="3"/>
        <v>83413.830527784768</v>
      </c>
    </row>
    <row r="54" spans="3:9" x14ac:dyDescent="0.25">
      <c r="C54" s="17">
        <v>48</v>
      </c>
      <c r="D54" s="16">
        <f t="shared" si="0"/>
        <v>429.67376591891355</v>
      </c>
      <c r="E54">
        <f t="shared" si="1"/>
        <v>278.04610175928258</v>
      </c>
      <c r="F54" s="16">
        <f t="shared" si="2"/>
        <v>151.62766415963097</v>
      </c>
      <c r="G54" s="16">
        <f t="shared" si="3"/>
        <v>83262.202863625134</v>
      </c>
      <c r="H54">
        <f>SUM(E43:E54)</f>
        <v>3369.4350339412172</v>
      </c>
      <c r="I54" s="16">
        <f>G54</f>
        <v>83262.202863625134</v>
      </c>
    </row>
    <row r="55" spans="3:9" x14ac:dyDescent="0.25">
      <c r="C55">
        <v>49</v>
      </c>
      <c r="D55" s="16">
        <f t="shared" si="0"/>
        <v>429.67376591891355</v>
      </c>
      <c r="E55">
        <f t="shared" si="1"/>
        <v>277.54067621208378</v>
      </c>
      <c r="F55" s="16">
        <f t="shared" si="2"/>
        <v>152.13308970682976</v>
      </c>
      <c r="G55" s="16">
        <f t="shared" si="3"/>
        <v>83110.069773918309</v>
      </c>
    </row>
    <row r="56" spans="3:9" x14ac:dyDescent="0.25">
      <c r="C56">
        <v>50</v>
      </c>
      <c r="D56" s="16">
        <f t="shared" si="0"/>
        <v>429.67376591891355</v>
      </c>
      <c r="E56">
        <f t="shared" si="1"/>
        <v>277.03356591306107</v>
      </c>
      <c r="F56" s="16">
        <f t="shared" si="2"/>
        <v>152.64020000585248</v>
      </c>
      <c r="G56" s="16">
        <f t="shared" si="3"/>
        <v>82957.42957391245</v>
      </c>
    </row>
    <row r="57" spans="3:9" x14ac:dyDescent="0.25">
      <c r="C57">
        <v>51</v>
      </c>
      <c r="D57" s="16">
        <f t="shared" si="0"/>
        <v>429.67376591891355</v>
      </c>
      <c r="E57">
        <f t="shared" si="1"/>
        <v>276.52476524637484</v>
      </c>
      <c r="F57" s="16">
        <f t="shared" si="2"/>
        <v>153.1490006725387</v>
      </c>
      <c r="G57" s="16">
        <f t="shared" si="3"/>
        <v>82804.280573239914</v>
      </c>
    </row>
    <row r="58" spans="3:9" x14ac:dyDescent="0.25">
      <c r="C58">
        <v>52</v>
      </c>
      <c r="D58" s="16">
        <f t="shared" si="0"/>
        <v>429.67376591891355</v>
      </c>
      <c r="E58">
        <f t="shared" si="1"/>
        <v>276.0142685774664</v>
      </c>
      <c r="F58" s="16">
        <f t="shared" si="2"/>
        <v>153.65949734144715</v>
      </c>
      <c r="G58" s="16">
        <f t="shared" si="3"/>
        <v>82650.621075898467</v>
      </c>
    </row>
    <row r="59" spans="3:9" x14ac:dyDescent="0.25">
      <c r="C59">
        <v>53</v>
      </c>
      <c r="D59" s="16">
        <f t="shared" si="0"/>
        <v>429.67376591891355</v>
      </c>
      <c r="E59">
        <f t="shared" si="1"/>
        <v>275.50207025299488</v>
      </c>
      <c r="F59" s="16">
        <f t="shared" si="2"/>
        <v>154.17169566591866</v>
      </c>
      <c r="G59" s="16">
        <f t="shared" si="3"/>
        <v>82496.449380232545</v>
      </c>
    </row>
    <row r="60" spans="3:9" x14ac:dyDescent="0.25">
      <c r="C60">
        <v>54</v>
      </c>
      <c r="D60" s="16">
        <f t="shared" si="0"/>
        <v>429.67376591891355</v>
      </c>
      <c r="E60">
        <f t="shared" si="1"/>
        <v>274.98816460077518</v>
      </c>
      <c r="F60" s="16">
        <f t="shared" si="2"/>
        <v>154.68560131813837</v>
      </c>
      <c r="G60" s="16">
        <f t="shared" si="3"/>
        <v>82341.763778914406</v>
      </c>
    </row>
    <row r="61" spans="3:9" x14ac:dyDescent="0.25">
      <c r="C61">
        <v>55</v>
      </c>
      <c r="D61" s="16">
        <f t="shared" si="0"/>
        <v>429.67376591891355</v>
      </c>
      <c r="E61">
        <f t="shared" si="1"/>
        <v>274.47254592971473</v>
      </c>
      <c r="F61" s="16">
        <f t="shared" si="2"/>
        <v>155.20121998919882</v>
      </c>
      <c r="G61" s="16">
        <f t="shared" si="3"/>
        <v>82186.562558925201</v>
      </c>
    </row>
    <row r="62" spans="3:9" x14ac:dyDescent="0.25">
      <c r="C62">
        <v>56</v>
      </c>
      <c r="D62" s="16">
        <f t="shared" si="0"/>
        <v>429.67376591891355</v>
      </c>
      <c r="E62">
        <f t="shared" si="1"/>
        <v>273.95520852975068</v>
      </c>
      <c r="F62" s="16">
        <f t="shared" si="2"/>
        <v>155.71855738916287</v>
      </c>
      <c r="G62" s="16">
        <f t="shared" si="3"/>
        <v>82030.844001536039</v>
      </c>
    </row>
    <row r="63" spans="3:9" x14ac:dyDescent="0.25">
      <c r="C63">
        <v>57</v>
      </c>
      <c r="D63" s="16">
        <f t="shared" si="0"/>
        <v>429.67376591891355</v>
      </c>
      <c r="E63">
        <f t="shared" si="1"/>
        <v>273.43614667178679</v>
      </c>
      <c r="F63" s="16">
        <f t="shared" si="2"/>
        <v>156.23761924712676</v>
      </c>
      <c r="G63" s="16">
        <f t="shared" si="3"/>
        <v>81874.606382288912</v>
      </c>
    </row>
    <row r="64" spans="3:9" x14ac:dyDescent="0.25">
      <c r="C64">
        <v>58</v>
      </c>
      <c r="D64" s="16">
        <f t="shared" si="0"/>
        <v>429.67376591891355</v>
      </c>
      <c r="E64">
        <f t="shared" si="1"/>
        <v>272.91535460762975</v>
      </c>
      <c r="F64" s="16">
        <f t="shared" si="2"/>
        <v>156.75841131128379</v>
      </c>
      <c r="G64" s="16">
        <f t="shared" si="3"/>
        <v>81717.847970977629</v>
      </c>
    </row>
    <row r="65" spans="3:9" x14ac:dyDescent="0.25">
      <c r="C65">
        <v>59</v>
      </c>
      <c r="D65" s="16">
        <f t="shared" si="0"/>
        <v>429.67376591891355</v>
      </c>
      <c r="E65">
        <f t="shared" si="1"/>
        <v>272.39282656992543</v>
      </c>
      <c r="F65" s="16">
        <f t="shared" si="2"/>
        <v>157.28093934898811</v>
      </c>
      <c r="G65" s="16">
        <f t="shared" si="3"/>
        <v>81560.567031628641</v>
      </c>
    </row>
    <row r="66" spans="3:9" x14ac:dyDescent="0.25">
      <c r="C66" s="17">
        <v>60</v>
      </c>
      <c r="D66" s="16">
        <f t="shared" si="0"/>
        <v>429.67376591891355</v>
      </c>
      <c r="E66">
        <f t="shared" si="1"/>
        <v>271.86855677209547</v>
      </c>
      <c r="F66" s="16">
        <f t="shared" si="2"/>
        <v>157.80520914681807</v>
      </c>
      <c r="G66" s="16">
        <f t="shared" si="3"/>
        <v>81402.761822481829</v>
      </c>
      <c r="H66">
        <f>SUM(E55:E66)</f>
        <v>3296.6441498836593</v>
      </c>
      <c r="I66" s="16">
        <f>G66</f>
        <v>81402.761822481829</v>
      </c>
    </row>
    <row r="67" spans="3:9" x14ac:dyDescent="0.25">
      <c r="C67">
        <v>61</v>
      </c>
      <c r="D67" s="16">
        <f t="shared" si="0"/>
        <v>429.67376591891355</v>
      </c>
      <c r="E67">
        <f t="shared" si="1"/>
        <v>271.34253940827278</v>
      </c>
      <c r="F67" s="16">
        <f t="shared" si="2"/>
        <v>158.33122651064076</v>
      </c>
      <c r="G67" s="16">
        <f t="shared" si="3"/>
        <v>81244.430595971193</v>
      </c>
    </row>
    <row r="68" spans="3:9" x14ac:dyDescent="0.25">
      <c r="C68">
        <v>62</v>
      </c>
      <c r="D68" s="16">
        <f t="shared" si="0"/>
        <v>429.67376591891355</v>
      </c>
      <c r="E68">
        <f t="shared" si="1"/>
        <v>270.81476865323731</v>
      </c>
      <c r="F68" s="16">
        <f t="shared" si="2"/>
        <v>158.85899726567624</v>
      </c>
      <c r="G68" s="16">
        <f t="shared" si="3"/>
        <v>81085.571598705515</v>
      </c>
    </row>
    <row r="69" spans="3:9" x14ac:dyDescent="0.25">
      <c r="C69">
        <v>63</v>
      </c>
      <c r="D69" s="16">
        <f t="shared" si="0"/>
        <v>429.67376591891355</v>
      </c>
      <c r="E69">
        <f t="shared" si="1"/>
        <v>270.28523866235173</v>
      </c>
      <c r="F69" s="16">
        <f t="shared" si="2"/>
        <v>159.38852725656182</v>
      </c>
      <c r="G69" s="16">
        <f t="shared" si="3"/>
        <v>80926.183071448948</v>
      </c>
    </row>
    <row r="70" spans="3:9" x14ac:dyDescent="0.25">
      <c r="C70">
        <v>64</v>
      </c>
      <c r="D70" s="16">
        <f t="shared" si="0"/>
        <v>429.67376591891355</v>
      </c>
      <c r="E70">
        <f t="shared" si="1"/>
        <v>269.75394357149651</v>
      </c>
      <c r="F70" s="16">
        <f t="shared" si="2"/>
        <v>159.91982234741704</v>
      </c>
      <c r="G70" s="16">
        <f t="shared" si="3"/>
        <v>80766.263249101525</v>
      </c>
    </row>
    <row r="71" spans="3:9" x14ac:dyDescent="0.25">
      <c r="C71">
        <v>65</v>
      </c>
      <c r="D71" s="16">
        <f t="shared" si="0"/>
        <v>429.67376591891355</v>
      </c>
      <c r="E71">
        <f t="shared" si="1"/>
        <v>269.22087749700512</v>
      </c>
      <c r="F71" s="16">
        <f t="shared" si="2"/>
        <v>160.45288842190843</v>
      </c>
      <c r="G71" s="16">
        <f t="shared" si="3"/>
        <v>80605.810360679621</v>
      </c>
    </row>
    <row r="72" spans="3:9" x14ac:dyDescent="0.25">
      <c r="C72">
        <v>66</v>
      </c>
      <c r="D72" s="16">
        <f t="shared" ref="D72:D126" si="4">-$C$4</f>
        <v>429.67376591891355</v>
      </c>
      <c r="E72">
        <f t="shared" ref="E72:E126" si="5">G71*$C$2</f>
        <v>268.68603453559876</v>
      </c>
      <c r="F72" s="16">
        <f t="shared" ref="F72:F126" si="6">D72-E72</f>
        <v>160.98773138331478</v>
      </c>
      <c r="G72" s="16">
        <f t="shared" ref="G72:G126" si="7">G71-F72</f>
        <v>80444.822629296308</v>
      </c>
    </row>
    <row r="73" spans="3:9" x14ac:dyDescent="0.25">
      <c r="C73">
        <v>67</v>
      </c>
      <c r="D73" s="16">
        <f t="shared" si="4"/>
        <v>429.67376591891355</v>
      </c>
      <c r="E73">
        <f t="shared" si="5"/>
        <v>268.14940876432104</v>
      </c>
      <c r="F73" s="16">
        <f t="shared" si="6"/>
        <v>161.52435715459251</v>
      </c>
      <c r="G73" s="16">
        <f t="shared" si="7"/>
        <v>80283.298272141721</v>
      </c>
    </row>
    <row r="74" spans="3:9" x14ac:dyDescent="0.25">
      <c r="C74">
        <v>68</v>
      </c>
      <c r="D74" s="16">
        <f t="shared" si="4"/>
        <v>429.67376591891355</v>
      </c>
      <c r="E74">
        <f t="shared" si="5"/>
        <v>267.61099424047239</v>
      </c>
      <c r="F74" s="16">
        <f t="shared" si="6"/>
        <v>162.06277167844115</v>
      </c>
      <c r="G74" s="16">
        <f t="shared" si="7"/>
        <v>80121.235500463285</v>
      </c>
    </row>
    <row r="75" spans="3:9" x14ac:dyDescent="0.25">
      <c r="C75">
        <v>69</v>
      </c>
      <c r="D75" s="16">
        <f t="shared" si="4"/>
        <v>429.67376591891355</v>
      </c>
      <c r="E75">
        <f t="shared" si="5"/>
        <v>267.07078500154432</v>
      </c>
      <c r="F75" s="16">
        <f t="shared" si="6"/>
        <v>162.60298091736922</v>
      </c>
      <c r="G75" s="16">
        <f t="shared" si="7"/>
        <v>79958.632519545921</v>
      </c>
    </row>
    <row r="76" spans="3:9" x14ac:dyDescent="0.25">
      <c r="C76">
        <v>70</v>
      </c>
      <c r="D76" s="16">
        <f t="shared" si="4"/>
        <v>429.67376591891355</v>
      </c>
      <c r="E76">
        <f t="shared" si="5"/>
        <v>266.52877506515307</v>
      </c>
      <c r="F76" s="16">
        <f t="shared" si="6"/>
        <v>163.14499085376048</v>
      </c>
      <c r="G76" s="16">
        <f t="shared" si="7"/>
        <v>79795.48752869216</v>
      </c>
    </row>
    <row r="77" spans="3:9" x14ac:dyDescent="0.25">
      <c r="C77">
        <v>71</v>
      </c>
      <c r="D77" s="16">
        <f t="shared" si="4"/>
        <v>429.67376591891355</v>
      </c>
      <c r="E77">
        <f t="shared" si="5"/>
        <v>265.98495842897387</v>
      </c>
      <c r="F77" s="16">
        <f t="shared" si="6"/>
        <v>163.68880748993968</v>
      </c>
      <c r="G77" s="16">
        <f t="shared" si="7"/>
        <v>79631.798721202227</v>
      </c>
    </row>
    <row r="78" spans="3:9" x14ac:dyDescent="0.25">
      <c r="C78" s="17">
        <v>72</v>
      </c>
      <c r="D78" s="16">
        <f t="shared" si="4"/>
        <v>429.67376591891355</v>
      </c>
      <c r="E78">
        <f t="shared" si="5"/>
        <v>265.43932907067409</v>
      </c>
      <c r="F78" s="16">
        <f t="shared" si="6"/>
        <v>164.23443684823945</v>
      </c>
      <c r="G78" s="16">
        <f t="shared" si="7"/>
        <v>79467.564284353983</v>
      </c>
      <c r="H78">
        <f>SUM(E67:E78)</f>
        <v>3220.8876528991004</v>
      </c>
      <c r="I78" s="16">
        <f>G78</f>
        <v>79467.564284353983</v>
      </c>
    </row>
    <row r="79" spans="3:9" x14ac:dyDescent="0.25">
      <c r="C79">
        <v>73</v>
      </c>
      <c r="D79" s="16">
        <f t="shared" si="4"/>
        <v>429.67376591891355</v>
      </c>
      <c r="E79">
        <f t="shared" si="5"/>
        <v>264.89188094784663</v>
      </c>
      <c r="F79" s="16">
        <f t="shared" si="6"/>
        <v>164.78188497106692</v>
      </c>
      <c r="G79" s="16">
        <f t="shared" si="7"/>
        <v>79302.782399382922</v>
      </c>
    </row>
    <row r="80" spans="3:9" x14ac:dyDescent="0.25">
      <c r="C80">
        <v>74</v>
      </c>
      <c r="D80" s="16">
        <f t="shared" si="4"/>
        <v>429.67376591891355</v>
      </c>
      <c r="E80">
        <f t="shared" si="5"/>
        <v>264.34260799794311</v>
      </c>
      <c r="F80" s="16">
        <f t="shared" si="6"/>
        <v>165.33115792097044</v>
      </c>
      <c r="G80" s="16">
        <f t="shared" si="7"/>
        <v>79137.451241461953</v>
      </c>
    </row>
    <row r="81" spans="3:9" x14ac:dyDescent="0.25">
      <c r="C81">
        <v>75</v>
      </c>
      <c r="D81" s="16">
        <f t="shared" si="4"/>
        <v>429.67376591891355</v>
      </c>
      <c r="E81">
        <f t="shared" si="5"/>
        <v>263.79150413820651</v>
      </c>
      <c r="F81" s="16">
        <f t="shared" si="6"/>
        <v>165.88226178070704</v>
      </c>
      <c r="G81" s="16">
        <f t="shared" si="7"/>
        <v>78971.568979681251</v>
      </c>
    </row>
    <row r="82" spans="3:9" x14ac:dyDescent="0.25">
      <c r="C82">
        <v>76</v>
      </c>
      <c r="D82" s="16">
        <f t="shared" si="4"/>
        <v>429.67376591891355</v>
      </c>
      <c r="E82">
        <f t="shared" si="5"/>
        <v>263.23856326560417</v>
      </c>
      <c r="F82" s="16">
        <f t="shared" si="6"/>
        <v>166.43520265330937</v>
      </c>
      <c r="G82" s="16">
        <f t="shared" si="7"/>
        <v>78805.133777027935</v>
      </c>
    </row>
    <row r="83" spans="3:9" x14ac:dyDescent="0.25">
      <c r="C83">
        <v>77</v>
      </c>
      <c r="D83" s="16">
        <f t="shared" si="4"/>
        <v>429.67376591891355</v>
      </c>
      <c r="E83">
        <f t="shared" si="5"/>
        <v>262.68377925675981</v>
      </c>
      <c r="F83" s="16">
        <f t="shared" si="6"/>
        <v>166.98998666215374</v>
      </c>
      <c r="G83" s="16">
        <f t="shared" si="7"/>
        <v>78638.143790365779</v>
      </c>
    </row>
    <row r="84" spans="3:9" x14ac:dyDescent="0.25">
      <c r="C84">
        <v>78</v>
      </c>
      <c r="D84" s="16">
        <f t="shared" si="4"/>
        <v>429.67376591891355</v>
      </c>
      <c r="E84">
        <f t="shared" si="5"/>
        <v>262.12714596788595</v>
      </c>
      <c r="F84" s="16">
        <f t="shared" si="6"/>
        <v>167.54661995102759</v>
      </c>
      <c r="G84" s="16">
        <f t="shared" si="7"/>
        <v>78470.597170414752</v>
      </c>
    </row>
    <row r="85" spans="3:9" x14ac:dyDescent="0.25">
      <c r="C85">
        <v>79</v>
      </c>
      <c r="D85" s="16">
        <f t="shared" si="4"/>
        <v>429.67376591891355</v>
      </c>
      <c r="E85">
        <f t="shared" si="5"/>
        <v>261.56865723471589</v>
      </c>
      <c r="F85" s="16">
        <f t="shared" si="6"/>
        <v>168.10510868419766</v>
      </c>
      <c r="G85" s="16">
        <f t="shared" si="7"/>
        <v>78302.492061730562</v>
      </c>
    </row>
    <row r="86" spans="3:9" x14ac:dyDescent="0.25">
      <c r="C86">
        <v>80</v>
      </c>
      <c r="D86" s="16">
        <f t="shared" si="4"/>
        <v>429.67376591891355</v>
      </c>
      <c r="E86">
        <f t="shared" si="5"/>
        <v>261.00830687243524</v>
      </c>
      <c r="F86" s="16">
        <f t="shared" si="6"/>
        <v>168.6654590464783</v>
      </c>
      <c r="G86" s="16">
        <f t="shared" si="7"/>
        <v>78133.826602684087</v>
      </c>
    </row>
    <row r="87" spans="3:9" x14ac:dyDescent="0.25">
      <c r="C87">
        <v>81</v>
      </c>
      <c r="D87" s="16">
        <f t="shared" si="4"/>
        <v>429.67376591891355</v>
      </c>
      <c r="E87">
        <f t="shared" si="5"/>
        <v>260.44608867561362</v>
      </c>
      <c r="F87" s="16">
        <f t="shared" si="6"/>
        <v>169.22767724329992</v>
      </c>
      <c r="G87" s="16">
        <f t="shared" si="7"/>
        <v>77964.59892544079</v>
      </c>
    </row>
    <row r="88" spans="3:9" x14ac:dyDescent="0.25">
      <c r="C88">
        <v>82</v>
      </c>
      <c r="D88" s="16">
        <f t="shared" si="4"/>
        <v>429.67376591891355</v>
      </c>
      <c r="E88">
        <f t="shared" si="5"/>
        <v>259.881996418136</v>
      </c>
      <c r="F88" s="16">
        <f t="shared" si="6"/>
        <v>169.79176950077755</v>
      </c>
      <c r="G88" s="16">
        <f t="shared" si="7"/>
        <v>77794.807155940012</v>
      </c>
    </row>
    <row r="89" spans="3:9" x14ac:dyDescent="0.25">
      <c r="C89">
        <v>83</v>
      </c>
      <c r="D89" s="16">
        <f t="shared" si="4"/>
        <v>429.67376591891355</v>
      </c>
      <c r="E89">
        <f t="shared" si="5"/>
        <v>259.3160238531334</v>
      </c>
      <c r="F89" s="16">
        <f t="shared" si="6"/>
        <v>170.35774206578014</v>
      </c>
      <c r="G89" s="16">
        <f t="shared" si="7"/>
        <v>77624.44941387423</v>
      </c>
    </row>
    <row r="90" spans="3:9" x14ac:dyDescent="0.25">
      <c r="C90" s="17">
        <v>84</v>
      </c>
      <c r="D90" s="16">
        <f t="shared" si="4"/>
        <v>429.67376591891355</v>
      </c>
      <c r="E90">
        <f t="shared" si="5"/>
        <v>258.7481647129141</v>
      </c>
      <c r="F90" s="16">
        <f t="shared" si="6"/>
        <v>170.92560120599944</v>
      </c>
      <c r="G90" s="16">
        <f t="shared" si="7"/>
        <v>77453.523812668238</v>
      </c>
      <c r="H90">
        <f>SUM(E79:E90)</f>
        <v>3142.0447193411947</v>
      </c>
      <c r="I90" s="16">
        <f>G90</f>
        <v>77453.523812668238</v>
      </c>
    </row>
    <row r="91" spans="3:9" x14ac:dyDescent="0.25">
      <c r="C91">
        <v>85</v>
      </c>
      <c r="D91" s="16">
        <f t="shared" si="4"/>
        <v>429.67376591891355</v>
      </c>
      <c r="E91">
        <f t="shared" si="5"/>
        <v>258.17841270889414</v>
      </c>
      <c r="F91" s="16">
        <f t="shared" si="6"/>
        <v>171.4953532100194</v>
      </c>
      <c r="G91" s="16">
        <f t="shared" si="7"/>
        <v>77282.028459458219</v>
      </c>
    </row>
    <row r="92" spans="3:9" x14ac:dyDescent="0.25">
      <c r="C92">
        <v>86</v>
      </c>
      <c r="D92" s="16">
        <f t="shared" si="4"/>
        <v>429.67376591891355</v>
      </c>
      <c r="E92">
        <f t="shared" si="5"/>
        <v>257.60676153152741</v>
      </c>
      <c r="F92" s="16">
        <f t="shared" si="6"/>
        <v>172.06700438738613</v>
      </c>
      <c r="G92" s="16">
        <f t="shared" si="7"/>
        <v>77109.961455070836</v>
      </c>
    </row>
    <row r="93" spans="3:9" x14ac:dyDescent="0.25">
      <c r="C93">
        <v>87</v>
      </c>
      <c r="D93" s="16">
        <f t="shared" si="4"/>
        <v>429.67376591891355</v>
      </c>
      <c r="E93">
        <f t="shared" si="5"/>
        <v>257.03320485023613</v>
      </c>
      <c r="F93" s="16">
        <f t="shared" si="6"/>
        <v>172.64056106867741</v>
      </c>
      <c r="G93" s="16">
        <f t="shared" si="7"/>
        <v>76937.320894002158</v>
      </c>
    </row>
    <row r="94" spans="3:9" x14ac:dyDescent="0.25">
      <c r="C94">
        <v>88</v>
      </c>
      <c r="D94" s="16">
        <f t="shared" si="4"/>
        <v>429.67376591891355</v>
      </c>
      <c r="E94">
        <f t="shared" si="5"/>
        <v>256.45773631334055</v>
      </c>
      <c r="F94" s="16">
        <f t="shared" si="6"/>
        <v>173.216029605573</v>
      </c>
      <c r="G94" s="16">
        <f t="shared" si="7"/>
        <v>76764.104864396591</v>
      </c>
    </row>
    <row r="95" spans="3:9" x14ac:dyDescent="0.25">
      <c r="C95">
        <v>89</v>
      </c>
      <c r="D95" s="16">
        <f t="shared" si="4"/>
        <v>429.67376591891355</v>
      </c>
      <c r="E95">
        <f t="shared" si="5"/>
        <v>255.88034954798866</v>
      </c>
      <c r="F95" s="16">
        <f t="shared" si="6"/>
        <v>173.79341637092489</v>
      </c>
      <c r="G95" s="16">
        <f t="shared" si="7"/>
        <v>76590.311448025663</v>
      </c>
    </row>
    <row r="96" spans="3:9" x14ac:dyDescent="0.25">
      <c r="C96">
        <v>90</v>
      </c>
      <c r="D96" s="16">
        <f t="shared" si="4"/>
        <v>429.67376591891355</v>
      </c>
      <c r="E96">
        <f t="shared" si="5"/>
        <v>255.30103816008557</v>
      </c>
      <c r="F96" s="16">
        <f t="shared" si="6"/>
        <v>174.37272775882798</v>
      </c>
      <c r="G96" s="16">
        <f t="shared" si="7"/>
        <v>76415.938720266829</v>
      </c>
    </row>
    <row r="97" spans="3:9" x14ac:dyDescent="0.25">
      <c r="C97">
        <v>91</v>
      </c>
      <c r="D97" s="16">
        <f t="shared" si="4"/>
        <v>429.67376591891355</v>
      </c>
      <c r="E97">
        <f t="shared" si="5"/>
        <v>254.71979573422277</v>
      </c>
      <c r="F97" s="16">
        <f t="shared" si="6"/>
        <v>174.95397018469077</v>
      </c>
      <c r="G97" s="16">
        <f t="shared" si="7"/>
        <v>76240.984750082134</v>
      </c>
    </row>
    <row r="98" spans="3:9" x14ac:dyDescent="0.25">
      <c r="C98">
        <v>92</v>
      </c>
      <c r="D98" s="16">
        <f t="shared" si="4"/>
        <v>429.67376591891355</v>
      </c>
      <c r="E98">
        <f t="shared" si="5"/>
        <v>254.13661583360712</v>
      </c>
      <c r="F98" s="16">
        <f t="shared" si="6"/>
        <v>175.53715008530642</v>
      </c>
      <c r="G98" s="16">
        <f t="shared" si="7"/>
        <v>76065.447599996827</v>
      </c>
    </row>
    <row r="99" spans="3:9" x14ac:dyDescent="0.25">
      <c r="C99">
        <v>93</v>
      </c>
      <c r="D99" s="16">
        <f t="shared" si="4"/>
        <v>429.67376591891355</v>
      </c>
      <c r="E99">
        <f t="shared" si="5"/>
        <v>253.55149199998945</v>
      </c>
      <c r="F99" s="16">
        <f t="shared" si="6"/>
        <v>176.12227391892409</v>
      </c>
      <c r="G99" s="16">
        <f t="shared" si="7"/>
        <v>75889.325326077902</v>
      </c>
    </row>
    <row r="100" spans="3:9" x14ac:dyDescent="0.25">
      <c r="C100">
        <v>94</v>
      </c>
      <c r="D100" s="16">
        <f t="shared" si="4"/>
        <v>429.67376591891355</v>
      </c>
      <c r="E100">
        <f t="shared" si="5"/>
        <v>252.96441775359301</v>
      </c>
      <c r="F100" s="16">
        <f t="shared" si="6"/>
        <v>176.70934816532053</v>
      </c>
      <c r="G100" s="16">
        <f t="shared" si="7"/>
        <v>75712.615977912588</v>
      </c>
    </row>
    <row r="101" spans="3:9" x14ac:dyDescent="0.25">
      <c r="C101">
        <v>95</v>
      </c>
      <c r="D101" s="16">
        <f t="shared" si="4"/>
        <v>429.67376591891355</v>
      </c>
      <c r="E101">
        <f t="shared" si="5"/>
        <v>252.37538659304198</v>
      </c>
      <c r="F101" s="16">
        <f t="shared" si="6"/>
        <v>177.29837932587157</v>
      </c>
      <c r="G101" s="16">
        <f t="shared" si="7"/>
        <v>75535.317598586713</v>
      </c>
    </row>
    <row r="102" spans="3:9" x14ac:dyDescent="0.25">
      <c r="C102" s="17">
        <v>96</v>
      </c>
      <c r="D102" s="16">
        <f t="shared" si="4"/>
        <v>429.67376591891355</v>
      </c>
      <c r="E102">
        <f t="shared" si="5"/>
        <v>251.78439199528907</v>
      </c>
      <c r="F102" s="16">
        <f t="shared" si="6"/>
        <v>177.88937392362448</v>
      </c>
      <c r="G102" s="16">
        <f t="shared" si="7"/>
        <v>75357.42822466309</v>
      </c>
      <c r="H102">
        <f>SUM(E91:E102)</f>
        <v>3059.989603021816</v>
      </c>
      <c r="I102" s="16">
        <f>G102</f>
        <v>75357.42822466309</v>
      </c>
    </row>
    <row r="103" spans="3:9" x14ac:dyDescent="0.25">
      <c r="C103">
        <v>97</v>
      </c>
      <c r="D103" s="16">
        <f t="shared" si="4"/>
        <v>429.67376591891355</v>
      </c>
      <c r="E103">
        <f t="shared" si="5"/>
        <v>251.19142741554364</v>
      </c>
      <c r="F103" s="16">
        <f t="shared" si="6"/>
        <v>178.4823385033699</v>
      </c>
      <c r="G103" s="16">
        <f t="shared" si="7"/>
        <v>75178.945886159723</v>
      </c>
    </row>
    <row r="104" spans="3:9" x14ac:dyDescent="0.25">
      <c r="C104">
        <v>98</v>
      </c>
      <c r="D104" s="16">
        <f t="shared" si="4"/>
        <v>429.67376591891355</v>
      </c>
      <c r="E104">
        <f t="shared" si="5"/>
        <v>250.5964862871991</v>
      </c>
      <c r="F104" s="16">
        <f t="shared" si="6"/>
        <v>179.07727963171445</v>
      </c>
      <c r="G104" s="16">
        <f t="shared" si="7"/>
        <v>74999.868606528005</v>
      </c>
    </row>
    <row r="105" spans="3:9" x14ac:dyDescent="0.25">
      <c r="C105">
        <v>99</v>
      </c>
      <c r="D105" s="16">
        <f t="shared" si="4"/>
        <v>429.67376591891355</v>
      </c>
      <c r="E105">
        <f t="shared" si="5"/>
        <v>249.99956202176003</v>
      </c>
      <c r="F105" s="16">
        <f t="shared" si="6"/>
        <v>179.67420389715352</v>
      </c>
      <c r="G105" s="16">
        <f t="shared" si="7"/>
        <v>74820.194402630848</v>
      </c>
    </row>
    <row r="106" spans="3:9" x14ac:dyDescent="0.25">
      <c r="C106">
        <v>100</v>
      </c>
      <c r="D106" s="16">
        <f t="shared" si="4"/>
        <v>429.67376591891355</v>
      </c>
      <c r="E106">
        <f t="shared" si="5"/>
        <v>249.40064800876951</v>
      </c>
      <c r="F106" s="16">
        <f t="shared" si="6"/>
        <v>180.27311791014404</v>
      </c>
      <c r="G106" s="16">
        <f t="shared" si="7"/>
        <v>74639.921284720709</v>
      </c>
    </row>
    <row r="107" spans="3:9" x14ac:dyDescent="0.25">
      <c r="C107">
        <v>101</v>
      </c>
      <c r="D107" s="16">
        <f t="shared" si="4"/>
        <v>429.67376591891355</v>
      </c>
      <c r="E107">
        <f t="shared" si="5"/>
        <v>248.79973761573572</v>
      </c>
      <c r="F107" s="16">
        <f t="shared" si="6"/>
        <v>180.87402830317782</v>
      </c>
      <c r="G107" s="16">
        <f t="shared" si="7"/>
        <v>74459.047256417529</v>
      </c>
    </row>
    <row r="108" spans="3:9" x14ac:dyDescent="0.25">
      <c r="C108">
        <v>102</v>
      </c>
      <c r="D108" s="16">
        <f t="shared" si="4"/>
        <v>429.67376591891355</v>
      </c>
      <c r="E108">
        <f t="shared" si="5"/>
        <v>248.19682418805846</v>
      </c>
      <c r="F108" s="16">
        <f t="shared" si="6"/>
        <v>181.47694173085509</v>
      </c>
      <c r="G108" s="16">
        <f t="shared" si="7"/>
        <v>74277.570314686673</v>
      </c>
    </row>
    <row r="109" spans="3:9" x14ac:dyDescent="0.25">
      <c r="C109">
        <v>103</v>
      </c>
      <c r="D109" s="16">
        <f t="shared" si="4"/>
        <v>429.67376591891355</v>
      </c>
      <c r="E109">
        <f t="shared" si="5"/>
        <v>247.59190104895558</v>
      </c>
      <c r="F109" s="16">
        <f t="shared" si="6"/>
        <v>182.08186486995797</v>
      </c>
      <c r="G109" s="16">
        <f t="shared" si="7"/>
        <v>74095.488449816708</v>
      </c>
    </row>
    <row r="110" spans="3:9" x14ac:dyDescent="0.25">
      <c r="C110">
        <v>104</v>
      </c>
      <c r="D110" s="16">
        <f t="shared" si="4"/>
        <v>429.67376591891355</v>
      </c>
      <c r="E110">
        <f t="shared" si="5"/>
        <v>246.98496149938904</v>
      </c>
      <c r="F110" s="16">
        <f t="shared" si="6"/>
        <v>182.6888044195245</v>
      </c>
      <c r="G110" s="16">
        <f t="shared" si="7"/>
        <v>73912.799645397186</v>
      </c>
    </row>
    <row r="111" spans="3:9" x14ac:dyDescent="0.25">
      <c r="C111">
        <v>105</v>
      </c>
      <c r="D111" s="16">
        <f t="shared" si="4"/>
        <v>429.67376591891355</v>
      </c>
      <c r="E111">
        <f t="shared" si="5"/>
        <v>246.37599881799065</v>
      </c>
      <c r="F111" s="16">
        <f t="shared" si="6"/>
        <v>183.2977671009229</v>
      </c>
      <c r="G111" s="16">
        <f t="shared" si="7"/>
        <v>73729.501878296258</v>
      </c>
    </row>
    <row r="112" spans="3:9" x14ac:dyDescent="0.25">
      <c r="C112">
        <v>106</v>
      </c>
      <c r="D112" s="16">
        <f t="shared" si="4"/>
        <v>429.67376591891355</v>
      </c>
      <c r="E112">
        <f t="shared" si="5"/>
        <v>245.76500626098755</v>
      </c>
      <c r="F112" s="16">
        <f t="shared" si="6"/>
        <v>183.908759657926</v>
      </c>
      <c r="G112" s="16">
        <f t="shared" si="7"/>
        <v>73545.593118638339</v>
      </c>
    </row>
    <row r="113" spans="3:9" x14ac:dyDescent="0.25">
      <c r="C113">
        <v>107</v>
      </c>
      <c r="D113" s="16">
        <f t="shared" si="4"/>
        <v>429.67376591891355</v>
      </c>
      <c r="E113">
        <f t="shared" si="5"/>
        <v>245.1519770621278</v>
      </c>
      <c r="F113" s="16">
        <f t="shared" si="6"/>
        <v>184.52178885678575</v>
      </c>
      <c r="G113" s="16">
        <f t="shared" si="7"/>
        <v>73361.071329781553</v>
      </c>
    </row>
    <row r="114" spans="3:9" x14ac:dyDescent="0.25">
      <c r="C114" s="17">
        <v>108</v>
      </c>
      <c r="D114" s="16">
        <f t="shared" si="4"/>
        <v>429.67376591891355</v>
      </c>
      <c r="E114">
        <f t="shared" si="5"/>
        <v>244.53690443260518</v>
      </c>
      <c r="F114" s="16">
        <f t="shared" si="6"/>
        <v>185.13686148630836</v>
      </c>
      <c r="G114" s="16">
        <f t="shared" si="7"/>
        <v>73175.934468295251</v>
      </c>
      <c r="H114">
        <f>SUM(E103:E114)</f>
        <v>2974.5914346591226</v>
      </c>
      <c r="I114" s="16">
        <f>G114</f>
        <v>73175.934468295251</v>
      </c>
    </row>
    <row r="115" spans="3:9" x14ac:dyDescent="0.25">
      <c r="C115">
        <v>109</v>
      </c>
      <c r="D115" s="16">
        <f t="shared" si="4"/>
        <v>429.67376591891355</v>
      </c>
      <c r="E115">
        <f t="shared" si="5"/>
        <v>243.91978156098418</v>
      </c>
      <c r="F115" s="16">
        <f t="shared" si="6"/>
        <v>185.75398435792937</v>
      </c>
      <c r="G115" s="16">
        <f t="shared" si="7"/>
        <v>72990.180483937322</v>
      </c>
    </row>
    <row r="116" spans="3:9" x14ac:dyDescent="0.25">
      <c r="C116">
        <v>110</v>
      </c>
      <c r="D116" s="16">
        <f t="shared" si="4"/>
        <v>429.67376591891355</v>
      </c>
      <c r="E116">
        <f t="shared" si="5"/>
        <v>243.30060161312443</v>
      </c>
      <c r="F116" s="16">
        <f t="shared" si="6"/>
        <v>186.37316430578912</v>
      </c>
      <c r="G116" s="16">
        <f t="shared" si="7"/>
        <v>72803.807319631538</v>
      </c>
    </row>
    <row r="117" spans="3:9" x14ac:dyDescent="0.25">
      <c r="C117">
        <v>111</v>
      </c>
      <c r="D117" s="16">
        <f t="shared" si="4"/>
        <v>429.67376591891355</v>
      </c>
      <c r="E117">
        <f t="shared" si="5"/>
        <v>242.67935773210513</v>
      </c>
      <c r="F117" s="16">
        <f t="shared" si="6"/>
        <v>186.99440818680841</v>
      </c>
      <c r="G117" s="16">
        <f t="shared" si="7"/>
        <v>72616.812911444737</v>
      </c>
    </row>
    <row r="118" spans="3:9" x14ac:dyDescent="0.25">
      <c r="C118">
        <v>112</v>
      </c>
      <c r="D118" s="16">
        <f t="shared" si="4"/>
        <v>429.67376591891355</v>
      </c>
      <c r="E118">
        <f t="shared" si="5"/>
        <v>242.05604303814914</v>
      </c>
      <c r="F118" s="16">
        <f t="shared" si="6"/>
        <v>187.6177228807644</v>
      </c>
      <c r="G118" s="16">
        <f t="shared" si="7"/>
        <v>72429.195188563972</v>
      </c>
    </row>
    <row r="119" spans="3:9" x14ac:dyDescent="0.25">
      <c r="C119">
        <v>113</v>
      </c>
      <c r="D119" s="16">
        <f t="shared" si="4"/>
        <v>429.67376591891355</v>
      </c>
      <c r="E119">
        <f t="shared" si="5"/>
        <v>241.4306506285466</v>
      </c>
      <c r="F119" s="16">
        <f t="shared" si="6"/>
        <v>188.24311529036694</v>
      </c>
      <c r="G119" s="16">
        <f t="shared" si="7"/>
        <v>72240.952073273598</v>
      </c>
    </row>
    <row r="120" spans="3:9" x14ac:dyDescent="0.25">
      <c r="C120">
        <v>114</v>
      </c>
      <c r="D120" s="16">
        <f t="shared" si="4"/>
        <v>429.67376591891355</v>
      </c>
      <c r="E120">
        <f t="shared" si="5"/>
        <v>240.80317357757869</v>
      </c>
      <c r="F120" s="16">
        <f t="shared" si="6"/>
        <v>188.87059234133486</v>
      </c>
      <c r="G120" s="16">
        <f t="shared" si="7"/>
        <v>72052.081480932262</v>
      </c>
    </row>
    <row r="121" spans="3:9" x14ac:dyDescent="0.25">
      <c r="C121">
        <v>115</v>
      </c>
      <c r="D121" s="16">
        <f t="shared" si="4"/>
        <v>429.67376591891355</v>
      </c>
      <c r="E121">
        <f t="shared" si="5"/>
        <v>240.17360493644088</v>
      </c>
      <c r="F121" s="16">
        <f t="shared" si="6"/>
        <v>189.50016098247266</v>
      </c>
      <c r="G121" s="16">
        <f t="shared" si="7"/>
        <v>71862.581319949793</v>
      </c>
    </row>
    <row r="122" spans="3:9" x14ac:dyDescent="0.25">
      <c r="C122">
        <v>116</v>
      </c>
      <c r="D122" s="16">
        <f t="shared" si="4"/>
        <v>429.67376591891355</v>
      </c>
      <c r="E122">
        <f t="shared" si="5"/>
        <v>239.54193773316598</v>
      </c>
      <c r="F122" s="16">
        <f t="shared" si="6"/>
        <v>190.13182818574757</v>
      </c>
      <c r="G122" s="16">
        <f t="shared" si="7"/>
        <v>71672.44949176404</v>
      </c>
    </row>
    <row r="123" spans="3:9" x14ac:dyDescent="0.25">
      <c r="C123">
        <v>117</v>
      </c>
      <c r="D123" s="16">
        <f t="shared" si="4"/>
        <v>429.67376591891355</v>
      </c>
      <c r="E123">
        <f t="shared" si="5"/>
        <v>238.90816497254681</v>
      </c>
      <c r="F123" s="16">
        <f t="shared" si="6"/>
        <v>190.76560094636673</v>
      </c>
      <c r="G123" s="16">
        <f t="shared" si="7"/>
        <v>71481.683890817672</v>
      </c>
    </row>
    <row r="124" spans="3:9" x14ac:dyDescent="0.25">
      <c r="C124">
        <v>118</v>
      </c>
      <c r="D124" s="16">
        <f t="shared" si="4"/>
        <v>429.67376591891355</v>
      </c>
      <c r="E124">
        <f t="shared" si="5"/>
        <v>238.27227963605893</v>
      </c>
      <c r="F124" s="16">
        <f t="shared" si="6"/>
        <v>191.40148628285462</v>
      </c>
      <c r="G124" s="16">
        <f t="shared" si="7"/>
        <v>71290.282404534824</v>
      </c>
    </row>
    <row r="125" spans="3:9" x14ac:dyDescent="0.25">
      <c r="C125">
        <v>119</v>
      </c>
      <c r="D125" s="16">
        <f t="shared" si="4"/>
        <v>429.67376591891355</v>
      </c>
      <c r="E125">
        <f t="shared" si="5"/>
        <v>237.63427468178276</v>
      </c>
      <c r="F125" s="16">
        <f t="shared" si="6"/>
        <v>192.03949123713079</v>
      </c>
      <c r="G125" s="16">
        <f t="shared" si="7"/>
        <v>71098.242913297698</v>
      </c>
    </row>
    <row r="126" spans="3:9" x14ac:dyDescent="0.25">
      <c r="C126" s="17">
        <v>120</v>
      </c>
      <c r="D126" s="16">
        <f t="shared" si="4"/>
        <v>429.67376591891355</v>
      </c>
      <c r="E126">
        <f t="shared" si="5"/>
        <v>236.99414304432568</v>
      </c>
      <c r="F126" s="16">
        <f t="shared" si="6"/>
        <v>192.67962287458786</v>
      </c>
      <c r="G126" s="16">
        <f t="shared" si="7"/>
        <v>70905.563290423117</v>
      </c>
      <c r="H126">
        <f>SUM(E115:E126)</f>
        <v>2885.714013154809</v>
      </c>
      <c r="I126" s="16">
        <f>G126</f>
        <v>70905.563290423117</v>
      </c>
    </row>
  </sheetData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6"/>
  <sheetViews>
    <sheetView topLeftCell="A50" workbookViewId="0">
      <selection activeCell="D81" sqref="D81:I84"/>
    </sheetView>
  </sheetViews>
  <sheetFormatPr defaultColWidth="11" defaultRowHeight="15.75" x14ac:dyDescent="0.25"/>
  <cols>
    <col min="10" max="15" width="0" hidden="1" customWidth="1"/>
    <col min="19" max="19" width="24.875" customWidth="1"/>
    <col min="20" max="20" width="23.375" customWidth="1"/>
  </cols>
  <sheetData>
    <row r="1" spans="1:17" x14ac:dyDescent="0.25">
      <c r="A1" t="s">
        <v>70</v>
      </c>
    </row>
    <row r="2" spans="1:17" x14ac:dyDescent="0.25">
      <c r="A2" t="s">
        <v>24</v>
      </c>
    </row>
    <row r="3" spans="1:17" x14ac:dyDescent="0.25">
      <c r="A3" t="s">
        <v>25</v>
      </c>
    </row>
    <row r="4" spans="1:17" x14ac:dyDescent="0.25">
      <c r="A4" t="s">
        <v>26</v>
      </c>
      <c r="C4">
        <v>0.6</v>
      </c>
    </row>
    <row r="5" spans="1:17" x14ac:dyDescent="0.25">
      <c r="A5" t="s">
        <v>32</v>
      </c>
      <c r="C5">
        <v>10</v>
      </c>
    </row>
    <row r="6" spans="1:17" x14ac:dyDescent="0.25">
      <c r="A6" t="s">
        <v>33</v>
      </c>
      <c r="C6">
        <v>70</v>
      </c>
    </row>
    <row r="7" spans="1:17" x14ac:dyDescent="0.25">
      <c r="A7" t="s">
        <v>38</v>
      </c>
      <c r="C7">
        <v>2000</v>
      </c>
    </row>
    <row r="8" spans="1:17" x14ac:dyDescent="0.25">
      <c r="A8" t="s">
        <v>39</v>
      </c>
      <c r="C8">
        <v>8000</v>
      </c>
    </row>
    <row r="9" spans="1:17" x14ac:dyDescent="0.25">
      <c r="A9" t="s">
        <v>40</v>
      </c>
      <c r="C9">
        <v>8</v>
      </c>
    </row>
    <row r="10" spans="1:17" x14ac:dyDescent="0.25">
      <c r="A10" t="s">
        <v>44</v>
      </c>
      <c r="C10">
        <v>10</v>
      </c>
    </row>
    <row r="11" spans="1:17" x14ac:dyDescent="0.25">
      <c r="A11" t="s">
        <v>46</v>
      </c>
      <c r="C11">
        <v>3</v>
      </c>
    </row>
    <row r="12" spans="1:17" x14ac:dyDescent="0.25">
      <c r="A12" t="s">
        <v>47</v>
      </c>
      <c r="C12">
        <v>14</v>
      </c>
    </row>
    <row r="13" spans="1:17" x14ac:dyDescent="0.25">
      <c r="D13">
        <v>0</v>
      </c>
      <c r="E13">
        <v>1</v>
      </c>
      <c r="F13">
        <v>2</v>
      </c>
      <c r="G13">
        <v>3</v>
      </c>
      <c r="H13">
        <v>4</v>
      </c>
      <c r="I13">
        <v>5</v>
      </c>
      <c r="J13">
        <v>6</v>
      </c>
      <c r="K13">
        <v>7</v>
      </c>
      <c r="L13">
        <v>8</v>
      </c>
      <c r="M13">
        <v>9</v>
      </c>
      <c r="N13">
        <v>10</v>
      </c>
    </row>
    <row r="14" spans="1:17" ht="19.5" x14ac:dyDescent="0.3">
      <c r="A14" t="s">
        <v>64</v>
      </c>
      <c r="E14" s="13">
        <v>2015</v>
      </c>
      <c r="F14" s="14">
        <v>2016</v>
      </c>
      <c r="G14" s="14">
        <v>2017</v>
      </c>
      <c r="H14" s="15">
        <v>2018</v>
      </c>
      <c r="I14" s="15">
        <v>2019</v>
      </c>
      <c r="J14" s="15">
        <v>2020</v>
      </c>
      <c r="K14" s="15">
        <v>2021</v>
      </c>
      <c r="L14" s="15">
        <v>2022</v>
      </c>
      <c r="M14" s="15">
        <v>2023</v>
      </c>
      <c r="N14" s="15">
        <v>2024</v>
      </c>
      <c r="O14" s="7"/>
    </row>
    <row r="15" spans="1:17" x14ac:dyDescent="0.25">
      <c r="A15" s="1" t="s">
        <v>0</v>
      </c>
      <c r="B15" s="1"/>
      <c r="E15" s="9"/>
      <c r="F15" s="10"/>
      <c r="G15" s="10"/>
      <c r="H15" s="10"/>
      <c r="I15" s="10"/>
      <c r="J15" s="10"/>
      <c r="K15" s="10"/>
      <c r="L15" s="10"/>
      <c r="M15" s="10"/>
      <c r="N15" s="10"/>
      <c r="O15" s="7"/>
    </row>
    <row r="16" spans="1:17" x14ac:dyDescent="0.25">
      <c r="A16" s="2" t="s">
        <v>1</v>
      </c>
      <c r="B16" s="2"/>
      <c r="E16" s="9">
        <f>C6*365*C5*C4</f>
        <v>153300</v>
      </c>
      <c r="F16" s="10">
        <f>E16*(1+$P$16)</f>
        <v>154833</v>
      </c>
      <c r="G16" s="10">
        <f t="shared" ref="G16:N16" si="0">F16*(1+$P$16)</f>
        <v>156381.32999999999</v>
      </c>
      <c r="H16" s="10">
        <f t="shared" si="0"/>
        <v>157945.1433</v>
      </c>
      <c r="I16" s="10">
        <f t="shared" si="0"/>
        <v>159524.59473300001</v>
      </c>
      <c r="J16" s="10">
        <f t="shared" si="0"/>
        <v>161119.84068033</v>
      </c>
      <c r="K16" s="10">
        <f t="shared" si="0"/>
        <v>162731.03908713331</v>
      </c>
      <c r="L16" s="10">
        <f t="shared" si="0"/>
        <v>164358.34947800465</v>
      </c>
      <c r="M16" s="10">
        <f t="shared" si="0"/>
        <v>166001.93297278471</v>
      </c>
      <c r="N16" s="10">
        <f t="shared" si="0"/>
        <v>167661.95230251257</v>
      </c>
      <c r="O16" s="7"/>
      <c r="P16" s="3">
        <v>0.01</v>
      </c>
      <c r="Q16" t="s">
        <v>65</v>
      </c>
    </row>
    <row r="17" spans="1:19" x14ac:dyDescent="0.25">
      <c r="A17" s="2"/>
      <c r="B17" s="2"/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7"/>
    </row>
    <row r="18" spans="1:19" x14ac:dyDescent="0.25">
      <c r="A18" s="2" t="s">
        <v>2</v>
      </c>
      <c r="B18" s="2"/>
      <c r="E18" s="9"/>
      <c r="F18" s="10"/>
      <c r="G18" s="10"/>
      <c r="H18" s="10"/>
      <c r="I18" s="10"/>
      <c r="J18" s="10"/>
      <c r="K18" s="10"/>
      <c r="L18" s="10"/>
      <c r="M18" s="10"/>
      <c r="N18" s="10"/>
      <c r="O18" s="7"/>
    </row>
    <row r="19" spans="1:19" x14ac:dyDescent="0.25">
      <c r="A19" s="2"/>
      <c r="B19" s="2" t="s">
        <v>3</v>
      </c>
      <c r="E19" s="9">
        <f>R19*E16</f>
        <v>63875</v>
      </c>
      <c r="F19" s="10">
        <f>F16*$R$19</f>
        <v>64513.75</v>
      </c>
      <c r="G19" s="10">
        <f t="shared" ref="G19:N19" si="1">G16*$R$19</f>
        <v>65158.887499999997</v>
      </c>
      <c r="H19" s="10">
        <f t="shared" si="1"/>
        <v>65810.476374999998</v>
      </c>
      <c r="I19" s="10">
        <f t="shared" si="1"/>
        <v>66468.58113875</v>
      </c>
      <c r="J19" s="10">
        <f t="shared" si="1"/>
        <v>67133.266950137506</v>
      </c>
      <c r="K19" s="10">
        <f t="shared" si="1"/>
        <v>67804.599619638888</v>
      </c>
      <c r="L19" s="10">
        <f t="shared" si="1"/>
        <v>68482.645615835267</v>
      </c>
      <c r="M19" s="10">
        <f t="shared" si="1"/>
        <v>69167.47207199363</v>
      </c>
      <c r="N19" s="10">
        <f t="shared" si="1"/>
        <v>69859.146792713567</v>
      </c>
      <c r="O19" s="20"/>
      <c r="P19">
        <v>0.25</v>
      </c>
      <c r="Q19" s="3" t="s">
        <v>53</v>
      </c>
      <c r="R19" s="4">
        <f>0.25/C4</f>
        <v>0.41666666666666669</v>
      </c>
    </row>
    <row r="20" spans="1:19" x14ac:dyDescent="0.25">
      <c r="A20" s="2" t="s">
        <v>34</v>
      </c>
      <c r="B20" s="2"/>
      <c r="E20" s="9">
        <f>E16-E19</f>
        <v>89425</v>
      </c>
      <c r="F20" s="10">
        <f>F16-F19</f>
        <v>90319.25</v>
      </c>
      <c r="G20" s="10">
        <f t="shared" ref="G20:N20" si="2">G16-G19</f>
        <v>91222.44249999999</v>
      </c>
      <c r="H20" s="10">
        <f t="shared" si="2"/>
        <v>92134.666924999998</v>
      </c>
      <c r="I20" s="10">
        <f t="shared" si="2"/>
        <v>93056.013594250006</v>
      </c>
      <c r="J20" s="10">
        <f t="shared" si="2"/>
        <v>93986.573730192496</v>
      </c>
      <c r="K20" s="10">
        <f t="shared" si="2"/>
        <v>94926.43946749442</v>
      </c>
      <c r="L20" s="10">
        <f t="shared" si="2"/>
        <v>95875.703862169379</v>
      </c>
      <c r="M20" s="10">
        <f t="shared" si="2"/>
        <v>96834.460900791077</v>
      </c>
      <c r="N20" s="10">
        <f t="shared" si="2"/>
        <v>97802.805509799</v>
      </c>
      <c r="O20" s="7"/>
    </row>
    <row r="21" spans="1:19" x14ac:dyDescent="0.25">
      <c r="A21" s="2"/>
      <c r="B21" s="2"/>
      <c r="E21" s="9"/>
      <c r="F21" s="10"/>
      <c r="G21" s="10"/>
      <c r="H21" s="10"/>
      <c r="I21" s="10"/>
      <c r="J21" s="10"/>
      <c r="K21" s="10"/>
      <c r="L21" s="10"/>
      <c r="M21" s="10"/>
      <c r="N21" s="10"/>
      <c r="O21" s="7"/>
    </row>
    <row r="22" spans="1:19" x14ac:dyDescent="0.25">
      <c r="A22" s="2" t="s">
        <v>4</v>
      </c>
      <c r="B22" s="2"/>
      <c r="E22" s="9"/>
      <c r="F22" s="10"/>
      <c r="G22" s="10"/>
      <c r="H22" s="10"/>
      <c r="I22" s="10"/>
      <c r="J22" s="10"/>
      <c r="K22" s="10"/>
      <c r="L22" s="10"/>
      <c r="M22" s="10"/>
      <c r="N22" s="10"/>
      <c r="O22" s="7"/>
    </row>
    <row r="23" spans="1:19" x14ac:dyDescent="0.25">
      <c r="A23" s="2"/>
      <c r="B23" s="2"/>
      <c r="E23" s="9"/>
      <c r="F23" s="10"/>
      <c r="G23" s="10"/>
      <c r="H23" s="10"/>
      <c r="I23" s="10"/>
      <c r="J23" s="10"/>
      <c r="K23" s="10"/>
      <c r="L23" s="10"/>
      <c r="M23" s="10"/>
      <c r="N23" s="10"/>
      <c r="O23" s="7"/>
    </row>
    <row r="24" spans="1:19" x14ac:dyDescent="0.25">
      <c r="A24" s="2"/>
      <c r="B24" s="2" t="s">
        <v>5</v>
      </c>
      <c r="E24" s="9">
        <f>P24</f>
        <v>1000</v>
      </c>
      <c r="F24" s="10">
        <f>E24*(1+$P$25)</f>
        <v>1020</v>
      </c>
      <c r="G24" s="10">
        <f t="shared" ref="G24:N24" si="3">F24*(1+$P$25)</f>
        <v>1040.4000000000001</v>
      </c>
      <c r="H24" s="10">
        <f t="shared" si="3"/>
        <v>1061.2080000000001</v>
      </c>
      <c r="I24" s="10">
        <f t="shared" si="3"/>
        <v>1082.4321600000001</v>
      </c>
      <c r="J24" s="10">
        <f t="shared" si="3"/>
        <v>1104.0808032</v>
      </c>
      <c r="K24" s="10">
        <f t="shared" si="3"/>
        <v>1126.1624192639999</v>
      </c>
      <c r="L24" s="10">
        <f t="shared" si="3"/>
        <v>1148.68566764928</v>
      </c>
      <c r="M24" s="10">
        <f t="shared" si="3"/>
        <v>1171.6593810022657</v>
      </c>
      <c r="N24" s="10">
        <f t="shared" si="3"/>
        <v>1195.0925686223111</v>
      </c>
      <c r="O24" s="11"/>
      <c r="P24">
        <v>1000</v>
      </c>
      <c r="Q24" t="s">
        <v>66</v>
      </c>
    </row>
    <row r="25" spans="1:19" x14ac:dyDescent="0.25">
      <c r="A25" s="2"/>
      <c r="B25" s="2"/>
      <c r="E25" s="9"/>
      <c r="F25" s="10"/>
      <c r="G25" s="7"/>
      <c r="H25" s="7"/>
      <c r="I25" s="7"/>
      <c r="J25" s="7"/>
      <c r="K25" s="7"/>
      <c r="L25" s="7"/>
      <c r="M25" s="7"/>
      <c r="N25" s="7"/>
      <c r="O25" s="7"/>
      <c r="P25" s="3">
        <v>0.02</v>
      </c>
      <c r="Q25" t="s">
        <v>67</v>
      </c>
    </row>
    <row r="26" spans="1:19" x14ac:dyDescent="0.25">
      <c r="A26" s="2"/>
      <c r="B26" s="2"/>
      <c r="E26" s="9"/>
      <c r="F26" s="10"/>
      <c r="G26" s="10"/>
      <c r="H26" s="10"/>
      <c r="I26" s="10"/>
      <c r="J26" s="10"/>
      <c r="K26" s="10"/>
      <c r="L26" s="10"/>
      <c r="M26" s="10"/>
      <c r="N26" s="10"/>
      <c r="O26" s="7"/>
      <c r="P26">
        <v>40</v>
      </c>
      <c r="Q26" t="s">
        <v>56</v>
      </c>
    </row>
    <row r="27" spans="1:19" x14ac:dyDescent="0.25">
      <c r="A27" s="2"/>
      <c r="B27" s="2"/>
      <c r="E27" s="9"/>
      <c r="F27" s="10"/>
      <c r="G27" s="10"/>
      <c r="H27" s="10"/>
      <c r="I27" s="10"/>
      <c r="J27" s="10"/>
      <c r="K27" s="10"/>
      <c r="L27" s="10"/>
      <c r="M27" s="10"/>
      <c r="N27" s="10"/>
      <c r="O27" s="7"/>
      <c r="P27">
        <v>1500</v>
      </c>
      <c r="Q27" t="s">
        <v>55</v>
      </c>
      <c r="S27">
        <f>P26*P27</f>
        <v>60000</v>
      </c>
    </row>
    <row r="28" spans="1:19" x14ac:dyDescent="0.25">
      <c r="A28" s="2"/>
      <c r="B28" s="2" t="s">
        <v>28</v>
      </c>
      <c r="E28" s="9">
        <f>P28*40*52</f>
        <v>29120</v>
      </c>
      <c r="F28" s="10">
        <f>E28</f>
        <v>29120</v>
      </c>
      <c r="G28" s="10">
        <f t="shared" ref="G28:N28" si="4">F28</f>
        <v>29120</v>
      </c>
      <c r="H28" s="10">
        <f t="shared" si="4"/>
        <v>29120</v>
      </c>
      <c r="I28" s="10">
        <f t="shared" si="4"/>
        <v>29120</v>
      </c>
      <c r="J28" s="10">
        <f t="shared" si="4"/>
        <v>29120</v>
      </c>
      <c r="K28" s="10">
        <f t="shared" si="4"/>
        <v>29120</v>
      </c>
      <c r="L28" s="10">
        <f t="shared" si="4"/>
        <v>29120</v>
      </c>
      <c r="M28" s="10">
        <f t="shared" si="4"/>
        <v>29120</v>
      </c>
      <c r="N28" s="10">
        <f t="shared" si="4"/>
        <v>29120</v>
      </c>
      <c r="O28" s="7"/>
      <c r="P28" s="6">
        <v>14</v>
      </c>
      <c r="Q28" t="s">
        <v>36</v>
      </c>
    </row>
    <row r="29" spans="1:19" x14ac:dyDescent="0.25">
      <c r="A29" s="2"/>
      <c r="B29" s="2" t="s">
        <v>27</v>
      </c>
      <c r="E29" s="9">
        <f>P29*25*52*P30</f>
        <v>33929.999999999993</v>
      </c>
      <c r="F29" s="10">
        <f>E29*(1+$P$32)</f>
        <v>34608.599999999991</v>
      </c>
      <c r="G29" s="10">
        <f t="shared" ref="G29:N29" si="5">F29*(1+$P$32)</f>
        <v>35300.77199999999</v>
      </c>
      <c r="H29" s="10">
        <f t="shared" si="5"/>
        <v>36006.787439999993</v>
      </c>
      <c r="I29" s="10">
        <f t="shared" si="5"/>
        <v>36726.923188799992</v>
      </c>
      <c r="J29" s="10">
        <f t="shared" si="5"/>
        <v>37461.461652575992</v>
      </c>
      <c r="K29" s="10">
        <f t="shared" si="5"/>
        <v>38210.690885627511</v>
      </c>
      <c r="L29" s="10">
        <f t="shared" si="5"/>
        <v>38974.904703340064</v>
      </c>
      <c r="M29" s="10">
        <f t="shared" si="5"/>
        <v>39754.402797406867</v>
      </c>
      <c r="N29" s="10">
        <f t="shared" si="5"/>
        <v>40549.490853355004</v>
      </c>
      <c r="O29" s="8"/>
      <c r="P29" s="6">
        <v>8.6999999999999993</v>
      </c>
      <c r="Q29" t="s">
        <v>35</v>
      </c>
    </row>
    <row r="30" spans="1:19" x14ac:dyDescent="0.25">
      <c r="A30" s="2" t="s">
        <v>6</v>
      </c>
      <c r="B30" s="2"/>
      <c r="E30" s="9">
        <f>E20-E24-E26-E28-E29</f>
        <v>25375.000000000007</v>
      </c>
      <c r="F30" s="10">
        <f>F20-F24-F26-F28-F29</f>
        <v>25570.650000000009</v>
      </c>
      <c r="G30" s="10">
        <f t="shared" ref="G30:N30" si="6">G20-G24-G26-G28-G29</f>
        <v>25761.270500000006</v>
      </c>
      <c r="H30" s="10">
        <f t="shared" si="6"/>
        <v>25946.671485000006</v>
      </c>
      <c r="I30" s="10">
        <f t="shared" si="6"/>
        <v>26126.658245450017</v>
      </c>
      <c r="J30" s="10">
        <f t="shared" si="6"/>
        <v>26301.031274416498</v>
      </c>
      <c r="K30" s="10">
        <f t="shared" si="6"/>
        <v>26469.586162602907</v>
      </c>
      <c r="L30" s="10">
        <f t="shared" si="6"/>
        <v>26632.11349118004</v>
      </c>
      <c r="M30" s="10">
        <f t="shared" si="6"/>
        <v>26788.398722381949</v>
      </c>
      <c r="N30" s="10">
        <f t="shared" si="6"/>
        <v>26938.22208782169</v>
      </c>
      <c r="O30" s="7"/>
      <c r="P30">
        <v>3</v>
      </c>
      <c r="Q30" t="s">
        <v>42</v>
      </c>
    </row>
    <row r="31" spans="1:19" x14ac:dyDescent="0.25">
      <c r="A31" s="2" t="s">
        <v>107</v>
      </c>
      <c r="B31" s="2"/>
      <c r="E31" s="9">
        <v>0</v>
      </c>
      <c r="F31" s="10">
        <v>0</v>
      </c>
      <c r="G31" s="10">
        <v>0</v>
      </c>
      <c r="H31" s="10">
        <v>10000</v>
      </c>
      <c r="I31" s="10">
        <v>20000</v>
      </c>
      <c r="J31" s="10"/>
      <c r="K31" s="10"/>
      <c r="L31" s="10"/>
      <c r="M31" s="10"/>
      <c r="N31" s="10"/>
      <c r="O31" s="7"/>
    </row>
    <row r="32" spans="1:19" x14ac:dyDescent="0.25">
      <c r="A32" s="2"/>
      <c r="B32" s="2"/>
      <c r="E32" s="9"/>
      <c r="F32" s="10"/>
      <c r="G32" s="10"/>
      <c r="H32" s="10"/>
      <c r="I32" s="10"/>
      <c r="J32" s="10"/>
      <c r="K32" s="10"/>
      <c r="L32" s="10"/>
      <c r="M32" s="10"/>
      <c r="N32" s="10"/>
      <c r="O32" s="7"/>
      <c r="P32" s="3">
        <v>0.02</v>
      </c>
      <c r="Q32" t="s">
        <v>68</v>
      </c>
    </row>
    <row r="33" spans="1:26" x14ac:dyDescent="0.25">
      <c r="A33" s="2" t="s">
        <v>103</v>
      </c>
      <c r="B33" s="2"/>
      <c r="E33" s="9">
        <f>E49/P33</f>
        <v>2400</v>
      </c>
      <c r="F33" s="10">
        <f>E33</f>
        <v>2400</v>
      </c>
      <c r="G33" s="10">
        <f t="shared" ref="G33:M34" si="7">F33</f>
        <v>2400</v>
      </c>
      <c r="H33" s="10">
        <f t="shared" si="7"/>
        <v>2400</v>
      </c>
      <c r="I33" s="10">
        <f t="shared" si="7"/>
        <v>2400</v>
      </c>
      <c r="J33" s="10">
        <f t="shared" si="7"/>
        <v>2400</v>
      </c>
      <c r="K33" s="10">
        <f t="shared" si="7"/>
        <v>2400</v>
      </c>
      <c r="L33" s="10">
        <f t="shared" si="7"/>
        <v>2400</v>
      </c>
      <c r="M33" s="10">
        <v>0</v>
      </c>
      <c r="N33" s="10">
        <f t="shared" ref="N33:N34" si="8">M33</f>
        <v>0</v>
      </c>
      <c r="O33" s="7"/>
      <c r="P33">
        <v>10</v>
      </c>
      <c r="Q33" t="s">
        <v>37</v>
      </c>
    </row>
    <row r="34" spans="1:26" x14ac:dyDescent="0.25">
      <c r="A34" s="2" t="s">
        <v>104</v>
      </c>
      <c r="B34" s="2"/>
      <c r="E34" s="9">
        <f>E51/20</f>
        <v>4500</v>
      </c>
      <c r="F34" s="10">
        <f>E34</f>
        <v>4500</v>
      </c>
      <c r="G34" s="10">
        <f t="shared" si="7"/>
        <v>4500</v>
      </c>
      <c r="H34" s="10">
        <f t="shared" si="7"/>
        <v>4500</v>
      </c>
      <c r="I34" s="10">
        <f t="shared" si="7"/>
        <v>4500</v>
      </c>
      <c r="J34" s="10">
        <f t="shared" si="7"/>
        <v>4500</v>
      </c>
      <c r="K34" s="10">
        <f t="shared" si="7"/>
        <v>4500</v>
      </c>
      <c r="L34" s="10">
        <f t="shared" si="7"/>
        <v>4500</v>
      </c>
      <c r="M34" s="10">
        <f t="shared" si="7"/>
        <v>4500</v>
      </c>
      <c r="N34" s="10">
        <f t="shared" si="8"/>
        <v>4500</v>
      </c>
      <c r="O34" s="7"/>
      <c r="P34">
        <v>20</v>
      </c>
      <c r="Q34" t="s">
        <v>37</v>
      </c>
    </row>
    <row r="35" spans="1:26" x14ac:dyDescent="0.25">
      <c r="A35" s="2" t="s">
        <v>71</v>
      </c>
      <c r="B35" s="2"/>
      <c r="E35" s="9">
        <f>Mortgage!H18</f>
        <v>3571.1524011001115</v>
      </c>
      <c r="F35" s="10">
        <f>Mortgage!H30</f>
        <v>3506.5797938143241</v>
      </c>
      <c r="G35" s="10">
        <f>Mortgage!H42</f>
        <v>3439.3763988773599</v>
      </c>
      <c r="H35" s="10">
        <f>Mortgage!H54</f>
        <v>3369.4350339412172</v>
      </c>
      <c r="I35" s="10">
        <f>Mortgage!H66</f>
        <v>3296.6441498836593</v>
      </c>
      <c r="J35" s="10">
        <f>Mortgage!H78</f>
        <v>3220.8876528991004</v>
      </c>
      <c r="K35" s="10">
        <f>Mortgage!H90</f>
        <v>3142.0447193411947</v>
      </c>
      <c r="L35" s="10">
        <f>Mortgage!H102</f>
        <v>3059.989603021816</v>
      </c>
      <c r="M35" s="10">
        <f>Mortgage!H114</f>
        <v>2974.5914346591226</v>
      </c>
      <c r="N35" s="10">
        <f>Mortgage!H126</f>
        <v>2885.714013154809</v>
      </c>
      <c r="O35" s="7"/>
    </row>
    <row r="36" spans="1:26" x14ac:dyDescent="0.25">
      <c r="A36" s="2" t="s">
        <v>7</v>
      </c>
      <c r="B36" s="2"/>
      <c r="E36" s="9">
        <f t="shared" ref="E36:N36" si="9">$P$36*E59</f>
        <v>11841.2808501174</v>
      </c>
      <c r="F36" s="10">
        <f t="shared" si="9"/>
        <v>10913.685724033212</v>
      </c>
      <c r="G36" s="10">
        <f t="shared" si="9"/>
        <v>10452.826811729155</v>
      </c>
      <c r="H36" s="10">
        <f t="shared" si="9"/>
        <v>10209.311956775646</v>
      </c>
      <c r="I36" s="10">
        <f t="shared" si="9"/>
        <v>10384.960157987271</v>
      </c>
      <c r="J36" s="10">
        <f t="shared" si="9"/>
        <v>0</v>
      </c>
      <c r="K36" s="10">
        <f t="shared" si="9"/>
        <v>0</v>
      </c>
      <c r="L36" s="10">
        <f t="shared" si="9"/>
        <v>0</v>
      </c>
      <c r="M36" s="10">
        <f t="shared" si="9"/>
        <v>0</v>
      </c>
      <c r="N36" s="10">
        <f t="shared" si="9"/>
        <v>0</v>
      </c>
      <c r="O36" s="7"/>
      <c r="P36" s="3">
        <v>0.11</v>
      </c>
      <c r="Q36" t="s">
        <v>52</v>
      </c>
    </row>
    <row r="37" spans="1:26" x14ac:dyDescent="0.25">
      <c r="A37" s="2"/>
      <c r="B37" s="2"/>
      <c r="E37" s="9"/>
      <c r="F37" s="10"/>
      <c r="G37" s="10"/>
      <c r="H37" s="10"/>
      <c r="I37" s="10"/>
      <c r="J37" s="10"/>
      <c r="K37" s="10"/>
      <c r="L37" s="10"/>
      <c r="M37" s="10"/>
      <c r="N37" s="10"/>
      <c r="O37" s="7"/>
    </row>
    <row r="38" spans="1:26" x14ac:dyDescent="0.25">
      <c r="A38" s="2" t="s">
        <v>8</v>
      </c>
      <c r="B38" s="2"/>
      <c r="E38" s="9">
        <f>E30-E33-E36-E35-E34</f>
        <v>3062.5667487824958</v>
      </c>
      <c r="F38" s="9">
        <f t="shared" ref="F38:N38" si="10">F30-F33-F36-F35-F34</f>
        <v>4250.3844821524726</v>
      </c>
      <c r="G38" s="9">
        <f t="shared" si="10"/>
        <v>4969.0672893934898</v>
      </c>
      <c r="H38" s="9">
        <f>H30-H33-H36-H35-H34-H31</f>
        <v>-4532.0755057168572</v>
      </c>
      <c r="I38" s="9">
        <f>I30-I33-I36-I35-I34-I31</f>
        <v>-14454.946062420913</v>
      </c>
      <c r="J38" s="9">
        <f t="shared" si="10"/>
        <v>16180.143621517396</v>
      </c>
      <c r="K38" s="9">
        <f t="shared" si="10"/>
        <v>16427.541443261711</v>
      </c>
      <c r="L38" s="9">
        <f t="shared" si="10"/>
        <v>16672.123888158225</v>
      </c>
      <c r="M38" s="9">
        <f t="shared" si="10"/>
        <v>19313.807287722826</v>
      </c>
      <c r="N38" s="9">
        <f t="shared" si="10"/>
        <v>19552.508074666883</v>
      </c>
      <c r="O38" s="7"/>
    </row>
    <row r="39" spans="1:26" x14ac:dyDescent="0.25">
      <c r="A39" s="2" t="s">
        <v>9</v>
      </c>
      <c r="B39" s="2"/>
      <c r="E39" s="9">
        <f>E38*P39</f>
        <v>765.64168719562394</v>
      </c>
      <c r="F39" s="10">
        <f>F38*$P$39</f>
        <v>1062.5961205381182</v>
      </c>
      <c r="G39" s="10">
        <f t="shared" ref="G39:N39" si="11">G38*$P$39</f>
        <v>1242.2668223483724</v>
      </c>
      <c r="H39" s="10">
        <f t="shared" si="11"/>
        <v>-1133.0188764292143</v>
      </c>
      <c r="I39" s="10">
        <f t="shared" si="11"/>
        <v>-3613.7365156052283</v>
      </c>
      <c r="J39" s="10">
        <f t="shared" si="11"/>
        <v>4045.0359053793491</v>
      </c>
      <c r="K39" s="10">
        <f t="shared" si="11"/>
        <v>4106.8853608154277</v>
      </c>
      <c r="L39" s="10">
        <f t="shared" si="11"/>
        <v>4168.0309720395562</v>
      </c>
      <c r="M39" s="10">
        <f t="shared" si="11"/>
        <v>4828.4518219307065</v>
      </c>
      <c r="N39" s="10">
        <f t="shared" si="11"/>
        <v>4888.1270186667207</v>
      </c>
      <c r="O39" s="7"/>
      <c r="P39" s="3">
        <v>0.25</v>
      </c>
      <c r="Q39" t="s">
        <v>57</v>
      </c>
    </row>
    <row r="40" spans="1:26" x14ac:dyDescent="0.25">
      <c r="A40" s="1" t="s">
        <v>10</v>
      </c>
      <c r="B40" s="1"/>
      <c r="E40" s="9">
        <f>E38-E39</f>
        <v>2296.9250615868718</v>
      </c>
      <c r="F40" s="10">
        <f>F38-F39</f>
        <v>3187.7883616143545</v>
      </c>
      <c r="G40" s="10">
        <f t="shared" ref="G40:N40" si="12">G38-G39</f>
        <v>3726.8004670451173</v>
      </c>
      <c r="H40" s="10">
        <f t="shared" si="12"/>
        <v>-3399.0566292876429</v>
      </c>
      <c r="I40" s="10">
        <f t="shared" si="12"/>
        <v>-10841.209546815684</v>
      </c>
      <c r="J40" s="10">
        <f t="shared" si="12"/>
        <v>12135.107716138047</v>
      </c>
      <c r="K40" s="10">
        <f t="shared" si="12"/>
        <v>12320.656082446283</v>
      </c>
      <c r="L40" s="10">
        <f t="shared" si="12"/>
        <v>12504.092916118669</v>
      </c>
      <c r="M40" s="10">
        <f t="shared" si="12"/>
        <v>14485.35546579212</v>
      </c>
      <c r="N40" s="10">
        <f t="shared" si="12"/>
        <v>14664.381056000162</v>
      </c>
      <c r="O40" s="7"/>
    </row>
    <row r="41" spans="1:26" x14ac:dyDescent="0.25">
      <c r="A41" s="2"/>
      <c r="B41" s="2"/>
      <c r="E41" s="9"/>
      <c r="F41" s="10"/>
      <c r="G41" s="10"/>
      <c r="H41" s="10"/>
      <c r="I41" s="10"/>
      <c r="J41" s="10"/>
      <c r="K41" s="10"/>
      <c r="L41" s="10"/>
      <c r="M41" s="10"/>
      <c r="N41" s="10"/>
      <c r="O41" s="7"/>
    </row>
    <row r="42" spans="1:26" x14ac:dyDescent="0.25">
      <c r="A42" s="1" t="s">
        <v>11</v>
      </c>
      <c r="B42" s="1"/>
      <c r="E42" s="9"/>
      <c r="F42" s="10"/>
      <c r="G42" s="10"/>
      <c r="H42" s="10"/>
      <c r="I42" s="10"/>
      <c r="J42" s="10"/>
      <c r="K42" s="10"/>
      <c r="L42" s="10"/>
      <c r="M42" s="10"/>
      <c r="N42" s="10"/>
      <c r="O42" s="7"/>
    </row>
    <row r="43" spans="1:26" x14ac:dyDescent="0.25">
      <c r="A43" s="1" t="s">
        <v>12</v>
      </c>
      <c r="B43" s="1"/>
      <c r="E43" s="9"/>
      <c r="F43" s="10"/>
      <c r="G43" s="10"/>
      <c r="H43" s="10"/>
      <c r="I43" s="10"/>
      <c r="J43" s="10"/>
      <c r="K43" s="10"/>
      <c r="L43" s="10"/>
      <c r="M43" s="10"/>
      <c r="N43" s="10"/>
      <c r="O43" s="7"/>
      <c r="T43" s="42"/>
      <c r="U43" s="42" t="s">
        <v>110</v>
      </c>
      <c r="V43" s="42"/>
      <c r="W43" s="42" t="s">
        <v>111</v>
      </c>
      <c r="X43" s="42"/>
      <c r="Y43" s="42" t="s">
        <v>108</v>
      </c>
      <c r="Z43" s="42" t="s">
        <v>109</v>
      </c>
    </row>
    <row r="44" spans="1:26" x14ac:dyDescent="0.25">
      <c r="A44" s="2" t="s">
        <v>13</v>
      </c>
      <c r="B44" s="2"/>
      <c r="E44" s="9">
        <f>P44</f>
        <v>500</v>
      </c>
      <c r="F44" s="10">
        <f>$P$44</f>
        <v>500</v>
      </c>
      <c r="G44" s="10">
        <f t="shared" ref="G44:N44" si="13">$P$44</f>
        <v>500</v>
      </c>
      <c r="H44" s="10">
        <f t="shared" si="13"/>
        <v>500</v>
      </c>
      <c r="I44" s="10">
        <f t="shared" si="13"/>
        <v>500</v>
      </c>
      <c r="J44" s="10">
        <f t="shared" si="13"/>
        <v>500</v>
      </c>
      <c r="K44" s="10">
        <f t="shared" si="13"/>
        <v>500</v>
      </c>
      <c r="L44" s="10">
        <f t="shared" si="13"/>
        <v>500</v>
      </c>
      <c r="M44" s="10">
        <f t="shared" si="13"/>
        <v>500</v>
      </c>
      <c r="N44" s="10">
        <f t="shared" si="13"/>
        <v>500</v>
      </c>
      <c r="O44" s="7"/>
      <c r="P44">
        <v>500</v>
      </c>
      <c r="Q44" t="s">
        <v>43</v>
      </c>
      <c r="T44" t="str">
        <f>A44</f>
        <v>Minimum Cash</v>
      </c>
      <c r="V44" s="19">
        <f>I44</f>
        <v>500</v>
      </c>
      <c r="W44" s="3">
        <v>1</v>
      </c>
      <c r="Z44" s="19">
        <f>W44*V44</f>
        <v>500</v>
      </c>
    </row>
    <row r="45" spans="1:26" x14ac:dyDescent="0.25">
      <c r="A45" s="2" t="s">
        <v>14</v>
      </c>
      <c r="B45" s="2"/>
      <c r="E45" s="9">
        <f>E19/365*$C$10</f>
        <v>1750</v>
      </c>
      <c r="F45" s="10">
        <f t="shared" ref="F45:N45" si="14">F19/365*$C$10</f>
        <v>1767.5</v>
      </c>
      <c r="G45" s="10">
        <f t="shared" si="14"/>
        <v>1785.1749999999997</v>
      </c>
      <c r="H45" s="10">
        <f t="shared" si="14"/>
        <v>1803.02675</v>
      </c>
      <c r="I45" s="10">
        <f t="shared" si="14"/>
        <v>1821.0570175</v>
      </c>
      <c r="J45" s="10">
        <f t="shared" si="14"/>
        <v>1839.2675876750002</v>
      </c>
      <c r="K45" s="10">
        <f t="shared" si="14"/>
        <v>1857.6602635517502</v>
      </c>
      <c r="L45" s="10">
        <f t="shared" si="14"/>
        <v>1876.2368661872677</v>
      </c>
      <c r="M45" s="10">
        <f t="shared" si="14"/>
        <v>1894.9992348491405</v>
      </c>
      <c r="N45" s="10">
        <f t="shared" si="14"/>
        <v>1913.9492271976319</v>
      </c>
      <c r="O45" s="7"/>
      <c r="T45" t="str">
        <f>A45</f>
        <v>Inventory</v>
      </c>
      <c r="V45" s="19">
        <f>I45</f>
        <v>1821.0570175</v>
      </c>
      <c r="W45" s="3">
        <v>0.8</v>
      </c>
      <c r="Z45" s="19">
        <f t="shared" ref="Z45:Z46" si="15">W45*V45</f>
        <v>1456.8456140000001</v>
      </c>
    </row>
    <row r="46" spans="1:26" x14ac:dyDescent="0.25">
      <c r="A46" s="2" t="s">
        <v>15</v>
      </c>
      <c r="B46" s="2"/>
      <c r="E46" s="9">
        <v>0</v>
      </c>
      <c r="F46" s="10">
        <v>0</v>
      </c>
      <c r="G46" s="10">
        <v>4714.809199404086</v>
      </c>
      <c r="H46" s="11">
        <v>4209.618444362427</v>
      </c>
      <c r="I46" s="11">
        <v>0</v>
      </c>
      <c r="J46" s="11"/>
      <c r="K46" s="11"/>
      <c r="L46" s="11"/>
      <c r="M46" s="11"/>
      <c r="N46" s="11"/>
      <c r="O46" s="7"/>
      <c r="T46" t="str">
        <f>A46</f>
        <v>Extra Cash</v>
      </c>
      <c r="V46" s="19">
        <f>I46</f>
        <v>0</v>
      </c>
      <c r="W46" s="3">
        <v>1</v>
      </c>
      <c r="Z46" s="19">
        <f t="shared" si="15"/>
        <v>0</v>
      </c>
    </row>
    <row r="47" spans="1:26" x14ac:dyDescent="0.25">
      <c r="A47" s="2" t="s">
        <v>96</v>
      </c>
      <c r="B47" s="2"/>
      <c r="E47" s="9">
        <v>100000</v>
      </c>
      <c r="F47" s="10">
        <f>E47</f>
        <v>100000</v>
      </c>
      <c r="G47" s="10">
        <f t="shared" ref="G47:I47" si="16">F47</f>
        <v>100000</v>
      </c>
      <c r="H47" s="10">
        <f t="shared" si="16"/>
        <v>100000</v>
      </c>
      <c r="I47" s="10">
        <f t="shared" si="16"/>
        <v>100000</v>
      </c>
      <c r="J47" s="11"/>
      <c r="K47" s="11"/>
      <c r="L47" s="11"/>
      <c r="M47" s="11"/>
      <c r="N47" s="11"/>
      <c r="O47" s="7"/>
      <c r="T47" t="str">
        <f>A48</f>
        <v>Accounts Receivable</v>
      </c>
      <c r="V47" s="19">
        <f>I48</f>
        <v>1311.1610525999999</v>
      </c>
      <c r="W47" s="3">
        <v>0.5</v>
      </c>
      <c r="Z47" s="19">
        <f>W47*V47</f>
        <v>655.58052629999997</v>
      </c>
    </row>
    <row r="48" spans="1:26" x14ac:dyDescent="0.25">
      <c r="A48" s="2" t="s">
        <v>45</v>
      </c>
      <c r="B48" s="2"/>
      <c r="E48" s="9">
        <f>E16/365*$C$11</f>
        <v>1260</v>
      </c>
      <c r="F48" s="10">
        <f t="shared" ref="F48:N48" si="17">F16/365*$C$11</f>
        <v>1272.5999999999999</v>
      </c>
      <c r="G48" s="10">
        <f t="shared" si="17"/>
        <v>1285.3259999999998</v>
      </c>
      <c r="H48" s="10">
        <f t="shared" si="17"/>
        <v>1298.1792599999999</v>
      </c>
      <c r="I48" s="10">
        <f t="shared" si="17"/>
        <v>1311.1610525999999</v>
      </c>
      <c r="J48" s="10">
        <f t="shared" si="17"/>
        <v>1324.272663126</v>
      </c>
      <c r="K48" s="10">
        <f t="shared" si="17"/>
        <v>1337.51538975726</v>
      </c>
      <c r="L48" s="10">
        <f t="shared" si="17"/>
        <v>1350.8905436548325</v>
      </c>
      <c r="M48" s="10">
        <f t="shared" si="17"/>
        <v>1364.399449091381</v>
      </c>
      <c r="N48" s="10">
        <f t="shared" si="17"/>
        <v>1378.0434435822951</v>
      </c>
      <c r="O48" s="7"/>
      <c r="T48" t="str">
        <f>A49</f>
        <v>Equipment and Furniture</v>
      </c>
      <c r="V48" s="19">
        <f>I49</f>
        <v>24000</v>
      </c>
      <c r="W48" s="3">
        <v>0.6</v>
      </c>
      <c r="Z48">
        <f>W48*V48</f>
        <v>14400</v>
      </c>
    </row>
    <row r="49" spans="1:29" x14ac:dyDescent="0.25">
      <c r="A49" s="2" t="s">
        <v>29</v>
      </c>
      <c r="B49" s="2"/>
      <c r="E49" s="9">
        <f>C8+(C7*C9)</f>
        <v>24000</v>
      </c>
      <c r="F49" s="10">
        <f>E49</f>
        <v>24000</v>
      </c>
      <c r="G49" s="10">
        <f t="shared" ref="G49:N49" si="18">F49</f>
        <v>24000</v>
      </c>
      <c r="H49" s="10">
        <f t="shared" si="18"/>
        <v>24000</v>
      </c>
      <c r="I49" s="10">
        <f t="shared" si="18"/>
        <v>24000</v>
      </c>
      <c r="J49" s="10">
        <f t="shared" si="18"/>
        <v>24000</v>
      </c>
      <c r="K49" s="10">
        <f t="shared" si="18"/>
        <v>24000</v>
      </c>
      <c r="L49" s="10">
        <f t="shared" si="18"/>
        <v>24000</v>
      </c>
      <c r="M49" s="10">
        <f t="shared" si="18"/>
        <v>24000</v>
      </c>
      <c r="N49" s="10">
        <f t="shared" si="18"/>
        <v>24000</v>
      </c>
      <c r="O49" s="7"/>
      <c r="T49" t="str">
        <f>A47</f>
        <v>Land</v>
      </c>
      <c r="U49" s="19">
        <f>I47</f>
        <v>100000</v>
      </c>
      <c r="W49" s="3">
        <v>0.8</v>
      </c>
      <c r="Y49">
        <f>W49*U49</f>
        <v>80000</v>
      </c>
    </row>
    <row r="50" spans="1:29" x14ac:dyDescent="0.25">
      <c r="A50" s="2" t="s">
        <v>16</v>
      </c>
      <c r="B50" s="2"/>
      <c r="E50" s="9">
        <f>P50*E33</f>
        <v>7200</v>
      </c>
      <c r="F50" s="10">
        <f>E50+F33</f>
        <v>9600</v>
      </c>
      <c r="G50" s="10">
        <f t="shared" ref="G50:N50" si="19">F50+G33</f>
        <v>12000</v>
      </c>
      <c r="H50" s="10">
        <f t="shared" si="19"/>
        <v>14400</v>
      </c>
      <c r="I50" s="10">
        <f t="shared" si="19"/>
        <v>16800</v>
      </c>
      <c r="J50" s="10">
        <f t="shared" si="19"/>
        <v>19200</v>
      </c>
      <c r="K50" s="10">
        <f t="shared" si="19"/>
        <v>21600</v>
      </c>
      <c r="L50" s="10">
        <f t="shared" si="19"/>
        <v>24000</v>
      </c>
      <c r="M50" s="10">
        <f t="shared" si="19"/>
        <v>24000</v>
      </c>
      <c r="N50" s="10">
        <f t="shared" si="19"/>
        <v>24000</v>
      </c>
      <c r="O50" s="7"/>
      <c r="P50">
        <v>3</v>
      </c>
      <c r="Q50" t="s">
        <v>41</v>
      </c>
      <c r="T50" t="str">
        <f>A51</f>
        <v>Building</v>
      </c>
      <c r="U50" s="19">
        <f>I51</f>
        <v>90000</v>
      </c>
      <c r="W50" s="3">
        <v>0.6</v>
      </c>
      <c r="Y50">
        <f>W50*U50</f>
        <v>54000</v>
      </c>
    </row>
    <row r="51" spans="1:29" x14ac:dyDescent="0.25">
      <c r="A51" s="2" t="s">
        <v>101</v>
      </c>
      <c r="B51" s="2"/>
      <c r="E51" s="9">
        <f>Mortgage!C5</f>
        <v>90000</v>
      </c>
      <c r="F51" s="10">
        <f>E51</f>
        <v>90000</v>
      </c>
      <c r="G51" s="10">
        <f t="shared" ref="G51:N51" si="20">F51</f>
        <v>90000</v>
      </c>
      <c r="H51" s="10">
        <f t="shared" si="20"/>
        <v>90000</v>
      </c>
      <c r="I51" s="10">
        <f t="shared" si="20"/>
        <v>90000</v>
      </c>
      <c r="J51" s="10">
        <f t="shared" si="20"/>
        <v>90000</v>
      </c>
      <c r="K51" s="10">
        <f t="shared" si="20"/>
        <v>90000</v>
      </c>
      <c r="L51" s="10">
        <f t="shared" si="20"/>
        <v>90000</v>
      </c>
      <c r="M51" s="10">
        <f t="shared" si="20"/>
        <v>90000</v>
      </c>
      <c r="N51" s="10">
        <f t="shared" si="20"/>
        <v>90000</v>
      </c>
      <c r="O51" s="7"/>
    </row>
    <row r="52" spans="1:29" x14ac:dyDescent="0.25">
      <c r="A52" s="2" t="s">
        <v>102</v>
      </c>
      <c r="B52" s="2"/>
      <c r="E52" s="9">
        <f>D34+E34</f>
        <v>4500</v>
      </c>
      <c r="F52" s="9">
        <f>F34+E52</f>
        <v>9000</v>
      </c>
      <c r="G52" s="9">
        <f t="shared" ref="G52:N52" si="21">G34+F52</f>
        <v>13500</v>
      </c>
      <c r="H52" s="9">
        <f t="shared" si="21"/>
        <v>18000</v>
      </c>
      <c r="I52" s="9">
        <f t="shared" si="21"/>
        <v>22500</v>
      </c>
      <c r="J52" s="9">
        <f t="shared" si="21"/>
        <v>27000</v>
      </c>
      <c r="K52" s="9">
        <f t="shared" si="21"/>
        <v>31500</v>
      </c>
      <c r="L52" s="9">
        <f t="shared" si="21"/>
        <v>36000</v>
      </c>
      <c r="M52" s="9">
        <f t="shared" si="21"/>
        <v>40500</v>
      </c>
      <c r="N52" s="9">
        <f t="shared" si="21"/>
        <v>45000</v>
      </c>
      <c r="O52" s="7"/>
      <c r="T52" t="str">
        <f>A56</f>
        <v>Accounts Payable</v>
      </c>
      <c r="V52" s="19">
        <f>I56</f>
        <v>2549.4798245000002</v>
      </c>
      <c r="W52" s="3">
        <v>-1</v>
      </c>
      <c r="Z52" s="19">
        <f>W52*V52</f>
        <v>-2549.4798245000002</v>
      </c>
    </row>
    <row r="53" spans="1:29" x14ac:dyDescent="0.25">
      <c r="A53" s="1" t="s">
        <v>17</v>
      </c>
      <c r="B53" s="1"/>
      <c r="E53" s="9">
        <f>SUM(E44:E49)+E51-E50-E52</f>
        <v>205810</v>
      </c>
      <c r="F53" s="9">
        <f t="shared" ref="F53:N53" si="22">SUM(F44:F49)+F51-F50-F52</f>
        <v>198940.1</v>
      </c>
      <c r="G53" s="9">
        <f t="shared" si="22"/>
        <v>196785.31019940408</v>
      </c>
      <c r="H53" s="9">
        <f t="shared" si="22"/>
        <v>189410.82445436245</v>
      </c>
      <c r="I53" s="9">
        <f t="shared" si="22"/>
        <v>178332.2180701</v>
      </c>
      <c r="J53" s="9">
        <f t="shared" si="22"/>
        <v>71463.540250801001</v>
      </c>
      <c r="K53" s="9">
        <f t="shared" si="22"/>
        <v>64595.175653309008</v>
      </c>
      <c r="L53" s="9">
        <f t="shared" si="22"/>
        <v>57727.127409842098</v>
      </c>
      <c r="M53" s="9">
        <f t="shared" si="22"/>
        <v>53259.398683940526</v>
      </c>
      <c r="N53" s="9">
        <f t="shared" si="22"/>
        <v>48791.992670779931</v>
      </c>
      <c r="O53" s="7"/>
      <c r="Y53" s="40">
        <f>SUM(Y44:Y52)</f>
        <v>134000</v>
      </c>
      <c r="Z53" s="41">
        <f>SUM(Z44:Z52)</f>
        <v>14462.946315799998</v>
      </c>
    </row>
    <row r="54" spans="1:29" x14ac:dyDescent="0.25">
      <c r="A54" s="2"/>
      <c r="B54" s="2"/>
      <c r="E54" s="9"/>
      <c r="F54" s="10"/>
      <c r="G54" s="10"/>
      <c r="H54" s="10"/>
      <c r="I54" s="10"/>
      <c r="J54" s="10"/>
      <c r="K54" s="10"/>
      <c r="L54" s="10"/>
      <c r="M54" s="10"/>
      <c r="N54" s="10"/>
      <c r="O54" s="7"/>
    </row>
    <row r="55" spans="1:29" x14ac:dyDescent="0.25">
      <c r="A55" s="1" t="s">
        <v>18</v>
      </c>
      <c r="B55" s="1"/>
      <c r="E55" s="9"/>
      <c r="F55" s="10"/>
      <c r="G55" s="10"/>
      <c r="H55" s="10"/>
      <c r="I55" s="10"/>
      <c r="J55" s="10"/>
      <c r="K55" s="10"/>
      <c r="L55" s="10"/>
      <c r="M55" s="10"/>
      <c r="N55" s="10"/>
      <c r="O55" s="7"/>
      <c r="Z55" s="19">
        <f>X57</f>
        <v>52597.238177518171</v>
      </c>
    </row>
    <row r="56" spans="1:29" x14ac:dyDescent="0.25">
      <c r="A56" s="2" t="s">
        <v>30</v>
      </c>
      <c r="B56" s="2"/>
      <c r="E56" s="9">
        <f t="shared" ref="E56:N56" si="23">E19/365*$C$12</f>
        <v>2450</v>
      </c>
      <c r="F56" s="10">
        <f t="shared" si="23"/>
        <v>2474.5</v>
      </c>
      <c r="G56" s="10">
        <f t="shared" si="23"/>
        <v>2499.2449999999999</v>
      </c>
      <c r="H56" s="10">
        <f t="shared" si="23"/>
        <v>2524.2374500000001</v>
      </c>
      <c r="I56" s="10">
        <f t="shared" si="23"/>
        <v>2549.4798245000002</v>
      </c>
      <c r="J56" s="10">
        <f t="shared" si="23"/>
        <v>2574.9746227450005</v>
      </c>
      <c r="K56" s="10">
        <f t="shared" si="23"/>
        <v>2600.7243689724505</v>
      </c>
      <c r="L56" s="10">
        <f t="shared" si="23"/>
        <v>2626.7316126621745</v>
      </c>
      <c r="M56" s="10">
        <f t="shared" si="23"/>
        <v>2652.998928788797</v>
      </c>
      <c r="N56" s="10">
        <f t="shared" si="23"/>
        <v>2679.5289180766849</v>
      </c>
      <c r="O56" s="7"/>
      <c r="Q56" t="s">
        <v>51</v>
      </c>
      <c r="V56" t="s">
        <v>112</v>
      </c>
      <c r="X56" s="19">
        <f>I58</f>
        <v>81402.761822481829</v>
      </c>
      <c r="Z56" s="19">
        <f>Z53</f>
        <v>14462.946315799998</v>
      </c>
    </row>
    <row r="57" spans="1:29" x14ac:dyDescent="0.25">
      <c r="A57" s="2"/>
      <c r="B57" s="2"/>
      <c r="E57" s="9"/>
      <c r="F57" s="10"/>
      <c r="G57" s="10"/>
      <c r="H57" s="10"/>
      <c r="I57" s="10"/>
      <c r="J57" s="10"/>
      <c r="K57" s="10"/>
      <c r="L57" s="10"/>
      <c r="M57" s="10"/>
      <c r="N57" s="10"/>
      <c r="O57" s="7"/>
      <c r="V57" t="s">
        <v>113</v>
      </c>
      <c r="X57" s="41">
        <f>Y53-X56</f>
        <v>52597.238177518171</v>
      </c>
      <c r="Z57" s="41">
        <f>Z56+Z55</f>
        <v>67060.184493318171</v>
      </c>
    </row>
    <row r="58" spans="1:29" x14ac:dyDescent="0.25">
      <c r="A58" s="2" t="s">
        <v>76</v>
      </c>
      <c r="B58" s="2"/>
      <c r="E58" s="9">
        <f>Mortgage!I18</f>
        <v>88415.067210073132</v>
      </c>
      <c r="F58" s="10">
        <f>Mortgage!I30</f>
        <v>86765.561812860498</v>
      </c>
      <c r="G58" s="10">
        <f>Mortgage!I42</f>
        <v>85048.853020710885</v>
      </c>
      <c r="H58" s="10">
        <f>Mortgage!I54</f>
        <v>83262.202863625134</v>
      </c>
      <c r="I58" s="10">
        <f>Mortgage!I66</f>
        <v>81402.761822481829</v>
      </c>
      <c r="J58" s="10">
        <f>Mortgage!I78</f>
        <v>79467.564284353983</v>
      </c>
      <c r="K58" s="10">
        <f>Mortgage!I90</f>
        <v>77453.523812668238</v>
      </c>
      <c r="L58" s="10">
        <f>Mortgage!I102</f>
        <v>75357.42822466309</v>
      </c>
      <c r="M58" s="10">
        <f>Mortgage!I114</f>
        <v>73175.934468295251</v>
      </c>
      <c r="N58" s="10">
        <f>Mortgage!I126</f>
        <v>70905.563290423117</v>
      </c>
      <c r="O58" s="7"/>
    </row>
    <row r="59" spans="1:29" x14ac:dyDescent="0.25">
      <c r="A59" s="2" t="s">
        <v>31</v>
      </c>
      <c r="B59" s="2"/>
      <c r="E59" s="9">
        <v>107648.00772834</v>
      </c>
      <c r="F59" s="10">
        <v>99215.32476393829</v>
      </c>
      <c r="G59" s="10">
        <v>95025.698288446874</v>
      </c>
      <c r="H59" s="10">
        <v>92811.926879778592</v>
      </c>
      <c r="I59" s="10">
        <v>94408.728708975192</v>
      </c>
      <c r="J59" s="10"/>
      <c r="K59" s="10"/>
      <c r="L59" s="10"/>
      <c r="M59" s="10"/>
      <c r="N59" s="10"/>
      <c r="O59" s="7"/>
      <c r="AA59" s="4"/>
      <c r="AB59" s="19"/>
      <c r="AC59" s="19"/>
    </row>
    <row r="60" spans="1:29" x14ac:dyDescent="0.25">
      <c r="A60" s="2" t="s">
        <v>59</v>
      </c>
      <c r="B60" s="2"/>
      <c r="E60" s="9">
        <f>SUM(E56:E59)</f>
        <v>198513.07493841313</v>
      </c>
      <c r="F60" s="10">
        <f t="shared" ref="F60:N60" si="24">SUM(F56:F59)</f>
        <v>188455.3865767988</v>
      </c>
      <c r="G60" s="10">
        <f t="shared" si="24"/>
        <v>182573.79630915774</v>
      </c>
      <c r="H60" s="10">
        <f t="shared" si="24"/>
        <v>178598.36719340371</v>
      </c>
      <c r="I60" s="10">
        <f t="shared" si="24"/>
        <v>178360.97035595702</v>
      </c>
      <c r="J60" s="10">
        <f t="shared" si="24"/>
        <v>82042.538907098977</v>
      </c>
      <c r="K60" s="10">
        <f t="shared" si="24"/>
        <v>80054.248181640694</v>
      </c>
      <c r="L60" s="10">
        <f t="shared" si="24"/>
        <v>77984.159837325264</v>
      </c>
      <c r="M60" s="10">
        <f t="shared" si="24"/>
        <v>75828.933397084053</v>
      </c>
      <c r="N60" s="10">
        <f t="shared" si="24"/>
        <v>73585.092208499802</v>
      </c>
      <c r="O60" s="7"/>
      <c r="AA60" s="4"/>
      <c r="AB60" s="19"/>
      <c r="AC60" s="19"/>
    </row>
    <row r="61" spans="1:29" x14ac:dyDescent="0.25">
      <c r="A61" s="2" t="s">
        <v>49</v>
      </c>
      <c r="B61" s="2"/>
      <c r="E61" s="9">
        <v>17000</v>
      </c>
      <c r="F61" s="10">
        <f>E61</f>
        <v>17000</v>
      </c>
      <c r="G61" s="10">
        <f t="shared" ref="G61:N61" si="25">F61</f>
        <v>17000</v>
      </c>
      <c r="H61" s="10">
        <f t="shared" si="25"/>
        <v>17000</v>
      </c>
      <c r="I61" s="10">
        <f t="shared" si="25"/>
        <v>17000</v>
      </c>
      <c r="J61" s="10">
        <f t="shared" si="25"/>
        <v>17000</v>
      </c>
      <c r="K61" s="10">
        <f t="shared" si="25"/>
        <v>17000</v>
      </c>
      <c r="L61" s="10">
        <f t="shared" si="25"/>
        <v>17000</v>
      </c>
      <c r="M61" s="10">
        <f t="shared" si="25"/>
        <v>17000</v>
      </c>
      <c r="N61" s="10">
        <f t="shared" si="25"/>
        <v>17000</v>
      </c>
      <c r="O61" s="7"/>
      <c r="P61">
        <v>10000</v>
      </c>
      <c r="Q61" t="s">
        <v>54</v>
      </c>
    </row>
    <row r="62" spans="1:29" x14ac:dyDescent="0.25">
      <c r="A62" s="2" t="s">
        <v>19</v>
      </c>
      <c r="B62" s="2"/>
      <c r="E62" s="9"/>
      <c r="F62" s="10"/>
      <c r="G62" s="10"/>
      <c r="H62" s="10"/>
      <c r="I62" s="10"/>
      <c r="J62" s="10"/>
      <c r="K62" s="10"/>
      <c r="L62" s="10"/>
      <c r="M62" s="10"/>
      <c r="N62" s="10"/>
      <c r="O62" s="7"/>
    </row>
    <row r="63" spans="1:29" x14ac:dyDescent="0.25">
      <c r="A63" s="2"/>
      <c r="B63" s="2" t="s">
        <v>20</v>
      </c>
      <c r="E63" s="9">
        <f>P63</f>
        <v>-12000</v>
      </c>
      <c r="F63" s="10">
        <f>E66</f>
        <v>-9703.0749384131286</v>
      </c>
      <c r="G63" s="10">
        <f>F66</f>
        <v>-6515.2865767987741</v>
      </c>
      <c r="H63" s="10">
        <f t="shared" ref="H63:N63" si="26">G66</f>
        <v>-2788.4861097536568</v>
      </c>
      <c r="I63" s="10">
        <f t="shared" si="26"/>
        <v>-6187.5427390412997</v>
      </c>
      <c r="J63" s="10">
        <f t="shared" si="26"/>
        <v>-17028.752285856983</v>
      </c>
      <c r="K63" s="10">
        <f t="shared" si="26"/>
        <v>-4893.6445697189356</v>
      </c>
      <c r="L63" s="10">
        <f t="shared" si="26"/>
        <v>7427.0115127273475</v>
      </c>
      <c r="M63" s="10">
        <f t="shared" si="26"/>
        <v>19931.104428846018</v>
      </c>
      <c r="N63" s="10">
        <f t="shared" si="26"/>
        <v>34416.459894638137</v>
      </c>
      <c r="O63" s="7"/>
      <c r="P63">
        <v>-12000</v>
      </c>
      <c r="Q63" t="s">
        <v>48</v>
      </c>
    </row>
    <row r="64" spans="1:29" x14ac:dyDescent="0.25">
      <c r="A64" s="2"/>
      <c r="B64" s="2" t="s">
        <v>21</v>
      </c>
      <c r="E64" s="9">
        <f t="shared" ref="E64:N64" si="27">E40</f>
        <v>2296.9250615868718</v>
      </c>
      <c r="F64" s="10">
        <f t="shared" si="27"/>
        <v>3187.7883616143545</v>
      </c>
      <c r="G64" s="10">
        <f t="shared" si="27"/>
        <v>3726.8004670451173</v>
      </c>
      <c r="H64" s="10">
        <f t="shared" si="27"/>
        <v>-3399.0566292876429</v>
      </c>
      <c r="I64" s="10">
        <f t="shared" si="27"/>
        <v>-10841.209546815684</v>
      </c>
      <c r="J64" s="10">
        <f t="shared" si="27"/>
        <v>12135.107716138047</v>
      </c>
      <c r="K64" s="10">
        <f t="shared" si="27"/>
        <v>12320.656082446283</v>
      </c>
      <c r="L64" s="10">
        <f t="shared" si="27"/>
        <v>12504.092916118669</v>
      </c>
      <c r="M64" s="10">
        <f t="shared" si="27"/>
        <v>14485.35546579212</v>
      </c>
      <c r="N64" s="10">
        <f t="shared" si="27"/>
        <v>14664.381056000162</v>
      </c>
      <c r="O64" s="7"/>
    </row>
    <row r="65" spans="1:17" x14ac:dyDescent="0.25">
      <c r="A65" s="2"/>
      <c r="B65" s="2"/>
      <c r="E65" s="12"/>
      <c r="F65" s="30"/>
      <c r="G65" s="31"/>
      <c r="H65" s="31"/>
      <c r="I65" s="31"/>
      <c r="J65" s="31"/>
      <c r="K65" s="31"/>
      <c r="L65" s="31"/>
      <c r="M65" s="31"/>
      <c r="N65" s="31"/>
      <c r="O65" s="7"/>
      <c r="P65" s="3">
        <v>0.2</v>
      </c>
      <c r="Q65" t="s">
        <v>69</v>
      </c>
    </row>
    <row r="66" spans="1:17" x14ac:dyDescent="0.25">
      <c r="A66" s="2"/>
      <c r="B66" s="2" t="s">
        <v>50</v>
      </c>
      <c r="E66" s="9">
        <f>E64+E63-E65</f>
        <v>-9703.0749384131286</v>
      </c>
      <c r="F66" s="30">
        <f>F64+F63-F65</f>
        <v>-6515.2865767987741</v>
      </c>
      <c r="G66" s="31">
        <f t="shared" ref="G66:N66" si="28">G64+G63-G65</f>
        <v>-2788.4861097536568</v>
      </c>
      <c r="H66" s="31">
        <f t="shared" si="28"/>
        <v>-6187.5427390412997</v>
      </c>
      <c r="I66" s="31">
        <f t="shared" si="28"/>
        <v>-17028.752285856983</v>
      </c>
      <c r="J66" s="31">
        <f t="shared" si="28"/>
        <v>-4893.6445697189356</v>
      </c>
      <c r="K66" s="31">
        <f t="shared" si="28"/>
        <v>7427.0115127273475</v>
      </c>
      <c r="L66" s="31">
        <f t="shared" si="28"/>
        <v>19931.104428846018</v>
      </c>
      <c r="M66" s="31">
        <f t="shared" si="28"/>
        <v>34416.459894638137</v>
      </c>
      <c r="N66" s="31">
        <f t="shared" si="28"/>
        <v>49080.840950638303</v>
      </c>
      <c r="O66" s="7"/>
    </row>
    <row r="67" spans="1:17" x14ac:dyDescent="0.25">
      <c r="A67" s="1" t="s">
        <v>22</v>
      </c>
      <c r="B67" s="1"/>
      <c r="E67" s="22">
        <f>E66+E61+E60</f>
        <v>205810</v>
      </c>
      <c r="F67" s="10">
        <f t="shared" ref="F67:N67" si="29">F66+F61+F60</f>
        <v>198940.10000000003</v>
      </c>
      <c r="G67" s="10">
        <f t="shared" si="29"/>
        <v>196785.31019940408</v>
      </c>
      <c r="H67" s="10">
        <f t="shared" si="29"/>
        <v>189410.82445436242</v>
      </c>
      <c r="I67" s="10">
        <f t="shared" si="29"/>
        <v>178332.21807010003</v>
      </c>
      <c r="J67" s="10">
        <f t="shared" si="29"/>
        <v>94148.894337380043</v>
      </c>
      <c r="K67" s="10">
        <f t="shared" si="29"/>
        <v>104481.25969436804</v>
      </c>
      <c r="L67" s="10">
        <f t="shared" si="29"/>
        <v>114915.26426617129</v>
      </c>
      <c r="M67" s="10">
        <f t="shared" si="29"/>
        <v>127245.3932917222</v>
      </c>
      <c r="N67" s="10">
        <f t="shared" si="29"/>
        <v>139665.93315913811</v>
      </c>
      <c r="O67" s="7"/>
    </row>
    <row r="68" spans="1:17" x14ac:dyDescent="0.25">
      <c r="A68" s="2"/>
      <c r="B68" s="2"/>
      <c r="E68" s="23">
        <f>E67-E56</f>
        <v>203360</v>
      </c>
      <c r="F68" s="23">
        <f t="shared" ref="F68:N68" si="30">F67-F56</f>
        <v>196465.60000000003</v>
      </c>
      <c r="G68" s="23">
        <f t="shared" si="30"/>
        <v>194286.06519940408</v>
      </c>
      <c r="H68" s="23">
        <f t="shared" si="30"/>
        <v>186886.58700436243</v>
      </c>
      <c r="I68" s="23">
        <f t="shared" si="30"/>
        <v>175782.73824560002</v>
      </c>
      <c r="J68" s="23">
        <f t="shared" si="30"/>
        <v>91573.919714635049</v>
      </c>
      <c r="K68" s="23">
        <f t="shared" si="30"/>
        <v>101880.53532539558</v>
      </c>
      <c r="L68" s="23">
        <f t="shared" si="30"/>
        <v>112288.53265350912</v>
      </c>
      <c r="M68" s="23">
        <f t="shared" si="30"/>
        <v>124592.3943629334</v>
      </c>
      <c r="N68" s="23">
        <f t="shared" si="30"/>
        <v>136986.40424106142</v>
      </c>
      <c r="O68" s="7"/>
    </row>
    <row r="69" spans="1:17" x14ac:dyDescent="0.25">
      <c r="A69" s="2" t="s">
        <v>23</v>
      </c>
      <c r="B69" s="2"/>
      <c r="E69" s="7">
        <f>E53-E67</f>
        <v>0</v>
      </c>
      <c r="F69" s="7">
        <f t="shared" ref="F69:M69" si="31">F53-F67</f>
        <v>0</v>
      </c>
      <c r="G69" s="28">
        <f t="shared" si="31"/>
        <v>0</v>
      </c>
      <c r="H69" s="29">
        <f t="shared" si="31"/>
        <v>0</v>
      </c>
      <c r="I69" s="28">
        <f t="shared" si="31"/>
        <v>0</v>
      </c>
      <c r="J69" s="28">
        <f t="shared" si="31"/>
        <v>-22685.354086579042</v>
      </c>
      <c r="K69" s="28">
        <f t="shared" si="31"/>
        <v>-39886.084041059032</v>
      </c>
      <c r="L69" s="28">
        <f t="shared" si="31"/>
        <v>-57188.136856329191</v>
      </c>
      <c r="M69" s="28">
        <f t="shared" si="31"/>
        <v>-73985.994607781671</v>
      </c>
      <c r="N69" s="28">
        <f>N53-N67</f>
        <v>-90873.940488358174</v>
      </c>
    </row>
    <row r="74" spans="1:17" x14ac:dyDescent="0.25">
      <c r="A74" t="s">
        <v>114</v>
      </c>
      <c r="D74" s="19">
        <f>-(E58-D58)</f>
        <v>-88415.067210073132</v>
      </c>
      <c r="E74" s="19">
        <f t="shared" ref="E74:H74" si="32">-(F58-E58)</f>
        <v>1649.5053972126334</v>
      </c>
      <c r="F74" s="19">
        <f t="shared" si="32"/>
        <v>1716.7087921496131</v>
      </c>
      <c r="G74" s="19">
        <f t="shared" si="32"/>
        <v>1786.6501570857508</v>
      </c>
      <c r="H74" s="19">
        <f t="shared" si="32"/>
        <v>1859.4410411433055</v>
      </c>
    </row>
    <row r="75" spans="1:17" x14ac:dyDescent="0.25">
      <c r="A75" t="s">
        <v>115</v>
      </c>
      <c r="I75" s="19">
        <f>X56</f>
        <v>81402.761822481829</v>
      </c>
    </row>
    <row r="76" spans="1:17" x14ac:dyDescent="0.25">
      <c r="A76" t="s">
        <v>116</v>
      </c>
      <c r="E76" s="19">
        <f>E35</f>
        <v>3571.1524011001115</v>
      </c>
      <c r="F76" s="19">
        <f t="shared" ref="F76:I76" si="33">F35</f>
        <v>3506.5797938143241</v>
      </c>
      <c r="G76" s="19">
        <f t="shared" si="33"/>
        <v>3439.3763988773599</v>
      </c>
      <c r="H76" s="19">
        <f t="shared" si="33"/>
        <v>3369.4350339412172</v>
      </c>
      <c r="I76" s="19">
        <f t="shared" si="33"/>
        <v>3296.6441498836593</v>
      </c>
    </row>
    <row r="77" spans="1:17" x14ac:dyDescent="0.25">
      <c r="D77" s="41">
        <f>SUM(D74:D76)</f>
        <v>-88415.067210073132</v>
      </c>
      <c r="E77" s="41">
        <f t="shared" ref="E77:I77" si="34">SUM(E74:E76)</f>
        <v>5220.6577983127445</v>
      </c>
      <c r="F77" s="41">
        <f t="shared" si="34"/>
        <v>5223.2885859639373</v>
      </c>
      <c r="G77" s="41">
        <f t="shared" si="34"/>
        <v>5226.0265559631107</v>
      </c>
      <c r="H77" s="41">
        <f t="shared" si="34"/>
        <v>5228.8760750845231</v>
      </c>
      <c r="I77" s="41">
        <f t="shared" si="34"/>
        <v>84699.405972365494</v>
      </c>
    </row>
    <row r="78" spans="1:17" ht="16.5" thickBot="1" x14ac:dyDescent="0.3">
      <c r="A78" t="s">
        <v>106</v>
      </c>
      <c r="D78" s="43">
        <f>IRR(D77:I77)</f>
        <v>4.0438963240363224E-2</v>
      </c>
    </row>
    <row r="79" spans="1:17" ht="16.5" thickTop="1" x14ac:dyDescent="0.25"/>
    <row r="81" spans="1:9" x14ac:dyDescent="0.25">
      <c r="A81" t="s">
        <v>31</v>
      </c>
      <c r="D81" s="19">
        <f>-(E59-D59)</f>
        <v>-107648.00772834</v>
      </c>
      <c r="E81" s="19">
        <f t="shared" ref="E81:H81" si="35">-(F59-E59)</f>
        <v>8432.6829644017125</v>
      </c>
      <c r="F81" s="19">
        <f t="shared" si="35"/>
        <v>4189.6264754914155</v>
      </c>
      <c r="G81" s="19">
        <f t="shared" si="35"/>
        <v>2213.7714086682827</v>
      </c>
      <c r="H81" s="19">
        <f t="shared" si="35"/>
        <v>-1596.8018291966</v>
      </c>
    </row>
    <row r="82" spans="1:9" x14ac:dyDescent="0.25">
      <c r="A82" t="s">
        <v>115</v>
      </c>
      <c r="I82" s="19">
        <f>Z57</f>
        <v>67060.184493318171</v>
      </c>
    </row>
    <row r="83" spans="1:9" x14ac:dyDescent="0.25">
      <c r="A83" t="s">
        <v>116</v>
      </c>
      <c r="E83" s="19">
        <f>E36</f>
        <v>11841.2808501174</v>
      </c>
      <c r="F83" s="19">
        <f t="shared" ref="F83:I83" si="36">F36</f>
        <v>10913.685724033212</v>
      </c>
      <c r="G83" s="19">
        <f t="shared" si="36"/>
        <v>10452.826811729155</v>
      </c>
      <c r="H83" s="19">
        <f t="shared" si="36"/>
        <v>10209.311956775646</v>
      </c>
      <c r="I83" s="19">
        <f t="shared" si="36"/>
        <v>10384.960157987271</v>
      </c>
    </row>
    <row r="84" spans="1:9" x14ac:dyDescent="0.25">
      <c r="D84" s="41">
        <f>SUM(D81:D83)</f>
        <v>-107648.00772834</v>
      </c>
      <c r="E84" s="41">
        <f t="shared" ref="E84:I84" si="37">SUM(E81:E83)</f>
        <v>20273.963814519113</v>
      </c>
      <c r="F84" s="41">
        <f t="shared" si="37"/>
        <v>15103.312199524627</v>
      </c>
      <c r="G84" s="41">
        <f t="shared" si="37"/>
        <v>12666.598220397438</v>
      </c>
      <c r="H84" s="41">
        <f t="shared" si="37"/>
        <v>8612.5101275790457</v>
      </c>
      <c r="I84" s="41">
        <f t="shared" si="37"/>
        <v>77445.14465130544</v>
      </c>
    </row>
    <row r="85" spans="1:9" ht="16.5" thickBot="1" x14ac:dyDescent="0.3">
      <c r="A85" t="s">
        <v>106</v>
      </c>
      <c r="D85" s="43">
        <f>IRR(D84:I84)</f>
        <v>6.066959553093354E-2</v>
      </c>
    </row>
    <row r="86" spans="1:9" ht="16.5" thickTop="1" x14ac:dyDescent="0.25"/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Forecast</vt:lpstr>
      <vt:lpstr>Mortgage</vt:lpstr>
      <vt:lpstr>Bankruptcy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2019-08-27T21:05:31Z</dcterms:created>
  <dcterms:modified xsi:type="dcterms:W3CDTF">2019-08-27T21:05:40Z</dcterms:modified>
</cp:coreProperties>
</file>