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9495" yWindow="30" windowWidth="11100" windowHeight="8070" activeTab="1"/>
  </bookViews>
  <sheets>
    <sheet name="Forecast" sheetId="1" r:id="rId1"/>
    <sheet name="Forecast (Bankruptcy)" sheetId="6" r:id="rId2"/>
    <sheet name="Mortgage" sheetId="5" r:id="rId3"/>
    <sheet name="Assumptions and data" sheetId="3" r:id="rId4"/>
    <sheet name="Mortgage (Bankruptcy)" sheetId="7" r:id="rId5"/>
    <sheet name="Assumptions and data-Bankruptcy" sheetId="8" r:id="rId6"/>
  </sheets>
  <calcPr calcId="145621"/>
</workbook>
</file>

<file path=xl/calcChain.xml><?xml version="1.0" encoding="utf-8"?>
<calcChain xmlns="http://schemas.openxmlformats.org/spreadsheetml/2006/main">
  <c r="Q41" i="1" l="1"/>
  <c r="Q39" i="1"/>
  <c r="Q36" i="1"/>
  <c r="B4" i="8" l="1"/>
  <c r="B28" i="8"/>
  <c r="B30" i="8" s="1"/>
  <c r="B2" i="7"/>
  <c r="D2" i="7" s="1"/>
  <c r="I2" i="7"/>
  <c r="I8" i="7"/>
  <c r="E6" i="7" s="1"/>
  <c r="E9" i="7"/>
  <c r="E13" i="7"/>
  <c r="E17" i="7"/>
  <c r="E21" i="7"/>
  <c r="E25" i="7"/>
  <c r="E33" i="7"/>
  <c r="E37" i="7"/>
  <c r="E41" i="7"/>
  <c r="E44" i="7"/>
  <c r="E45" i="7"/>
  <c r="E46" i="7"/>
  <c r="E47" i="7"/>
  <c r="E48" i="7"/>
  <c r="E49" i="7"/>
  <c r="E50" i="7"/>
  <c r="E51" i="7"/>
  <c r="E52" i="7"/>
  <c r="E53" i="7"/>
  <c r="E54" i="7"/>
  <c r="E55" i="7"/>
  <c r="E58" i="7"/>
  <c r="E59" i="7"/>
  <c r="E60" i="7"/>
  <c r="E61" i="7"/>
  <c r="E62" i="7"/>
  <c r="E63" i="7"/>
  <c r="E64" i="7"/>
  <c r="E65" i="7"/>
  <c r="E66" i="7"/>
  <c r="E67" i="7"/>
  <c r="E68" i="7"/>
  <c r="E69" i="7"/>
  <c r="E72" i="7"/>
  <c r="E73" i="7"/>
  <c r="E74" i="7"/>
  <c r="E75" i="7"/>
  <c r="E76" i="7"/>
  <c r="E77" i="7"/>
  <c r="E78" i="7"/>
  <c r="E79" i="7"/>
  <c r="E80" i="7"/>
  <c r="E81" i="7"/>
  <c r="E82" i="7"/>
  <c r="E83" i="7"/>
  <c r="E86" i="7"/>
  <c r="E87" i="7"/>
  <c r="E88" i="7"/>
  <c r="E89" i="7"/>
  <c r="E90" i="7"/>
  <c r="E91" i="7"/>
  <c r="E92" i="7"/>
  <c r="E93" i="7"/>
  <c r="E94" i="7"/>
  <c r="E95" i="7"/>
  <c r="E96" i="7"/>
  <c r="E97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5" i="6"/>
  <c r="F5" i="6" s="1"/>
  <c r="F7" i="6"/>
  <c r="E10" i="6"/>
  <c r="E11" i="6"/>
  <c r="F11" i="6"/>
  <c r="G11" i="6" s="1"/>
  <c r="H11" i="6" s="1"/>
  <c r="I11" i="6" s="1"/>
  <c r="J11" i="6" s="1"/>
  <c r="K11" i="6" s="1"/>
  <c r="L11" i="6" s="1"/>
  <c r="M11" i="6" s="1"/>
  <c r="N11" i="6" s="1"/>
  <c r="E12" i="6"/>
  <c r="F12" i="6" s="1"/>
  <c r="G12" i="6" s="1"/>
  <c r="H12" i="6"/>
  <c r="I12" i="6" s="1"/>
  <c r="J12" i="6" s="1"/>
  <c r="K12" i="6" s="1"/>
  <c r="L12" i="6" s="1"/>
  <c r="M12" i="6" s="1"/>
  <c r="N12" i="6" s="1"/>
  <c r="E17" i="6"/>
  <c r="F17" i="6"/>
  <c r="G17" i="6"/>
  <c r="H17" i="6"/>
  <c r="I17" i="6"/>
  <c r="J17" i="6"/>
  <c r="K17" i="6"/>
  <c r="L17" i="6"/>
  <c r="M17" i="6"/>
  <c r="N17" i="6"/>
  <c r="E25" i="6"/>
  <c r="F25" i="6"/>
  <c r="E27" i="6"/>
  <c r="F27" i="6"/>
  <c r="E28" i="6"/>
  <c r="F28" i="6"/>
  <c r="E30" i="6"/>
  <c r="F30" i="6"/>
  <c r="G30" i="6"/>
  <c r="H30" i="6"/>
  <c r="I30" i="6"/>
  <c r="W31" i="6" s="1"/>
  <c r="J30" i="6"/>
  <c r="K30" i="6"/>
  <c r="L30" i="6"/>
  <c r="M30" i="6"/>
  <c r="N30" i="6"/>
  <c r="E31" i="6"/>
  <c r="B20" i="8" s="1"/>
  <c r="F14" i="6" s="1"/>
  <c r="F55" i="6" s="1"/>
  <c r="F31" i="6"/>
  <c r="G31" i="6"/>
  <c r="H31" i="6"/>
  <c r="I31" i="6"/>
  <c r="J31" i="6"/>
  <c r="K31" i="6"/>
  <c r="L31" i="6"/>
  <c r="M31" i="6"/>
  <c r="N31" i="6"/>
  <c r="F38" i="6"/>
  <c r="Q39" i="6"/>
  <c r="R45" i="6" s="1"/>
  <c r="S45" i="6" s="1"/>
  <c r="R41" i="6"/>
  <c r="S41" i="6" s="1"/>
  <c r="P42" i="6"/>
  <c r="R42" i="6"/>
  <c r="S42" i="6"/>
  <c r="E45" i="6"/>
  <c r="F45" i="6"/>
  <c r="G45" i="6"/>
  <c r="H45" i="6"/>
  <c r="I45" i="6"/>
  <c r="J45" i="6"/>
  <c r="K45" i="6"/>
  <c r="L45" i="6"/>
  <c r="M45" i="6"/>
  <c r="N45" i="6"/>
  <c r="P45" i="6"/>
  <c r="X55" i="6"/>
  <c r="Y55" i="6"/>
  <c r="Z55" i="6"/>
  <c r="AA55" i="6"/>
  <c r="AA58" i="6" s="1"/>
  <c r="AB55" i="6"/>
  <c r="Y57" i="6"/>
  <c r="Z57" i="6"/>
  <c r="AA57" i="6"/>
  <c r="AB57" i="6"/>
  <c r="AC57" i="6"/>
  <c r="X58" i="6"/>
  <c r="Y58" i="6"/>
  <c r="Z58" i="6"/>
  <c r="AB58" i="6"/>
  <c r="D62" i="6"/>
  <c r="E62" i="6"/>
  <c r="D63" i="6"/>
  <c r="E63" i="6"/>
  <c r="F63" i="6"/>
  <c r="G63" i="6"/>
  <c r="H63" i="6"/>
  <c r="I63" i="6"/>
  <c r="J63" i="6"/>
  <c r="K63" i="6"/>
  <c r="L63" i="6"/>
  <c r="M63" i="6"/>
  <c r="N63" i="6"/>
  <c r="D64" i="6"/>
  <c r="E64" i="6"/>
  <c r="D65" i="6"/>
  <c r="E65" i="6"/>
  <c r="D70" i="6"/>
  <c r="E70" i="6"/>
  <c r="F70" i="6"/>
  <c r="G70" i="6"/>
  <c r="H70" i="6"/>
  <c r="I70" i="6"/>
  <c r="J70" i="6"/>
  <c r="K70" i="6"/>
  <c r="L70" i="6"/>
  <c r="M70" i="6"/>
  <c r="N70" i="6"/>
  <c r="N71" i="6"/>
  <c r="P72" i="6" s="1"/>
  <c r="N72" i="6" s="1"/>
  <c r="P71" i="6"/>
  <c r="D74" i="6"/>
  <c r="E74" i="6"/>
  <c r="F74" i="6"/>
  <c r="G74" i="6"/>
  <c r="H74" i="6"/>
  <c r="I74" i="6"/>
  <c r="J74" i="6"/>
  <c r="K74" i="6"/>
  <c r="L74" i="6"/>
  <c r="M74" i="6"/>
  <c r="N74" i="6"/>
  <c r="N75" i="6" s="1"/>
  <c r="E75" i="1"/>
  <c r="W30" i="6" l="1"/>
  <c r="W39" i="6" s="1"/>
  <c r="J14" i="6"/>
  <c r="J55" i="6" s="1"/>
  <c r="F10" i="6"/>
  <c r="F54" i="6" s="1"/>
  <c r="G5" i="6"/>
  <c r="G14" i="6"/>
  <c r="G55" i="6" s="1"/>
  <c r="N14" i="6"/>
  <c r="N55" i="6" s="1"/>
  <c r="H14" i="6"/>
  <c r="H55" i="6" s="1"/>
  <c r="L14" i="6"/>
  <c r="L55" i="6" s="1"/>
  <c r="E14" i="6"/>
  <c r="I14" i="6"/>
  <c r="I55" i="6" s="1"/>
  <c r="M14" i="6"/>
  <c r="M55" i="6" s="1"/>
  <c r="K14" i="6"/>
  <c r="K55" i="6" s="1"/>
  <c r="E7" i="6"/>
  <c r="E40" i="7"/>
  <c r="E36" i="7"/>
  <c r="E32" i="7"/>
  <c r="E24" i="7"/>
  <c r="E20" i="7"/>
  <c r="E16" i="7"/>
  <c r="E12" i="7"/>
  <c r="E5" i="7"/>
  <c r="E2" i="7"/>
  <c r="C2" i="7" s="1"/>
  <c r="E39" i="7"/>
  <c r="E35" i="7"/>
  <c r="E31" i="7"/>
  <c r="E27" i="7"/>
  <c r="E23" i="7"/>
  <c r="E19" i="7"/>
  <c r="E11" i="7"/>
  <c r="E8" i="7"/>
  <c r="E4" i="7"/>
  <c r="E38" i="7"/>
  <c r="E34" i="7"/>
  <c r="E30" i="7"/>
  <c r="E26" i="7"/>
  <c r="E22" i="7"/>
  <c r="E18" i="7"/>
  <c r="E10" i="7"/>
  <c r="E7" i="7"/>
  <c r="E3" i="7"/>
  <c r="D70" i="1"/>
  <c r="D71" i="1"/>
  <c r="F5" i="1"/>
  <c r="E37" i="1"/>
  <c r="F37" i="1" s="1"/>
  <c r="G37" i="1" s="1"/>
  <c r="H37" i="1" s="1"/>
  <c r="I37" i="1" s="1"/>
  <c r="J37" i="1" s="1"/>
  <c r="K37" i="1" s="1"/>
  <c r="L37" i="1" s="1"/>
  <c r="M37" i="1" s="1"/>
  <c r="N37" i="1" s="1"/>
  <c r="M87" i="1" s="1"/>
  <c r="E38" i="6" l="1"/>
  <c r="E54" i="6"/>
  <c r="F56" i="6"/>
  <c r="F57" i="6" s="1"/>
  <c r="F2" i="7"/>
  <c r="B3" i="7" s="1"/>
  <c r="G7" i="6"/>
  <c r="G38" i="6" s="1"/>
  <c r="G10" i="6"/>
  <c r="H5" i="6"/>
  <c r="G28" i="6"/>
  <c r="F65" i="6" s="1"/>
  <c r="G27" i="6"/>
  <c r="F64" i="6" s="1"/>
  <c r="G25" i="6"/>
  <c r="F62" i="6" s="1"/>
  <c r="E55" i="6"/>
  <c r="E32" i="6"/>
  <c r="I87" i="1"/>
  <c r="E87" i="1"/>
  <c r="L87" i="1"/>
  <c r="N87" i="1"/>
  <c r="J87" i="1"/>
  <c r="F87" i="1"/>
  <c r="H87" i="1"/>
  <c r="D87" i="1"/>
  <c r="K87" i="1"/>
  <c r="G87" i="1"/>
  <c r="I5" i="6" l="1"/>
  <c r="H7" i="6"/>
  <c r="H38" i="6" s="1"/>
  <c r="H28" i="6"/>
  <c r="G65" i="6" s="1"/>
  <c r="H54" i="6"/>
  <c r="H10" i="6"/>
  <c r="H27" i="6"/>
  <c r="G64" i="6" s="1"/>
  <c r="H25" i="6"/>
  <c r="G62" i="6" s="1"/>
  <c r="D3" i="7"/>
  <c r="E56" i="6"/>
  <c r="E57" i="6" s="1"/>
  <c r="D67" i="6" s="1"/>
  <c r="E58" i="6"/>
  <c r="E80" i="6" s="1"/>
  <c r="E67" i="6"/>
  <c r="F32" i="6"/>
  <c r="E34" i="6"/>
  <c r="F66" i="6"/>
  <c r="G54" i="6"/>
  <c r="F58" i="6"/>
  <c r="D66" i="6"/>
  <c r="D80" i="6" s="1"/>
  <c r="E66" i="6"/>
  <c r="P47" i="1"/>
  <c r="Q44" i="1"/>
  <c r="E32" i="1"/>
  <c r="E20" i="3" s="1"/>
  <c r="E15" i="1" s="1"/>
  <c r="H58" i="6" l="1"/>
  <c r="H56" i="6"/>
  <c r="H57" i="6" s="1"/>
  <c r="G56" i="6"/>
  <c r="G57" i="6" s="1"/>
  <c r="F67" i="6" s="1"/>
  <c r="F80" i="6" s="1"/>
  <c r="G32" i="6"/>
  <c r="F34" i="6"/>
  <c r="G66" i="6"/>
  <c r="C3" i="7"/>
  <c r="I10" i="6"/>
  <c r="J5" i="6"/>
  <c r="I7" i="6"/>
  <c r="I38" i="6" s="1"/>
  <c r="I25" i="6"/>
  <c r="I28" i="6"/>
  <c r="I27" i="6"/>
  <c r="D83" i="1"/>
  <c r="F15" i="1"/>
  <c r="G15" i="1" s="1"/>
  <c r="H15" i="1" s="1"/>
  <c r="I15" i="1" s="1"/>
  <c r="J15" i="1" s="1"/>
  <c r="K15" i="1" s="1"/>
  <c r="L15" i="1" s="1"/>
  <c r="M15" i="1" s="1"/>
  <c r="N15" i="1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F32" i="1"/>
  <c r="B4" i="3"/>
  <c r="I54" i="6" l="1"/>
  <c r="J10" i="6"/>
  <c r="K5" i="6"/>
  <c r="J27" i="6"/>
  <c r="I64" i="6" s="1"/>
  <c r="J25" i="6"/>
  <c r="I62" i="6" s="1"/>
  <c r="J7" i="6"/>
  <c r="J38" i="6" s="1"/>
  <c r="J28" i="6"/>
  <c r="I65" i="6" s="1"/>
  <c r="G67" i="6"/>
  <c r="X28" i="6"/>
  <c r="H65" i="6"/>
  <c r="H32" i="6"/>
  <c r="G34" i="6"/>
  <c r="X38" i="6"/>
  <c r="H66" i="6"/>
  <c r="X27" i="6"/>
  <c r="H64" i="6"/>
  <c r="X25" i="6"/>
  <c r="H62" i="6"/>
  <c r="F3" i="7"/>
  <c r="B4" i="7" s="1"/>
  <c r="G58" i="6"/>
  <c r="G32" i="1"/>
  <c r="E83" i="1"/>
  <c r="E68" i="1"/>
  <c r="F68" i="1"/>
  <c r="G68" i="1"/>
  <c r="H68" i="1"/>
  <c r="I68" i="1"/>
  <c r="J68" i="1"/>
  <c r="K68" i="1"/>
  <c r="L68" i="1"/>
  <c r="M68" i="1"/>
  <c r="N68" i="1"/>
  <c r="D68" i="1"/>
  <c r="I66" i="6" l="1"/>
  <c r="G80" i="6"/>
  <c r="X39" i="6"/>
  <c r="H34" i="6"/>
  <c r="I32" i="6"/>
  <c r="D4" i="7"/>
  <c r="J54" i="6"/>
  <c r="I56" i="6"/>
  <c r="I57" i="6" s="1"/>
  <c r="H67" i="6" s="1"/>
  <c r="H80" i="6" s="1"/>
  <c r="K7" i="6"/>
  <c r="K38" i="6" s="1"/>
  <c r="K10" i="6"/>
  <c r="K28" i="6"/>
  <c r="J65" i="6" s="1"/>
  <c r="K54" i="6"/>
  <c r="L5" i="6"/>
  <c r="K27" i="6"/>
  <c r="J64" i="6" s="1"/>
  <c r="K25" i="6"/>
  <c r="J62" i="6" s="1"/>
  <c r="H32" i="1"/>
  <c r="F83" i="1"/>
  <c r="R47" i="1"/>
  <c r="S47" i="1" s="1"/>
  <c r="R46" i="1"/>
  <c r="S46" i="1" s="1"/>
  <c r="E18" i="1"/>
  <c r="G18" i="1"/>
  <c r="F18" i="1"/>
  <c r="H18" i="1"/>
  <c r="I18" i="1"/>
  <c r="J18" i="1"/>
  <c r="K18" i="1"/>
  <c r="L18" i="1"/>
  <c r="M18" i="1"/>
  <c r="N18" i="1"/>
  <c r="R50" i="1"/>
  <c r="S50" i="1" s="1"/>
  <c r="B2" i="5"/>
  <c r="D2" i="5" s="1"/>
  <c r="I2" i="5"/>
  <c r="M5" i="6" l="1"/>
  <c r="L7" i="6"/>
  <c r="L38" i="6" s="1"/>
  <c r="L28" i="6"/>
  <c r="K65" i="6" s="1"/>
  <c r="L54" i="6"/>
  <c r="L27" i="6"/>
  <c r="K64" i="6" s="1"/>
  <c r="L10" i="6"/>
  <c r="L25" i="6"/>
  <c r="K62" i="6" s="1"/>
  <c r="J56" i="6"/>
  <c r="J57" i="6" s="1"/>
  <c r="I67" i="6" s="1"/>
  <c r="I58" i="6"/>
  <c r="I80" i="6" s="1"/>
  <c r="J32" i="6"/>
  <c r="I34" i="6"/>
  <c r="K56" i="6"/>
  <c r="K57" i="6" s="1"/>
  <c r="K58" i="6"/>
  <c r="J66" i="6"/>
  <c r="C4" i="7"/>
  <c r="I32" i="1"/>
  <c r="G83" i="1"/>
  <c r="I8" i="5"/>
  <c r="E74" i="5" s="1"/>
  <c r="F4" i="7" l="1"/>
  <c r="B5" i="7" s="1"/>
  <c r="J67" i="6"/>
  <c r="J58" i="6"/>
  <c r="K66" i="6"/>
  <c r="K80" i="6" s="1"/>
  <c r="K32" i="6"/>
  <c r="J34" i="6"/>
  <c r="L56" i="6"/>
  <c r="L57" i="6" s="1"/>
  <c r="K67" i="6" s="1"/>
  <c r="M10" i="6"/>
  <c r="N5" i="6"/>
  <c r="M7" i="6"/>
  <c r="M38" i="6" s="1"/>
  <c r="M25" i="6"/>
  <c r="L62" i="6" s="1"/>
  <c r="M28" i="6"/>
  <c r="L65" i="6" s="1"/>
  <c r="M54" i="6"/>
  <c r="M27" i="6"/>
  <c r="L64" i="6" s="1"/>
  <c r="J32" i="1"/>
  <c r="H83" i="1"/>
  <c r="E19" i="5"/>
  <c r="E8" i="5"/>
  <c r="E31" i="5"/>
  <c r="E12" i="5"/>
  <c r="E48" i="5"/>
  <c r="E9" i="5"/>
  <c r="E45" i="5"/>
  <c r="E123" i="5"/>
  <c r="E131" i="5"/>
  <c r="E108" i="5"/>
  <c r="E40" i="5"/>
  <c r="E3" i="5"/>
  <c r="E37" i="5"/>
  <c r="E50" i="5"/>
  <c r="E67" i="5"/>
  <c r="E130" i="5"/>
  <c r="E39" i="5"/>
  <c r="E20" i="5"/>
  <c r="E10" i="5"/>
  <c r="E17" i="5"/>
  <c r="E53" i="5"/>
  <c r="E106" i="5"/>
  <c r="E109" i="5"/>
  <c r="E91" i="5"/>
  <c r="E4" i="5"/>
  <c r="E51" i="5"/>
  <c r="E32" i="5"/>
  <c r="E11" i="5"/>
  <c r="E25" i="5"/>
  <c r="E30" i="5"/>
  <c r="E89" i="5"/>
  <c r="E92" i="5"/>
  <c r="E136" i="5"/>
  <c r="E137" i="5"/>
  <c r="E120" i="5"/>
  <c r="E103" i="5"/>
  <c r="E86" i="5"/>
  <c r="E77" i="5"/>
  <c r="E66" i="5"/>
  <c r="E58" i="5"/>
  <c r="E133" i="5"/>
  <c r="E116" i="5"/>
  <c r="E94" i="5"/>
  <c r="E83" i="5"/>
  <c r="E75" i="5"/>
  <c r="E64" i="5"/>
  <c r="E124" i="5"/>
  <c r="E107" i="5"/>
  <c r="E88" i="5"/>
  <c r="E79" i="5"/>
  <c r="E68" i="5"/>
  <c r="E60" i="5"/>
  <c r="E129" i="5"/>
  <c r="E111" i="5"/>
  <c r="E90" i="5"/>
  <c r="E81" i="5"/>
  <c r="E73" i="5"/>
  <c r="E62" i="5"/>
  <c r="E27" i="5"/>
  <c r="E47" i="5"/>
  <c r="E5" i="5"/>
  <c r="E24" i="5"/>
  <c r="E44" i="5"/>
  <c r="E2" i="5"/>
  <c r="C2" i="5" s="1"/>
  <c r="F2" i="5" s="1"/>
  <c r="B3" i="5" s="1"/>
  <c r="E6" i="5"/>
  <c r="E21" i="5"/>
  <c r="E41" i="5"/>
  <c r="E18" i="5"/>
  <c r="E34" i="5"/>
  <c r="E54" i="5"/>
  <c r="E119" i="5"/>
  <c r="E102" i="5"/>
  <c r="E80" i="5"/>
  <c r="E63" i="5"/>
  <c r="E122" i="5"/>
  <c r="E105" i="5"/>
  <c r="E139" i="5"/>
  <c r="E125" i="5"/>
  <c r="E104" i="5"/>
  <c r="E87" i="5"/>
  <c r="E69" i="5"/>
  <c r="E22" i="5"/>
  <c r="E38" i="5"/>
  <c r="E132" i="5"/>
  <c r="E115" i="5"/>
  <c r="E97" i="5"/>
  <c r="E76" i="5"/>
  <c r="E59" i="5"/>
  <c r="E118" i="5"/>
  <c r="E101" i="5"/>
  <c r="E138" i="5"/>
  <c r="E121" i="5"/>
  <c r="E100" i="5"/>
  <c r="E82" i="5"/>
  <c r="E65" i="5"/>
  <c r="E7" i="5"/>
  <c r="E35" i="5"/>
  <c r="E55" i="5"/>
  <c r="E16" i="5"/>
  <c r="E36" i="5"/>
  <c r="E52" i="5"/>
  <c r="E23" i="5"/>
  <c r="E13" i="5"/>
  <c r="E33" i="5"/>
  <c r="E49" i="5"/>
  <c r="E26" i="5"/>
  <c r="E46" i="5"/>
  <c r="E128" i="5"/>
  <c r="E110" i="5"/>
  <c r="E93" i="5"/>
  <c r="E72" i="5"/>
  <c r="E135" i="5"/>
  <c r="E114" i="5"/>
  <c r="E96" i="5"/>
  <c r="E134" i="5"/>
  <c r="E117" i="5"/>
  <c r="E95" i="5"/>
  <c r="E78" i="5"/>
  <c r="E61" i="5"/>
  <c r="D3" i="5"/>
  <c r="L66" i="6" l="1"/>
  <c r="N10" i="6"/>
  <c r="N7" i="6"/>
  <c r="N38" i="6" s="1"/>
  <c r="N27" i="6"/>
  <c r="N25" i="6"/>
  <c r="N28" i="6"/>
  <c r="N54" i="6"/>
  <c r="J80" i="6"/>
  <c r="D5" i="7"/>
  <c r="M56" i="6"/>
  <c r="M57" i="6" s="1"/>
  <c r="L67" i="6" s="1"/>
  <c r="L32" i="6"/>
  <c r="K34" i="6"/>
  <c r="L58" i="6"/>
  <c r="K32" i="1"/>
  <c r="I83" i="1"/>
  <c r="C3" i="5"/>
  <c r="L34" i="6" l="1"/>
  <c r="M32" i="6"/>
  <c r="M65" i="6"/>
  <c r="N65" i="6"/>
  <c r="M66" i="6"/>
  <c r="N66" i="6"/>
  <c r="L80" i="6"/>
  <c r="M58" i="6"/>
  <c r="M62" i="6"/>
  <c r="N62" i="6"/>
  <c r="C5" i="7"/>
  <c r="N56" i="6"/>
  <c r="N57" i="6" s="1"/>
  <c r="M64" i="6"/>
  <c r="N64" i="6"/>
  <c r="L32" i="1"/>
  <c r="J83" i="1"/>
  <c r="F3" i="5"/>
  <c r="B4" i="5" s="1"/>
  <c r="M67" i="6" l="1"/>
  <c r="N67" i="6"/>
  <c r="F5" i="7"/>
  <c r="B6" i="7" s="1"/>
  <c r="N32" i="6"/>
  <c r="M34" i="6"/>
  <c r="N58" i="6"/>
  <c r="M80" i="6"/>
  <c r="M32" i="1"/>
  <c r="K83" i="1"/>
  <c r="D4" i="5"/>
  <c r="D6" i="7" l="1"/>
  <c r="C6" i="7" s="1"/>
  <c r="N34" i="6"/>
  <c r="P75" i="6"/>
  <c r="P76" i="6" s="1"/>
  <c r="N76" i="6" s="1"/>
  <c r="N80" i="6" s="1"/>
  <c r="C81" i="6" s="1"/>
  <c r="N32" i="1"/>
  <c r="L83" i="1"/>
  <c r="C4" i="5"/>
  <c r="F6" i="7" l="1"/>
  <c r="B7" i="7" s="1"/>
  <c r="P84" i="1"/>
  <c r="M83" i="1"/>
  <c r="N83" i="1"/>
  <c r="F4" i="5"/>
  <c r="B5" i="5" s="1"/>
  <c r="D7" i="7" l="1"/>
  <c r="C7" i="7" s="1"/>
  <c r="F7" i="7"/>
  <c r="B8" i="7" s="1"/>
  <c r="N84" i="1"/>
  <c r="P85" i="1" s="1"/>
  <c r="N85" i="1" s="1"/>
  <c r="D5" i="5"/>
  <c r="C5" i="5" s="1"/>
  <c r="D8" i="7" l="1"/>
  <c r="C8" i="7" s="1"/>
  <c r="F8" i="7"/>
  <c r="B9" i="7" s="1"/>
  <c r="F5" i="5"/>
  <c r="B6" i="5" s="1"/>
  <c r="D9" i="7" l="1"/>
  <c r="C9" i="7" s="1"/>
  <c r="F9" i="7" s="1"/>
  <c r="B10" i="7" s="1"/>
  <c r="D6" i="5"/>
  <c r="C6" i="5" s="1"/>
  <c r="F6" i="5" s="1"/>
  <c r="B7" i="5" s="1"/>
  <c r="D10" i="7" l="1"/>
  <c r="C10" i="7" s="1"/>
  <c r="F10" i="7"/>
  <c r="B11" i="7" s="1"/>
  <c r="D7" i="5"/>
  <c r="C7" i="5" s="1"/>
  <c r="F7" i="5" s="1"/>
  <c r="B8" i="5" s="1"/>
  <c r="D11" i="7" l="1"/>
  <c r="C11" i="7" s="1"/>
  <c r="F11" i="7" s="1"/>
  <c r="B12" i="7" s="1"/>
  <c r="D8" i="5"/>
  <c r="C8" i="5" s="1"/>
  <c r="F8" i="5" s="1"/>
  <c r="B9" i="5" s="1"/>
  <c r="F12" i="7" l="1"/>
  <c r="B13" i="7" s="1"/>
  <c r="D12" i="7"/>
  <c r="C12" i="7" s="1"/>
  <c r="D9" i="5"/>
  <c r="C9" i="5" s="1"/>
  <c r="F9" i="5" s="1"/>
  <c r="B10" i="5" s="1"/>
  <c r="D13" i="7" l="1"/>
  <c r="D10" i="5"/>
  <c r="C10" i="5" s="1"/>
  <c r="F10" i="5" s="1"/>
  <c r="B11" i="5" s="1"/>
  <c r="C13" i="7" l="1"/>
  <c r="D14" i="7"/>
  <c r="E16" i="6" s="1"/>
  <c r="D11" i="5"/>
  <c r="C11" i="5" s="1"/>
  <c r="F11" i="5" s="1"/>
  <c r="B12" i="5" s="1"/>
  <c r="C14" i="7" l="1"/>
  <c r="F13" i="7"/>
  <c r="Y50" i="6"/>
  <c r="E19" i="6"/>
  <c r="D12" i="5"/>
  <c r="C12" i="5" s="1"/>
  <c r="F12" i="5" s="1"/>
  <c r="B13" i="5" s="1"/>
  <c r="E20" i="6" l="1"/>
  <c r="E39" i="6" s="1"/>
  <c r="E21" i="6"/>
  <c r="E46" i="6" s="1"/>
  <c r="B16" i="7"/>
  <c r="E41" i="6"/>
  <c r="D13" i="5"/>
  <c r="X48" i="6" l="1"/>
  <c r="X51" i="6" s="1"/>
  <c r="D16" i="7"/>
  <c r="E48" i="6"/>
  <c r="E49" i="6" s="1"/>
  <c r="C13" i="5"/>
  <c r="D14" i="5"/>
  <c r="E17" i="1" s="1"/>
  <c r="C16" i="7" l="1"/>
  <c r="C14" i="5"/>
  <c r="F13" i="5"/>
  <c r="F16" i="7" l="1"/>
  <c r="B17" i="7" s="1"/>
  <c r="B16" i="5"/>
  <c r="D16" i="5" s="1"/>
  <c r="E46" i="1"/>
  <c r="D17" i="7" l="1"/>
  <c r="C16" i="5"/>
  <c r="C17" i="7" l="1"/>
  <c r="F16" i="5"/>
  <c r="B17" i="5" s="1"/>
  <c r="F17" i="7" l="1"/>
  <c r="B18" i="7" s="1"/>
  <c r="D17" i="5"/>
  <c r="D18" i="7" l="1"/>
  <c r="C17" i="5"/>
  <c r="C18" i="7" l="1"/>
  <c r="F17" i="5"/>
  <c r="B18" i="5" s="1"/>
  <c r="F18" i="7" l="1"/>
  <c r="B19" i="7" s="1"/>
  <c r="D18" i="5"/>
  <c r="D19" i="7" l="1"/>
  <c r="C18" i="5"/>
  <c r="C19" i="7" l="1"/>
  <c r="F18" i="5"/>
  <c r="B19" i="5" s="1"/>
  <c r="F19" i="7" l="1"/>
  <c r="B20" i="7" s="1"/>
  <c r="D19" i="5"/>
  <c r="D20" i="7" l="1"/>
  <c r="C19" i="5"/>
  <c r="C20" i="7" l="1"/>
  <c r="F19" i="5"/>
  <c r="B20" i="5" s="1"/>
  <c r="F20" i="7" l="1"/>
  <c r="B21" i="7" s="1"/>
  <c r="D20" i="5"/>
  <c r="D21" i="7" l="1"/>
  <c r="C21" i="7" s="1"/>
  <c r="F21" i="7" s="1"/>
  <c r="B22" i="7" s="1"/>
  <c r="C20" i="5"/>
  <c r="D22" i="7" l="1"/>
  <c r="C22" i="7" s="1"/>
  <c r="F22" i="7"/>
  <c r="B23" i="7" s="1"/>
  <c r="F20" i="5"/>
  <c r="B21" i="5" s="1"/>
  <c r="D23" i="7" l="1"/>
  <c r="C23" i="7" s="1"/>
  <c r="F23" i="7" s="1"/>
  <c r="B24" i="7" s="1"/>
  <c r="D21" i="5"/>
  <c r="C21" i="5" s="1"/>
  <c r="F21" i="5" s="1"/>
  <c r="B22" i="5" s="1"/>
  <c r="D24" i="7" l="1"/>
  <c r="C24" i="7" s="1"/>
  <c r="F24" i="7" s="1"/>
  <c r="B25" i="7" s="1"/>
  <c r="D22" i="5"/>
  <c r="C22" i="5" s="1"/>
  <c r="F22" i="5" s="1"/>
  <c r="B23" i="5" s="1"/>
  <c r="D25" i="7" l="1"/>
  <c r="C25" i="7" s="1"/>
  <c r="F25" i="7" s="1"/>
  <c r="B26" i="7" s="1"/>
  <c r="D23" i="5"/>
  <c r="C23" i="5" s="1"/>
  <c r="F23" i="5" s="1"/>
  <c r="B24" i="5" s="1"/>
  <c r="D26" i="7" l="1"/>
  <c r="C26" i="7" s="1"/>
  <c r="F26" i="7"/>
  <c r="B27" i="7" s="1"/>
  <c r="D24" i="5"/>
  <c r="C24" i="5" s="1"/>
  <c r="F24" i="5" s="1"/>
  <c r="B25" i="5" s="1"/>
  <c r="D27" i="7" l="1"/>
  <c r="D25" i="5"/>
  <c r="C25" i="5" s="1"/>
  <c r="F25" i="5" s="1"/>
  <c r="B26" i="5" s="1"/>
  <c r="C27" i="7" l="1"/>
  <c r="D28" i="7"/>
  <c r="F16" i="6" s="1"/>
  <c r="D26" i="5"/>
  <c r="C26" i="5" s="1"/>
  <c r="F26" i="5" s="1"/>
  <c r="B27" i="5" s="1"/>
  <c r="Z50" i="6" l="1"/>
  <c r="F19" i="6"/>
  <c r="C28" i="7"/>
  <c r="F27" i="7"/>
  <c r="D27" i="5"/>
  <c r="F20" i="6" l="1"/>
  <c r="F39" i="6" s="1"/>
  <c r="F21" i="6"/>
  <c r="F46" i="6" s="1"/>
  <c r="B30" i="7"/>
  <c r="F41" i="6"/>
  <c r="C27" i="5"/>
  <c r="D28" i="5"/>
  <c r="F17" i="1" s="1"/>
  <c r="Y48" i="6" l="1"/>
  <c r="Y51" i="6" s="1"/>
  <c r="D30" i="7"/>
  <c r="F48" i="6"/>
  <c r="F49" i="6" s="1"/>
  <c r="C28" i="5"/>
  <c r="F27" i="5"/>
  <c r="C30" i="7" l="1"/>
  <c r="B30" i="5"/>
  <c r="D30" i="5" s="1"/>
  <c r="F46" i="1"/>
  <c r="F30" i="7" l="1"/>
  <c r="B31" i="7" s="1"/>
  <c r="C30" i="5"/>
  <c r="D31" i="7" l="1"/>
  <c r="F30" i="5"/>
  <c r="B31" i="5" s="1"/>
  <c r="C31" i="7" l="1"/>
  <c r="D31" i="5"/>
  <c r="F31" i="7" l="1"/>
  <c r="B32" i="7" s="1"/>
  <c r="C31" i="5"/>
  <c r="D32" i="7" l="1"/>
  <c r="F31" i="5"/>
  <c r="B32" i="5" s="1"/>
  <c r="C32" i="7" l="1"/>
  <c r="D32" i="5"/>
  <c r="F32" i="7" l="1"/>
  <c r="B33" i="7" s="1"/>
  <c r="C32" i="5"/>
  <c r="D33" i="7" l="1"/>
  <c r="F32" i="5"/>
  <c r="B33" i="5" s="1"/>
  <c r="C33" i="7" l="1"/>
  <c r="D33" i="5"/>
  <c r="F33" i="7" l="1"/>
  <c r="B34" i="7" s="1"/>
  <c r="C33" i="5"/>
  <c r="D34" i="7" l="1"/>
  <c r="F33" i="5"/>
  <c r="B34" i="5" s="1"/>
  <c r="C34" i="7" l="1"/>
  <c r="D34" i="5"/>
  <c r="F34" i="7" l="1"/>
  <c r="B35" i="7" s="1"/>
  <c r="C34" i="5"/>
  <c r="D35" i="7" l="1"/>
  <c r="C35" i="7" s="1"/>
  <c r="F35" i="7"/>
  <c r="B36" i="7" s="1"/>
  <c r="F34" i="5"/>
  <c r="B35" i="5" s="1"/>
  <c r="D36" i="7" l="1"/>
  <c r="C36" i="7" s="1"/>
  <c r="F36" i="7" s="1"/>
  <c r="B37" i="7" s="1"/>
  <c r="D35" i="5"/>
  <c r="C35" i="5" s="1"/>
  <c r="F35" i="5" s="1"/>
  <c r="B36" i="5" s="1"/>
  <c r="D37" i="7" l="1"/>
  <c r="C37" i="7" s="1"/>
  <c r="F37" i="7" s="1"/>
  <c r="B38" i="7" s="1"/>
  <c r="D36" i="5"/>
  <c r="C36" i="5" s="1"/>
  <c r="F36" i="5" s="1"/>
  <c r="B37" i="5" s="1"/>
  <c r="D38" i="7" l="1"/>
  <c r="C38" i="7" s="1"/>
  <c r="F38" i="7"/>
  <c r="B39" i="7" s="1"/>
  <c r="D37" i="5"/>
  <c r="C37" i="5" s="1"/>
  <c r="F37" i="5" s="1"/>
  <c r="B38" i="5" s="1"/>
  <c r="D39" i="7" l="1"/>
  <c r="C39" i="7" s="1"/>
  <c r="F39" i="7"/>
  <c r="B40" i="7" s="1"/>
  <c r="D38" i="5"/>
  <c r="C38" i="5" s="1"/>
  <c r="F38" i="5" s="1"/>
  <c r="B39" i="5" s="1"/>
  <c r="D40" i="7" l="1"/>
  <c r="C40" i="7" s="1"/>
  <c r="F40" i="7" s="1"/>
  <c r="B41" i="7" s="1"/>
  <c r="D39" i="5"/>
  <c r="C39" i="5" s="1"/>
  <c r="F39" i="5" s="1"/>
  <c r="B40" i="5" s="1"/>
  <c r="D41" i="7" l="1"/>
  <c r="D40" i="5"/>
  <c r="C40" i="5" s="1"/>
  <c r="F40" i="5" s="1"/>
  <c r="B41" i="5" s="1"/>
  <c r="C41" i="7" l="1"/>
  <c r="D42" i="7"/>
  <c r="G16" i="6" s="1"/>
  <c r="D41" i="5"/>
  <c r="AA50" i="6" l="1"/>
  <c r="G19" i="6"/>
  <c r="C42" i="7"/>
  <c r="F41" i="7"/>
  <c r="C41" i="5"/>
  <c r="D42" i="5"/>
  <c r="G17" i="1" s="1"/>
  <c r="B44" i="7" l="1"/>
  <c r="G41" i="6"/>
  <c r="G20" i="6"/>
  <c r="G39" i="6" s="1"/>
  <c r="C42" i="5"/>
  <c r="F41" i="5"/>
  <c r="G48" i="6" l="1"/>
  <c r="G49" i="6" s="1"/>
  <c r="G21" i="6"/>
  <c r="G46" i="6" s="1"/>
  <c r="Z48" i="6"/>
  <c r="Z51" i="6" s="1"/>
  <c r="D44" i="7"/>
  <c r="B44" i="5"/>
  <c r="D44" i="5" s="1"/>
  <c r="G46" i="1"/>
  <c r="C44" i="7" l="1"/>
  <c r="C44" i="5"/>
  <c r="F44" i="7" l="1"/>
  <c r="B45" i="7" s="1"/>
  <c r="F44" i="5"/>
  <c r="B45" i="5" s="1"/>
  <c r="D45" i="7" l="1"/>
  <c r="D45" i="5"/>
  <c r="C45" i="7" l="1"/>
  <c r="C45" i="5"/>
  <c r="F45" i="7" l="1"/>
  <c r="B46" i="7" s="1"/>
  <c r="F45" i="5"/>
  <c r="B46" i="5" s="1"/>
  <c r="D46" i="7" l="1"/>
  <c r="D46" i="5"/>
  <c r="C46" i="7" l="1"/>
  <c r="C46" i="5"/>
  <c r="F46" i="7" l="1"/>
  <c r="B47" i="7" s="1"/>
  <c r="F46" i="5"/>
  <c r="B47" i="5" s="1"/>
  <c r="D47" i="7" l="1"/>
  <c r="D47" i="5"/>
  <c r="C47" i="7" l="1"/>
  <c r="C47" i="5"/>
  <c r="F47" i="7" l="1"/>
  <c r="B48" i="7" s="1"/>
  <c r="F47" i="5"/>
  <c r="B48" i="5" s="1"/>
  <c r="D48" i="7" l="1"/>
  <c r="D48" i="5"/>
  <c r="C48" i="7" l="1"/>
  <c r="C48" i="5"/>
  <c r="F48" i="7" l="1"/>
  <c r="B49" i="7" s="1"/>
  <c r="F48" i="5"/>
  <c r="B49" i="5" s="1"/>
  <c r="D49" i="7" l="1"/>
  <c r="C49" i="7" s="1"/>
  <c r="F49" i="7" s="1"/>
  <c r="B50" i="7" s="1"/>
  <c r="D49" i="5"/>
  <c r="C49" i="5" s="1"/>
  <c r="F49" i="5" s="1"/>
  <c r="B50" i="5" s="1"/>
  <c r="D50" i="7" l="1"/>
  <c r="C50" i="7" s="1"/>
  <c r="F50" i="7"/>
  <c r="B51" i="7" s="1"/>
  <c r="D50" i="5"/>
  <c r="C50" i="5" s="1"/>
  <c r="F50" i="5" s="1"/>
  <c r="B51" i="5" s="1"/>
  <c r="D51" i="7" l="1"/>
  <c r="C51" i="7" s="1"/>
  <c r="F51" i="7"/>
  <c r="B52" i="7" s="1"/>
  <c r="D51" i="5"/>
  <c r="C51" i="5" s="1"/>
  <c r="F51" i="5" s="1"/>
  <c r="B52" i="5" s="1"/>
  <c r="D52" i="7" l="1"/>
  <c r="C52" i="7" s="1"/>
  <c r="F52" i="7" s="1"/>
  <c r="B53" i="7" s="1"/>
  <c r="D52" i="5"/>
  <c r="C52" i="5" s="1"/>
  <c r="F52" i="5" s="1"/>
  <c r="B53" i="5" s="1"/>
  <c r="D53" i="7" l="1"/>
  <c r="C53" i="7" s="1"/>
  <c r="F53" i="7" s="1"/>
  <c r="B54" i="7" s="1"/>
  <c r="D53" i="5"/>
  <c r="C53" i="5" s="1"/>
  <c r="F53" i="5" s="1"/>
  <c r="B54" i="5" s="1"/>
  <c r="D54" i="7" l="1"/>
  <c r="C54" i="7" s="1"/>
  <c r="F54" i="7" s="1"/>
  <c r="B55" i="7" s="1"/>
  <c r="D54" i="5"/>
  <c r="C54" i="5" s="1"/>
  <c r="F54" i="5" s="1"/>
  <c r="B55" i="5" s="1"/>
  <c r="D55" i="7" l="1"/>
  <c r="D55" i="5"/>
  <c r="C55" i="7" l="1"/>
  <c r="D56" i="7"/>
  <c r="H16" i="6" s="1"/>
  <c r="C55" i="5"/>
  <c r="D56" i="5"/>
  <c r="H17" i="1" s="1"/>
  <c r="AB50" i="6" l="1"/>
  <c r="H19" i="6"/>
  <c r="C56" i="7"/>
  <c r="F55" i="7"/>
  <c r="C56" i="5"/>
  <c r="F55" i="5"/>
  <c r="B58" i="7" l="1"/>
  <c r="H41" i="6"/>
  <c r="H20" i="6"/>
  <c r="H39" i="6" s="1"/>
  <c r="B58" i="5"/>
  <c r="D58" i="5" s="1"/>
  <c r="H46" i="1"/>
  <c r="H21" i="6" l="1"/>
  <c r="H46" i="6" s="1"/>
  <c r="AA48" i="6"/>
  <c r="AA51" i="6" s="1"/>
  <c r="D58" i="7"/>
  <c r="C58" i="5"/>
  <c r="C58" i="7" l="1"/>
  <c r="H48" i="6"/>
  <c r="H49" i="6" s="1"/>
  <c r="F58" i="5"/>
  <c r="B59" i="5" s="1"/>
  <c r="F58" i="7" l="1"/>
  <c r="B59" i="7" s="1"/>
  <c r="D59" i="5"/>
  <c r="D59" i="7" l="1"/>
  <c r="C59" i="5"/>
  <c r="C59" i="7" l="1"/>
  <c r="F59" i="5"/>
  <c r="B60" i="5" s="1"/>
  <c r="D60" i="5" s="1"/>
  <c r="F59" i="7" l="1"/>
  <c r="B60" i="7" s="1"/>
  <c r="C60" i="5"/>
  <c r="D60" i="7" l="1"/>
  <c r="F60" i="5"/>
  <c r="B61" i="5" s="1"/>
  <c r="D61" i="5" s="1"/>
  <c r="C60" i="7" l="1"/>
  <c r="C61" i="5"/>
  <c r="F60" i="7" l="1"/>
  <c r="B61" i="7" s="1"/>
  <c r="F61" i="5"/>
  <c r="B62" i="5" s="1"/>
  <c r="D62" i="5" s="1"/>
  <c r="D61" i="7" l="1"/>
  <c r="C62" i="5"/>
  <c r="C61" i="7" l="1"/>
  <c r="F62" i="5"/>
  <c r="B63" i="5" s="1"/>
  <c r="D63" i="5" s="1"/>
  <c r="F61" i="7" l="1"/>
  <c r="B62" i="7" s="1"/>
  <c r="C63" i="5"/>
  <c r="D62" i="7" l="1"/>
  <c r="F63" i="5"/>
  <c r="B64" i="5" s="1"/>
  <c r="D64" i="5" s="1"/>
  <c r="C64" i="5" s="1"/>
  <c r="F64" i="5" s="1"/>
  <c r="B65" i="5" s="1"/>
  <c r="D65" i="5" s="1"/>
  <c r="C65" i="5" s="1"/>
  <c r="F65" i="5" s="1"/>
  <c r="B66" i="5" s="1"/>
  <c r="D66" i="5" s="1"/>
  <c r="C66" i="5" s="1"/>
  <c r="F66" i="5" s="1"/>
  <c r="B67" i="5" s="1"/>
  <c r="D67" i="5" s="1"/>
  <c r="C67" i="5" s="1"/>
  <c r="F67" i="5" s="1"/>
  <c r="B68" i="5" s="1"/>
  <c r="D68" i="5" s="1"/>
  <c r="C68" i="5" s="1"/>
  <c r="F68" i="5" s="1"/>
  <c r="B69" i="5" s="1"/>
  <c r="D69" i="5" s="1"/>
  <c r="C62" i="7" l="1"/>
  <c r="C69" i="5"/>
  <c r="D70" i="5"/>
  <c r="I17" i="1" s="1"/>
  <c r="F62" i="7" l="1"/>
  <c r="B63" i="7" s="1"/>
  <c r="F69" i="5"/>
  <c r="C70" i="5"/>
  <c r="D63" i="7" l="1"/>
  <c r="C63" i="7" s="1"/>
  <c r="F63" i="7"/>
  <c r="B64" i="7" s="1"/>
  <c r="B72" i="5"/>
  <c r="D72" i="5" s="1"/>
  <c r="I46" i="1"/>
  <c r="D64" i="7" l="1"/>
  <c r="C64" i="7" s="1"/>
  <c r="F64" i="7"/>
  <c r="B65" i="7" s="1"/>
  <c r="C72" i="5"/>
  <c r="D65" i="7" l="1"/>
  <c r="C65" i="7" s="1"/>
  <c r="F65" i="7" s="1"/>
  <c r="B66" i="7" s="1"/>
  <c r="F72" i="5"/>
  <c r="B73" i="5" s="1"/>
  <c r="D73" i="5" s="1"/>
  <c r="D66" i="7" l="1"/>
  <c r="C66" i="7" s="1"/>
  <c r="F66" i="7" s="1"/>
  <c r="B67" i="7" s="1"/>
  <c r="C73" i="5"/>
  <c r="D67" i="7" l="1"/>
  <c r="C67" i="7" s="1"/>
  <c r="F67" i="7"/>
  <c r="B68" i="7" s="1"/>
  <c r="F73" i="5"/>
  <c r="B74" i="5" s="1"/>
  <c r="D74" i="5" s="1"/>
  <c r="D68" i="7" l="1"/>
  <c r="C68" i="7" s="1"/>
  <c r="F68" i="7"/>
  <c r="B69" i="7" s="1"/>
  <c r="C74" i="5"/>
  <c r="D69" i="7" l="1"/>
  <c r="F74" i="5"/>
  <c r="B75" i="5" s="1"/>
  <c r="C69" i="7" l="1"/>
  <c r="D70" i="7"/>
  <c r="I16" i="6" s="1"/>
  <c r="D75" i="5"/>
  <c r="C70" i="7" l="1"/>
  <c r="F69" i="7"/>
  <c r="AC50" i="6"/>
  <c r="I19" i="6"/>
  <c r="C75" i="5"/>
  <c r="I20" i="6" l="1"/>
  <c r="I39" i="6" s="1"/>
  <c r="B72" i="7"/>
  <c r="I41" i="6"/>
  <c r="F75" i="5"/>
  <c r="B76" i="5" s="1"/>
  <c r="D76" i="5" s="1"/>
  <c r="W40" i="6" l="1"/>
  <c r="AB48" i="6"/>
  <c r="AB51" i="6" s="1"/>
  <c r="I36" i="6"/>
  <c r="AC49" i="6"/>
  <c r="AC51" i="6" s="1"/>
  <c r="X52" i="6" s="1"/>
  <c r="D72" i="7"/>
  <c r="I21" i="6"/>
  <c r="I46" i="6" s="1"/>
  <c r="C76" i="5"/>
  <c r="C72" i="7" l="1"/>
  <c r="I48" i="6"/>
  <c r="I49" i="6" s="1"/>
  <c r="AA39" i="6"/>
  <c r="W41" i="6"/>
  <c r="W43" i="6" s="1"/>
  <c r="W45" i="6" s="1"/>
  <c r="F76" i="5"/>
  <c r="B77" i="5" s="1"/>
  <c r="D77" i="5" s="1"/>
  <c r="C77" i="5" s="1"/>
  <c r="F77" i="5" s="1"/>
  <c r="B78" i="5" s="1"/>
  <c r="D78" i="5" s="1"/>
  <c r="C78" i="5" s="1"/>
  <c r="F78" i="5" s="1"/>
  <c r="B79" i="5" s="1"/>
  <c r="D79" i="5" s="1"/>
  <c r="C79" i="5" s="1"/>
  <c r="F79" i="5" s="1"/>
  <c r="B80" i="5" s="1"/>
  <c r="D80" i="5" s="1"/>
  <c r="C80" i="5" s="1"/>
  <c r="F80" i="5" s="1"/>
  <c r="B81" i="5" s="1"/>
  <c r="D81" i="5" s="1"/>
  <c r="C81" i="5" s="1"/>
  <c r="F81" i="5" s="1"/>
  <c r="B82" i="5" s="1"/>
  <c r="D82" i="5" s="1"/>
  <c r="C82" i="5" s="1"/>
  <c r="F82" i="5" s="1"/>
  <c r="B83" i="5" s="1"/>
  <c r="D83" i="5" s="1"/>
  <c r="F72" i="7" l="1"/>
  <c r="B73" i="7" s="1"/>
  <c r="AC40" i="6"/>
  <c r="AA40" i="6"/>
  <c r="C83" i="5"/>
  <c r="D84" i="5"/>
  <c r="J17" i="1" s="1"/>
  <c r="AC56" i="6" l="1"/>
  <c r="AC58" i="6" s="1"/>
  <c r="X59" i="6" s="1"/>
  <c r="AB40" i="6"/>
  <c r="D73" i="7"/>
  <c r="F83" i="5"/>
  <c r="C84" i="5"/>
  <c r="C73" i="7" l="1"/>
  <c r="B86" i="5"/>
  <c r="D86" i="5" s="1"/>
  <c r="J46" i="1"/>
  <c r="F73" i="7" l="1"/>
  <c r="B74" i="7" s="1"/>
  <c r="C86" i="5"/>
  <c r="D74" i="7" l="1"/>
  <c r="F86" i="5"/>
  <c r="B87" i="5" s="1"/>
  <c r="D87" i="5" s="1"/>
  <c r="C74" i="7" l="1"/>
  <c r="C87" i="5"/>
  <c r="F74" i="7" l="1"/>
  <c r="B75" i="7" s="1"/>
  <c r="F87" i="5"/>
  <c r="B88" i="5" s="1"/>
  <c r="D88" i="5" s="1"/>
  <c r="D75" i="7" l="1"/>
  <c r="C88" i="5"/>
  <c r="C75" i="7" l="1"/>
  <c r="F88" i="5"/>
  <c r="B89" i="5" s="1"/>
  <c r="D89" i="5" s="1"/>
  <c r="F75" i="7" l="1"/>
  <c r="B76" i="7" s="1"/>
  <c r="C89" i="5"/>
  <c r="D76" i="7" l="1"/>
  <c r="F89" i="5"/>
  <c r="B90" i="5" s="1"/>
  <c r="D90" i="5" s="1"/>
  <c r="C76" i="7" l="1"/>
  <c r="C90" i="5"/>
  <c r="F76" i="7" l="1"/>
  <c r="B77" i="7" s="1"/>
  <c r="F90" i="5"/>
  <c r="B91" i="5" s="1"/>
  <c r="D91" i="5" s="1"/>
  <c r="C91" i="5" s="1"/>
  <c r="F91" i="5" s="1"/>
  <c r="B92" i="5" s="1"/>
  <c r="D92" i="5" s="1"/>
  <c r="C92" i="5" s="1"/>
  <c r="F92" i="5" s="1"/>
  <c r="B93" i="5" s="1"/>
  <c r="D93" i="5" s="1"/>
  <c r="C93" i="5" s="1"/>
  <c r="F93" i="5" s="1"/>
  <c r="B94" i="5" s="1"/>
  <c r="D94" i="5" s="1"/>
  <c r="C94" i="5" s="1"/>
  <c r="F94" i="5" s="1"/>
  <c r="B95" i="5" s="1"/>
  <c r="D95" i="5" s="1"/>
  <c r="C95" i="5" s="1"/>
  <c r="F95" i="5" s="1"/>
  <c r="B96" i="5" s="1"/>
  <c r="D96" i="5" s="1"/>
  <c r="C96" i="5" s="1"/>
  <c r="F96" i="5" s="1"/>
  <c r="B97" i="5" s="1"/>
  <c r="D97" i="5" s="1"/>
  <c r="F77" i="7" l="1"/>
  <c r="B78" i="7" s="1"/>
  <c r="D77" i="7"/>
  <c r="C77" i="7" s="1"/>
  <c r="C97" i="5"/>
  <c r="D98" i="5"/>
  <c r="K17" i="1" s="1"/>
  <c r="D78" i="7" l="1"/>
  <c r="C78" i="7" s="1"/>
  <c r="F78" i="7" s="1"/>
  <c r="B79" i="7" s="1"/>
  <c r="F97" i="5"/>
  <c r="C98" i="5"/>
  <c r="D79" i="7" l="1"/>
  <c r="C79" i="7" s="1"/>
  <c r="F79" i="7"/>
  <c r="B80" i="7" s="1"/>
  <c r="B100" i="5"/>
  <c r="D100" i="5" s="1"/>
  <c r="K46" i="1"/>
  <c r="D80" i="7" l="1"/>
  <c r="C80" i="7" s="1"/>
  <c r="F80" i="7"/>
  <c r="B81" i="7" s="1"/>
  <c r="C100" i="5"/>
  <c r="D81" i="7" l="1"/>
  <c r="C81" i="7" s="1"/>
  <c r="F81" i="7" s="1"/>
  <c r="B82" i="7" s="1"/>
  <c r="F100" i="5"/>
  <c r="B101" i="5" s="1"/>
  <c r="D101" i="5" s="1"/>
  <c r="F82" i="7" l="1"/>
  <c r="B83" i="7" s="1"/>
  <c r="D82" i="7"/>
  <c r="C82" i="7" s="1"/>
  <c r="C101" i="5"/>
  <c r="D83" i="7" l="1"/>
  <c r="F101" i="5"/>
  <c r="B102" i="5" s="1"/>
  <c r="D102" i="5" s="1"/>
  <c r="C83" i="7" l="1"/>
  <c r="D84" i="7"/>
  <c r="J16" i="6" s="1"/>
  <c r="J19" i="6" s="1"/>
  <c r="C102" i="5"/>
  <c r="C84" i="7" l="1"/>
  <c r="F83" i="7"/>
  <c r="J20" i="6"/>
  <c r="J39" i="6" s="1"/>
  <c r="J21" i="6"/>
  <c r="J46" i="6" s="1"/>
  <c r="F102" i="5"/>
  <c r="B103" i="5" s="1"/>
  <c r="D103" i="5" s="1"/>
  <c r="J48" i="6" l="1"/>
  <c r="J49" i="6" s="1"/>
  <c r="B86" i="7"/>
  <c r="J41" i="6"/>
  <c r="C103" i="5"/>
  <c r="D86" i="7" l="1"/>
  <c r="F103" i="5"/>
  <c r="B104" i="5" s="1"/>
  <c r="D104" i="5" s="1"/>
  <c r="C86" i="7" l="1"/>
  <c r="C104" i="5"/>
  <c r="F86" i="7" l="1"/>
  <c r="B87" i="7" s="1"/>
  <c r="F104" i="5"/>
  <c r="B105" i="5" s="1"/>
  <c r="D105" i="5" s="1"/>
  <c r="C105" i="5" s="1"/>
  <c r="F105" i="5" s="1"/>
  <c r="B106" i="5" s="1"/>
  <c r="D106" i="5" s="1"/>
  <c r="C106" i="5" s="1"/>
  <c r="F106" i="5" s="1"/>
  <c r="B107" i="5" s="1"/>
  <c r="D107" i="5" s="1"/>
  <c r="C107" i="5" s="1"/>
  <c r="F107" i="5" s="1"/>
  <c r="B108" i="5" s="1"/>
  <c r="D108" i="5" s="1"/>
  <c r="C108" i="5" s="1"/>
  <c r="F108" i="5" s="1"/>
  <c r="B109" i="5" s="1"/>
  <c r="D109" i="5" s="1"/>
  <c r="C109" i="5" s="1"/>
  <c r="F109" i="5" s="1"/>
  <c r="B110" i="5" s="1"/>
  <c r="D110" i="5" s="1"/>
  <c r="C110" i="5" s="1"/>
  <c r="F110" i="5" s="1"/>
  <c r="B111" i="5" s="1"/>
  <c r="D111" i="5" s="1"/>
  <c r="D87" i="7" l="1"/>
  <c r="C111" i="5"/>
  <c r="D112" i="5"/>
  <c r="L17" i="1" s="1"/>
  <c r="C87" i="7" l="1"/>
  <c r="F111" i="5"/>
  <c r="C112" i="5"/>
  <c r="F87" i="7" l="1"/>
  <c r="B88" i="7" s="1"/>
  <c r="B114" i="5"/>
  <c r="D114" i="5" s="1"/>
  <c r="L46" i="1"/>
  <c r="D88" i="7" l="1"/>
  <c r="C114" i="5"/>
  <c r="C88" i="7" l="1"/>
  <c r="F114" i="5"/>
  <c r="B115" i="5" s="1"/>
  <c r="D115" i="5" s="1"/>
  <c r="F88" i="7" l="1"/>
  <c r="B89" i="7" s="1"/>
  <c r="C115" i="5"/>
  <c r="D89" i="7" l="1"/>
  <c r="F115" i="5"/>
  <c r="B116" i="5" s="1"/>
  <c r="D116" i="5" s="1"/>
  <c r="C89" i="7" l="1"/>
  <c r="C116" i="5"/>
  <c r="F89" i="7" l="1"/>
  <c r="B90" i="7" s="1"/>
  <c r="F116" i="5"/>
  <c r="B117" i="5" s="1"/>
  <c r="D117" i="5" s="1"/>
  <c r="D90" i="7" l="1"/>
  <c r="C117" i="5"/>
  <c r="C90" i="7" l="1"/>
  <c r="F117" i="5"/>
  <c r="B118" i="5" s="1"/>
  <c r="D118" i="5" s="1"/>
  <c r="F90" i="7" l="1"/>
  <c r="B91" i="7" s="1"/>
  <c r="C118" i="5"/>
  <c r="D91" i="7" l="1"/>
  <c r="C91" i="7" s="1"/>
  <c r="F91" i="7" s="1"/>
  <c r="B92" i="7" s="1"/>
  <c r="F118" i="5"/>
  <c r="B119" i="5" s="1"/>
  <c r="D119" i="5" s="1"/>
  <c r="C119" i="5" s="1"/>
  <c r="F119" i="5" s="1"/>
  <c r="B120" i="5" s="1"/>
  <c r="D120" i="5" s="1"/>
  <c r="C120" i="5" s="1"/>
  <c r="F120" i="5" s="1"/>
  <c r="B121" i="5" s="1"/>
  <c r="D121" i="5" s="1"/>
  <c r="C121" i="5" s="1"/>
  <c r="F121" i="5" s="1"/>
  <c r="B122" i="5" s="1"/>
  <c r="D122" i="5" s="1"/>
  <c r="C122" i="5" s="1"/>
  <c r="F122" i="5" s="1"/>
  <c r="B123" i="5" s="1"/>
  <c r="D123" i="5" s="1"/>
  <c r="C123" i="5" s="1"/>
  <c r="F123" i="5" s="1"/>
  <c r="B124" i="5" s="1"/>
  <c r="D124" i="5" s="1"/>
  <c r="C124" i="5" s="1"/>
  <c r="F124" i="5" s="1"/>
  <c r="B125" i="5" s="1"/>
  <c r="D125" i="5" s="1"/>
  <c r="D92" i="7" l="1"/>
  <c r="C92" i="7" s="1"/>
  <c r="F92" i="7" s="1"/>
  <c r="B93" i="7" s="1"/>
  <c r="C125" i="5"/>
  <c r="D126" i="5"/>
  <c r="M17" i="1" s="1"/>
  <c r="D93" i="7" l="1"/>
  <c r="C93" i="7" s="1"/>
  <c r="F93" i="7"/>
  <c r="B94" i="7" s="1"/>
  <c r="F125" i="5"/>
  <c r="C126" i="5"/>
  <c r="D94" i="7" l="1"/>
  <c r="C94" i="7" s="1"/>
  <c r="F94" i="7" s="1"/>
  <c r="B95" i="7" s="1"/>
  <c r="B128" i="5"/>
  <c r="D128" i="5" s="1"/>
  <c r="M46" i="1"/>
  <c r="D95" i="7" l="1"/>
  <c r="C95" i="7" s="1"/>
  <c r="F95" i="7" s="1"/>
  <c r="B96" i="7" s="1"/>
  <c r="C128" i="5"/>
  <c r="D96" i="7" l="1"/>
  <c r="C96" i="7" s="1"/>
  <c r="F96" i="7" s="1"/>
  <c r="B97" i="7" s="1"/>
  <c r="F128" i="5"/>
  <c r="B129" i="5" s="1"/>
  <c r="D129" i="5" s="1"/>
  <c r="D97" i="7" l="1"/>
  <c r="C129" i="5"/>
  <c r="C97" i="7" l="1"/>
  <c r="D98" i="7"/>
  <c r="K16" i="6" s="1"/>
  <c r="K19" i="6" s="1"/>
  <c r="F129" i="5"/>
  <c r="B130" i="5" s="1"/>
  <c r="D130" i="5" s="1"/>
  <c r="K20" i="6" l="1"/>
  <c r="K39" i="6" s="1"/>
  <c r="C98" i="7"/>
  <c r="F97" i="7"/>
  <c r="C130" i="5"/>
  <c r="K48" i="6" l="1"/>
  <c r="K49" i="6" s="1"/>
  <c r="B100" i="7"/>
  <c r="K41" i="6"/>
  <c r="K21" i="6"/>
  <c r="K46" i="6" s="1"/>
  <c r="F130" i="5"/>
  <c r="B131" i="5" s="1"/>
  <c r="D131" i="5" s="1"/>
  <c r="D100" i="7" l="1"/>
  <c r="C131" i="5"/>
  <c r="C100" i="7" l="1"/>
  <c r="F131" i="5"/>
  <c r="B132" i="5" s="1"/>
  <c r="D132" i="5" s="1"/>
  <c r="F100" i="7" l="1"/>
  <c r="B101" i="7" s="1"/>
  <c r="C132" i="5"/>
  <c r="D101" i="7" l="1"/>
  <c r="F132" i="5"/>
  <c r="B133" i="5" s="1"/>
  <c r="D133" i="5" s="1"/>
  <c r="C133" i="5" s="1"/>
  <c r="F133" i="5" s="1"/>
  <c r="B134" i="5" s="1"/>
  <c r="D134" i="5" s="1"/>
  <c r="C134" i="5" s="1"/>
  <c r="F134" i="5" s="1"/>
  <c r="B135" i="5" s="1"/>
  <c r="D135" i="5" s="1"/>
  <c r="C135" i="5" s="1"/>
  <c r="F135" i="5" s="1"/>
  <c r="B136" i="5" s="1"/>
  <c r="D136" i="5" s="1"/>
  <c r="C136" i="5" s="1"/>
  <c r="F136" i="5" s="1"/>
  <c r="B137" i="5" s="1"/>
  <c r="D137" i="5" s="1"/>
  <c r="C137" i="5" s="1"/>
  <c r="F137" i="5" s="1"/>
  <c r="B138" i="5" s="1"/>
  <c r="D138" i="5" s="1"/>
  <c r="C138" i="5" s="1"/>
  <c r="F138" i="5" s="1"/>
  <c r="B139" i="5" s="1"/>
  <c r="D139" i="5" s="1"/>
  <c r="C101" i="7" l="1"/>
  <c r="C139" i="5"/>
  <c r="D140" i="5"/>
  <c r="N17" i="1" s="1"/>
  <c r="F101" i="7" l="1"/>
  <c r="B102" i="7" s="1"/>
  <c r="F139" i="5"/>
  <c r="N46" i="1" s="1"/>
  <c r="P46" i="1" s="1"/>
  <c r="C140" i="5"/>
  <c r="D102" i="7" l="1"/>
  <c r="B31" i="3"/>
  <c r="B29" i="3"/>
  <c r="C102" i="7" l="1"/>
  <c r="F50" i="1"/>
  <c r="G50" i="1"/>
  <c r="H50" i="1"/>
  <c r="I50" i="1"/>
  <c r="J50" i="1"/>
  <c r="K50" i="1"/>
  <c r="L50" i="1"/>
  <c r="M50" i="1"/>
  <c r="N50" i="1"/>
  <c r="E50" i="1"/>
  <c r="F33" i="1"/>
  <c r="G33" i="1"/>
  <c r="H33" i="1"/>
  <c r="I33" i="1"/>
  <c r="J33" i="1"/>
  <c r="K33" i="1"/>
  <c r="L33" i="1"/>
  <c r="M33" i="1"/>
  <c r="N33" i="1"/>
  <c r="E33" i="1"/>
  <c r="F31" i="1"/>
  <c r="G31" i="1"/>
  <c r="H31" i="1"/>
  <c r="I31" i="1"/>
  <c r="J31" i="1"/>
  <c r="K31" i="1"/>
  <c r="L31" i="1"/>
  <c r="M31" i="1"/>
  <c r="N31" i="1"/>
  <c r="E31" i="1"/>
  <c r="D75" i="1" s="1"/>
  <c r="E5" i="1"/>
  <c r="F102" i="7" l="1"/>
  <c r="B103" i="7" s="1"/>
  <c r="K75" i="1"/>
  <c r="G75" i="1"/>
  <c r="I79" i="1"/>
  <c r="E29" i="1"/>
  <c r="E28" i="1"/>
  <c r="E26" i="1"/>
  <c r="E79" i="1"/>
  <c r="I75" i="1"/>
  <c r="K79" i="1"/>
  <c r="G79" i="1"/>
  <c r="E10" i="1"/>
  <c r="E7" i="1"/>
  <c r="E43" i="1" s="1"/>
  <c r="N75" i="1"/>
  <c r="M75" i="1"/>
  <c r="L75" i="1"/>
  <c r="H75" i="1"/>
  <c r="B21" i="3"/>
  <c r="E14" i="1" s="1"/>
  <c r="E60" i="1" s="1"/>
  <c r="D79" i="1"/>
  <c r="J79" i="1"/>
  <c r="F79" i="1"/>
  <c r="M79" i="1"/>
  <c r="N79" i="1"/>
  <c r="J75" i="1"/>
  <c r="F75" i="1"/>
  <c r="L79" i="1"/>
  <c r="H79" i="1"/>
  <c r="P50" i="1"/>
  <c r="E11" i="1"/>
  <c r="E20" i="1" s="1"/>
  <c r="E12" i="1"/>
  <c r="D69" i="1"/>
  <c r="L14" i="1" l="1"/>
  <c r="L60" i="1" s="1"/>
  <c r="D103" i="7"/>
  <c r="J14" i="1"/>
  <c r="J60" i="1" s="1"/>
  <c r="D67" i="1"/>
  <c r="E59" i="1"/>
  <c r="K14" i="1"/>
  <c r="K60" i="1" s="1"/>
  <c r="M14" i="1"/>
  <c r="M60" i="1" s="1"/>
  <c r="G14" i="1"/>
  <c r="G60" i="1" s="1"/>
  <c r="F14" i="1"/>
  <c r="F60" i="1" s="1"/>
  <c r="E35" i="1"/>
  <c r="E39" i="1" s="1"/>
  <c r="H14" i="1"/>
  <c r="H60" i="1" s="1"/>
  <c r="N14" i="1"/>
  <c r="N60" i="1" s="1"/>
  <c r="I14" i="1"/>
  <c r="I60" i="1" s="1"/>
  <c r="F29" i="1"/>
  <c r="E70" i="1" s="1"/>
  <c r="F28" i="1"/>
  <c r="E69" i="1" s="1"/>
  <c r="P76" i="1"/>
  <c r="N76" i="1"/>
  <c r="N80" i="1"/>
  <c r="F11" i="1"/>
  <c r="F26" i="1"/>
  <c r="F12" i="1"/>
  <c r="F7" i="1"/>
  <c r="F43" i="1" s="1"/>
  <c r="E71" i="1" s="1"/>
  <c r="F10" i="1"/>
  <c r="G5" i="1"/>
  <c r="C103" i="7" l="1"/>
  <c r="E61" i="1"/>
  <c r="E62" i="1" s="1"/>
  <c r="D72" i="1" s="1"/>
  <c r="D89" i="1" s="1"/>
  <c r="D92" i="1" s="1"/>
  <c r="E21" i="1"/>
  <c r="E44" i="1" s="1"/>
  <c r="F35" i="1"/>
  <c r="G35" i="1" s="1"/>
  <c r="H35" i="1" s="1"/>
  <c r="I35" i="1" s="1"/>
  <c r="J35" i="1" s="1"/>
  <c r="K35" i="1" s="1"/>
  <c r="L35" i="1" s="1"/>
  <c r="M35" i="1" s="1"/>
  <c r="N35" i="1" s="1"/>
  <c r="P80" i="1" s="1"/>
  <c r="P81" i="1" s="1"/>
  <c r="N81" i="1" s="1"/>
  <c r="P77" i="1"/>
  <c r="N77" i="1" s="1"/>
  <c r="G28" i="1"/>
  <c r="F69" i="1" s="1"/>
  <c r="G29" i="1"/>
  <c r="F70" i="1" s="1"/>
  <c r="F20" i="1"/>
  <c r="F21" i="1" s="1"/>
  <c r="E67" i="1"/>
  <c r="F59" i="1"/>
  <c r="F61" i="1" s="1"/>
  <c r="F62" i="1" s="1"/>
  <c r="H5" i="1"/>
  <c r="G26" i="1"/>
  <c r="G7" i="1"/>
  <c r="G10" i="1"/>
  <c r="G11" i="1"/>
  <c r="G12" i="1"/>
  <c r="F103" i="7" l="1"/>
  <c r="B104" i="7" s="1"/>
  <c r="E22" i="1"/>
  <c r="E51" i="1" s="1"/>
  <c r="E53" i="1" s="1"/>
  <c r="F39" i="1"/>
  <c r="F67" i="1"/>
  <c r="G39" i="1"/>
  <c r="E63" i="1"/>
  <c r="H28" i="1"/>
  <c r="H29" i="1"/>
  <c r="G70" i="1" s="1"/>
  <c r="G59" i="1"/>
  <c r="G61" i="1" s="1"/>
  <c r="G62" i="1" s="1"/>
  <c r="F72" i="1" s="1"/>
  <c r="F63" i="1"/>
  <c r="E72" i="1"/>
  <c r="G43" i="1"/>
  <c r="F71" i="1" s="1"/>
  <c r="G20" i="1"/>
  <c r="I5" i="1"/>
  <c r="H26" i="1"/>
  <c r="H10" i="1"/>
  <c r="H11" i="1"/>
  <c r="H12" i="1"/>
  <c r="G69" i="1"/>
  <c r="H7" i="1"/>
  <c r="H43" i="1" s="1"/>
  <c r="F44" i="1"/>
  <c r="F22" i="1"/>
  <c r="D104" i="7" l="1"/>
  <c r="E89" i="1"/>
  <c r="F89" i="1"/>
  <c r="G67" i="1"/>
  <c r="H39" i="1"/>
  <c r="G21" i="1"/>
  <c r="G22" i="1" s="1"/>
  <c r="I29" i="1"/>
  <c r="H70" i="1" s="1"/>
  <c r="I28" i="1"/>
  <c r="H69" i="1" s="1"/>
  <c r="G63" i="1"/>
  <c r="G71" i="1"/>
  <c r="H59" i="1"/>
  <c r="H61" i="1" s="1"/>
  <c r="H62" i="1" s="1"/>
  <c r="F51" i="1"/>
  <c r="H20" i="1"/>
  <c r="H21" i="1" s="1"/>
  <c r="J5" i="1"/>
  <c r="I7" i="1"/>
  <c r="I43" i="1" s="1"/>
  <c r="H71" i="1" s="1"/>
  <c r="I10" i="1"/>
  <c r="I11" i="1"/>
  <c r="I12" i="1"/>
  <c r="I26" i="1"/>
  <c r="C104" i="7" l="1"/>
  <c r="H67" i="1"/>
  <c r="I39" i="1"/>
  <c r="G44" i="1"/>
  <c r="J29" i="1"/>
  <c r="I70" i="1" s="1"/>
  <c r="J28" i="1"/>
  <c r="I69" i="1" s="1"/>
  <c r="I59" i="1"/>
  <c r="I61" i="1" s="1"/>
  <c r="I62" i="1" s="1"/>
  <c r="H63" i="1"/>
  <c r="G72" i="1"/>
  <c r="G89" i="1" s="1"/>
  <c r="I20" i="1"/>
  <c r="I21" i="1" s="1"/>
  <c r="K5" i="1"/>
  <c r="J26" i="1"/>
  <c r="J7" i="1"/>
  <c r="J43" i="1" s="1"/>
  <c r="I71" i="1" s="1"/>
  <c r="J10" i="1"/>
  <c r="J11" i="1"/>
  <c r="J12" i="1"/>
  <c r="H44" i="1"/>
  <c r="G51" i="1"/>
  <c r="F104" i="7" l="1"/>
  <c r="B105" i="7" s="1"/>
  <c r="I67" i="1"/>
  <c r="J39" i="1"/>
  <c r="K28" i="1"/>
  <c r="J69" i="1" s="1"/>
  <c r="K29" i="1"/>
  <c r="J70" i="1" s="1"/>
  <c r="J59" i="1"/>
  <c r="J61" i="1" s="1"/>
  <c r="J62" i="1" s="1"/>
  <c r="I72" i="1" s="1"/>
  <c r="I63" i="1"/>
  <c r="H72" i="1"/>
  <c r="H89" i="1" s="1"/>
  <c r="E54" i="1"/>
  <c r="H22" i="1"/>
  <c r="H51" i="1" s="1"/>
  <c r="J20" i="1"/>
  <c r="J21" i="1" s="1"/>
  <c r="I44" i="1"/>
  <c r="L5" i="1"/>
  <c r="K26" i="1"/>
  <c r="K7" i="1"/>
  <c r="K43" i="1" s="1"/>
  <c r="J71" i="1" s="1"/>
  <c r="K10" i="1"/>
  <c r="K11" i="1"/>
  <c r="K12" i="1"/>
  <c r="F53" i="1"/>
  <c r="F54" i="1" s="1"/>
  <c r="G53" i="1"/>
  <c r="G54" i="1" s="1"/>
  <c r="D105" i="7" l="1"/>
  <c r="C105" i="7" s="1"/>
  <c r="F105" i="7" s="1"/>
  <c r="B106" i="7" s="1"/>
  <c r="I89" i="1"/>
  <c r="J67" i="1"/>
  <c r="K39" i="1"/>
  <c r="L28" i="1"/>
  <c r="K69" i="1" s="1"/>
  <c r="L29" i="1"/>
  <c r="K70" i="1" s="1"/>
  <c r="J63" i="1"/>
  <c r="K59" i="1"/>
  <c r="K61" i="1" s="1"/>
  <c r="K62" i="1" s="1"/>
  <c r="H53" i="1"/>
  <c r="H54" i="1" s="1"/>
  <c r="I22" i="1"/>
  <c r="I51" i="1" s="1"/>
  <c r="M5" i="1"/>
  <c r="L10" i="1"/>
  <c r="L11" i="1"/>
  <c r="L12" i="1"/>
  <c r="L26" i="1"/>
  <c r="L7" i="1"/>
  <c r="L43" i="1" s="1"/>
  <c r="K71" i="1" s="1"/>
  <c r="J44" i="1"/>
  <c r="K20" i="1"/>
  <c r="K21" i="1" s="1"/>
  <c r="D106" i="7" l="1"/>
  <c r="C106" i="7" s="1"/>
  <c r="F106" i="7" s="1"/>
  <c r="B107" i="7" s="1"/>
  <c r="K67" i="1"/>
  <c r="L39" i="1"/>
  <c r="M29" i="1"/>
  <c r="L70" i="1" s="1"/>
  <c r="M28" i="1"/>
  <c r="L69" i="1" s="1"/>
  <c r="L59" i="1"/>
  <c r="L61" i="1" s="1"/>
  <c r="L62" i="1" s="1"/>
  <c r="K63" i="1"/>
  <c r="J72" i="1"/>
  <c r="J89" i="1" s="1"/>
  <c r="J22" i="1"/>
  <c r="J51" i="1" s="1"/>
  <c r="N5" i="1"/>
  <c r="M7" i="1"/>
  <c r="M43" i="1" s="1"/>
  <c r="L71" i="1" s="1"/>
  <c r="M10" i="1"/>
  <c r="M11" i="1"/>
  <c r="M12" i="1"/>
  <c r="M26" i="1"/>
  <c r="K44" i="1"/>
  <c r="L20" i="1"/>
  <c r="L21" i="1" s="1"/>
  <c r="I53" i="1"/>
  <c r="D107" i="7" l="1"/>
  <c r="C107" i="7" s="1"/>
  <c r="F107" i="7" s="1"/>
  <c r="B108" i="7" s="1"/>
  <c r="L67" i="1"/>
  <c r="M39" i="1"/>
  <c r="N29" i="1"/>
  <c r="N28" i="1"/>
  <c r="L63" i="1"/>
  <c r="K72" i="1"/>
  <c r="K89" i="1" s="1"/>
  <c r="M59" i="1"/>
  <c r="M61" i="1" s="1"/>
  <c r="M62" i="1" s="1"/>
  <c r="I54" i="1"/>
  <c r="K22" i="1"/>
  <c r="K51" i="1" s="1"/>
  <c r="K53" i="1" s="1"/>
  <c r="N26" i="1"/>
  <c r="N7" i="1"/>
  <c r="N43" i="1" s="1"/>
  <c r="N10" i="1"/>
  <c r="N11" i="1"/>
  <c r="N12" i="1"/>
  <c r="L44" i="1"/>
  <c r="M20" i="1"/>
  <c r="M21" i="1" s="1"/>
  <c r="J53" i="1"/>
  <c r="J54" i="1" s="1"/>
  <c r="D108" i="7" l="1"/>
  <c r="C108" i="7" s="1"/>
  <c r="F108" i="7"/>
  <c r="B109" i="7" s="1"/>
  <c r="N39" i="1"/>
  <c r="M70" i="1"/>
  <c r="N70" i="1"/>
  <c r="N59" i="1"/>
  <c r="N61" i="1" s="1"/>
  <c r="N62" i="1" s="1"/>
  <c r="M67" i="1"/>
  <c r="N67" i="1"/>
  <c r="M63" i="1"/>
  <c r="L72" i="1"/>
  <c r="L89" i="1" s="1"/>
  <c r="M69" i="1"/>
  <c r="N69" i="1"/>
  <c r="M71" i="1"/>
  <c r="N71" i="1"/>
  <c r="M44" i="1"/>
  <c r="L22" i="1"/>
  <c r="L51" i="1" s="1"/>
  <c r="N20" i="1"/>
  <c r="N21" i="1" s="1"/>
  <c r="K54" i="1"/>
  <c r="D109" i="7" l="1"/>
  <c r="C109" i="7" s="1"/>
  <c r="F109" i="7"/>
  <c r="B110" i="7" s="1"/>
  <c r="N63" i="1"/>
  <c r="M72" i="1"/>
  <c r="M89" i="1" s="1"/>
  <c r="N72" i="1"/>
  <c r="N44" i="1"/>
  <c r="M22" i="1"/>
  <c r="M51" i="1" s="1"/>
  <c r="L53" i="1"/>
  <c r="D110" i="7" l="1"/>
  <c r="C110" i="7" s="1"/>
  <c r="F110" i="7" s="1"/>
  <c r="B111" i="7" s="1"/>
  <c r="N89" i="1"/>
  <c r="N22" i="1"/>
  <c r="N51" i="1" s="1"/>
  <c r="L54" i="1"/>
  <c r="M53" i="1"/>
  <c r="M54" i="1" s="1"/>
  <c r="D111" i="7" l="1"/>
  <c r="C90" i="1"/>
  <c r="N53" i="1"/>
  <c r="P51" i="1"/>
  <c r="P53" i="1" s="1"/>
  <c r="C111" i="7" l="1"/>
  <c r="D112" i="7"/>
  <c r="L16" i="6" s="1"/>
  <c r="L19" i="6" s="1"/>
  <c r="Q47" i="1"/>
  <c r="T47" i="1" s="1"/>
  <c r="Q50" i="1"/>
  <c r="N54" i="1"/>
  <c r="Q46" i="1"/>
  <c r="T46" i="1" l="1"/>
  <c r="Q37" i="1"/>
  <c r="T50" i="1"/>
  <c r="Q38" i="1"/>
  <c r="C112" i="7"/>
  <c r="F111" i="7"/>
  <c r="L20" i="6"/>
  <c r="L39" i="6" s="1"/>
  <c r="T53" i="1"/>
  <c r="C91" i="1" s="1"/>
  <c r="E92" i="1" s="1"/>
  <c r="L48" i="6" l="1"/>
  <c r="L49" i="6" s="1"/>
  <c r="L21" i="6"/>
  <c r="L46" i="6" s="1"/>
  <c r="B114" i="7"/>
  <c r="L41" i="6"/>
  <c r="F92" i="1"/>
  <c r="G92" i="1"/>
  <c r="H92" i="1"/>
  <c r="I92" i="1"/>
  <c r="J92" i="1"/>
  <c r="K92" i="1"/>
  <c r="L92" i="1"/>
  <c r="M92" i="1"/>
  <c r="N92" i="1"/>
  <c r="D114" i="7" l="1"/>
  <c r="D93" i="1"/>
  <c r="C114" i="7" l="1"/>
  <c r="F114" i="7" l="1"/>
  <c r="B115" i="7" s="1"/>
  <c r="D115" i="7" l="1"/>
  <c r="C115" i="7" l="1"/>
  <c r="F115" i="7" l="1"/>
  <c r="B116" i="7" s="1"/>
  <c r="D116" i="7" l="1"/>
  <c r="C116" i="7" l="1"/>
  <c r="F116" i="7" l="1"/>
  <c r="B117" i="7" s="1"/>
  <c r="D117" i="7" l="1"/>
  <c r="C117" i="7" l="1"/>
  <c r="F117" i="7" l="1"/>
  <c r="B118" i="7" s="1"/>
  <c r="D118" i="7" l="1"/>
  <c r="C118" i="7" l="1"/>
  <c r="F118" i="7" l="1"/>
  <c r="B119" i="7" s="1"/>
  <c r="D119" i="7" l="1"/>
  <c r="C119" i="7" s="1"/>
  <c r="F119" i="7" s="1"/>
  <c r="B120" i="7" s="1"/>
  <c r="D120" i="7" l="1"/>
  <c r="C120" i="7" s="1"/>
  <c r="F120" i="7" s="1"/>
  <c r="B121" i="7" s="1"/>
  <c r="D121" i="7" l="1"/>
  <c r="C121" i="7" s="1"/>
  <c r="F121" i="7" s="1"/>
  <c r="B122" i="7" s="1"/>
  <c r="D122" i="7" l="1"/>
  <c r="C122" i="7" s="1"/>
  <c r="F122" i="7" s="1"/>
  <c r="B123" i="7" s="1"/>
  <c r="D123" i="7" l="1"/>
  <c r="C123" i="7" s="1"/>
  <c r="F123" i="7" s="1"/>
  <c r="B124" i="7" s="1"/>
  <c r="D124" i="7" l="1"/>
  <c r="C124" i="7" s="1"/>
  <c r="F124" i="7" s="1"/>
  <c r="B125" i="7" s="1"/>
  <c r="D125" i="7" l="1"/>
  <c r="C125" i="7" l="1"/>
  <c r="D126" i="7"/>
  <c r="M16" i="6" s="1"/>
  <c r="M19" i="6" s="1"/>
  <c r="C126" i="7" l="1"/>
  <c r="F125" i="7"/>
  <c r="M20" i="6"/>
  <c r="M39" i="6" s="1"/>
  <c r="M21" i="6" l="1"/>
  <c r="M46" i="6" s="1"/>
  <c r="M48" i="6" s="1"/>
  <c r="M49" i="6" s="1"/>
  <c r="B128" i="7"/>
  <c r="M41" i="6"/>
  <c r="D128" i="7" l="1"/>
  <c r="C128" i="7" l="1"/>
  <c r="F128" i="7" l="1"/>
  <c r="B129" i="7" s="1"/>
  <c r="D129" i="7" l="1"/>
  <c r="C129" i="7" l="1"/>
  <c r="F129" i="7" l="1"/>
  <c r="B130" i="7" s="1"/>
  <c r="D130" i="7" l="1"/>
  <c r="C130" i="7" l="1"/>
  <c r="F130" i="7" l="1"/>
  <c r="B131" i="7" s="1"/>
  <c r="D131" i="7" l="1"/>
  <c r="C131" i="7" l="1"/>
  <c r="F131" i="7" l="1"/>
  <c r="B132" i="7" s="1"/>
  <c r="D132" i="7" l="1"/>
  <c r="C132" i="7" l="1"/>
  <c r="F132" i="7" l="1"/>
  <c r="B133" i="7" s="1"/>
  <c r="D133" i="7" l="1"/>
  <c r="C133" i="7" s="1"/>
  <c r="F133" i="7"/>
  <c r="B134" i="7" s="1"/>
  <c r="D134" i="7" l="1"/>
  <c r="C134" i="7" s="1"/>
  <c r="F134" i="7" s="1"/>
  <c r="B135" i="7" s="1"/>
  <c r="D135" i="7" l="1"/>
  <c r="C135" i="7" s="1"/>
  <c r="F135" i="7" s="1"/>
  <c r="B136" i="7" s="1"/>
  <c r="D136" i="7" l="1"/>
  <c r="C136" i="7" s="1"/>
  <c r="F136" i="7"/>
  <c r="B137" i="7" s="1"/>
  <c r="D137" i="7" l="1"/>
  <c r="C137" i="7" s="1"/>
  <c r="F137" i="7" s="1"/>
  <c r="B138" i="7" s="1"/>
  <c r="D138" i="7" l="1"/>
  <c r="C138" i="7" s="1"/>
  <c r="F138" i="7" s="1"/>
  <c r="B139" i="7" s="1"/>
  <c r="D139" i="7" l="1"/>
  <c r="C139" i="7" l="1"/>
  <c r="D140" i="7"/>
  <c r="N16" i="6" s="1"/>
  <c r="N19" i="6" s="1"/>
  <c r="C140" i="7" l="1"/>
  <c r="F139" i="7"/>
  <c r="N41" i="6" s="1"/>
  <c r="P41" i="6" s="1"/>
  <c r="N20" i="6"/>
  <c r="N39" i="6" s="1"/>
  <c r="N21" i="6" l="1"/>
  <c r="N46" i="6" s="1"/>
  <c r="P46" i="6" s="1"/>
  <c r="P48" i="6" s="1"/>
  <c r="Q45" i="6" l="1"/>
  <c r="T45" i="6" s="1"/>
  <c r="Q42" i="6"/>
  <c r="T42" i="6" s="1"/>
  <c r="Q41" i="6"/>
  <c r="T41" i="6" s="1"/>
  <c r="N48" i="6"/>
  <c r="N49" i="6" s="1"/>
  <c r="T48" i="6" l="1"/>
  <c r="C82" i="6" s="1"/>
</calcChain>
</file>

<file path=xl/sharedStrings.xml><?xml version="1.0" encoding="utf-8"?>
<sst xmlns="http://schemas.openxmlformats.org/spreadsheetml/2006/main" count="609" uniqueCount="183">
  <si>
    <t>FORECAST</t>
  </si>
  <si>
    <t>INCOME STATEMENT</t>
  </si>
  <si>
    <t>Cost of Goods Sold</t>
  </si>
  <si>
    <t>Operating Expenses</t>
  </si>
  <si>
    <t>Marketing</t>
  </si>
  <si>
    <t>General and Administrative</t>
  </si>
  <si>
    <t>Store Building Maintenance Exp</t>
  </si>
  <si>
    <t>BALANCE SHEET</t>
  </si>
  <si>
    <t>Assets</t>
  </si>
  <si>
    <t>Accounts Receivable</t>
  </si>
  <si>
    <t>Inventory</t>
  </si>
  <si>
    <t>Buildings</t>
  </si>
  <si>
    <t>Liabilities and Equity</t>
  </si>
  <si>
    <t>Income Tax Payable</t>
  </si>
  <si>
    <t>Retained Earnings</t>
  </si>
  <si>
    <t>Liaiblities</t>
  </si>
  <si>
    <t>Equity</t>
  </si>
  <si>
    <t>Common Stock</t>
  </si>
  <si>
    <t>Taxable Income</t>
  </si>
  <si>
    <t>Income Tax Expense</t>
  </si>
  <si>
    <t>Net Income</t>
  </si>
  <si>
    <t>Accounts Payable</t>
  </si>
  <si>
    <t>Minimum Cash Inventory</t>
  </si>
  <si>
    <t>Cash Above Minimum</t>
  </si>
  <si>
    <t>Mortgage Loan Interest Expense</t>
  </si>
  <si>
    <t>Extra Bank Loan Interest Expense</t>
  </si>
  <si>
    <t>Land</t>
  </si>
  <si>
    <t>Extra Bank Loan</t>
  </si>
  <si>
    <t>Mortgage Loan</t>
  </si>
  <si>
    <t>Total Liabilities and Equity</t>
  </si>
  <si>
    <t>Total Assets</t>
  </si>
  <si>
    <t>Year 1</t>
  </si>
  <si>
    <t>Year 2</t>
  </si>
  <si>
    <t>Year 3</t>
  </si>
  <si>
    <t>Year 4</t>
  </si>
  <si>
    <t>rate</t>
  </si>
  <si>
    <t>difference</t>
  </si>
  <si>
    <t>Fabmaster</t>
  </si>
  <si>
    <t>Year 5</t>
  </si>
  <si>
    <t>Year 6</t>
  </si>
  <si>
    <t>Year 7</t>
  </si>
  <si>
    <t>Year 8</t>
  </si>
  <si>
    <t>Year 9</t>
  </si>
  <si>
    <t>Year 10</t>
  </si>
  <si>
    <t>Asking price</t>
  </si>
  <si>
    <t>Gross income</t>
  </si>
  <si>
    <t>land</t>
  </si>
  <si>
    <t>Sales Revenue</t>
  </si>
  <si>
    <t>revenue gworth</t>
  </si>
  <si>
    <t>COGS</t>
  </si>
  <si>
    <t>of revenue</t>
  </si>
  <si>
    <t>Expenses</t>
  </si>
  <si>
    <t>marketing</t>
  </si>
  <si>
    <t>gen and admin</t>
  </si>
  <si>
    <t>maintenance</t>
  </si>
  <si>
    <t>building</t>
  </si>
  <si>
    <t>real estate</t>
  </si>
  <si>
    <t>of real estate</t>
  </si>
  <si>
    <t>depr. Years</t>
  </si>
  <si>
    <t>depr. Per year</t>
  </si>
  <si>
    <t>mimimum cash inventory</t>
  </si>
  <si>
    <t>accounts receivable</t>
  </si>
  <si>
    <t>inventory</t>
  </si>
  <si>
    <t>accounts payable</t>
  </si>
  <si>
    <t>of COGS</t>
  </si>
  <si>
    <t>mortgage loan</t>
  </si>
  <si>
    <t>loan remaining</t>
  </si>
  <si>
    <t>principal per year</t>
  </si>
  <si>
    <t>interest expense</t>
  </si>
  <si>
    <t>of remianing principal</t>
  </si>
  <si>
    <t>income tax rate</t>
  </si>
  <si>
    <t>common stock</t>
  </si>
  <si>
    <t>shares outstanding</t>
  </si>
  <si>
    <t>extra bank loan interst</t>
  </si>
  <si>
    <t>TOTALS</t>
  </si>
  <si>
    <t>Payment</t>
  </si>
  <si>
    <t>Principal</t>
  </si>
  <si>
    <t>Rate</t>
  </si>
  <si>
    <t>End Balance</t>
  </si>
  <si>
    <t xml:space="preserve">Interest </t>
  </si>
  <si>
    <t>Beg Balance</t>
  </si>
  <si>
    <t>Per Rate</t>
  </si>
  <si>
    <t>FV</t>
  </si>
  <si>
    <t>Per</t>
  </si>
  <si>
    <t>Type</t>
  </si>
  <si>
    <t>PV</t>
  </si>
  <si>
    <t xml:space="preserve">January 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</si>
  <si>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</si>
  <si>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</si>
  <si>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</si>
  <si>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</si>
  <si>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</si>
  <si>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</si>
  <si>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</si>
  <si>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</si>
  <si>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</si>
  <si>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</si>
  <si>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</si>
  <si>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CAPM</t>
  </si>
  <si>
    <t>T Bill</t>
  </si>
  <si>
    <t>S&amp;P</t>
  </si>
  <si>
    <t>Return</t>
  </si>
  <si>
    <t>Ave</t>
  </si>
  <si>
    <t>Prop</t>
  </si>
  <si>
    <t>After Tax</t>
  </si>
  <si>
    <t>Weighted</t>
  </si>
  <si>
    <t>WACC</t>
  </si>
  <si>
    <t>Un Beta</t>
  </si>
  <si>
    <t>FREE CASH FLOWS</t>
  </si>
  <si>
    <t>Cash from Operations</t>
  </si>
  <si>
    <t>Operating Profits</t>
  </si>
  <si>
    <t>Less: Depreciation</t>
  </si>
  <si>
    <t>Taxable Operation Profits</t>
  </si>
  <si>
    <t>Tax on Operation Profit</t>
  </si>
  <si>
    <t>Total Cash from Operation</t>
  </si>
  <si>
    <t>Cash from Changes in Balance Sheet</t>
  </si>
  <si>
    <t>Working Capital</t>
  </si>
  <si>
    <t>(-)</t>
  </si>
  <si>
    <t>Minimum Cash Balance</t>
  </si>
  <si>
    <t xml:space="preserve">Extra Cash </t>
  </si>
  <si>
    <t>(+)</t>
  </si>
  <si>
    <t>Taxes Payable</t>
  </si>
  <si>
    <t>Year 0</t>
  </si>
  <si>
    <t>Fixed and Other Assets</t>
  </si>
  <si>
    <t xml:space="preserve">Land </t>
  </si>
  <si>
    <t>Adjustment for Resale</t>
  </si>
  <si>
    <t>Taxes on Resale</t>
  </si>
  <si>
    <t>book value</t>
  </si>
  <si>
    <t>gain</t>
  </si>
  <si>
    <t>Building</t>
  </si>
  <si>
    <t>TOTAL FREE CASH FLOWS</t>
  </si>
  <si>
    <t>IRR</t>
  </si>
  <si>
    <t>Average Item Price</t>
  </si>
  <si>
    <t>First Year Quantity</t>
  </si>
  <si>
    <t>days</t>
  </si>
  <si>
    <t>Equipment</t>
  </si>
  <si>
    <t>Less: Accumulated Depreciation Equipment</t>
  </si>
  <si>
    <t>depreciation Building</t>
  </si>
  <si>
    <t>Depreciation Equipment</t>
  </si>
  <si>
    <t>Years</t>
  </si>
  <si>
    <t>Depre Per Year</t>
  </si>
  <si>
    <t>Less:  Accumulated Depreciation Building</t>
  </si>
  <si>
    <t>Depreciation Expense Builidng</t>
  </si>
  <si>
    <t>Goodwill</t>
  </si>
  <si>
    <t>Depreciation Expense Equipment</t>
  </si>
  <si>
    <t>NPV</t>
  </si>
  <si>
    <t>building sold at 80% of FMV</t>
  </si>
  <si>
    <t>land sold at 100% of cost</t>
  </si>
  <si>
    <t>proceeds</t>
  </si>
  <si>
    <t>Bankruptcy - year 5</t>
  </si>
  <si>
    <t>Goodwil</t>
  </si>
  <si>
    <t>total</t>
  </si>
  <si>
    <t>interest paid</t>
  </si>
  <si>
    <t>Bankruptcy  payout</t>
  </si>
  <si>
    <t>principal  loans</t>
  </si>
  <si>
    <t>Mortgage on Buildings</t>
  </si>
  <si>
    <t>to extra loan</t>
  </si>
  <si>
    <t>admin cost</t>
  </si>
  <si>
    <t>leftover</t>
  </si>
  <si>
    <t>remianing</t>
  </si>
  <si>
    <t>extra loan</t>
  </si>
  <si>
    <t>to bank</t>
  </si>
  <si>
    <t>mortgage</t>
  </si>
  <si>
    <t>on the $</t>
  </si>
  <si>
    <t>owed</t>
  </si>
  <si>
    <t>total paid</t>
  </si>
  <si>
    <t>Less:  Accumulated Depreciation</t>
  </si>
  <si>
    <t>unsecured</t>
  </si>
  <si>
    <t>Secured</t>
  </si>
  <si>
    <t>% sale</t>
  </si>
  <si>
    <t>Bankruptcy Calculations</t>
  </si>
  <si>
    <t>Depreciation Expense</t>
  </si>
  <si>
    <t>depreciation</t>
  </si>
  <si>
    <t>increase per year</t>
  </si>
  <si>
    <t>revenue growth</t>
  </si>
  <si>
    <t>first year quantity</t>
  </si>
  <si>
    <t>average item price</t>
  </si>
  <si>
    <t>Unlkevered</t>
  </si>
  <si>
    <t>Actua Deb %</t>
  </si>
  <si>
    <t>Actual Eq %</t>
  </si>
  <si>
    <t>Relevered Beta</t>
  </si>
  <si>
    <t>Tax Rate</t>
  </si>
  <si>
    <t>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</si>
</sst>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[$$-409]#,##0.00;[Red]\-[$$-409]#,##0.00"/>
    <numFmt numFmtId="167" formatCode="0.0%"/>
    <numFmt numFmtId="168" formatCode="&quot;$&quot;#,##0.00"/>
  </numFmts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u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9" fontId="1" fillId="0" borderId="0"/>
  </cellStyleXfs>
  <cellXfs count="69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0" xfId="2" applyFont="1"/>
    <xf numFmtId="165" fontId="1" fillId="0" borderId="0" xfId="2" applyNumberFormat="1"/>
    <xf numFmtId="0" fontId="0" fillId="0" borderId="0" xfId="0" applyNumberFormat="1"/>
    <xf numFmtId="0" fontId="3" fillId="0" borderId="0" xfId="2" applyFont="1"/>
    <xf numFmtId="0" fontId="1" fillId="2" borderId="0" xfId="2" applyFill="1"/>
    <xf numFmtId="0" fontId="2" fillId="2" borderId="0" xfId="2" applyFont="1" applyFill="1"/>
    <xf numFmtId="0" fontId="1" fillId="2" borderId="0" xfId="2" applyFont="1" applyFill="1"/>
    <xf numFmtId="165" fontId="1" fillId="2" borderId="0" xfId="1" applyNumberFormat="1" applyFill="1"/>
    <xf numFmtId="165" fontId="1" fillId="2" borderId="0" xfId="1" applyNumberFormat="1" applyFont="1" applyFill="1" applyBorder="1" applyAlignment="1" applyProtection="1"/>
    <xf numFmtId="0" fontId="4" fillId="2" borderId="0" xfId="2" applyFont="1" applyFill="1"/>
    <xf numFmtId="165" fontId="1" fillId="2" borderId="0" xfId="2" applyNumberFormat="1" applyFill="1"/>
    <xf numFmtId="0" fontId="1" fillId="0" borderId="0" xfId="2" applyBorder="1"/>
    <xf numFmtId="164" fontId="1" fillId="2" borderId="0" xfId="1" applyFill="1"/>
    <xf numFmtId="9" fontId="1" fillId="0" borderId="0" xfId="2" applyNumberFormat="1" applyBorder="1"/>
    <xf numFmtId="9" fontId="1" fillId="0" borderId="0" xfId="3" applyBorder="1"/>
    <xf numFmtId="0" fontId="1" fillId="0" borderId="0" xfId="3" applyNumberFormat="1" applyBorder="1"/>
    <xf numFmtId="10" fontId="1" fillId="0" borderId="0" xfId="3" applyNumberFormat="1" applyBorder="1"/>
    <xf numFmtId="165" fontId="1" fillId="0" borderId="0" xfId="1" applyNumberFormat="1" applyBorder="1"/>
    <xf numFmtId="9" fontId="0" fillId="0" borderId="0" xfId="0" applyNumberFormat="1"/>
    <xf numFmtId="43" fontId="1" fillId="2" borderId="0" xfId="1" applyNumberFormat="1" applyFill="1"/>
    <xf numFmtId="43" fontId="1" fillId="2" borderId="0" xfId="1" applyNumberFormat="1" applyFont="1" applyFill="1" applyBorder="1" applyAlignment="1" applyProtection="1"/>
    <xf numFmtId="166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16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0" fontId="0" fillId="0" borderId="0" xfId="0" applyNumberFormat="1"/>
    <xf numFmtId="166" fontId="0" fillId="0" borderId="0" xfId="0" applyNumberFormat="1"/>
    <xf numFmtId="0" fontId="0" fillId="0" borderId="0" xfId="0" applyNumberFormat="1" applyFont="1" applyAlignment="1">
      <alignment wrapText="1"/>
    </xf>
    <xf numFmtId="0" fontId="1" fillId="0" borderId="7" xfId="2" applyBorder="1"/>
    <xf numFmtId="0" fontId="1" fillId="0" borderId="8" xfId="2" applyBorder="1"/>
    <xf numFmtId="0" fontId="1" fillId="0" borderId="6" xfId="2" applyBorder="1"/>
    <xf numFmtId="0" fontId="1" fillId="0" borderId="5" xfId="2" applyBorder="1"/>
    <xf numFmtId="0" fontId="1" fillId="0" borderId="4" xfId="2" applyBorder="1"/>
    <xf numFmtId="165" fontId="1" fillId="0" borderId="5" xfId="2" applyNumberFormat="1" applyBorder="1"/>
    <xf numFmtId="0" fontId="1" fillId="0" borderId="3" xfId="2" applyBorder="1"/>
    <xf numFmtId="0" fontId="1" fillId="0" borderId="9" xfId="2" applyBorder="1"/>
    <xf numFmtId="10" fontId="1" fillId="0" borderId="9" xfId="2" applyNumberFormat="1" applyBorder="1"/>
    <xf numFmtId="0" fontId="1" fillId="0" borderId="2" xfId="2" applyBorder="1" applyAlignment="1">
      <alignment wrapText="1"/>
    </xf>
    <xf numFmtId="164" fontId="1" fillId="0" borderId="0" xfId="1"/>
    <xf numFmtId="165" fontId="0" fillId="0" borderId="0" xfId="0" applyNumberFormat="1"/>
    <xf numFmtId="43" fontId="0" fillId="0" borderId="0" xfId="0" applyNumberFormat="1"/>
    <xf numFmtId="9" fontId="1" fillId="0" borderId="0" xfId="2" applyNumberFormat="1"/>
    <xf numFmtId="167" fontId="0" fillId="0" borderId="0" xfId="0" applyNumberFormat="1"/>
    <xf numFmtId="168" fontId="1" fillId="2" borderId="0" xfId="1" applyNumberFormat="1" applyFont="1" applyFill="1" applyBorder="1" applyAlignment="1" applyProtection="1"/>
    <xf numFmtId="168" fontId="1" fillId="2" borderId="0" xfId="1" applyNumberFormat="1" applyFill="1"/>
    <xf numFmtId="8" fontId="1" fillId="0" borderId="0" xfId="2" applyNumberFormat="1"/>
    <xf numFmtId="0" fontId="1" fillId="3" borderId="0" xfId="2" applyFill="1"/>
    <xf numFmtId="0" fontId="1" fillId="4" borderId="0" xfId="2" applyFill="1"/>
    <xf numFmtId="9" fontId="1" fillId="4" borderId="0" xfId="2" applyNumberFormat="1" applyFill="1"/>
    <xf numFmtId="165" fontId="1" fillId="4" borderId="0" xfId="2" applyNumberFormat="1" applyFill="1"/>
    <xf numFmtId="43" fontId="1" fillId="4" borderId="0" xfId="2" applyNumberFormat="1" applyFill="1"/>
    <xf numFmtId="165" fontId="1" fillId="4" borderId="9" xfId="2" applyNumberFormat="1" applyFill="1" applyBorder="1"/>
    <xf numFmtId="0" fontId="1" fillId="4" borderId="9" xfId="2" applyFill="1" applyBorder="1"/>
    <xf numFmtId="9" fontId="1" fillId="4" borderId="3" xfId="2" applyNumberFormat="1" applyFill="1" applyBorder="1"/>
    <xf numFmtId="0" fontId="5" fillId="5" borderId="0" xfId="0" applyFont="1" applyFill="1"/>
    <xf numFmtId="0" fontId="0" fillId="5" borderId="0" xfId="0" applyFill="1"/>
    <xf numFmtId="165" fontId="1" fillId="5" borderId="0" xfId="2" applyNumberFormat="1" applyFill="1"/>
    <xf numFmtId="0" fontId="5" fillId="3" borderId="0" xfId="0" applyFont="1" applyFill="1"/>
    <xf numFmtId="0" fontId="0" fillId="3" borderId="0" xfId="0" applyFill="1"/>
    <xf numFmtId="164" fontId="1" fillId="3" borderId="0" xfId="1" applyFill="1"/>
    <xf numFmtId="2" fontId="1" fillId="0" borderId="0" xfId="2" applyNumberFormat="1" applyBorder="1"/>
    <xf numFmtId="10" fontId="1" fillId="0" borderId="0" xfId="2" applyNumberFormat="1" applyBorder="1"/>
    <xf numFmtId="10" fontId="1" fillId="5" borderId="0" xfId="2" applyNumberFormat="1" applyFill="1"/>
    <xf numFmtId="0" fontId="6" fillId="4" borderId="0" xfId="2" applyFont="1" applyFill="1" applyAlignment="1">
      <alignment horizontal="center"/>
    </xf>
  </cellXfs>
  <cellStyles count="4">
    <cellStyle name="Currency" xfId="1" builtinId="4"/>
    <cellStyle name="Excel Built-in Normal" xfId="2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3"/>
  <sheetViews>
    <sheetView topLeftCell="A49" zoomScale="85" zoomScaleNormal="85" workbookViewId="0">
      <selection activeCell="D84" sqref="D84"/>
    </sheetView>
  </sheetViews>
  <sheetFormatPr defaultColWidth="9.42578125" defaultRowHeight="15" x14ac:dyDescent="0.25"/>
  <cols>
    <col min="1" max="1" width="4.85546875" style="1" customWidth="1"/>
    <col min="2" max="2" width="25.85546875" style="1" customWidth="1"/>
    <col min="3" max="3" width="24.5703125" style="1" bestFit="1" customWidth="1"/>
    <col min="4" max="4" width="24.5703125" style="1" customWidth="1"/>
    <col min="5" max="14" width="14.85546875" style="1" customWidth="1"/>
    <col min="15" max="15" width="12.7109375" style="1" bestFit="1" customWidth="1"/>
    <col min="16" max="16" width="14.85546875" style="1" customWidth="1"/>
    <col min="17" max="19" width="9.42578125" style="1"/>
    <col min="20" max="20" width="13.42578125" style="1" customWidth="1"/>
    <col min="21" max="21" width="12.140625" style="1" customWidth="1"/>
    <col min="22" max="16384" width="9.42578125" style="1"/>
  </cols>
  <sheetData>
    <row r="1" spans="1:19" s="3" customFormat="1" x14ac:dyDescent="0.25">
      <c r="A1" s="2" t="s">
        <v>37</v>
      </c>
      <c r="O1" s="15"/>
      <c r="P1" s="15"/>
      <c r="Q1" s="15"/>
      <c r="R1" s="15"/>
      <c r="S1" s="15"/>
    </row>
    <row r="2" spans="1:19" x14ac:dyDescent="0.25">
      <c r="A2" s="4" t="s">
        <v>0</v>
      </c>
      <c r="O2" s="15"/>
      <c r="P2" s="15"/>
      <c r="Q2" s="15"/>
      <c r="R2" s="15"/>
      <c r="S2" s="15"/>
    </row>
    <row r="3" spans="1:19" x14ac:dyDescent="0.25">
      <c r="A3" s="8"/>
      <c r="B3" s="8"/>
      <c r="C3" s="8"/>
      <c r="D3" s="8" t="s">
        <v>122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38</v>
      </c>
      <c r="J3" s="8" t="s">
        <v>39</v>
      </c>
      <c r="K3" s="8" t="s">
        <v>40</v>
      </c>
      <c r="L3" s="8" t="s">
        <v>41</v>
      </c>
      <c r="M3" s="8" t="s">
        <v>42</v>
      </c>
      <c r="N3" s="8" t="s">
        <v>43</v>
      </c>
      <c r="O3" s="17"/>
      <c r="P3" s="15"/>
      <c r="Q3" s="15"/>
      <c r="R3" s="15"/>
      <c r="S3" s="15"/>
    </row>
    <row r="4" spans="1:19" x14ac:dyDescent="0.25">
      <c r="A4" s="9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5"/>
      <c r="P4" s="15"/>
      <c r="Q4" s="15"/>
      <c r="R4" s="15"/>
      <c r="S4" s="15"/>
    </row>
    <row r="5" spans="1:19" x14ac:dyDescent="0.25">
      <c r="A5" s="10" t="s">
        <v>47</v>
      </c>
      <c r="B5" s="8"/>
      <c r="C5" s="8"/>
      <c r="D5" s="8"/>
      <c r="E5" s="11">
        <f>'Assumptions and data'!$B$4</f>
        <v>22000000</v>
      </c>
      <c r="F5" s="23">
        <f>E5+E5*'Assumptions and data'!$B$7</f>
        <v>22660000</v>
      </c>
      <c r="G5" s="23">
        <f>F5+F5*'Assumptions and data'!$B$7</f>
        <v>23339800</v>
      </c>
      <c r="H5" s="23">
        <f>G5+G5*'Assumptions and data'!$B$7</f>
        <v>24039994</v>
      </c>
      <c r="I5" s="23">
        <f>H5+H5*'Assumptions and data'!$B$7</f>
        <v>24761193.82</v>
      </c>
      <c r="J5" s="23">
        <f>I5+I5*'Assumptions and data'!$B$7</f>
        <v>25504029.634599999</v>
      </c>
      <c r="K5" s="23">
        <f>J5+J5*'Assumptions and data'!$B$7</f>
        <v>26269150.523637999</v>
      </c>
      <c r="L5" s="23">
        <f>K5+K5*'Assumptions and data'!$B$7</f>
        <v>27057225.039347138</v>
      </c>
      <c r="M5" s="23">
        <f>L5+L5*'Assumptions and data'!$B$7</f>
        <v>27868941.790527552</v>
      </c>
      <c r="N5" s="23">
        <f>M5+M5*'Assumptions and data'!$B$7</f>
        <v>28705010.04424338</v>
      </c>
      <c r="O5" s="18"/>
      <c r="P5" s="15"/>
      <c r="Q5" s="15"/>
      <c r="R5" s="15"/>
      <c r="S5" s="15"/>
    </row>
    <row r="6" spans="1:19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5"/>
      <c r="P6" s="15"/>
      <c r="Q6" s="15"/>
      <c r="R6" s="15"/>
      <c r="S6" s="15"/>
    </row>
    <row r="7" spans="1:19" x14ac:dyDescent="0.25">
      <c r="A7" s="8" t="s">
        <v>2</v>
      </c>
      <c r="B7" s="8"/>
      <c r="C7" s="8"/>
      <c r="D7" s="8"/>
      <c r="E7" s="23">
        <f>E5*'Assumptions and data'!$B$8</f>
        <v>13200000</v>
      </c>
      <c r="F7" s="23">
        <f>F5*'Assumptions and data'!$B$8</f>
        <v>13596000</v>
      </c>
      <c r="G7" s="23">
        <f>G5*'Assumptions and data'!$B$8</f>
        <v>14003880</v>
      </c>
      <c r="H7" s="23">
        <f>H5*'Assumptions and data'!$B$8</f>
        <v>14423996.4</v>
      </c>
      <c r="I7" s="23">
        <f>I5*'Assumptions and data'!$B$8</f>
        <v>14856716.291999999</v>
      </c>
      <c r="J7" s="23">
        <f>J5*'Assumptions and data'!$B$8</f>
        <v>15302417.780759998</v>
      </c>
      <c r="K7" s="23">
        <f>K5*'Assumptions and data'!$B$8</f>
        <v>15761490.314182799</v>
      </c>
      <c r="L7" s="23">
        <f>L5*'Assumptions and data'!$B$8</f>
        <v>16234335.023608282</v>
      </c>
      <c r="M7" s="23">
        <f>M5*'Assumptions and data'!$B$8</f>
        <v>16721365.074316531</v>
      </c>
      <c r="N7" s="23">
        <f>N5*'Assumptions and data'!$B$8</f>
        <v>17223006.026546028</v>
      </c>
      <c r="O7" s="15"/>
      <c r="P7" s="15"/>
      <c r="Q7" s="15"/>
      <c r="R7" s="15"/>
      <c r="S7" s="15"/>
    </row>
    <row r="8" spans="1:19" x14ac:dyDescent="0.25">
      <c r="A8" s="10"/>
      <c r="B8" s="8"/>
      <c r="C8" s="8"/>
      <c r="D8" s="8"/>
      <c r="E8" s="12"/>
      <c r="F8" s="12"/>
      <c r="G8" s="12"/>
      <c r="H8" s="12"/>
      <c r="I8" s="12"/>
      <c r="J8" s="12"/>
      <c r="K8" s="12"/>
      <c r="L8" s="12"/>
      <c r="M8" s="12"/>
      <c r="N8" s="12"/>
      <c r="O8" s="15"/>
      <c r="P8" s="15"/>
      <c r="Q8" s="15"/>
      <c r="R8" s="15"/>
      <c r="S8" s="15"/>
    </row>
    <row r="9" spans="1:19" x14ac:dyDescent="0.25">
      <c r="A9" s="8" t="s">
        <v>3</v>
      </c>
      <c r="B9" s="8"/>
      <c r="C9" s="8"/>
      <c r="D9" s="8"/>
      <c r="E9" s="12"/>
      <c r="F9" s="12"/>
      <c r="G9" s="12"/>
      <c r="H9" s="12"/>
      <c r="I9" s="12"/>
      <c r="J9" s="12"/>
      <c r="K9" s="12"/>
      <c r="L9" s="12"/>
      <c r="M9" s="12"/>
      <c r="N9" s="12"/>
      <c r="O9" s="15"/>
      <c r="P9" s="15"/>
      <c r="Q9" s="15"/>
      <c r="R9" s="15"/>
      <c r="S9" s="15"/>
    </row>
    <row r="10" spans="1:19" x14ac:dyDescent="0.25">
      <c r="A10" s="8"/>
      <c r="B10" s="8" t="s">
        <v>4</v>
      </c>
      <c r="C10" s="8"/>
      <c r="D10" s="8"/>
      <c r="E10" s="24">
        <f>E5*'Assumptions and data'!$B$11</f>
        <v>3300000</v>
      </c>
      <c r="F10" s="24">
        <f>F5*'Assumptions and data'!$B$11</f>
        <v>3399000</v>
      </c>
      <c r="G10" s="24">
        <f>G5*'Assumptions and data'!$B$11</f>
        <v>3500970</v>
      </c>
      <c r="H10" s="24">
        <f>H5*'Assumptions and data'!$B$11</f>
        <v>3605999.1</v>
      </c>
      <c r="I10" s="24">
        <f>I5*'Assumptions and data'!$B$11</f>
        <v>3714179.0729999999</v>
      </c>
      <c r="J10" s="24">
        <f>J5*'Assumptions and data'!$B$11</f>
        <v>3825604.4451899994</v>
      </c>
      <c r="K10" s="24">
        <f>K5*'Assumptions and data'!$B$11</f>
        <v>3940372.5785456998</v>
      </c>
      <c r="L10" s="24">
        <f>L5*'Assumptions and data'!$B$11</f>
        <v>4058583.7559020706</v>
      </c>
      <c r="M10" s="24">
        <f>M5*'Assumptions and data'!$B$11</f>
        <v>4180341.2685791329</v>
      </c>
      <c r="N10" s="24">
        <f>N5*'Assumptions and data'!$B$11</f>
        <v>4305751.5066365069</v>
      </c>
      <c r="O10" s="15"/>
      <c r="P10" s="15"/>
      <c r="Q10" s="15"/>
      <c r="R10" s="15"/>
      <c r="S10" s="15"/>
    </row>
    <row r="11" spans="1:19" x14ac:dyDescent="0.25">
      <c r="A11" s="8"/>
      <c r="B11" s="8" t="s">
        <v>5</v>
      </c>
      <c r="C11" s="8"/>
      <c r="D11" s="8"/>
      <c r="E11" s="24">
        <f>E5*'Assumptions and data'!$B$12</f>
        <v>1100000</v>
      </c>
      <c r="F11" s="24">
        <f>F5*'Assumptions and data'!$B$12</f>
        <v>1133000</v>
      </c>
      <c r="G11" s="24">
        <f>G5*'Assumptions and data'!$B$12</f>
        <v>1166990</v>
      </c>
      <c r="H11" s="24">
        <f>H5*'Assumptions and data'!$B$12</f>
        <v>1201999.7</v>
      </c>
      <c r="I11" s="24">
        <f>I5*'Assumptions and data'!$B$12</f>
        <v>1238059.6910000001</v>
      </c>
      <c r="J11" s="24">
        <f>J5*'Assumptions and data'!$B$12</f>
        <v>1275201.4817300001</v>
      </c>
      <c r="K11" s="24">
        <f>K5*'Assumptions and data'!$B$12</f>
        <v>1313457.5261818999</v>
      </c>
      <c r="L11" s="24">
        <f>L5*'Assumptions and data'!$B$12</f>
        <v>1352861.251967357</v>
      </c>
      <c r="M11" s="24">
        <f>M5*'Assumptions and data'!$B$12</f>
        <v>1393447.0895263776</v>
      </c>
      <c r="N11" s="24">
        <f>N5*'Assumptions and data'!$B$12</f>
        <v>1435250.5022121691</v>
      </c>
      <c r="O11" s="19"/>
      <c r="P11" s="20"/>
      <c r="Q11" s="15"/>
      <c r="R11" s="15"/>
      <c r="S11" s="15"/>
    </row>
    <row r="12" spans="1:19" x14ac:dyDescent="0.25">
      <c r="A12" s="8"/>
      <c r="B12" s="8" t="s">
        <v>6</v>
      </c>
      <c r="C12" s="8"/>
      <c r="D12" s="8"/>
      <c r="E12" s="24">
        <f>E5*'Assumptions and data'!$B$11</f>
        <v>3300000</v>
      </c>
      <c r="F12" s="24">
        <f>F5*'Assumptions and data'!$B$11</f>
        <v>3399000</v>
      </c>
      <c r="G12" s="24">
        <f>G5*'Assumptions and data'!$B$11</f>
        <v>3500970</v>
      </c>
      <c r="H12" s="24">
        <f>H5*'Assumptions and data'!$B$11</f>
        <v>3605999.1</v>
      </c>
      <c r="I12" s="24">
        <f>I5*'Assumptions and data'!$B$11</f>
        <v>3714179.0729999999</v>
      </c>
      <c r="J12" s="24">
        <f>J5*'Assumptions and data'!$B$11</f>
        <v>3825604.4451899994</v>
      </c>
      <c r="K12" s="24">
        <f>K5*'Assumptions and data'!$B$11</f>
        <v>3940372.5785456998</v>
      </c>
      <c r="L12" s="24">
        <f>L5*'Assumptions and data'!$B$11</f>
        <v>4058583.7559020706</v>
      </c>
      <c r="M12" s="24">
        <f>M5*'Assumptions and data'!$B$11</f>
        <v>4180341.2685791329</v>
      </c>
      <c r="N12" s="24">
        <f>N5*'Assumptions and data'!$B$11</f>
        <v>4305751.5066365069</v>
      </c>
      <c r="O12" s="19"/>
      <c r="P12" s="15"/>
      <c r="Q12" s="15"/>
      <c r="R12" s="15"/>
      <c r="S12" s="15"/>
    </row>
    <row r="13" spans="1:19" x14ac:dyDescent="0.25">
      <c r="A13" s="8"/>
      <c r="B13" s="8"/>
      <c r="C13" s="8"/>
      <c r="D13" s="8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5"/>
      <c r="P13" s="17"/>
      <c r="Q13" s="15"/>
      <c r="R13" s="15"/>
      <c r="S13" s="15"/>
    </row>
    <row r="14" spans="1:19" x14ac:dyDescent="0.25">
      <c r="A14" s="8" t="s">
        <v>142</v>
      </c>
      <c r="B14" s="8"/>
      <c r="C14" s="8"/>
      <c r="D14" s="8"/>
      <c r="E14" s="11">
        <f>'Assumptions and data'!$B$21</f>
        <v>13600</v>
      </c>
      <c r="F14" s="11">
        <f>'Assumptions and data'!$B$21</f>
        <v>13600</v>
      </c>
      <c r="G14" s="11">
        <f>'Assumptions and data'!$B$21</f>
        <v>13600</v>
      </c>
      <c r="H14" s="11">
        <f>'Assumptions and data'!$B$21</f>
        <v>13600</v>
      </c>
      <c r="I14" s="11">
        <f>'Assumptions and data'!$B$21</f>
        <v>13600</v>
      </c>
      <c r="J14" s="11">
        <f>'Assumptions and data'!$B$21</f>
        <v>13600</v>
      </c>
      <c r="K14" s="11">
        <f>'Assumptions and data'!$B$21</f>
        <v>13600</v>
      </c>
      <c r="L14" s="11">
        <f>'Assumptions and data'!$B$21</f>
        <v>13600</v>
      </c>
      <c r="M14" s="11">
        <f>'Assumptions and data'!$B$21</f>
        <v>13600</v>
      </c>
      <c r="N14" s="11">
        <f>'Assumptions and data'!$B$21</f>
        <v>13600</v>
      </c>
      <c r="O14" s="15"/>
      <c r="P14" s="15"/>
      <c r="Q14" s="15"/>
      <c r="R14" s="15"/>
      <c r="S14" s="15"/>
    </row>
    <row r="15" spans="1:19" x14ac:dyDescent="0.25">
      <c r="A15" s="8" t="s">
        <v>144</v>
      </c>
      <c r="B15" s="8"/>
      <c r="C15" s="8"/>
      <c r="D15" s="8"/>
      <c r="E15" s="11">
        <f>'Assumptions and data'!E20</f>
        <v>85000</v>
      </c>
      <c r="F15" s="11">
        <f>E15</f>
        <v>85000</v>
      </c>
      <c r="G15" s="11">
        <f t="shared" ref="G15:N15" si="0">F15</f>
        <v>85000</v>
      </c>
      <c r="H15" s="11">
        <f t="shared" si="0"/>
        <v>85000</v>
      </c>
      <c r="I15" s="11">
        <f t="shared" si="0"/>
        <v>85000</v>
      </c>
      <c r="J15" s="11">
        <f t="shared" si="0"/>
        <v>85000</v>
      </c>
      <c r="K15" s="11">
        <f t="shared" si="0"/>
        <v>85000</v>
      </c>
      <c r="L15" s="11">
        <f t="shared" si="0"/>
        <v>85000</v>
      </c>
      <c r="M15" s="11">
        <f t="shared" si="0"/>
        <v>85000</v>
      </c>
      <c r="N15" s="11">
        <f t="shared" si="0"/>
        <v>85000</v>
      </c>
      <c r="O15" s="15"/>
      <c r="P15" s="15"/>
      <c r="Q15" s="15"/>
      <c r="R15" s="15"/>
      <c r="S15" s="15"/>
    </row>
    <row r="16" spans="1:19" x14ac:dyDescent="0.25">
      <c r="A16" s="8"/>
      <c r="B16" s="8"/>
      <c r="C16" s="8"/>
      <c r="D16" s="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20"/>
      <c r="P16" s="15"/>
      <c r="Q16" s="15"/>
      <c r="R16" s="15"/>
      <c r="S16" s="15"/>
    </row>
    <row r="17" spans="1:19" x14ac:dyDescent="0.25">
      <c r="A17" s="8" t="s">
        <v>24</v>
      </c>
      <c r="B17" s="8"/>
      <c r="C17" s="8"/>
      <c r="D17" s="8"/>
      <c r="E17" s="12">
        <f>Mortgage!D14</f>
        <v>39731.953044625508</v>
      </c>
      <c r="F17" s="12">
        <f>Mortgage!D28</f>
        <v>39128.093115440126</v>
      </c>
      <c r="G17" s="12">
        <f>Mortgage!D42</f>
        <v>38493.33856622289</v>
      </c>
      <c r="H17" s="12">
        <f>Mortgage!D56</f>
        <v>37826.108769578634</v>
      </c>
      <c r="I17" s="12">
        <f>Mortgage!D70</f>
        <v>37124.742230214833</v>
      </c>
      <c r="J17" s="12">
        <f>Mortgage!D84</f>
        <v>36387.492447586439</v>
      </c>
      <c r="K17" s="12">
        <f>Mortgage!D98</f>
        <v>35612.523566865879</v>
      </c>
      <c r="L17" s="12">
        <f>Mortgage!D112</f>
        <v>34797.905807408366</v>
      </c>
      <c r="M17" s="12">
        <f>Mortgage!D126</f>
        <v>33941.610657328842</v>
      </c>
      <c r="N17" s="12">
        <f>Mortgage!D140</f>
        <v>33041.505822224339</v>
      </c>
      <c r="O17" s="20"/>
      <c r="P17" s="15"/>
      <c r="Q17" s="15"/>
      <c r="R17" s="15"/>
      <c r="S17" s="15"/>
    </row>
    <row r="18" spans="1:19" x14ac:dyDescent="0.25">
      <c r="A18" s="8" t="s">
        <v>25</v>
      </c>
      <c r="B18" s="8"/>
      <c r="C18" s="8"/>
      <c r="D18" s="8"/>
      <c r="E18" s="11">
        <f>'Assumptions and data'!$B$35*Forecast!E47</f>
        <v>296243.60111730476</v>
      </c>
      <c r="F18" s="16">
        <f>F47*'Assumptions and data'!$B$35</f>
        <v>245556.94222341664</v>
      </c>
      <c r="G18" s="16">
        <f>G47*'Assumptions and data'!$B$35</f>
        <v>188273.97859669139</v>
      </c>
      <c r="H18" s="16">
        <f>H47*'Assumptions and data'!$B$35</f>
        <v>123768.54677771554</v>
      </c>
      <c r="I18" s="16">
        <f>I47*'Assumptions and data'!$B$35</f>
        <v>51359.550450856907</v>
      </c>
      <c r="J18" s="16">
        <f>J47*'Assumptions and data'!$B$35</f>
        <v>0</v>
      </c>
      <c r="K18" s="16">
        <f>K47*'Assumptions and data'!$B$35</f>
        <v>0</v>
      </c>
      <c r="L18" s="16">
        <f>L47*'Assumptions and data'!$B$35</f>
        <v>0</v>
      </c>
      <c r="M18" s="16">
        <f>M47*'Assumptions and data'!$B$35</f>
        <v>0</v>
      </c>
      <c r="N18" s="16">
        <f>N47*'Assumptions and data'!$B$35</f>
        <v>0</v>
      </c>
      <c r="O18" s="18"/>
      <c r="P18" s="15"/>
      <c r="Q18" s="15"/>
      <c r="R18" s="15"/>
      <c r="S18" s="15"/>
    </row>
    <row r="19" spans="1:19" x14ac:dyDescent="0.25">
      <c r="A19" s="8"/>
      <c r="B19" s="8"/>
      <c r="C19" s="8"/>
      <c r="D19" s="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"/>
      <c r="P19" s="15"/>
      <c r="Q19" s="15"/>
      <c r="R19" s="15"/>
      <c r="S19" s="15"/>
    </row>
    <row r="20" spans="1:19" x14ac:dyDescent="0.25">
      <c r="A20" s="8" t="s">
        <v>18</v>
      </c>
      <c r="B20" s="8"/>
      <c r="C20" s="8"/>
      <c r="D20" s="8"/>
      <c r="E20" s="11">
        <f>E5-SUM(E7:E18)</f>
        <v>665424.44583806768</v>
      </c>
      <c r="F20" s="11">
        <f t="shared" ref="F20:N20" si="1">F5-SUM(F7:F18)</f>
        <v>749714.96466114372</v>
      </c>
      <c r="G20" s="11">
        <f t="shared" si="1"/>
        <v>841622.68283708766</v>
      </c>
      <c r="H20" s="11">
        <f t="shared" si="1"/>
        <v>941805.04445270821</v>
      </c>
      <c r="I20" s="11">
        <f t="shared" si="1"/>
        <v>1050975.3983189315</v>
      </c>
      <c r="J20" s="11">
        <f t="shared" si="1"/>
        <v>1140213.9892824218</v>
      </c>
      <c r="K20" s="11">
        <f t="shared" si="1"/>
        <v>1179245.0026150346</v>
      </c>
      <c r="L20" s="11">
        <f t="shared" si="1"/>
        <v>1219463.3461599499</v>
      </c>
      <c r="M20" s="11">
        <f t="shared" si="1"/>
        <v>1260905.478869047</v>
      </c>
      <c r="N20" s="11">
        <f t="shared" si="1"/>
        <v>1303608.9963899441</v>
      </c>
      <c r="O20" s="18"/>
      <c r="P20" s="17"/>
      <c r="Q20" s="15"/>
      <c r="R20" s="15"/>
      <c r="S20" s="15"/>
    </row>
    <row r="21" spans="1:19" x14ac:dyDescent="0.25">
      <c r="A21" s="13" t="s">
        <v>19</v>
      </c>
      <c r="B21" s="8"/>
      <c r="C21" s="8"/>
      <c r="D21" s="8"/>
      <c r="E21" s="12">
        <f>IF(E20&gt;0,'Assumptions and data'!$B$33*Forecast!E20,0)</f>
        <v>159701.86700113624</v>
      </c>
      <c r="F21" s="12">
        <f>IF(F20&gt;0,'Assumptions and data'!$B$33*Forecast!F20,0)</f>
        <v>179931.59151867448</v>
      </c>
      <c r="G21" s="12">
        <f>IF(G20&gt;0,'Assumptions and data'!$B$33*Forecast!G20,0)</f>
        <v>201989.44388090103</v>
      </c>
      <c r="H21" s="12">
        <f>IF(H20&gt;0,'Assumptions and data'!$B$33*Forecast!H20,0)</f>
        <v>226033.21066864996</v>
      </c>
      <c r="I21" s="12">
        <f>IF(I20&gt;0,'Assumptions and data'!$B$33*Forecast!I20,0)</f>
        <v>252234.09559654354</v>
      </c>
      <c r="J21" s="12">
        <f>IF(J20&gt;0,'Assumptions and data'!$B$33*Forecast!J20,0)</f>
        <v>273651.35742778121</v>
      </c>
      <c r="K21" s="12">
        <f>IF(K20&gt;0,'Assumptions and data'!$B$33*Forecast!K20,0)</f>
        <v>283018.80062760832</v>
      </c>
      <c r="L21" s="12">
        <f>IF(L20&gt;0,'Assumptions and data'!$B$33*Forecast!L20,0)</f>
        <v>292671.20307838795</v>
      </c>
      <c r="M21" s="12">
        <f>IF(M20&gt;0,'Assumptions and data'!$B$33*Forecast!M20,0)</f>
        <v>302617.31492857129</v>
      </c>
      <c r="N21" s="12">
        <f>IF(N20&gt;0,'Assumptions and data'!$B$33*Forecast!N20,0)</f>
        <v>312866.15913358657</v>
      </c>
      <c r="O21" s="15"/>
      <c r="P21" s="15"/>
      <c r="Q21" s="15"/>
      <c r="R21" s="15"/>
      <c r="S21" s="15"/>
    </row>
    <row r="22" spans="1:19" x14ac:dyDescent="0.25">
      <c r="A22" s="8" t="s">
        <v>20</v>
      </c>
      <c r="B22" s="8"/>
      <c r="C22" s="8"/>
      <c r="D22" s="8"/>
      <c r="E22" s="14">
        <f>E20-E21</f>
        <v>505722.57883693144</v>
      </c>
      <c r="F22" s="14">
        <f t="shared" ref="F22:N22" si="2">F20-F21</f>
        <v>569783.37314246921</v>
      </c>
      <c r="G22" s="14">
        <f t="shared" si="2"/>
        <v>639633.23895618669</v>
      </c>
      <c r="H22" s="14">
        <f t="shared" si="2"/>
        <v>715771.83378405822</v>
      </c>
      <c r="I22" s="14">
        <f t="shared" si="2"/>
        <v>798741.30272238795</v>
      </c>
      <c r="J22" s="14">
        <f t="shared" si="2"/>
        <v>866562.63185464055</v>
      </c>
      <c r="K22" s="14">
        <f t="shared" si="2"/>
        <v>896226.20198742626</v>
      </c>
      <c r="L22" s="14">
        <f t="shared" si="2"/>
        <v>926792.1430815619</v>
      </c>
      <c r="M22" s="14">
        <f t="shared" si="2"/>
        <v>958288.16394047579</v>
      </c>
      <c r="N22" s="14">
        <f t="shared" si="2"/>
        <v>990742.83725635754</v>
      </c>
      <c r="O22" s="15"/>
      <c r="P22" s="15"/>
      <c r="Q22" s="15"/>
      <c r="R22" s="15"/>
      <c r="S22" s="15"/>
    </row>
    <row r="23" spans="1:19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5"/>
      <c r="P23" s="15"/>
      <c r="Q23" s="15"/>
      <c r="R23" s="15"/>
      <c r="S23" s="15"/>
    </row>
    <row r="24" spans="1:19" x14ac:dyDescent="0.25">
      <c r="A24" s="9" t="s">
        <v>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5"/>
      <c r="P24" s="15"/>
      <c r="Q24" s="15"/>
      <c r="R24" s="15"/>
      <c r="S24" s="15"/>
    </row>
    <row r="25" spans="1:19" x14ac:dyDescent="0.25">
      <c r="A25" s="9" t="s">
        <v>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5"/>
      <c r="P25" s="15"/>
      <c r="Q25" s="15"/>
      <c r="R25" s="15"/>
      <c r="S25" s="15"/>
    </row>
    <row r="26" spans="1:19" x14ac:dyDescent="0.25">
      <c r="A26" s="8"/>
      <c r="B26" s="8" t="s">
        <v>22</v>
      </c>
      <c r="C26" s="8"/>
      <c r="D26" s="8"/>
      <c r="E26" s="48">
        <f>E5*'Assumptions and data'!$B$23</f>
        <v>440000</v>
      </c>
      <c r="F26" s="48">
        <f>F5*'Assumptions and data'!$B$23</f>
        <v>453200</v>
      </c>
      <c r="G26" s="48">
        <f>G5*'Assumptions and data'!$B$23</f>
        <v>466796</v>
      </c>
      <c r="H26" s="48">
        <f>H5*'Assumptions and data'!$B$23</f>
        <v>480799.88</v>
      </c>
      <c r="I26" s="48">
        <f>I5*'Assumptions and data'!$B$23</f>
        <v>495223.87640000001</v>
      </c>
      <c r="J26" s="48">
        <f>J5*'Assumptions and data'!$B$23</f>
        <v>510080.59269199998</v>
      </c>
      <c r="K26" s="48">
        <f>K5*'Assumptions and data'!$B$23</f>
        <v>525383.01047275995</v>
      </c>
      <c r="L26" s="48">
        <f>L5*'Assumptions and data'!$B$23</f>
        <v>541144.50078694278</v>
      </c>
      <c r="M26" s="48">
        <f>M5*'Assumptions and data'!$B$23</f>
        <v>557378.83581055107</v>
      </c>
      <c r="N26" s="48">
        <f>N5*'Assumptions and data'!$B$23</f>
        <v>574100.20088486758</v>
      </c>
      <c r="O26" s="21"/>
      <c r="P26" s="15"/>
      <c r="Q26" s="15"/>
      <c r="R26" s="15"/>
      <c r="S26" s="15"/>
    </row>
    <row r="27" spans="1:19" x14ac:dyDescent="0.25">
      <c r="A27" s="8"/>
      <c r="B27" s="8" t="s">
        <v>23</v>
      </c>
      <c r="C27" s="8"/>
      <c r="D27" s="8"/>
      <c r="E27" s="48"/>
      <c r="F27" s="48"/>
      <c r="G27" s="48"/>
      <c r="H27" s="48"/>
      <c r="I27" s="48"/>
      <c r="J27" s="48">
        <v>267243.65228891087</v>
      </c>
      <c r="K27" s="48">
        <v>1059203.7911012371</v>
      </c>
      <c r="L27" s="48">
        <v>1875310.8778752163</v>
      </c>
      <c r="M27" s="48">
        <v>2716285.3850947358</v>
      </c>
      <c r="N27" s="48">
        <v>3582869.198047285</v>
      </c>
      <c r="O27" s="21"/>
      <c r="P27" s="15"/>
      <c r="Q27" s="15"/>
      <c r="R27" s="15"/>
      <c r="S27" s="15"/>
    </row>
    <row r="28" spans="1:19" x14ac:dyDescent="0.25">
      <c r="A28" s="8"/>
      <c r="B28" s="8" t="s">
        <v>9</v>
      </c>
      <c r="C28" s="8"/>
      <c r="D28" s="8"/>
      <c r="E28" s="49">
        <f>E5/365*'Assumptions and data'!$B$24</f>
        <v>5424657.5342465751</v>
      </c>
      <c r="F28" s="49">
        <f>F5/365*'Assumptions and data'!$B$24</f>
        <v>5587397.2602739725</v>
      </c>
      <c r="G28" s="49">
        <f>G5/365*'Assumptions and data'!$B$24</f>
        <v>5755019.1780821914</v>
      </c>
      <c r="H28" s="49">
        <f>H5/365*'Assumptions and data'!$B$24</f>
        <v>5927669.7534246575</v>
      </c>
      <c r="I28" s="49">
        <f>I5/365*'Assumptions and data'!$B$24</f>
        <v>6105499.8460273976</v>
      </c>
      <c r="J28" s="49">
        <f>J5/365*'Assumptions and data'!$B$24</f>
        <v>6288664.8414082192</v>
      </c>
      <c r="K28" s="49">
        <f>K5/365*'Assumptions and data'!$B$24</f>
        <v>6477324.7866504658</v>
      </c>
      <c r="L28" s="49">
        <f>L5/365*'Assumptions and data'!$B$24</f>
        <v>6671644.5302499793</v>
      </c>
      <c r="M28" s="49">
        <f>M5/365*'Assumptions and data'!$B$24</f>
        <v>6871793.8661574787</v>
      </c>
      <c r="N28" s="49">
        <f>N5/365*'Assumptions and data'!$B$24</f>
        <v>7077947.6821422027</v>
      </c>
      <c r="O28" s="15"/>
      <c r="P28" s="15"/>
      <c r="Q28" s="15"/>
      <c r="R28" s="15"/>
      <c r="S28" s="15"/>
    </row>
    <row r="29" spans="1:19" x14ac:dyDescent="0.25">
      <c r="A29" s="8"/>
      <c r="B29" s="8" t="s">
        <v>10</v>
      </c>
      <c r="C29" s="8"/>
      <c r="D29" s="8"/>
      <c r="E29" s="11">
        <f>E5/365*'Assumptions and data'!$B$25</f>
        <v>4400000</v>
      </c>
      <c r="F29" s="11">
        <f>F5/365*'Assumptions and data'!$B$25</f>
        <v>4532000</v>
      </c>
      <c r="G29" s="11">
        <f>G5/365*'Assumptions and data'!$B$25</f>
        <v>4667960</v>
      </c>
      <c r="H29" s="11">
        <f>H5/365*'Assumptions and data'!$B$25</f>
        <v>4807998.8</v>
      </c>
      <c r="I29" s="11">
        <f>I5/365*'Assumptions and data'!$B$25</f>
        <v>4952238.7640000004</v>
      </c>
      <c r="J29" s="11">
        <f>J5/365*'Assumptions and data'!$B$25</f>
        <v>5100805.9269199995</v>
      </c>
      <c r="K29" s="11">
        <f>K5/365*'Assumptions and data'!$B$25</f>
        <v>5253830.1047275998</v>
      </c>
      <c r="L29" s="11">
        <f>L5/365*'Assumptions and data'!$B$25</f>
        <v>5411445.007869428</v>
      </c>
      <c r="M29" s="11">
        <f>M5/365*'Assumptions and data'!$B$25</f>
        <v>5573788.3581055105</v>
      </c>
      <c r="N29" s="11">
        <f>N5/365*'Assumptions and data'!$B$25</f>
        <v>5741002.0088486755</v>
      </c>
      <c r="O29" s="15"/>
      <c r="P29" s="15"/>
      <c r="Q29" s="17"/>
      <c r="R29" s="15"/>
      <c r="S29" s="15"/>
    </row>
    <row r="30" spans="1:19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5"/>
      <c r="P30" s="15"/>
      <c r="Q30" s="15"/>
      <c r="R30" s="15"/>
      <c r="S30" s="15"/>
    </row>
    <row r="31" spans="1:19" x14ac:dyDescent="0.25">
      <c r="A31" s="8"/>
      <c r="B31" s="8" t="s">
        <v>26</v>
      </c>
      <c r="C31" s="8"/>
      <c r="D31" s="8"/>
      <c r="E31" s="11">
        <f>'Assumptions and data'!$B$16*'Assumptions and data'!$B$5</f>
        <v>612000</v>
      </c>
      <c r="F31" s="11">
        <f>'Assumptions and data'!$B$16*'Assumptions and data'!$B$5</f>
        <v>612000</v>
      </c>
      <c r="G31" s="11">
        <f>'Assumptions and data'!$B$16*'Assumptions and data'!$B$5</f>
        <v>612000</v>
      </c>
      <c r="H31" s="11">
        <f>'Assumptions and data'!$B$16*'Assumptions and data'!$B$5</f>
        <v>612000</v>
      </c>
      <c r="I31" s="11">
        <f>'Assumptions and data'!$B$16*'Assumptions and data'!$B$5</f>
        <v>612000</v>
      </c>
      <c r="J31" s="11">
        <f>'Assumptions and data'!$B$16*'Assumptions and data'!$B$5</f>
        <v>612000</v>
      </c>
      <c r="K31" s="11">
        <f>'Assumptions and data'!$B$16*'Assumptions and data'!$B$5</f>
        <v>612000</v>
      </c>
      <c r="L31" s="11">
        <f>'Assumptions and data'!$B$16*'Assumptions and data'!$B$5</f>
        <v>612000</v>
      </c>
      <c r="M31" s="11">
        <f>'Assumptions and data'!$B$16*'Assumptions and data'!$B$5</f>
        <v>612000</v>
      </c>
      <c r="N31" s="11">
        <f>'Assumptions and data'!$B$16*'Assumptions and data'!$B$5</f>
        <v>612000</v>
      </c>
      <c r="O31" s="15"/>
      <c r="P31" s="15"/>
      <c r="Q31" s="15"/>
      <c r="R31" s="15"/>
      <c r="S31" s="15"/>
    </row>
    <row r="32" spans="1:19" x14ac:dyDescent="0.25">
      <c r="A32" s="8"/>
      <c r="B32" s="8" t="s">
        <v>135</v>
      </c>
      <c r="C32" s="8"/>
      <c r="D32" s="8"/>
      <c r="E32" s="11">
        <f>'Assumptions and data'!B17</f>
        <v>850000</v>
      </c>
      <c r="F32" s="11">
        <f>E32</f>
        <v>850000</v>
      </c>
      <c r="G32" s="11">
        <f>F32</f>
        <v>850000</v>
      </c>
      <c r="H32" s="11">
        <f>G32</f>
        <v>850000</v>
      </c>
      <c r="I32" s="11">
        <f>H32</f>
        <v>850000</v>
      </c>
      <c r="J32" s="11">
        <f t="shared" ref="J32:N32" si="3">I32</f>
        <v>850000</v>
      </c>
      <c r="K32" s="11">
        <f t="shared" si="3"/>
        <v>850000</v>
      </c>
      <c r="L32" s="11">
        <f t="shared" si="3"/>
        <v>850000</v>
      </c>
      <c r="M32" s="11">
        <f t="shared" si="3"/>
        <v>850000</v>
      </c>
      <c r="N32" s="11">
        <f t="shared" si="3"/>
        <v>850000</v>
      </c>
      <c r="O32" s="15"/>
      <c r="P32" s="15"/>
      <c r="Q32" s="15"/>
      <c r="R32" s="15"/>
      <c r="S32" s="15"/>
    </row>
    <row r="33" spans="1:21" x14ac:dyDescent="0.25">
      <c r="A33" s="8"/>
      <c r="B33" s="8" t="s">
        <v>11</v>
      </c>
      <c r="C33" s="8"/>
      <c r="D33" s="8"/>
      <c r="E33" s="12">
        <f>'Assumptions and data'!$B$15*'Assumptions and data'!$B$5</f>
        <v>408000</v>
      </c>
      <c r="F33" s="12">
        <f>'Assumptions and data'!$B$15*'Assumptions and data'!$B$5</f>
        <v>408000</v>
      </c>
      <c r="G33" s="12">
        <f>'Assumptions and data'!$B$15*'Assumptions and data'!$B$5</f>
        <v>408000</v>
      </c>
      <c r="H33" s="12">
        <f>'Assumptions and data'!$B$15*'Assumptions and data'!$B$5</f>
        <v>408000</v>
      </c>
      <c r="I33" s="12">
        <f>'Assumptions and data'!$B$15*'Assumptions and data'!$B$5</f>
        <v>408000</v>
      </c>
      <c r="J33" s="12">
        <f>'Assumptions and data'!$B$15*'Assumptions and data'!$B$5</f>
        <v>408000</v>
      </c>
      <c r="K33" s="12">
        <f>'Assumptions and data'!$B$15*'Assumptions and data'!$B$5</f>
        <v>408000</v>
      </c>
      <c r="L33" s="12">
        <f>'Assumptions and data'!$B$15*'Assumptions and data'!$B$5</f>
        <v>408000</v>
      </c>
      <c r="M33" s="12">
        <f>'Assumptions and data'!$B$15*'Assumptions and data'!$B$5</f>
        <v>408000</v>
      </c>
      <c r="N33" s="12">
        <f>'Assumptions and data'!$B$15*'Assumptions and data'!$B$5</f>
        <v>408000</v>
      </c>
      <c r="O33" s="15"/>
      <c r="P33" s="15"/>
      <c r="Q33" s="15"/>
      <c r="R33" s="15"/>
      <c r="S33" s="15"/>
    </row>
    <row r="34" spans="1:21" x14ac:dyDescent="0.25">
      <c r="A34" s="8"/>
      <c r="B34" s="8" t="s">
        <v>136</v>
      </c>
      <c r="C34" s="8"/>
      <c r="D34" s="8"/>
      <c r="E34" s="12">
        <f>D34+E15</f>
        <v>85000</v>
      </c>
      <c r="F34" s="12">
        <f t="shared" ref="F34:N34" si="4">E34+F15</f>
        <v>170000</v>
      </c>
      <c r="G34" s="12">
        <f t="shared" si="4"/>
        <v>255000</v>
      </c>
      <c r="H34" s="12">
        <f t="shared" si="4"/>
        <v>340000</v>
      </c>
      <c r="I34" s="12">
        <f t="shared" si="4"/>
        <v>425000</v>
      </c>
      <c r="J34" s="12">
        <f t="shared" si="4"/>
        <v>510000</v>
      </c>
      <c r="K34" s="12">
        <f t="shared" si="4"/>
        <v>595000</v>
      </c>
      <c r="L34" s="12">
        <f t="shared" si="4"/>
        <v>680000</v>
      </c>
      <c r="M34" s="12">
        <f t="shared" si="4"/>
        <v>765000</v>
      </c>
      <c r="N34" s="12">
        <f t="shared" si="4"/>
        <v>850000</v>
      </c>
      <c r="O34" s="15"/>
      <c r="P34" s="15" t="s">
        <v>177</v>
      </c>
      <c r="Q34" s="15">
        <v>0.85</v>
      </c>
      <c r="R34" s="15" t="s">
        <v>182</v>
      </c>
      <c r="S34" s="15"/>
    </row>
    <row r="35" spans="1:21" x14ac:dyDescent="0.25">
      <c r="A35" s="8"/>
      <c r="B35" s="8" t="s">
        <v>141</v>
      </c>
      <c r="C35" s="8"/>
      <c r="D35" s="8"/>
      <c r="E35" s="12">
        <f>D35+E14</f>
        <v>13600</v>
      </c>
      <c r="F35" s="12">
        <f>E35+F14</f>
        <v>27200</v>
      </c>
      <c r="G35" s="12">
        <f t="shared" ref="G35:N35" si="5">F35+G14</f>
        <v>40800</v>
      </c>
      <c r="H35" s="12">
        <f t="shared" si="5"/>
        <v>54400</v>
      </c>
      <c r="I35" s="12">
        <f t="shared" si="5"/>
        <v>68000</v>
      </c>
      <c r="J35" s="12">
        <f t="shared" si="5"/>
        <v>81600</v>
      </c>
      <c r="K35" s="12">
        <f t="shared" si="5"/>
        <v>95200</v>
      </c>
      <c r="L35" s="12">
        <f t="shared" si="5"/>
        <v>108800</v>
      </c>
      <c r="M35" s="12">
        <f t="shared" si="5"/>
        <v>122400</v>
      </c>
      <c r="N35" s="12">
        <f t="shared" si="5"/>
        <v>136000</v>
      </c>
      <c r="O35" s="15"/>
      <c r="P35" s="15"/>
      <c r="Q35" s="15"/>
      <c r="R35" s="15"/>
      <c r="S35" s="15"/>
    </row>
    <row r="36" spans="1:21" x14ac:dyDescent="0.25">
      <c r="A36" s="8"/>
      <c r="B36" s="8"/>
      <c r="C36" s="8"/>
      <c r="D36" s="8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5"/>
      <c r="P36" s="1" t="s">
        <v>181</v>
      </c>
      <c r="Q36" s="46">
        <f>'Assumptions and data'!B33</f>
        <v>0.24</v>
      </c>
      <c r="R36" s="15"/>
      <c r="S36" s="15"/>
    </row>
    <row r="37" spans="1:21" x14ac:dyDescent="0.25">
      <c r="A37" s="8"/>
      <c r="B37" s="8" t="s">
        <v>143</v>
      </c>
      <c r="C37" s="8"/>
      <c r="D37" s="8"/>
      <c r="E37" s="12">
        <f>'Assumptions and data'!B37</f>
        <v>0</v>
      </c>
      <c r="F37" s="12">
        <f>E37</f>
        <v>0</v>
      </c>
      <c r="G37" s="12">
        <f t="shared" ref="G37:N37" si="6">F37</f>
        <v>0</v>
      </c>
      <c r="H37" s="12">
        <f t="shared" si="6"/>
        <v>0</v>
      </c>
      <c r="I37" s="12">
        <f t="shared" si="6"/>
        <v>0</v>
      </c>
      <c r="J37" s="12">
        <f t="shared" si="6"/>
        <v>0</v>
      </c>
      <c r="K37" s="12">
        <f t="shared" si="6"/>
        <v>0</v>
      </c>
      <c r="L37" s="12">
        <f t="shared" si="6"/>
        <v>0</v>
      </c>
      <c r="M37" s="12">
        <f t="shared" si="6"/>
        <v>0</v>
      </c>
      <c r="N37" s="12">
        <f t="shared" si="6"/>
        <v>0</v>
      </c>
      <c r="O37" s="15"/>
      <c r="P37" s="15" t="s">
        <v>178</v>
      </c>
      <c r="Q37" s="17">
        <f>Q46+Q47</f>
        <v>0.26946274329670522</v>
      </c>
      <c r="R37" s="15"/>
      <c r="S37" s="15"/>
    </row>
    <row r="38" spans="1:2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5"/>
      <c r="P38" s="15" t="s">
        <v>179</v>
      </c>
      <c r="Q38" s="17">
        <f>Q50</f>
        <v>0.73053725670329472</v>
      </c>
      <c r="R38" s="15"/>
      <c r="S38" s="15"/>
    </row>
    <row r="39" spans="1:21" x14ac:dyDescent="0.25">
      <c r="A39" s="9" t="s">
        <v>30</v>
      </c>
      <c r="B39" s="8"/>
      <c r="C39" s="8"/>
      <c r="D39" s="8"/>
      <c r="E39" s="14">
        <f>SUM(E26:E33)-E35-E34+E37</f>
        <v>12036057.534246575</v>
      </c>
      <c r="F39" s="14">
        <f t="shared" ref="F39:N39" si="7">SUM(F26:F33)-F35-F34+F37</f>
        <v>12245397.260273973</v>
      </c>
      <c r="G39" s="14">
        <f t="shared" si="7"/>
        <v>12463975.17808219</v>
      </c>
      <c r="H39" s="14">
        <f t="shared" si="7"/>
        <v>12692068.433424657</v>
      </c>
      <c r="I39" s="14">
        <f t="shared" si="7"/>
        <v>12929962.486427398</v>
      </c>
      <c r="J39" s="14">
        <f t="shared" si="7"/>
        <v>13445195.013309129</v>
      </c>
      <c r="K39" s="14">
        <f t="shared" si="7"/>
        <v>14495541.692952063</v>
      </c>
      <c r="L39" s="14">
        <f t="shared" si="7"/>
        <v>15580744.916781567</v>
      </c>
      <c r="M39" s="14">
        <f t="shared" si="7"/>
        <v>16701846.445168275</v>
      </c>
      <c r="N39" s="14">
        <f t="shared" si="7"/>
        <v>17859919.089923032</v>
      </c>
      <c r="O39" s="15"/>
      <c r="P39" s="15" t="s">
        <v>180</v>
      </c>
      <c r="Q39" s="65">
        <f>Q34*(1+(1-Q36)*(Q37/Q38))</f>
        <v>1.0882807044711351</v>
      </c>
      <c r="R39" s="15"/>
      <c r="S39" s="15"/>
    </row>
    <row r="40" spans="1:21" x14ac:dyDescent="0.25">
      <c r="A40" s="9"/>
      <c r="B40" s="8"/>
      <c r="C40" s="8"/>
      <c r="D40" s="8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33" t="s">
        <v>98</v>
      </c>
      <c r="Q40" s="34"/>
      <c r="R40" s="34"/>
      <c r="S40" s="34"/>
      <c r="T40" s="34"/>
      <c r="U40" s="35"/>
    </row>
    <row r="41" spans="1:21" x14ac:dyDescent="0.25">
      <c r="A41" s="9" t="s">
        <v>12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5"/>
      <c r="P41" s="36" t="s">
        <v>180</v>
      </c>
      <c r="Q41" s="65">
        <f>Q39</f>
        <v>1.0882807044711351</v>
      </c>
      <c r="R41" s="15"/>
      <c r="S41" s="15"/>
      <c r="T41" s="15"/>
      <c r="U41" s="37"/>
    </row>
    <row r="42" spans="1:21" x14ac:dyDescent="0.25">
      <c r="A42" s="8" t="s">
        <v>15</v>
      </c>
      <c r="B42" s="8"/>
      <c r="C42" s="8"/>
      <c r="D42" s="8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5"/>
      <c r="P42" s="36" t="s">
        <v>99</v>
      </c>
      <c r="Q42" s="17">
        <v>0.05</v>
      </c>
      <c r="R42" s="15"/>
      <c r="S42" s="15"/>
      <c r="T42" s="15"/>
      <c r="U42" s="37"/>
    </row>
    <row r="43" spans="1:21" x14ac:dyDescent="0.25">
      <c r="A43" s="8"/>
      <c r="B43" s="8" t="s">
        <v>21</v>
      </c>
      <c r="C43" s="8"/>
      <c r="D43" s="8"/>
      <c r="E43" s="11">
        <f>'Assumptions and data'!$B$27*Forecast!E7</f>
        <v>4620000</v>
      </c>
      <c r="F43" s="11">
        <f>'Assumptions and data'!$B$27*Forecast!F7</f>
        <v>4758600</v>
      </c>
      <c r="G43" s="11">
        <f>'Assumptions and data'!$B$27*Forecast!G7</f>
        <v>4901358</v>
      </c>
      <c r="H43" s="11">
        <f>'Assumptions and data'!$B$27*Forecast!H7</f>
        <v>5048398.74</v>
      </c>
      <c r="I43" s="11">
        <f>'Assumptions and data'!$B$27*Forecast!I7</f>
        <v>5199850.7021999992</v>
      </c>
      <c r="J43" s="11">
        <f>'Assumptions and data'!$B$27*Forecast!J7</f>
        <v>5355846.223265999</v>
      </c>
      <c r="K43" s="11">
        <f>'Assumptions and data'!$B$27*Forecast!K7</f>
        <v>5516521.6099639796</v>
      </c>
      <c r="L43" s="11">
        <f>'Assumptions and data'!$B$27*Forecast!L7</f>
        <v>5682017.2582628988</v>
      </c>
      <c r="M43" s="11">
        <f>'Assumptions and data'!$B$27*Forecast!M7</f>
        <v>5852477.7760107853</v>
      </c>
      <c r="N43" s="11">
        <f>'Assumptions and data'!$B$27*Forecast!N7</f>
        <v>6028052.1092911093</v>
      </c>
      <c r="O43" s="15"/>
      <c r="P43" s="36" t="s">
        <v>100</v>
      </c>
      <c r="Q43" s="17">
        <v>0.11</v>
      </c>
      <c r="R43" s="15"/>
      <c r="S43" s="15"/>
      <c r="T43" s="15"/>
      <c r="U43" s="37"/>
    </row>
    <row r="44" spans="1:21" x14ac:dyDescent="0.25">
      <c r="A44" s="8"/>
      <c r="B44" s="8" t="s">
        <v>13</v>
      </c>
      <c r="C44" s="8"/>
      <c r="D44" s="8"/>
      <c r="E44" s="12">
        <f>E21</f>
        <v>159701.86700113624</v>
      </c>
      <c r="F44" s="12">
        <f t="shared" ref="F44:N44" si="8">F21</f>
        <v>179931.59151867448</v>
      </c>
      <c r="G44" s="12">
        <f t="shared" si="8"/>
        <v>201989.44388090103</v>
      </c>
      <c r="H44" s="12">
        <f t="shared" si="8"/>
        <v>226033.21066864996</v>
      </c>
      <c r="I44" s="12">
        <f t="shared" si="8"/>
        <v>252234.09559654354</v>
      </c>
      <c r="J44" s="12">
        <f t="shared" si="8"/>
        <v>273651.35742778121</v>
      </c>
      <c r="K44" s="12">
        <f t="shared" si="8"/>
        <v>283018.80062760832</v>
      </c>
      <c r="L44" s="12">
        <f t="shared" si="8"/>
        <v>292671.20307838795</v>
      </c>
      <c r="M44" s="12">
        <f t="shared" si="8"/>
        <v>302617.31492857129</v>
      </c>
      <c r="N44" s="12">
        <f t="shared" si="8"/>
        <v>312866.15913358657</v>
      </c>
      <c r="O44" s="15"/>
      <c r="P44" s="15" t="s">
        <v>101</v>
      </c>
      <c r="Q44" s="18">
        <f>Q42+Q41*(Q43-Q42)</f>
        <v>0.11529684226826811</v>
      </c>
      <c r="R44" s="15"/>
      <c r="S44" s="15"/>
      <c r="T44" s="15"/>
      <c r="U44" s="37"/>
    </row>
    <row r="45" spans="1:21" x14ac:dyDescent="0.25">
      <c r="A45" s="8"/>
      <c r="B45" s="8"/>
      <c r="C45" s="8"/>
      <c r="D45" s="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5"/>
      <c r="P45" s="36" t="s">
        <v>102</v>
      </c>
      <c r="Q45" s="17" t="s">
        <v>103</v>
      </c>
      <c r="R45" s="15" t="s">
        <v>77</v>
      </c>
      <c r="S45" s="15" t="s">
        <v>104</v>
      </c>
      <c r="T45" s="15" t="s">
        <v>105</v>
      </c>
      <c r="U45" s="37"/>
    </row>
    <row r="46" spans="1:21" x14ac:dyDescent="0.25">
      <c r="A46" s="8"/>
      <c r="B46" s="8" t="s">
        <v>28</v>
      </c>
      <c r="C46" s="8"/>
      <c r="D46" s="8"/>
      <c r="E46" s="12">
        <f>Mortgage!F13</f>
        <v>788197.07723545993</v>
      </c>
      <c r="F46" s="12">
        <f>Mortgage!F27</f>
        <v>775790.2945417345</v>
      </c>
      <c r="G46" s="12">
        <f>Mortgage!F41</f>
        <v>762748.7572987919</v>
      </c>
      <c r="H46" s="12">
        <f>Mortgage!F55</f>
        <v>749039.99025920522</v>
      </c>
      <c r="I46" s="12">
        <f>Mortgage!F69</f>
        <v>734629.8566802548</v>
      </c>
      <c r="J46" s="12">
        <f>Mortgage!F83</f>
        <v>719482.47331867588</v>
      </c>
      <c r="K46" s="12">
        <f>Mortgage!F97</f>
        <v>703560.12107637653</v>
      </c>
      <c r="L46" s="12">
        <f>Mortgage!F111</f>
        <v>686823.1510746195</v>
      </c>
      <c r="M46" s="12">
        <f>Mortgage!F125</f>
        <v>669229.88592278305</v>
      </c>
      <c r="N46" s="12">
        <f>Mortgage!F139</f>
        <v>650736.5159358423</v>
      </c>
      <c r="O46" s="15"/>
      <c r="P46" s="38">
        <f>AVERAGE(E46:N46)</f>
        <v>724023.81233437429</v>
      </c>
      <c r="Q46" s="17">
        <f>P46/P53</f>
        <v>7.6978853534078975E-2</v>
      </c>
      <c r="R46" s="18">
        <f>Mortgage!I1</f>
        <v>0.05</v>
      </c>
      <c r="S46" s="18">
        <f>R46*(1-'Assumptions and data'!$B$33)</f>
        <v>3.8000000000000006E-2</v>
      </c>
      <c r="T46" s="20">
        <f>Q46*S46</f>
        <v>2.9251964342950016E-3</v>
      </c>
      <c r="U46" s="37"/>
    </row>
    <row r="47" spans="1:21" x14ac:dyDescent="0.25">
      <c r="A47" s="8"/>
      <c r="B47" s="8" t="s">
        <v>27</v>
      </c>
      <c r="C47" s="8"/>
      <c r="D47" s="8"/>
      <c r="E47" s="12">
        <v>2962436.0111730476</v>
      </c>
      <c r="F47" s="12">
        <v>2455569.4222341664</v>
      </c>
      <c r="G47" s="12">
        <v>1882739.7859669139</v>
      </c>
      <c r="H47" s="12">
        <v>1237685.4677771553</v>
      </c>
      <c r="I47" s="12">
        <v>513595.50450856902</v>
      </c>
      <c r="J47" s="12"/>
      <c r="K47" s="12"/>
      <c r="L47" s="12"/>
      <c r="M47" s="12"/>
      <c r="N47" s="12"/>
      <c r="O47" s="15"/>
      <c r="P47" s="38">
        <f>AVERAGE(E47:N47)</f>
        <v>1810405.2383319705</v>
      </c>
      <c r="Q47" s="18">
        <f>P47/P53</f>
        <v>0.19248388976262626</v>
      </c>
      <c r="R47" s="18">
        <f>'Assumptions and data'!B35</f>
        <v>0.1</v>
      </c>
      <c r="S47" s="18">
        <f>R47*(1-'Assumptions and data'!$B$33)</f>
        <v>7.6000000000000012E-2</v>
      </c>
      <c r="T47" s="20">
        <f>Q47*S47</f>
        <v>1.4628775621959599E-2</v>
      </c>
      <c r="U47" s="37"/>
    </row>
    <row r="48" spans="1:21" x14ac:dyDescent="0.25">
      <c r="A48" s="8"/>
      <c r="B48" s="8"/>
      <c r="C48" s="8"/>
      <c r="D48" s="8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5"/>
      <c r="P48" s="36"/>
      <c r="Q48" s="15"/>
      <c r="R48" s="15"/>
      <c r="S48" s="15"/>
      <c r="T48" s="15"/>
      <c r="U48" s="37"/>
    </row>
    <row r="49" spans="1:21" x14ac:dyDescent="0.25">
      <c r="A49" s="8" t="s">
        <v>16</v>
      </c>
      <c r="B49" s="8"/>
      <c r="C49" s="8"/>
      <c r="D49" s="8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5"/>
      <c r="P49" s="36"/>
      <c r="Q49" s="15"/>
      <c r="R49" s="15"/>
      <c r="S49" s="15"/>
      <c r="T49" s="15"/>
      <c r="U49" s="37"/>
    </row>
    <row r="50" spans="1:21" x14ac:dyDescent="0.25">
      <c r="A50" s="8"/>
      <c r="B50" s="8" t="s">
        <v>17</v>
      </c>
      <c r="C50" s="8"/>
      <c r="D50" s="8"/>
      <c r="E50" s="12">
        <f>'Assumptions and data'!$B$34</f>
        <v>3000000</v>
      </c>
      <c r="F50" s="12">
        <f>'Assumptions and data'!$B$34</f>
        <v>3000000</v>
      </c>
      <c r="G50" s="12">
        <f>'Assumptions and data'!$B$34</f>
        <v>3000000</v>
      </c>
      <c r="H50" s="12">
        <f>'Assumptions and data'!$B$34</f>
        <v>3000000</v>
      </c>
      <c r="I50" s="12">
        <f>'Assumptions and data'!$B$34</f>
        <v>3000000</v>
      </c>
      <c r="J50" s="12">
        <f>'Assumptions and data'!$B$34</f>
        <v>3000000</v>
      </c>
      <c r="K50" s="12">
        <f>'Assumptions and data'!$B$34</f>
        <v>3000000</v>
      </c>
      <c r="L50" s="12">
        <f>'Assumptions and data'!$B$34</f>
        <v>3000000</v>
      </c>
      <c r="M50" s="12">
        <f>'Assumptions and data'!$B$34</f>
        <v>3000000</v>
      </c>
      <c r="N50" s="12">
        <f>'Assumptions and data'!$B$34</f>
        <v>3000000</v>
      </c>
      <c r="O50" s="15"/>
      <c r="P50" s="38">
        <f>AVERAGE(E50:N50)</f>
        <v>3000000</v>
      </c>
      <c r="Q50" s="18">
        <f>SUM(P50:P51)/P53</f>
        <v>0.73053725670329472</v>
      </c>
      <c r="R50" s="18">
        <f>Q44</f>
        <v>0.11529684226826811</v>
      </c>
      <c r="S50" s="18">
        <f>R50</f>
        <v>0.11529684226826811</v>
      </c>
      <c r="T50" s="20">
        <f>Q50*S50</f>
        <v>8.4228638857213059E-2</v>
      </c>
      <c r="U50" s="37"/>
    </row>
    <row r="51" spans="1:21" x14ac:dyDescent="0.25">
      <c r="A51" s="8"/>
      <c r="B51" s="8" t="s">
        <v>14</v>
      </c>
      <c r="C51" s="12"/>
      <c r="D51" s="12"/>
      <c r="E51" s="12">
        <f>E22</f>
        <v>505722.57883693144</v>
      </c>
      <c r="F51" s="12">
        <f>E51+F22</f>
        <v>1075505.9519794006</v>
      </c>
      <c r="G51" s="12">
        <f t="shared" ref="G51:H51" si="9">F51+G22</f>
        <v>1715139.1909355873</v>
      </c>
      <c r="H51" s="12">
        <f t="shared" si="9"/>
        <v>2430911.0247196453</v>
      </c>
      <c r="I51" s="12">
        <f t="shared" ref="I51" si="10">H51+I22</f>
        <v>3229652.3274420332</v>
      </c>
      <c r="J51" s="12">
        <f t="shared" ref="J51" si="11">I51+J22</f>
        <v>4096214.9592966735</v>
      </c>
      <c r="K51" s="12">
        <f t="shared" ref="K51" si="12">J51+K22</f>
        <v>4992441.1612841003</v>
      </c>
      <c r="L51" s="12">
        <f t="shared" ref="L51" si="13">K51+L22</f>
        <v>5919233.3043656619</v>
      </c>
      <c r="M51" s="12">
        <f t="shared" ref="M51" si="14">L51+M22</f>
        <v>6877521.4683061372</v>
      </c>
      <c r="N51" s="12">
        <f t="shared" ref="N51" si="15">M51+N22</f>
        <v>7868264.3055624943</v>
      </c>
      <c r="O51" s="15"/>
      <c r="P51" s="38">
        <f>AVERAGE(E51:N51)</f>
        <v>3871060.6272728667</v>
      </c>
      <c r="Q51" s="15"/>
      <c r="R51" s="15"/>
      <c r="S51" s="15"/>
      <c r="T51" s="15"/>
      <c r="U51" s="37"/>
    </row>
    <row r="52" spans="1:21" x14ac:dyDescent="0.25">
      <c r="A52" s="8"/>
      <c r="B52" s="8"/>
      <c r="C52" s="8"/>
      <c r="D52" s="8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/>
      <c r="P52" s="36"/>
      <c r="Q52" s="15"/>
      <c r="R52" s="15"/>
      <c r="S52" s="15"/>
      <c r="T52" s="15"/>
      <c r="U52" s="37"/>
    </row>
    <row r="53" spans="1:21" x14ac:dyDescent="0.25">
      <c r="A53" s="9" t="s">
        <v>29</v>
      </c>
      <c r="B53" s="8"/>
      <c r="C53" s="8"/>
      <c r="D53" s="8"/>
      <c r="E53" s="12">
        <f>SUM(E43:E51)</f>
        <v>12036057.534246575</v>
      </c>
      <c r="F53" s="12">
        <f t="shared" ref="F53:H53" si="16">SUM(F43:F51)</f>
        <v>12245397.260273976</v>
      </c>
      <c r="G53" s="12">
        <f t="shared" si="16"/>
        <v>12463975.178082194</v>
      </c>
      <c r="H53" s="12">
        <f t="shared" si="16"/>
        <v>12692068.433424655</v>
      </c>
      <c r="I53" s="12">
        <f t="shared" ref="I53:N53" si="17">SUM(I43:I51)</f>
        <v>12929962.486427398</v>
      </c>
      <c r="J53" s="12">
        <f t="shared" si="17"/>
        <v>13445195.013309129</v>
      </c>
      <c r="K53" s="12">
        <f>SUM(K43:K51)</f>
        <v>14495541.692952063</v>
      </c>
      <c r="L53" s="12">
        <f t="shared" si="17"/>
        <v>15580744.916781567</v>
      </c>
      <c r="M53" s="12">
        <f t="shared" si="17"/>
        <v>16701846.445168277</v>
      </c>
      <c r="N53" s="12">
        <f t="shared" si="17"/>
        <v>17859919.089923032</v>
      </c>
      <c r="O53" s="15"/>
      <c r="P53" s="38">
        <f>SUM(P46:P51)</f>
        <v>9405489.6779392119</v>
      </c>
      <c r="Q53" s="15"/>
      <c r="R53" s="15"/>
      <c r="S53" s="15"/>
      <c r="T53" s="66">
        <f>T46+T47+T50</f>
        <v>0.10178261091346766</v>
      </c>
      <c r="U53" s="37" t="s">
        <v>106</v>
      </c>
    </row>
    <row r="54" spans="1:21" ht="32.25" customHeight="1" x14ac:dyDescent="0.25">
      <c r="B54" s="1" t="s">
        <v>36</v>
      </c>
      <c r="E54" s="5">
        <f>E39-E53</f>
        <v>0</v>
      </c>
      <c r="F54" s="5">
        <f t="shared" ref="F54:H54" si="18">F39-F53</f>
        <v>0</v>
      </c>
      <c r="G54" s="5">
        <f t="shared" si="18"/>
        <v>0</v>
      </c>
      <c r="H54" s="5">
        <f t="shared" si="18"/>
        <v>0</v>
      </c>
      <c r="I54" s="5">
        <f t="shared" ref="I54:N54" si="19">I39-I53</f>
        <v>0</v>
      </c>
      <c r="J54" s="5">
        <f t="shared" si="19"/>
        <v>0</v>
      </c>
      <c r="K54" s="5">
        <f t="shared" si="19"/>
        <v>0</v>
      </c>
      <c r="L54" s="5">
        <f t="shared" si="19"/>
        <v>0</v>
      </c>
      <c r="M54" s="5">
        <f t="shared" si="19"/>
        <v>0</v>
      </c>
      <c r="N54" s="5">
        <f t="shared" si="19"/>
        <v>0</v>
      </c>
      <c r="P54" s="39"/>
      <c r="Q54" s="40"/>
      <c r="R54" s="40"/>
      <c r="S54" s="40"/>
      <c r="T54" s="41"/>
      <c r="U54" s="42"/>
    </row>
    <row r="55" spans="1:21" x14ac:dyDescent="0.25">
      <c r="A55" s="7"/>
      <c r="E55" s="5"/>
      <c r="F55" s="5"/>
      <c r="G55" s="5"/>
      <c r="H55" s="5"/>
      <c r="I55" s="5"/>
      <c r="J55" s="5"/>
      <c r="K55" s="5"/>
      <c r="L55" s="5"/>
      <c r="M55" s="5"/>
      <c r="N55" s="5"/>
    </row>
    <row r="57" spans="1:21" x14ac:dyDescent="0.25">
      <c r="B57" s="26" t="s">
        <v>108</v>
      </c>
      <c r="C57"/>
      <c r="D57"/>
    </row>
    <row r="58" spans="1:21" x14ac:dyDescent="0.25">
      <c r="B58" s="26" t="s">
        <v>109</v>
      </c>
      <c r="C58"/>
      <c r="D58"/>
    </row>
    <row r="59" spans="1:21" x14ac:dyDescent="0.25">
      <c r="B59"/>
      <c r="C59" t="s">
        <v>110</v>
      </c>
      <c r="D59"/>
      <c r="E59" s="43">
        <f>E5-E7-SUM(E10:E12)</f>
        <v>1100000</v>
      </c>
      <c r="F59" s="43">
        <f t="shared" ref="F59:N59" si="20">F5-F7-SUM(F10:F12)</f>
        <v>1133000</v>
      </c>
      <c r="G59" s="43">
        <f t="shared" si="20"/>
        <v>1166990</v>
      </c>
      <c r="H59" s="43">
        <f t="shared" si="20"/>
        <v>1201999.6999999993</v>
      </c>
      <c r="I59" s="43">
        <f t="shared" si="20"/>
        <v>1238059.6909999996</v>
      </c>
      <c r="J59" s="43">
        <f t="shared" si="20"/>
        <v>1275201.4817300029</v>
      </c>
      <c r="K59" s="43">
        <f t="shared" si="20"/>
        <v>1313457.526181899</v>
      </c>
      <c r="L59" s="43">
        <f t="shared" si="20"/>
        <v>1352861.2519673575</v>
      </c>
      <c r="M59" s="43">
        <f t="shared" si="20"/>
        <v>1393447.0895263776</v>
      </c>
      <c r="N59" s="43">
        <f t="shared" si="20"/>
        <v>1435250.5022121705</v>
      </c>
    </row>
    <row r="60" spans="1:21" x14ac:dyDescent="0.25">
      <c r="B60"/>
      <c r="C60" t="s">
        <v>111</v>
      </c>
      <c r="D60"/>
      <c r="E60" s="43">
        <f>E14+E15</f>
        <v>98600</v>
      </c>
      <c r="F60" s="43">
        <f t="shared" ref="F60:N60" si="21">F14+F15</f>
        <v>98600</v>
      </c>
      <c r="G60" s="43">
        <f t="shared" si="21"/>
        <v>98600</v>
      </c>
      <c r="H60" s="43">
        <f t="shared" si="21"/>
        <v>98600</v>
      </c>
      <c r="I60" s="43">
        <f t="shared" si="21"/>
        <v>98600</v>
      </c>
      <c r="J60" s="43">
        <f t="shared" si="21"/>
        <v>98600</v>
      </c>
      <c r="K60" s="43">
        <f t="shared" si="21"/>
        <v>98600</v>
      </c>
      <c r="L60" s="43">
        <f t="shared" si="21"/>
        <v>98600</v>
      </c>
      <c r="M60" s="43">
        <f t="shared" si="21"/>
        <v>98600</v>
      </c>
      <c r="N60" s="43">
        <f t="shared" si="21"/>
        <v>98600</v>
      </c>
    </row>
    <row r="61" spans="1:21" x14ac:dyDescent="0.25">
      <c r="B61"/>
      <c r="C61" t="s">
        <v>112</v>
      </c>
      <c r="D61"/>
      <c r="E61" s="43">
        <f>E59-E60</f>
        <v>1001400</v>
      </c>
      <c r="F61" s="43">
        <f t="shared" ref="F61:N61" si="22">F59-F60</f>
        <v>1034400</v>
      </c>
      <c r="G61" s="43">
        <f t="shared" si="22"/>
        <v>1068390</v>
      </c>
      <c r="H61" s="43">
        <f t="shared" si="22"/>
        <v>1103399.6999999993</v>
      </c>
      <c r="I61" s="43">
        <f t="shared" si="22"/>
        <v>1139459.6909999996</v>
      </c>
      <c r="J61" s="43">
        <f t="shared" si="22"/>
        <v>1176601.4817300029</v>
      </c>
      <c r="K61" s="43">
        <f t="shared" si="22"/>
        <v>1214857.526181899</v>
      </c>
      <c r="L61" s="43">
        <f t="shared" si="22"/>
        <v>1254261.2519673575</v>
      </c>
      <c r="M61" s="43">
        <f t="shared" si="22"/>
        <v>1294847.0895263776</v>
      </c>
      <c r="N61" s="43">
        <f t="shared" si="22"/>
        <v>1336650.5022121705</v>
      </c>
    </row>
    <row r="62" spans="1:21" x14ac:dyDescent="0.25">
      <c r="B62"/>
      <c r="C62" t="s">
        <v>113</v>
      </c>
      <c r="D62"/>
      <c r="E62" s="43">
        <f>E61*'Assumptions and data'!$B$33</f>
        <v>240336</v>
      </c>
      <c r="F62" s="43">
        <f>F61*'Assumptions and data'!$B$33</f>
        <v>248256</v>
      </c>
      <c r="G62" s="43">
        <f>G61*'Assumptions and data'!$B$33</f>
        <v>256413.59999999998</v>
      </c>
      <c r="H62" s="43">
        <f>H61*'Assumptions and data'!$B$33</f>
        <v>264815.92799999984</v>
      </c>
      <c r="I62" s="43">
        <f>I61*'Assumptions and data'!$B$33</f>
        <v>273470.32583999989</v>
      </c>
      <c r="J62" s="43">
        <f>J61*'Assumptions and data'!$B$33</f>
        <v>282384.35561520071</v>
      </c>
      <c r="K62" s="43">
        <f>K61*'Assumptions and data'!$B$33</f>
        <v>291565.80628365575</v>
      </c>
      <c r="L62" s="43">
        <f>L61*'Assumptions and data'!$B$33</f>
        <v>301022.70047216577</v>
      </c>
      <c r="M62" s="43">
        <f>M61*'Assumptions and data'!$B$33</f>
        <v>310763.30148633063</v>
      </c>
      <c r="N62" s="43">
        <f>N61*'Assumptions and data'!$B$33</f>
        <v>320796.12053092092</v>
      </c>
    </row>
    <row r="63" spans="1:21" x14ac:dyDescent="0.25">
      <c r="B63"/>
      <c r="C63" t="s">
        <v>114</v>
      </c>
      <c r="D63"/>
      <c r="E63" s="43">
        <f>E59-E62</f>
        <v>859664</v>
      </c>
      <c r="F63" s="43">
        <f t="shared" ref="F63:N63" si="23">F59-F62</f>
        <v>884744</v>
      </c>
      <c r="G63" s="43">
        <f t="shared" si="23"/>
        <v>910576.4</v>
      </c>
      <c r="H63" s="43">
        <f t="shared" si="23"/>
        <v>937183.77199999942</v>
      </c>
      <c r="I63" s="43">
        <f t="shared" si="23"/>
        <v>964589.36515999981</v>
      </c>
      <c r="J63" s="43">
        <f t="shared" si="23"/>
        <v>992817.1261148022</v>
      </c>
      <c r="K63" s="43">
        <f t="shared" si="23"/>
        <v>1021891.7198982432</v>
      </c>
      <c r="L63" s="43">
        <f t="shared" si="23"/>
        <v>1051838.5514951916</v>
      </c>
      <c r="M63" s="43">
        <f t="shared" si="23"/>
        <v>1082683.788040047</v>
      </c>
      <c r="N63" s="43">
        <f t="shared" si="23"/>
        <v>1114454.3816812495</v>
      </c>
    </row>
    <row r="64" spans="1:21" x14ac:dyDescent="0.25">
      <c r="B64"/>
      <c r="C64"/>
      <c r="D64"/>
    </row>
    <row r="65" spans="2:16" x14ac:dyDescent="0.25">
      <c r="B65" s="26" t="s">
        <v>115</v>
      </c>
      <c r="C65"/>
      <c r="D65"/>
    </row>
    <row r="66" spans="2:16" x14ac:dyDescent="0.25">
      <c r="B66" t="s">
        <v>116</v>
      </c>
      <c r="C66"/>
      <c r="D66"/>
    </row>
    <row r="67" spans="2:16" x14ac:dyDescent="0.25">
      <c r="B67" t="s">
        <v>117</v>
      </c>
      <c r="C67" t="s">
        <v>118</v>
      </c>
      <c r="D67" s="44">
        <f>-(E26-D26)</f>
        <v>-440000</v>
      </c>
      <c r="E67" s="44">
        <f t="shared" ref="E67:N67" si="24">-(F26-E26)</f>
        <v>-13200</v>
      </c>
      <c r="F67" s="44">
        <f t="shared" si="24"/>
        <v>-13596</v>
      </c>
      <c r="G67" s="44">
        <f t="shared" si="24"/>
        <v>-14003.880000000005</v>
      </c>
      <c r="H67" s="44">
        <f t="shared" si="24"/>
        <v>-14423.996400000004</v>
      </c>
      <c r="I67" s="44">
        <f t="shared" si="24"/>
        <v>-14856.716291999968</v>
      </c>
      <c r="J67" s="44">
        <f t="shared" si="24"/>
        <v>-15302.417780759977</v>
      </c>
      <c r="K67" s="44">
        <f t="shared" si="24"/>
        <v>-15761.490314182825</v>
      </c>
      <c r="L67" s="44">
        <f t="shared" si="24"/>
        <v>-16234.335023608292</v>
      </c>
      <c r="M67" s="44">
        <f t="shared" si="24"/>
        <v>-16721.365074316505</v>
      </c>
      <c r="N67" s="44">
        <f t="shared" si="24"/>
        <v>574100.20088486758</v>
      </c>
    </row>
    <row r="68" spans="2:16" x14ac:dyDescent="0.25">
      <c r="B68" t="s">
        <v>117</v>
      </c>
      <c r="C68" t="s">
        <v>119</v>
      </c>
      <c r="D68" s="44">
        <f>-(E27-D27)</f>
        <v>0</v>
      </c>
      <c r="E68" s="44">
        <f t="shared" ref="E68:N68" si="25">-(F27-E27)</f>
        <v>0</v>
      </c>
      <c r="F68" s="44">
        <f t="shared" si="25"/>
        <v>0</v>
      </c>
      <c r="G68" s="44">
        <f t="shared" si="25"/>
        <v>0</v>
      </c>
      <c r="H68" s="44">
        <f t="shared" si="25"/>
        <v>0</v>
      </c>
      <c r="I68" s="44">
        <f t="shared" si="25"/>
        <v>-267243.65228891087</v>
      </c>
      <c r="J68" s="44">
        <f t="shared" si="25"/>
        <v>-791960.13881232613</v>
      </c>
      <c r="K68" s="44">
        <f t="shared" si="25"/>
        <v>-816107.08677397924</v>
      </c>
      <c r="L68" s="44">
        <f t="shared" si="25"/>
        <v>-840974.50721951947</v>
      </c>
      <c r="M68" s="44">
        <f t="shared" si="25"/>
        <v>-866583.8129525492</v>
      </c>
      <c r="N68" s="44">
        <f t="shared" si="25"/>
        <v>3582869.198047285</v>
      </c>
    </row>
    <row r="69" spans="2:16" x14ac:dyDescent="0.25">
      <c r="B69" t="s">
        <v>117</v>
      </c>
      <c r="C69" t="s">
        <v>9</v>
      </c>
      <c r="D69" s="44">
        <f>-(E28-D28)</f>
        <v>-5424657.5342465751</v>
      </c>
      <c r="E69" s="44">
        <f t="shared" ref="E69:N69" si="26">-(F28-E28)</f>
        <v>-162739.72602739744</v>
      </c>
      <c r="F69" s="44">
        <f t="shared" si="26"/>
        <v>-167621.91780821886</v>
      </c>
      <c r="G69" s="44">
        <f t="shared" si="26"/>
        <v>-172650.57534246612</v>
      </c>
      <c r="H69" s="44">
        <f t="shared" si="26"/>
        <v>-177830.09260274004</v>
      </c>
      <c r="I69" s="44">
        <f t="shared" si="26"/>
        <v>-183164.99538082164</v>
      </c>
      <c r="J69" s="44">
        <f t="shared" si="26"/>
        <v>-188659.94524224661</v>
      </c>
      <c r="K69" s="44">
        <f t="shared" si="26"/>
        <v>-194319.74359951355</v>
      </c>
      <c r="L69" s="44">
        <f t="shared" si="26"/>
        <v>-200149.33590749931</v>
      </c>
      <c r="M69" s="44">
        <f t="shared" si="26"/>
        <v>-206153.81598472409</v>
      </c>
      <c r="N69" s="44">
        <f t="shared" si="26"/>
        <v>7077947.6821422027</v>
      </c>
    </row>
    <row r="70" spans="2:16" x14ac:dyDescent="0.25">
      <c r="B70" t="s">
        <v>117</v>
      </c>
      <c r="C70" t="s">
        <v>10</v>
      </c>
      <c r="D70" s="44">
        <f>-(E29-D29)</f>
        <v>-4400000</v>
      </c>
      <c r="E70" s="44">
        <f t="shared" ref="E70:N70" si="27">-(F29-E29)</f>
        <v>-132000</v>
      </c>
      <c r="F70" s="44">
        <f t="shared" si="27"/>
        <v>-135960</v>
      </c>
      <c r="G70" s="44">
        <f t="shared" si="27"/>
        <v>-140038.79999999981</v>
      </c>
      <c r="H70" s="44">
        <f t="shared" si="27"/>
        <v>-144239.96400000062</v>
      </c>
      <c r="I70" s="44">
        <f t="shared" si="27"/>
        <v>-148567.1629199991</v>
      </c>
      <c r="J70" s="44">
        <f t="shared" si="27"/>
        <v>-153024.17780760024</v>
      </c>
      <c r="K70" s="44">
        <f t="shared" si="27"/>
        <v>-157614.90314182825</v>
      </c>
      <c r="L70" s="44">
        <f t="shared" si="27"/>
        <v>-162343.35023608245</v>
      </c>
      <c r="M70" s="44">
        <f t="shared" si="27"/>
        <v>-167213.65074316505</v>
      </c>
      <c r="N70" s="44">
        <f t="shared" si="27"/>
        <v>5741002.0088486755</v>
      </c>
    </row>
    <row r="71" spans="2:16" x14ac:dyDescent="0.25">
      <c r="B71" t="s">
        <v>120</v>
      </c>
      <c r="C71" t="s">
        <v>21</v>
      </c>
      <c r="D71" s="44">
        <f>E43-D43</f>
        <v>4620000</v>
      </c>
      <c r="E71" s="44">
        <f t="shared" ref="E71:N71" si="28">F43-E43</f>
        <v>138600</v>
      </c>
      <c r="F71" s="44">
        <f t="shared" si="28"/>
        <v>142758</v>
      </c>
      <c r="G71" s="44">
        <f t="shared" si="28"/>
        <v>147040.74000000022</v>
      </c>
      <c r="H71" s="44">
        <f t="shared" si="28"/>
        <v>151451.96219999902</v>
      </c>
      <c r="I71" s="44">
        <f t="shared" si="28"/>
        <v>155995.52106599975</v>
      </c>
      <c r="J71" s="44">
        <f t="shared" si="28"/>
        <v>160675.38669798058</v>
      </c>
      <c r="K71" s="44">
        <f t="shared" si="28"/>
        <v>165495.6482989192</v>
      </c>
      <c r="L71" s="44">
        <f t="shared" si="28"/>
        <v>170460.51774788648</v>
      </c>
      <c r="M71" s="44">
        <f t="shared" si="28"/>
        <v>175574.333280324</v>
      </c>
      <c r="N71" s="44">
        <f t="shared" si="28"/>
        <v>-6028052.1092911093</v>
      </c>
    </row>
    <row r="72" spans="2:16" x14ac:dyDescent="0.25">
      <c r="B72" t="s">
        <v>120</v>
      </c>
      <c r="C72" t="s">
        <v>121</v>
      </c>
      <c r="D72" s="45">
        <f>E62-D62</f>
        <v>240336</v>
      </c>
      <c r="E72" s="45">
        <f t="shared" ref="E72:N72" si="29">F62-E62</f>
        <v>7920</v>
      </c>
      <c r="F72" s="45">
        <f t="shared" si="29"/>
        <v>8157.5999999999767</v>
      </c>
      <c r="G72" s="45">
        <f t="shared" si="29"/>
        <v>8402.3279999998631</v>
      </c>
      <c r="H72" s="45">
        <f t="shared" si="29"/>
        <v>8654.3978400000487</v>
      </c>
      <c r="I72" s="45">
        <f t="shared" si="29"/>
        <v>8914.0297752008191</v>
      </c>
      <c r="J72" s="45">
        <f t="shared" si="29"/>
        <v>9181.4506684550433</v>
      </c>
      <c r="K72" s="45">
        <f t="shared" si="29"/>
        <v>9456.8941885100212</v>
      </c>
      <c r="L72" s="45">
        <f t="shared" si="29"/>
        <v>9740.6010141648585</v>
      </c>
      <c r="M72" s="45">
        <f t="shared" si="29"/>
        <v>10032.819044590287</v>
      </c>
      <c r="N72" s="45">
        <f t="shared" si="29"/>
        <v>-320796.12053092092</v>
      </c>
    </row>
    <row r="74" spans="2:16" x14ac:dyDescent="0.25">
      <c r="B74" t="s">
        <v>123</v>
      </c>
    </row>
    <row r="75" spans="2:16" x14ac:dyDescent="0.25">
      <c r="B75" s="1" t="s">
        <v>117</v>
      </c>
      <c r="C75" s="1" t="s">
        <v>124</v>
      </c>
      <c r="D75" s="5">
        <f>-(E31-D31)</f>
        <v>-612000</v>
      </c>
      <c r="E75" s="5">
        <f>-(F31-E31)</f>
        <v>0</v>
      </c>
      <c r="F75" s="5">
        <f t="shared" ref="F75:N75" si="30">-(G31-F31)</f>
        <v>0</v>
      </c>
      <c r="G75" s="5">
        <f t="shared" si="30"/>
        <v>0</v>
      </c>
      <c r="H75" s="5">
        <f t="shared" si="30"/>
        <v>0</v>
      </c>
      <c r="I75" s="5">
        <f t="shared" si="30"/>
        <v>0</v>
      </c>
      <c r="J75" s="5">
        <f t="shared" si="30"/>
        <v>0</v>
      </c>
      <c r="K75" s="5">
        <f t="shared" si="30"/>
        <v>0</v>
      </c>
      <c r="L75" s="5">
        <f t="shared" si="30"/>
        <v>0</v>
      </c>
      <c r="M75" s="5">
        <f t="shared" si="30"/>
        <v>0</v>
      </c>
      <c r="N75" s="5">
        <f t="shared" si="30"/>
        <v>612000</v>
      </c>
      <c r="O75" s="46">
        <v>0.1</v>
      </c>
    </row>
    <row r="76" spans="2:16" x14ac:dyDescent="0.25">
      <c r="C76" t="s">
        <v>125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1">
        <f>N75*O75</f>
        <v>61200</v>
      </c>
      <c r="O76" t="s">
        <v>127</v>
      </c>
      <c r="P76" s="5">
        <f>N75</f>
        <v>612000</v>
      </c>
    </row>
    <row r="77" spans="2:16" x14ac:dyDescent="0.25">
      <c r="C77" t="s">
        <v>126</v>
      </c>
      <c r="N77" s="1">
        <f>-(P77*'Assumptions and data'!B33)</f>
        <v>-14688</v>
      </c>
      <c r="O77" t="s">
        <v>128</v>
      </c>
      <c r="P77" s="5">
        <f>N75+N76-P76</f>
        <v>61200</v>
      </c>
    </row>
    <row r="79" spans="2:16" x14ac:dyDescent="0.25">
      <c r="B79" s="1" t="s">
        <v>117</v>
      </c>
      <c r="C79" s="1" t="s">
        <v>129</v>
      </c>
      <c r="D79" s="5">
        <f>-(E33-D33)</f>
        <v>-408000</v>
      </c>
      <c r="E79" s="5">
        <f t="shared" ref="E79:N79" si="31">-(F33-E33)</f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408000</v>
      </c>
      <c r="O79" s="22">
        <v>0.05</v>
      </c>
    </row>
    <row r="80" spans="2:16" x14ac:dyDescent="0.25">
      <c r="C80" t="s">
        <v>125</v>
      </c>
      <c r="N80" s="1">
        <f>N79*O79</f>
        <v>20400</v>
      </c>
      <c r="O80" t="s">
        <v>127</v>
      </c>
      <c r="P80" s="5">
        <f>N33-N35</f>
        <v>272000</v>
      </c>
    </row>
    <row r="81" spans="2:16" x14ac:dyDescent="0.25">
      <c r="C81" t="s">
        <v>126</v>
      </c>
      <c r="N81" s="1">
        <f>-P81*'Assumptions and data'!B33</f>
        <v>-37536</v>
      </c>
      <c r="O81" t="s">
        <v>128</v>
      </c>
      <c r="P81" s="5">
        <f>N79+N80-P80</f>
        <v>156400</v>
      </c>
    </row>
    <row r="82" spans="2:16" x14ac:dyDescent="0.25">
      <c r="C82"/>
      <c r="O82"/>
      <c r="P82" s="5"/>
    </row>
    <row r="83" spans="2:16" x14ac:dyDescent="0.25">
      <c r="B83" s="1" t="s">
        <v>117</v>
      </c>
      <c r="C83" s="1" t="s">
        <v>135</v>
      </c>
      <c r="D83" s="5">
        <f>-(E32-D32)</f>
        <v>-850000</v>
      </c>
      <c r="E83" s="5">
        <f t="shared" ref="E83:N83" si="32">-(F32-E32)</f>
        <v>0</v>
      </c>
      <c r="F83" s="5">
        <f t="shared" si="32"/>
        <v>0</v>
      </c>
      <c r="G83" s="5">
        <f t="shared" si="32"/>
        <v>0</v>
      </c>
      <c r="H83" s="5">
        <f t="shared" si="32"/>
        <v>0</v>
      </c>
      <c r="I83" s="5">
        <f t="shared" si="32"/>
        <v>0</v>
      </c>
      <c r="J83" s="5">
        <f t="shared" si="32"/>
        <v>0</v>
      </c>
      <c r="K83" s="5">
        <f t="shared" si="32"/>
        <v>0</v>
      </c>
      <c r="L83" s="5">
        <f t="shared" si="32"/>
        <v>0</v>
      </c>
      <c r="M83" s="5">
        <f t="shared" si="32"/>
        <v>0</v>
      </c>
      <c r="N83" s="5">
        <f t="shared" si="32"/>
        <v>850000</v>
      </c>
      <c r="O83" s="22">
        <v>-0.3</v>
      </c>
      <c r="P83" s="5"/>
    </row>
    <row r="84" spans="2:16" x14ac:dyDescent="0.25">
      <c r="C84" t="s">
        <v>125</v>
      </c>
      <c r="N84" s="5">
        <f>O83*N83</f>
        <v>-255000</v>
      </c>
      <c r="O84" t="s">
        <v>127</v>
      </c>
      <c r="P84" s="5">
        <f>N32-N34</f>
        <v>0</v>
      </c>
    </row>
    <row r="85" spans="2:16" x14ac:dyDescent="0.25">
      <c r="C85" t="s">
        <v>126</v>
      </c>
      <c r="N85" s="5">
        <f>-P85*'Assumptions and data'!B33</f>
        <v>-142800</v>
      </c>
      <c r="O85" t="s">
        <v>128</v>
      </c>
      <c r="P85" s="5">
        <f>N83+N84-P84</f>
        <v>595000</v>
      </c>
    </row>
    <row r="86" spans="2:16" x14ac:dyDescent="0.25">
      <c r="C86"/>
      <c r="N86" s="5"/>
      <c r="O86"/>
      <c r="P86" s="5"/>
    </row>
    <row r="87" spans="2:16" x14ac:dyDescent="0.25">
      <c r="B87" s="1" t="s">
        <v>117</v>
      </c>
      <c r="C87" s="1" t="s">
        <v>143</v>
      </c>
      <c r="D87" s="5">
        <f>-(E37-D37)</f>
        <v>0</v>
      </c>
      <c r="E87" s="5">
        <f t="shared" ref="E87:N87" si="33">-(F37-E37)</f>
        <v>0</v>
      </c>
      <c r="F87" s="5">
        <f t="shared" si="33"/>
        <v>0</v>
      </c>
      <c r="G87" s="5">
        <f t="shared" si="33"/>
        <v>0</v>
      </c>
      <c r="H87" s="5">
        <f t="shared" si="33"/>
        <v>0</v>
      </c>
      <c r="I87" s="5">
        <f t="shared" si="33"/>
        <v>0</v>
      </c>
      <c r="J87" s="5">
        <f t="shared" si="33"/>
        <v>0</v>
      </c>
      <c r="K87" s="5">
        <f t="shared" si="33"/>
        <v>0</v>
      </c>
      <c r="L87" s="5">
        <f t="shared" si="33"/>
        <v>0</v>
      </c>
      <c r="M87" s="5">
        <f t="shared" si="33"/>
        <v>0</v>
      </c>
      <c r="N87" s="5">
        <f t="shared" si="33"/>
        <v>0</v>
      </c>
      <c r="O87"/>
      <c r="P87" s="5"/>
    </row>
    <row r="88" spans="2:16" x14ac:dyDescent="0.25">
      <c r="C88"/>
    </row>
    <row r="89" spans="2:16" x14ac:dyDescent="0.25">
      <c r="B89" s="26" t="s">
        <v>130</v>
      </c>
      <c r="D89" s="5">
        <f>D63+SUM(D67:D87)</f>
        <v>-7274321.5342465751</v>
      </c>
      <c r="E89" s="5">
        <f>E63+SUM(E67:E87)</f>
        <v>698244.27397260256</v>
      </c>
      <c r="F89" s="5">
        <f t="shared" ref="F89:M89" si="34">F63+SUM(F67:F87)</f>
        <v>718481.68219178112</v>
      </c>
      <c r="G89" s="5">
        <f t="shared" si="34"/>
        <v>739326.21265753417</v>
      </c>
      <c r="H89" s="5">
        <f t="shared" si="34"/>
        <v>760796.07903725782</v>
      </c>
      <c r="I89" s="5">
        <f t="shared" si="34"/>
        <v>515666.3891194688</v>
      </c>
      <c r="J89" s="5">
        <f t="shared" si="34"/>
        <v>13727.283838304924</v>
      </c>
      <c r="K89" s="5">
        <f t="shared" si="34"/>
        <v>13041.038556168554</v>
      </c>
      <c r="L89" s="5">
        <f t="shared" si="34"/>
        <v>12338.141870533465</v>
      </c>
      <c r="M89" s="5">
        <f t="shared" si="34"/>
        <v>11618.295610206435</v>
      </c>
      <c r="N89" s="5">
        <f>N63+SUM(N67:N87)</f>
        <v>13243101.241782252</v>
      </c>
    </row>
    <row r="90" spans="2:16" x14ac:dyDescent="0.25">
      <c r="B90" s="59" t="s">
        <v>131</v>
      </c>
      <c r="C90" s="67">
        <f>IRR(D89:N89)</f>
        <v>0.10944738366834916</v>
      </c>
    </row>
    <row r="91" spans="2:16" x14ac:dyDescent="0.25">
      <c r="B91" s="59" t="s">
        <v>106</v>
      </c>
      <c r="C91" s="67">
        <f>T53</f>
        <v>0.10178261091346766</v>
      </c>
    </row>
    <row r="92" spans="2:16" x14ac:dyDescent="0.25">
      <c r="C92" t="s">
        <v>85</v>
      </c>
      <c r="D92" s="5">
        <f>D89</f>
        <v>-7274321.5342465751</v>
      </c>
      <c r="E92" s="50">
        <f>PV($C$91,1,,-E89)</f>
        <v>633740.51020255359</v>
      </c>
      <c r="F92" s="50">
        <f t="shared" ref="F92:N92" si="35">PV($C$91,1,,-F89)</f>
        <v>652108.38787526439</v>
      </c>
      <c r="G92" s="50">
        <f t="shared" si="35"/>
        <v>671027.30187815579</v>
      </c>
      <c r="H92" s="50">
        <f t="shared" si="35"/>
        <v>690513.78330113215</v>
      </c>
      <c r="I92" s="50">
        <f t="shared" si="35"/>
        <v>468029.15930206893</v>
      </c>
      <c r="J92" s="50">
        <f t="shared" si="35"/>
        <v>12459.158188132853</v>
      </c>
      <c r="K92" s="50">
        <f t="shared" si="35"/>
        <v>11836.308203626912</v>
      </c>
      <c r="L92" s="50">
        <f t="shared" si="35"/>
        <v>11198.345071269676</v>
      </c>
      <c r="M92" s="50">
        <f t="shared" si="35"/>
        <v>10544.998164904708</v>
      </c>
      <c r="N92" s="50">
        <f t="shared" si="35"/>
        <v>12019704.35057297</v>
      </c>
    </row>
    <row r="93" spans="2:16" x14ac:dyDescent="0.25">
      <c r="C93" s="60" t="s">
        <v>145</v>
      </c>
      <c r="D93" s="61">
        <f>SUM(D92:N92)</f>
        <v>7906840.7685135035</v>
      </c>
    </row>
  </sheetData>
  <sheetProtection selectLockedCells="1" selectUnlockedCells="1"/>
  <dataConsolidate/>
  <pageMargins left="0.7" right="0.7" top="0.75" bottom="0.75" header="0.51180555555555551" footer="0.51180555555555551"/>
  <pageSetup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7"/>
  <sheetViews>
    <sheetView tabSelected="1" zoomScaleNormal="100" workbookViewId="0">
      <selection activeCell="W43" sqref="W43"/>
    </sheetView>
  </sheetViews>
  <sheetFormatPr defaultColWidth="9.42578125" defaultRowHeight="15" x14ac:dyDescent="0.25"/>
  <cols>
    <col min="1" max="1" width="4.85546875" style="1" customWidth="1"/>
    <col min="2" max="2" width="25.85546875" style="1" customWidth="1"/>
    <col min="3" max="3" width="24.5703125" style="1" bestFit="1" customWidth="1"/>
    <col min="4" max="4" width="18.42578125" style="1" customWidth="1"/>
    <col min="5" max="14" width="14.85546875" style="1" customWidth="1"/>
    <col min="15" max="15" width="12.7109375" style="1" bestFit="1" customWidth="1"/>
    <col min="16" max="16" width="13.85546875" style="1" hidden="1" customWidth="1"/>
    <col min="17" max="19" width="9.42578125" style="1" hidden="1" customWidth="1"/>
    <col min="20" max="20" width="13.42578125" style="1" hidden="1" customWidth="1"/>
    <col min="21" max="21" width="12.140625" style="1" hidden="1" customWidth="1"/>
    <col min="22" max="22" width="10.5703125" style="1" bestFit="1" customWidth="1"/>
    <col min="23" max="23" width="17.42578125" style="1" customWidth="1"/>
    <col min="24" max="24" width="12.5703125" style="1" customWidth="1"/>
    <col min="25" max="26" width="10" style="1" bestFit="1" customWidth="1"/>
    <col min="27" max="28" width="12.5703125" style="1" bestFit="1" customWidth="1"/>
    <col min="29" max="29" width="12" style="1" bestFit="1" customWidth="1"/>
    <col min="30" max="16384" width="9.42578125" style="1"/>
  </cols>
  <sheetData>
    <row r="1" spans="1:19" s="3" customFormat="1" x14ac:dyDescent="0.25">
      <c r="A1" s="2" t="s">
        <v>37</v>
      </c>
      <c r="O1" s="15"/>
      <c r="P1" s="15"/>
      <c r="Q1" s="15"/>
      <c r="R1" s="15"/>
      <c r="S1" s="15"/>
    </row>
    <row r="2" spans="1:19" x14ac:dyDescent="0.25">
      <c r="A2" s="4" t="s">
        <v>0</v>
      </c>
      <c r="O2" s="15"/>
      <c r="P2" s="15"/>
      <c r="Q2" s="15"/>
      <c r="R2" s="15"/>
      <c r="S2" s="15"/>
    </row>
    <row r="3" spans="1:19" x14ac:dyDescent="0.25">
      <c r="A3" s="8"/>
      <c r="B3" s="8"/>
      <c r="C3" s="8"/>
      <c r="D3" s="8" t="s">
        <v>122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38</v>
      </c>
      <c r="J3" s="8" t="s">
        <v>39</v>
      </c>
      <c r="K3" s="8" t="s">
        <v>40</v>
      </c>
      <c r="L3" s="8" t="s">
        <v>41</v>
      </c>
      <c r="M3" s="8" t="s">
        <v>42</v>
      </c>
      <c r="N3" s="8" t="s">
        <v>43</v>
      </c>
      <c r="O3" s="17"/>
      <c r="P3" s="15"/>
      <c r="Q3" s="15"/>
      <c r="R3" s="15"/>
      <c r="S3" s="15"/>
    </row>
    <row r="4" spans="1:19" x14ac:dyDescent="0.25">
      <c r="A4" s="9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5"/>
      <c r="P4" s="15"/>
      <c r="Q4" s="15"/>
      <c r="R4" s="15"/>
      <c r="S4" s="15"/>
    </row>
    <row r="5" spans="1:19" x14ac:dyDescent="0.25">
      <c r="A5" s="10" t="s">
        <v>47</v>
      </c>
      <c r="B5" s="8"/>
      <c r="C5" s="8"/>
      <c r="D5" s="8"/>
      <c r="E5" s="11">
        <f>'Assumptions and data-Bankruptcy'!$B$4</f>
        <v>22000000</v>
      </c>
      <c r="F5" s="23">
        <f>E5+E5*'Assumptions and data-Bankruptcy'!$B$7</f>
        <v>15400000</v>
      </c>
      <c r="G5" s="23">
        <f>F5+F5*'Assumptions and data-Bankruptcy'!$B$7</f>
        <v>10780000</v>
      </c>
      <c r="H5" s="23">
        <f>G5+G5*'Assumptions and data-Bankruptcy'!$B$7</f>
        <v>7546000</v>
      </c>
      <c r="I5" s="23">
        <f>H5+H5*'Assumptions and data-Bankruptcy'!$B$7</f>
        <v>5282200</v>
      </c>
      <c r="J5" s="23">
        <f>I5+I5*'Assumptions and data-Bankruptcy'!$B$7</f>
        <v>3697540</v>
      </c>
      <c r="K5" s="23">
        <f>J5+J5*'Assumptions and data-Bankruptcy'!$B$7</f>
        <v>2588278</v>
      </c>
      <c r="L5" s="23">
        <f>K5+K5*'Assumptions and data-Bankruptcy'!$B$7</f>
        <v>1811794.6</v>
      </c>
      <c r="M5" s="23">
        <f>L5+L5*'Assumptions and data-Bankruptcy'!$B$7</f>
        <v>1268256.2200000002</v>
      </c>
      <c r="N5" s="23">
        <f>M5+M5*'Assumptions and data-Bankruptcy'!$B$7</f>
        <v>887779.35400000017</v>
      </c>
      <c r="O5" s="18"/>
      <c r="P5" s="15"/>
      <c r="Q5" s="15"/>
      <c r="R5" s="15"/>
      <c r="S5" s="15"/>
    </row>
    <row r="6" spans="1:19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5"/>
      <c r="P6" s="15"/>
      <c r="Q6" s="15"/>
      <c r="R6" s="15"/>
      <c r="S6" s="15"/>
    </row>
    <row r="7" spans="1:19" x14ac:dyDescent="0.25">
      <c r="A7" s="8" t="s">
        <v>2</v>
      </c>
      <c r="B7" s="8"/>
      <c r="C7" s="8"/>
      <c r="D7" s="8"/>
      <c r="E7" s="23">
        <f>E5*'Assumptions and data-Bankruptcy'!$B$8</f>
        <v>13200000</v>
      </c>
      <c r="F7" s="23">
        <f>F5*'Assumptions and data-Bankruptcy'!$B$8</f>
        <v>9240000</v>
      </c>
      <c r="G7" s="23">
        <f>G5*'Assumptions and data-Bankruptcy'!$B$8</f>
        <v>6468000</v>
      </c>
      <c r="H7" s="23">
        <f>H5*'Assumptions and data-Bankruptcy'!$B$8</f>
        <v>4527600</v>
      </c>
      <c r="I7" s="23">
        <f>I5*'Assumptions and data-Bankruptcy'!$B$8</f>
        <v>3169320</v>
      </c>
      <c r="J7" s="23">
        <f>J5*'Assumptions and data-Bankruptcy'!$B$8</f>
        <v>2218524</v>
      </c>
      <c r="K7" s="23">
        <f>K5*'Assumptions and data-Bankruptcy'!$B$8</f>
        <v>1552966.8</v>
      </c>
      <c r="L7" s="23">
        <f>L5*'Assumptions and data-Bankruptcy'!$B$8</f>
        <v>1087076.76</v>
      </c>
      <c r="M7" s="23">
        <f>M5*'Assumptions and data-Bankruptcy'!$B$8</f>
        <v>760953.73200000008</v>
      </c>
      <c r="N7" s="23">
        <f>N5*'Assumptions and data-Bankruptcy'!$B$8</f>
        <v>532667.6124000001</v>
      </c>
      <c r="O7" s="15"/>
      <c r="P7" s="15"/>
      <c r="Q7" s="15"/>
      <c r="R7" s="15"/>
      <c r="S7" s="15"/>
    </row>
    <row r="8" spans="1:19" x14ac:dyDescent="0.25">
      <c r="A8" s="10"/>
      <c r="B8" s="8"/>
      <c r="C8" s="8"/>
      <c r="D8" s="8"/>
      <c r="E8" s="12"/>
      <c r="F8" s="12"/>
      <c r="G8" s="12"/>
      <c r="H8" s="12"/>
      <c r="I8" s="12"/>
      <c r="J8" s="12"/>
      <c r="K8" s="12"/>
      <c r="L8" s="12"/>
      <c r="M8" s="12"/>
      <c r="N8" s="12"/>
      <c r="O8" s="15"/>
      <c r="P8" s="15"/>
      <c r="Q8" s="15"/>
      <c r="R8" s="15"/>
      <c r="S8" s="15"/>
    </row>
    <row r="9" spans="1:19" x14ac:dyDescent="0.25">
      <c r="A9" s="8" t="s">
        <v>3</v>
      </c>
      <c r="B9" s="8"/>
      <c r="C9" s="8"/>
      <c r="D9" s="8"/>
      <c r="E9" s="12"/>
      <c r="F9" s="12"/>
      <c r="G9" s="12"/>
      <c r="H9" s="12"/>
      <c r="I9" s="12"/>
      <c r="J9" s="12"/>
      <c r="K9" s="12"/>
      <c r="L9" s="12"/>
      <c r="M9" s="12"/>
      <c r="N9" s="12"/>
      <c r="O9" s="15"/>
      <c r="P9" s="15"/>
      <c r="Q9" s="15"/>
      <c r="R9" s="15"/>
      <c r="S9" s="15"/>
    </row>
    <row r="10" spans="1:19" x14ac:dyDescent="0.25">
      <c r="A10" s="8"/>
      <c r="B10" s="8" t="s">
        <v>4</v>
      </c>
      <c r="C10" s="8"/>
      <c r="D10" s="8"/>
      <c r="E10" s="24">
        <f>E5*'Assumptions and data-Bankruptcy'!$B$11</f>
        <v>3300000</v>
      </c>
      <c r="F10" s="24">
        <f>F5*'Assumptions and data-Bankruptcy'!$B$11</f>
        <v>2310000</v>
      </c>
      <c r="G10" s="24">
        <f>G5*'Assumptions and data-Bankruptcy'!$B$11</f>
        <v>1617000</v>
      </c>
      <c r="H10" s="24">
        <f>H5*'Assumptions and data-Bankruptcy'!$B$11</f>
        <v>1131900</v>
      </c>
      <c r="I10" s="24">
        <f>I5*'Assumptions and data-Bankruptcy'!$B$11</f>
        <v>792330</v>
      </c>
      <c r="J10" s="24">
        <f>J5*'Assumptions and data-Bankruptcy'!$B$11</f>
        <v>554631</v>
      </c>
      <c r="K10" s="24">
        <f>K5*'Assumptions and data-Bankruptcy'!$B$11</f>
        <v>388241.7</v>
      </c>
      <c r="L10" s="24">
        <f>L5*'Assumptions and data-Bankruptcy'!$B$11</f>
        <v>271769.19</v>
      </c>
      <c r="M10" s="24">
        <f>M5*'Assumptions and data-Bankruptcy'!$B$11</f>
        <v>190238.43300000002</v>
      </c>
      <c r="N10" s="24">
        <f>N5*'Assumptions and data-Bankruptcy'!$B$11</f>
        <v>133166.90310000003</v>
      </c>
      <c r="O10" s="15"/>
      <c r="P10" s="15"/>
      <c r="Q10" s="15"/>
      <c r="R10" s="15"/>
      <c r="S10" s="15"/>
    </row>
    <row r="11" spans="1:19" x14ac:dyDescent="0.25">
      <c r="A11" s="8"/>
      <c r="B11" s="8" t="s">
        <v>5</v>
      </c>
      <c r="C11" s="8"/>
      <c r="D11" s="8"/>
      <c r="E11" s="24">
        <f>'Assumptions and data-Bankruptcy'!B12</f>
        <v>440000</v>
      </c>
      <c r="F11" s="24">
        <f>E11+E11*'Assumptions and data-Bankruptcy'!$C$12</f>
        <v>457600</v>
      </c>
      <c r="G11" s="24">
        <f>F11+F11*'Assumptions and data-Bankruptcy'!$C$12</f>
        <v>475904</v>
      </c>
      <c r="H11" s="24">
        <f>G11+G11*'Assumptions and data-Bankruptcy'!$C$12</f>
        <v>494940.15999999997</v>
      </c>
      <c r="I11" s="24">
        <f>H11+H11*'Assumptions and data-Bankruptcy'!$C$12</f>
        <v>514737.76639999996</v>
      </c>
      <c r="J11" s="24">
        <f>I11+I11*'Assumptions and data-Bankruptcy'!$C$12</f>
        <v>535327.27705599996</v>
      </c>
      <c r="K11" s="24">
        <f>J11+J11*'Assumptions and data-Bankruptcy'!$C$12</f>
        <v>556740.36813823995</v>
      </c>
      <c r="L11" s="24">
        <f>K11+K11*'Assumptions and data-Bankruptcy'!$C$12</f>
        <v>579009.98286376952</v>
      </c>
      <c r="M11" s="24">
        <f>L11+L11*'Assumptions and data-Bankruptcy'!$C$12</f>
        <v>602170.38217832032</v>
      </c>
      <c r="N11" s="24">
        <f>M11+M11*'Assumptions and data-Bankruptcy'!$C$12</f>
        <v>626257.19746545318</v>
      </c>
      <c r="O11" s="19"/>
      <c r="P11" s="20"/>
      <c r="Q11" s="15"/>
      <c r="R11" s="15"/>
      <c r="S11" s="15"/>
    </row>
    <row r="12" spans="1:19" x14ac:dyDescent="0.25">
      <c r="A12" s="8"/>
      <c r="B12" s="8" t="s">
        <v>6</v>
      </c>
      <c r="C12" s="8"/>
      <c r="D12" s="8"/>
      <c r="E12" s="24">
        <f>'Assumptions and data-Bankruptcy'!B13+'Assumptions and data-Bankruptcy'!B13*'Assumptions and data-Bankruptcy'!$C$13</f>
        <v>3399000</v>
      </c>
      <c r="F12" s="24">
        <f>E12+E12*'Assumptions and data-Bankruptcy'!$C$13</f>
        <v>3500970</v>
      </c>
      <c r="G12" s="24">
        <f>F12+F12*'Assumptions and data-Bankruptcy'!$C$13</f>
        <v>3605999.1</v>
      </c>
      <c r="H12" s="24">
        <f>G12+G12*'Assumptions and data-Bankruptcy'!$C$13</f>
        <v>3714179.0729999999</v>
      </c>
      <c r="I12" s="24">
        <f>H12+H12*'Assumptions and data-Bankruptcy'!$C$13</f>
        <v>3825604.4451899999</v>
      </c>
      <c r="J12" s="24">
        <f>I12+I12*'Assumptions and data-Bankruptcy'!$C$13</f>
        <v>3940372.5785456998</v>
      </c>
      <c r="K12" s="24">
        <f>J12+J12*'Assumptions and data-Bankruptcy'!$C$13</f>
        <v>4058583.755902071</v>
      </c>
      <c r="L12" s="24">
        <f>K12+K12*'Assumptions and data-Bankruptcy'!$C$13</f>
        <v>4180341.2685791333</v>
      </c>
      <c r="M12" s="24">
        <f>L12+L12*'Assumptions and data-Bankruptcy'!$C$13</f>
        <v>4305751.5066365069</v>
      </c>
      <c r="N12" s="24">
        <f>M12+M12*'Assumptions and data-Bankruptcy'!$C$13</f>
        <v>4434924.0518356021</v>
      </c>
      <c r="O12" s="19"/>
      <c r="P12" s="15"/>
      <c r="Q12" s="15"/>
      <c r="R12" s="15"/>
      <c r="S12" s="15"/>
    </row>
    <row r="13" spans="1:19" x14ac:dyDescent="0.25">
      <c r="A13" s="8"/>
      <c r="B13" s="8"/>
      <c r="C13" s="8"/>
      <c r="D13" s="8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5"/>
      <c r="P13" s="17"/>
      <c r="Q13" s="15"/>
      <c r="R13" s="15"/>
      <c r="S13" s="15"/>
    </row>
    <row r="14" spans="1:19" x14ac:dyDescent="0.25">
      <c r="A14" s="8" t="s">
        <v>171</v>
      </c>
      <c r="B14" s="8"/>
      <c r="C14" s="8"/>
      <c r="D14" s="8"/>
      <c r="E14" s="11">
        <f>'Assumptions and data-Bankruptcy'!$B$20</f>
        <v>13600</v>
      </c>
      <c r="F14" s="11">
        <f>'Assumptions and data-Bankruptcy'!$B$20</f>
        <v>13600</v>
      </c>
      <c r="G14" s="11">
        <f>'Assumptions and data-Bankruptcy'!$B$20</f>
        <v>13600</v>
      </c>
      <c r="H14" s="11">
        <f>'Assumptions and data-Bankruptcy'!$B$20</f>
        <v>13600</v>
      </c>
      <c r="I14" s="11">
        <f>'Assumptions and data-Bankruptcy'!$B$20</f>
        <v>13600</v>
      </c>
      <c r="J14" s="11">
        <f>'Assumptions and data-Bankruptcy'!$B$20</f>
        <v>13600</v>
      </c>
      <c r="K14" s="11">
        <f>'Assumptions and data-Bankruptcy'!$B$20</f>
        <v>13600</v>
      </c>
      <c r="L14" s="11">
        <f>'Assumptions and data-Bankruptcy'!$B$20</f>
        <v>13600</v>
      </c>
      <c r="M14" s="11">
        <f>'Assumptions and data-Bankruptcy'!$B$20</f>
        <v>13600</v>
      </c>
      <c r="N14" s="11">
        <f>'Assumptions and data-Bankruptcy'!$B$20</f>
        <v>13600</v>
      </c>
      <c r="O14" s="15"/>
      <c r="P14" s="15"/>
      <c r="Q14" s="15"/>
      <c r="R14" s="15"/>
      <c r="S14" s="15"/>
    </row>
    <row r="15" spans="1:19" x14ac:dyDescent="0.25">
      <c r="A15" s="8"/>
      <c r="B15" s="8"/>
      <c r="C15" s="8"/>
      <c r="D15" s="8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20"/>
      <c r="P15" s="15"/>
      <c r="Q15" s="15"/>
      <c r="R15" s="15"/>
      <c r="S15" s="15"/>
    </row>
    <row r="16" spans="1:19" x14ac:dyDescent="0.25">
      <c r="A16" s="8" t="s">
        <v>24</v>
      </c>
      <c r="B16" s="8"/>
      <c r="C16" s="8"/>
      <c r="D16" s="8"/>
      <c r="E16" s="12">
        <f>'Mortgage (Bankruptcy)'!D14</f>
        <v>39731.953044625508</v>
      </c>
      <c r="F16" s="12">
        <f>'Mortgage (Bankruptcy)'!D28</f>
        <v>39128.093115440126</v>
      </c>
      <c r="G16" s="12">
        <f>'Mortgage (Bankruptcy)'!D42</f>
        <v>38493.33856622289</v>
      </c>
      <c r="H16" s="12">
        <f>'Mortgage (Bankruptcy)'!D56</f>
        <v>37826.108769578634</v>
      </c>
      <c r="I16" s="12">
        <f>'Mortgage (Bankruptcy)'!D70</f>
        <v>37124.742230214833</v>
      </c>
      <c r="J16" s="12">
        <f>'Mortgage (Bankruptcy)'!D84</f>
        <v>36387.492447586439</v>
      </c>
      <c r="K16" s="12">
        <f>'Mortgage (Bankruptcy)'!D98</f>
        <v>35612.523566865879</v>
      </c>
      <c r="L16" s="12">
        <f>'Mortgage (Bankruptcy)'!D112</f>
        <v>34797.905807408366</v>
      </c>
      <c r="M16" s="12">
        <f>'Mortgage (Bankruptcy)'!D126</f>
        <v>33941.610657328842</v>
      </c>
      <c r="N16" s="12">
        <f>'Mortgage (Bankruptcy)'!D140</f>
        <v>33041.505822224339</v>
      </c>
      <c r="O16" s="20"/>
      <c r="P16" s="15"/>
      <c r="Q16" s="15"/>
      <c r="R16" s="15"/>
      <c r="S16" s="15"/>
    </row>
    <row r="17" spans="1:29" x14ac:dyDescent="0.25">
      <c r="A17" s="8" t="s">
        <v>25</v>
      </c>
      <c r="B17" s="8"/>
      <c r="C17" s="8"/>
      <c r="D17" s="8"/>
      <c r="E17" s="11">
        <f>'Assumptions and data-Bankruptcy'!$B$34*'Forecast (Bankruptcy)'!E42</f>
        <v>28354.71222841596</v>
      </c>
      <c r="F17" s="16">
        <f>F42*'Assumptions and data-Bankruptcy'!$B$34</f>
        <v>0</v>
      </c>
      <c r="G17" s="16">
        <f>G42*'Assumptions and data-Bankruptcy'!$B$34</f>
        <v>0</v>
      </c>
      <c r="H17" s="16">
        <f>H42*'Assumptions and data-Bankruptcy'!$B$34</f>
        <v>113499.78701441582</v>
      </c>
      <c r="I17" s="16">
        <f>I42*'Assumptions and data-Bankruptcy'!$B$34</f>
        <v>402832.18858548329</v>
      </c>
      <c r="J17" s="16">
        <f>J42*'Assumptions and data-Bankruptcy'!$B$34</f>
        <v>802731.88167487981</v>
      </c>
      <c r="K17" s="16">
        <f>K42*'Assumptions and data-Bankruptcy'!$B$34</f>
        <v>1306944.3376737814</v>
      </c>
      <c r="L17" s="16">
        <f>L42*'Assumptions and data-Bankruptcy'!$B$34</f>
        <v>1914239.373301768</v>
      </c>
      <c r="M17" s="16">
        <f>M42*'Assumptions and data-Bankruptcy'!$B$34</f>
        <v>2627258.6551833209</v>
      </c>
      <c r="N17" s="16">
        <f>N42*'Assumptions and data-Bankruptcy'!$B$34</f>
        <v>3451748.539583242</v>
      </c>
      <c r="O17" s="18"/>
      <c r="P17" s="15"/>
      <c r="Q17" s="15"/>
      <c r="R17" s="15"/>
      <c r="S17" s="15"/>
    </row>
    <row r="18" spans="1:29" x14ac:dyDescent="0.25">
      <c r="A18" s="8"/>
      <c r="B18" s="8"/>
      <c r="C18" s="8"/>
      <c r="D18" s="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5"/>
      <c r="P18" s="15"/>
      <c r="Q18" s="15"/>
      <c r="R18" s="15"/>
      <c r="S18" s="15"/>
    </row>
    <row r="19" spans="1:29" x14ac:dyDescent="0.25">
      <c r="A19" s="8" t="s">
        <v>18</v>
      </c>
      <c r="B19" s="8"/>
      <c r="C19" s="8"/>
      <c r="D19" s="8"/>
      <c r="E19" s="11">
        <f t="shared" ref="E19:N19" si="0">E5-SUM(E7:E17)</f>
        <v>1579313.3347269557</v>
      </c>
      <c r="F19" s="11">
        <f t="shared" si="0"/>
        <v>-161298.09311543964</v>
      </c>
      <c r="G19" s="11">
        <f t="shared" si="0"/>
        <v>-1438996.4385662228</v>
      </c>
      <c r="H19" s="11">
        <f t="shared" si="0"/>
        <v>-2487545.1287839934</v>
      </c>
      <c r="I19" s="11">
        <f t="shared" si="0"/>
        <v>-3473349.1424056981</v>
      </c>
      <c r="J19" s="11">
        <f t="shared" si="0"/>
        <v>-4404034.2297241669</v>
      </c>
      <c r="K19" s="11">
        <f t="shared" si="0"/>
        <v>-5324411.4852809589</v>
      </c>
      <c r="L19" s="11">
        <f t="shared" si="0"/>
        <v>-6269039.8805520795</v>
      </c>
      <c r="M19" s="11">
        <f t="shared" si="0"/>
        <v>-7265658.0996554773</v>
      </c>
      <c r="N19" s="11">
        <f t="shared" si="0"/>
        <v>-8337626.456206521</v>
      </c>
      <c r="O19" s="18"/>
      <c r="P19" s="17"/>
      <c r="Q19" s="15"/>
      <c r="R19" s="15"/>
      <c r="S19" s="15"/>
    </row>
    <row r="20" spans="1:29" x14ac:dyDescent="0.25">
      <c r="A20" s="13" t="s">
        <v>19</v>
      </c>
      <c r="B20" s="8"/>
      <c r="C20" s="8"/>
      <c r="D20" s="8"/>
      <c r="E20" s="12">
        <f>IF(E19&gt;0,'Assumptions and data-Bankruptcy'!$B$32*'Forecast (Bankruptcy)'!E19,0)</f>
        <v>473794.00041808671</v>
      </c>
      <c r="F20" s="12">
        <f>IF(F19&gt;0,'Assumptions and data-Bankruptcy'!$B$32*'Forecast (Bankruptcy)'!F19,0)</f>
        <v>0</v>
      </c>
      <c r="G20" s="12">
        <f>IF(G19&gt;0,'Assumptions and data-Bankruptcy'!$B$32*'Forecast (Bankruptcy)'!G19,0)</f>
        <v>0</v>
      </c>
      <c r="H20" s="12">
        <f>IF(H19&gt;0,'Assumptions and data-Bankruptcy'!$B$32*'Forecast (Bankruptcy)'!H19,0)</f>
        <v>0</v>
      </c>
      <c r="I20" s="12">
        <f>IF(I19&gt;0,'Assumptions and data-Bankruptcy'!$B$32*'Forecast (Bankruptcy)'!I19,0)</f>
        <v>0</v>
      </c>
      <c r="J20" s="12">
        <f>IF(J19&gt;0,'Assumptions and data-Bankruptcy'!$B$32*'Forecast (Bankruptcy)'!J19,0)</f>
        <v>0</v>
      </c>
      <c r="K20" s="12">
        <f>IF(K19&gt;0,'Assumptions and data-Bankruptcy'!$B$32*'Forecast (Bankruptcy)'!K19,0)</f>
        <v>0</v>
      </c>
      <c r="L20" s="12">
        <f>IF(L19&gt;0,'Assumptions and data-Bankruptcy'!$B$32*'Forecast (Bankruptcy)'!L19,0)</f>
        <v>0</v>
      </c>
      <c r="M20" s="12">
        <f>IF(M19&gt;0,'Assumptions and data-Bankruptcy'!$B$32*'Forecast (Bankruptcy)'!M19,0)</f>
        <v>0</v>
      </c>
      <c r="N20" s="12">
        <f>IF(N19&gt;0,'Assumptions and data-Bankruptcy'!$B$32*'Forecast (Bankruptcy)'!N19,0)</f>
        <v>0</v>
      </c>
      <c r="O20" s="15"/>
      <c r="P20" s="15"/>
      <c r="Q20" s="15"/>
      <c r="R20" s="15"/>
      <c r="S20" s="15"/>
    </row>
    <row r="21" spans="1:29" x14ac:dyDescent="0.25">
      <c r="A21" s="8" t="s">
        <v>20</v>
      </c>
      <c r="B21" s="8"/>
      <c r="C21" s="8"/>
      <c r="D21" s="8"/>
      <c r="E21" s="14">
        <f t="shared" ref="E21:N21" si="1">E19-E20</f>
        <v>1105519.334308869</v>
      </c>
      <c r="F21" s="14">
        <f t="shared" si="1"/>
        <v>-161298.09311543964</v>
      </c>
      <c r="G21" s="14">
        <f t="shared" si="1"/>
        <v>-1438996.4385662228</v>
      </c>
      <c r="H21" s="14">
        <f t="shared" si="1"/>
        <v>-2487545.1287839934</v>
      </c>
      <c r="I21" s="14">
        <f t="shared" si="1"/>
        <v>-3473349.1424056981</v>
      </c>
      <c r="J21" s="14">
        <f t="shared" si="1"/>
        <v>-4404034.2297241669</v>
      </c>
      <c r="K21" s="14">
        <f t="shared" si="1"/>
        <v>-5324411.4852809589</v>
      </c>
      <c r="L21" s="14">
        <f t="shared" si="1"/>
        <v>-6269039.8805520795</v>
      </c>
      <c r="M21" s="14">
        <f t="shared" si="1"/>
        <v>-7265658.0996554773</v>
      </c>
      <c r="N21" s="14">
        <f t="shared" si="1"/>
        <v>-8337626.456206521</v>
      </c>
      <c r="O21" s="15"/>
      <c r="P21" s="15"/>
      <c r="Q21" s="15"/>
      <c r="R21" s="15"/>
      <c r="S21" s="15"/>
    </row>
    <row r="22" spans="1:29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5"/>
      <c r="P22" s="15"/>
      <c r="Q22" s="15"/>
      <c r="R22" s="15"/>
      <c r="S22" s="15"/>
    </row>
    <row r="23" spans="1:29" x14ac:dyDescent="0.25">
      <c r="A23" s="9" t="s">
        <v>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5"/>
      <c r="P23" s="15"/>
      <c r="Q23" s="15"/>
      <c r="R23" s="15"/>
      <c r="S23" s="15"/>
      <c r="V23" s="68" t="s">
        <v>170</v>
      </c>
      <c r="W23" s="68"/>
      <c r="X23" s="68"/>
      <c r="Y23" s="68"/>
      <c r="Z23" s="68"/>
      <c r="AA23" s="68"/>
      <c r="AB23" s="68"/>
      <c r="AC23" s="68"/>
    </row>
    <row r="24" spans="1:29" x14ac:dyDescent="0.25">
      <c r="A24" s="9" t="s">
        <v>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5"/>
      <c r="P24" s="15"/>
      <c r="Q24" s="15"/>
      <c r="R24" s="15"/>
      <c r="S24" s="15"/>
      <c r="V24" s="52" t="s">
        <v>169</v>
      </c>
      <c r="W24" s="52" t="s">
        <v>168</v>
      </c>
      <c r="X24" s="52" t="s">
        <v>167</v>
      </c>
      <c r="Y24" s="52"/>
      <c r="Z24" s="52"/>
      <c r="AA24" s="52"/>
      <c r="AB24" s="52"/>
      <c r="AC24" s="52"/>
    </row>
    <row r="25" spans="1:29" x14ac:dyDescent="0.25">
      <c r="A25" s="8"/>
      <c r="B25" s="8" t="s">
        <v>22</v>
      </c>
      <c r="C25" s="8"/>
      <c r="D25" s="8"/>
      <c r="E25" s="24">
        <f>E5*'Assumptions and data-Bankruptcy'!$B$22</f>
        <v>440000</v>
      </c>
      <c r="F25" s="24">
        <f>F5*'Assumptions and data-Bankruptcy'!$B$22</f>
        <v>308000</v>
      </c>
      <c r="G25" s="24">
        <f>G5*'Assumptions and data-Bankruptcy'!$B$22</f>
        <v>215600</v>
      </c>
      <c r="H25" s="24">
        <f>H5*'Assumptions and data-Bankruptcy'!$B$22</f>
        <v>150920</v>
      </c>
      <c r="I25" s="24">
        <f>I5*'Assumptions and data-Bankruptcy'!$B$22</f>
        <v>105644</v>
      </c>
      <c r="J25" s="24">
        <f>J5*'Assumptions and data-Bankruptcy'!$B$22</f>
        <v>73950.8</v>
      </c>
      <c r="K25" s="24">
        <f>K5*'Assumptions and data-Bankruptcy'!$B$22</f>
        <v>51765.56</v>
      </c>
      <c r="L25" s="24">
        <f>L5*'Assumptions and data-Bankruptcy'!$B$22</f>
        <v>36235.892</v>
      </c>
      <c r="M25" s="24">
        <f>M5*'Assumptions and data-Bankruptcy'!$B$22</f>
        <v>25365.124400000004</v>
      </c>
      <c r="N25" s="24">
        <f>N5*'Assumptions and data-Bankruptcy'!$B$22</f>
        <v>17755.587080000005</v>
      </c>
      <c r="O25" s="21"/>
      <c r="P25" s="15"/>
      <c r="Q25" s="15"/>
      <c r="R25" s="15"/>
      <c r="S25" s="15"/>
      <c r="V25" s="53">
        <v>1</v>
      </c>
      <c r="W25" s="52"/>
      <c r="X25" s="55">
        <f>V25*I25</f>
        <v>105644</v>
      </c>
      <c r="Y25" s="52"/>
      <c r="Z25" s="52"/>
      <c r="AA25" s="52"/>
      <c r="AB25" s="52"/>
      <c r="AC25" s="52"/>
    </row>
    <row r="26" spans="1:29" x14ac:dyDescent="0.25">
      <c r="A26" s="8"/>
      <c r="B26" s="8" t="s">
        <v>23</v>
      </c>
      <c r="C26" s="8"/>
      <c r="D26" s="8"/>
      <c r="E26" s="12"/>
      <c r="F26" s="12">
        <v>775951</v>
      </c>
      <c r="G26" s="12">
        <v>522891</v>
      </c>
      <c r="H26" s="12"/>
      <c r="I26" s="12"/>
      <c r="J26" s="12"/>
      <c r="K26" s="12"/>
      <c r="L26" s="12"/>
      <c r="M26" s="12"/>
      <c r="N26" s="12"/>
      <c r="O26" s="21"/>
      <c r="P26" s="15"/>
      <c r="Q26" s="15"/>
      <c r="R26" s="15"/>
      <c r="S26" s="15"/>
      <c r="V26" s="53">
        <v>1</v>
      </c>
      <c r="W26" s="52"/>
      <c r="X26" s="52"/>
      <c r="Y26" s="52"/>
      <c r="Z26" s="52"/>
      <c r="AA26" s="52"/>
      <c r="AB26" s="52"/>
      <c r="AC26" s="52"/>
    </row>
    <row r="27" spans="1:29" x14ac:dyDescent="0.25">
      <c r="A27" s="8"/>
      <c r="B27" s="8" t="s">
        <v>9</v>
      </c>
      <c r="C27" s="8"/>
      <c r="D27" s="8"/>
      <c r="E27" s="11">
        <f>'Assumptions and data-Bankruptcy'!$B$23*'Forecast (Bankruptcy)'!E5/365</f>
        <v>5424657.5342465751</v>
      </c>
      <c r="F27" s="11">
        <f>'Assumptions and data-Bankruptcy'!$B$23*'Forecast (Bankruptcy)'!F5/365</f>
        <v>3797260.2739726026</v>
      </c>
      <c r="G27" s="11">
        <f>'Assumptions and data-Bankruptcy'!$B$23*'Forecast (Bankruptcy)'!G5/365</f>
        <v>2658082.1917808219</v>
      </c>
      <c r="H27" s="11">
        <f>'Assumptions and data-Bankruptcy'!$B$23*'Forecast (Bankruptcy)'!H5/365</f>
        <v>1860657.5342465753</v>
      </c>
      <c r="I27" s="11">
        <f>'Assumptions and data-Bankruptcy'!$B$23*'Forecast (Bankruptcy)'!I5/365</f>
        <v>1302460.2739726028</v>
      </c>
      <c r="J27" s="11">
        <f>'Assumptions and data-Bankruptcy'!$B$23*'Forecast (Bankruptcy)'!J5/365</f>
        <v>911722.19178082189</v>
      </c>
      <c r="K27" s="11">
        <f>'Assumptions and data-Bankruptcy'!$B$23*'Forecast (Bankruptcy)'!K5/365</f>
        <v>638205.53424657532</v>
      </c>
      <c r="L27" s="11">
        <f>'Assumptions and data-Bankruptcy'!$B$23*'Forecast (Bankruptcy)'!L5/365</f>
        <v>446743.87397260271</v>
      </c>
      <c r="M27" s="11">
        <f>'Assumptions and data-Bankruptcy'!$B$23*'Forecast (Bankruptcy)'!M5/365</f>
        <v>312720.71178082196</v>
      </c>
      <c r="N27" s="11">
        <f>'Assumptions and data-Bankruptcy'!$B$23*'Forecast (Bankruptcy)'!N5/365</f>
        <v>218904.49824657539</v>
      </c>
      <c r="O27" s="15"/>
      <c r="P27" s="15"/>
      <c r="Q27" s="15"/>
      <c r="R27" s="15"/>
      <c r="S27" s="15"/>
      <c r="V27" s="53">
        <v>0.7</v>
      </c>
      <c r="W27" s="52"/>
      <c r="X27" s="55">
        <f>I27*V27</f>
        <v>911722.19178082189</v>
      </c>
      <c r="Y27" s="52"/>
      <c r="Z27" s="52"/>
      <c r="AA27" s="52"/>
      <c r="AB27" s="52"/>
      <c r="AC27" s="52"/>
    </row>
    <row r="28" spans="1:29" x14ac:dyDescent="0.25">
      <c r="A28" s="8"/>
      <c r="B28" s="8" t="s">
        <v>10</v>
      </c>
      <c r="C28" s="8"/>
      <c r="D28" s="8"/>
      <c r="E28" s="11">
        <f>'Assumptions and data-Bankruptcy'!$B$24*'Forecast (Bankruptcy)'!E5/365</f>
        <v>4400000</v>
      </c>
      <c r="F28" s="11">
        <f>'Assumptions and data-Bankruptcy'!$B$24*'Forecast (Bankruptcy)'!F5/365</f>
        <v>3080000</v>
      </c>
      <c r="G28" s="11">
        <f>'Assumptions and data-Bankruptcy'!$B$24*'Forecast (Bankruptcy)'!G5/365</f>
        <v>2156000</v>
      </c>
      <c r="H28" s="11">
        <f>'Assumptions and data-Bankruptcy'!$B$24*'Forecast (Bankruptcy)'!H5/365</f>
        <v>1509200</v>
      </c>
      <c r="I28" s="11">
        <f>'Assumptions and data-Bankruptcy'!$B$24*'Forecast (Bankruptcy)'!I5/365</f>
        <v>1056440</v>
      </c>
      <c r="J28" s="11">
        <f>'Assumptions and data-Bankruptcy'!$B$24*'Forecast (Bankruptcy)'!J5/365</f>
        <v>739508</v>
      </c>
      <c r="K28" s="11">
        <f>'Assumptions and data-Bankruptcy'!$B$24*'Forecast (Bankruptcy)'!K5/365</f>
        <v>517655.6</v>
      </c>
      <c r="L28" s="11">
        <f>'Assumptions and data-Bankruptcy'!$B$24*'Forecast (Bankruptcy)'!L5/365</f>
        <v>362358.92000000004</v>
      </c>
      <c r="M28" s="11">
        <f>'Assumptions and data-Bankruptcy'!$B$24*'Forecast (Bankruptcy)'!M5/365</f>
        <v>253651.24400000004</v>
      </c>
      <c r="N28" s="11">
        <f>'Assumptions and data-Bankruptcy'!$B$24*'Forecast (Bankruptcy)'!N5/365</f>
        <v>177555.87080000003</v>
      </c>
      <c r="O28" s="15"/>
      <c r="P28" s="15"/>
      <c r="Q28" s="17"/>
      <c r="R28" s="15"/>
      <c r="S28" s="15"/>
      <c r="V28" s="53">
        <v>0.7</v>
      </c>
      <c r="W28" s="52"/>
      <c r="X28" s="55">
        <f>I28*V28</f>
        <v>739508</v>
      </c>
      <c r="Y28" s="52"/>
      <c r="Z28" s="52"/>
      <c r="AA28" s="52"/>
      <c r="AB28" s="52"/>
      <c r="AC28" s="52"/>
    </row>
    <row r="29" spans="1:29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5"/>
      <c r="P29" s="15"/>
      <c r="Q29" s="15"/>
      <c r="R29" s="15"/>
      <c r="S29" s="15"/>
      <c r="V29" s="52"/>
      <c r="W29" s="52"/>
      <c r="X29" s="52"/>
      <c r="Y29" s="52"/>
      <c r="Z29" s="52"/>
      <c r="AA29" s="52"/>
      <c r="AB29" s="52"/>
      <c r="AC29" s="52"/>
    </row>
    <row r="30" spans="1:29" x14ac:dyDescent="0.25">
      <c r="A30" s="8"/>
      <c r="B30" s="8" t="s">
        <v>26</v>
      </c>
      <c r="C30" s="8"/>
      <c r="D30" s="8"/>
      <c r="E30" s="11">
        <f>'Assumptions and data-Bankruptcy'!$B$16*'Assumptions and data-Bankruptcy'!$B$5</f>
        <v>612000</v>
      </c>
      <c r="F30" s="11">
        <f>'Assumptions and data-Bankruptcy'!$B$16*'Assumptions and data-Bankruptcy'!$B$5</f>
        <v>612000</v>
      </c>
      <c r="G30" s="11">
        <f>'Assumptions and data-Bankruptcy'!$B$16*'Assumptions and data-Bankruptcy'!$B$5</f>
        <v>612000</v>
      </c>
      <c r="H30" s="11">
        <f>'Assumptions and data-Bankruptcy'!$B$16*'Assumptions and data-Bankruptcy'!$B$5</f>
        <v>612000</v>
      </c>
      <c r="I30" s="11">
        <f>'Assumptions and data-Bankruptcy'!$B$16*'Assumptions and data-Bankruptcy'!$B$5</f>
        <v>612000</v>
      </c>
      <c r="J30" s="11">
        <f>'Assumptions and data-Bankruptcy'!$B$16*'Assumptions and data-Bankruptcy'!$B$5</f>
        <v>612000</v>
      </c>
      <c r="K30" s="11">
        <f>'Assumptions and data-Bankruptcy'!$B$16*'Assumptions and data-Bankruptcy'!$B$5</f>
        <v>612000</v>
      </c>
      <c r="L30" s="11">
        <f>'Assumptions and data-Bankruptcy'!$B$16*'Assumptions and data-Bankruptcy'!$B$5</f>
        <v>612000</v>
      </c>
      <c r="M30" s="11">
        <f>'Assumptions and data-Bankruptcy'!$B$16*'Assumptions and data-Bankruptcy'!$B$5</f>
        <v>612000</v>
      </c>
      <c r="N30" s="11">
        <f>'Assumptions and data-Bankruptcy'!$B$16*'Assumptions and data-Bankruptcy'!$B$5</f>
        <v>612000</v>
      </c>
      <c r="O30" s="15"/>
      <c r="P30" s="15"/>
      <c r="Q30" s="15"/>
      <c r="R30" s="15"/>
      <c r="S30" s="15"/>
      <c r="V30" s="53">
        <v>0.85</v>
      </c>
      <c r="W30" s="54">
        <f>I30*V30</f>
        <v>520200</v>
      </c>
      <c r="X30" s="52"/>
      <c r="Y30" s="52"/>
      <c r="Z30" s="52"/>
      <c r="AA30" s="52"/>
      <c r="AB30" s="52"/>
      <c r="AC30" s="52"/>
    </row>
    <row r="31" spans="1:29" x14ac:dyDescent="0.25">
      <c r="A31" s="8"/>
      <c r="B31" s="8" t="s">
        <v>11</v>
      </c>
      <c r="C31" s="8"/>
      <c r="D31" s="8"/>
      <c r="E31" s="12">
        <f>'Assumptions and data-Bankruptcy'!$B$15*'Assumptions and data-Bankruptcy'!$B$5</f>
        <v>408000</v>
      </c>
      <c r="F31" s="12">
        <f>'Assumptions and data-Bankruptcy'!$B$15*'Assumptions and data-Bankruptcy'!$B$5</f>
        <v>408000</v>
      </c>
      <c r="G31" s="12">
        <f>'Assumptions and data-Bankruptcy'!$B$15*'Assumptions and data-Bankruptcy'!$B$5</f>
        <v>408000</v>
      </c>
      <c r="H31" s="12">
        <f>'Assumptions and data-Bankruptcy'!$B$15*'Assumptions and data-Bankruptcy'!$B$5</f>
        <v>408000</v>
      </c>
      <c r="I31" s="12">
        <f>'Assumptions and data-Bankruptcy'!$B$15*'Assumptions and data-Bankruptcy'!$B$5</f>
        <v>408000</v>
      </c>
      <c r="J31" s="12">
        <f>'Assumptions and data-Bankruptcy'!$B$15*'Assumptions and data-Bankruptcy'!$B$5</f>
        <v>408000</v>
      </c>
      <c r="K31" s="12">
        <f>'Assumptions and data-Bankruptcy'!$B$15*'Assumptions and data-Bankruptcy'!$B$5</f>
        <v>408000</v>
      </c>
      <c r="L31" s="12">
        <f>'Assumptions and data-Bankruptcy'!$B$15*'Assumptions and data-Bankruptcy'!$B$5</f>
        <v>408000</v>
      </c>
      <c r="M31" s="12">
        <f>'Assumptions and data-Bankruptcy'!$B$15*'Assumptions and data-Bankruptcy'!$B$5</f>
        <v>408000</v>
      </c>
      <c r="N31" s="12">
        <f>'Assumptions and data-Bankruptcy'!$B$15*'Assumptions and data-Bankruptcy'!$B$5</f>
        <v>408000</v>
      </c>
      <c r="O31" s="15"/>
      <c r="P31" s="15"/>
      <c r="Q31" s="15"/>
      <c r="R31" s="15"/>
      <c r="S31" s="15"/>
      <c r="V31" s="53">
        <v>0.85</v>
      </c>
      <c r="W31" s="54">
        <f>I30*V31</f>
        <v>520200</v>
      </c>
      <c r="X31" s="52"/>
      <c r="Y31" s="52"/>
      <c r="Z31" s="52"/>
      <c r="AA31" s="52"/>
      <c r="AB31" s="52"/>
      <c r="AC31" s="52"/>
    </row>
    <row r="32" spans="1:29" x14ac:dyDescent="0.25">
      <c r="A32" s="8"/>
      <c r="B32" s="8" t="s">
        <v>166</v>
      </c>
      <c r="C32" s="8"/>
      <c r="D32" s="8"/>
      <c r="E32" s="12">
        <f t="shared" ref="E32:N32" si="2">D32+E14</f>
        <v>13600</v>
      </c>
      <c r="F32" s="12">
        <f t="shared" si="2"/>
        <v>27200</v>
      </c>
      <c r="G32" s="12">
        <f t="shared" si="2"/>
        <v>40800</v>
      </c>
      <c r="H32" s="12">
        <f t="shared" si="2"/>
        <v>54400</v>
      </c>
      <c r="I32" s="12">
        <f t="shared" si="2"/>
        <v>68000</v>
      </c>
      <c r="J32" s="12">
        <f t="shared" si="2"/>
        <v>81600</v>
      </c>
      <c r="K32" s="12">
        <f t="shared" si="2"/>
        <v>95200</v>
      </c>
      <c r="L32" s="12">
        <f t="shared" si="2"/>
        <v>108800</v>
      </c>
      <c r="M32" s="12">
        <f t="shared" si="2"/>
        <v>122400</v>
      </c>
      <c r="N32" s="12">
        <f t="shared" si="2"/>
        <v>136000</v>
      </c>
      <c r="O32" s="15"/>
      <c r="P32" s="15"/>
      <c r="Q32" s="15"/>
      <c r="R32" s="15"/>
      <c r="S32" s="15"/>
      <c r="V32" s="52"/>
      <c r="W32" s="52"/>
      <c r="X32" s="52"/>
      <c r="Y32" s="52"/>
      <c r="Z32" s="52"/>
      <c r="AA32" s="52"/>
      <c r="AB32" s="52"/>
      <c r="AC32" s="52"/>
    </row>
    <row r="33" spans="1:29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5"/>
      <c r="P33" s="15"/>
      <c r="Q33" s="15"/>
      <c r="R33" s="15"/>
      <c r="S33" s="15"/>
      <c r="V33" s="52"/>
      <c r="W33" s="52"/>
      <c r="X33" s="52"/>
      <c r="Y33" s="52"/>
      <c r="Z33" s="52"/>
      <c r="AA33" s="52"/>
      <c r="AB33" s="52"/>
      <c r="AC33" s="52"/>
    </row>
    <row r="34" spans="1:29" x14ac:dyDescent="0.25">
      <c r="A34" s="9" t="s">
        <v>30</v>
      </c>
      <c r="B34" s="8"/>
      <c r="C34" s="8"/>
      <c r="D34" s="8"/>
      <c r="E34" s="14">
        <f t="shared" ref="E34:N34" si="3">SUM(E25:E31)-E32</f>
        <v>11271057.534246575</v>
      </c>
      <c r="F34" s="14">
        <f t="shared" si="3"/>
        <v>8954011.2739726026</v>
      </c>
      <c r="G34" s="14">
        <f t="shared" si="3"/>
        <v>6531773.1917808224</v>
      </c>
      <c r="H34" s="14">
        <f t="shared" si="3"/>
        <v>4486377.5342465751</v>
      </c>
      <c r="I34" s="14">
        <f t="shared" si="3"/>
        <v>3416544.2739726026</v>
      </c>
      <c r="J34" s="14">
        <f t="shared" si="3"/>
        <v>2663580.9917808222</v>
      </c>
      <c r="K34" s="14">
        <f t="shared" si="3"/>
        <v>2132426.6942465752</v>
      </c>
      <c r="L34" s="14">
        <f t="shared" si="3"/>
        <v>1756538.6859726028</v>
      </c>
      <c r="M34" s="14">
        <f t="shared" si="3"/>
        <v>1489337.0801808219</v>
      </c>
      <c r="N34" s="14">
        <f t="shared" si="3"/>
        <v>1298215.9561265754</v>
      </c>
      <c r="O34" s="15"/>
      <c r="P34" s="15"/>
      <c r="Q34" s="15"/>
      <c r="R34" s="15"/>
      <c r="S34" s="15"/>
      <c r="V34" s="52"/>
      <c r="W34" s="52"/>
      <c r="X34" s="52"/>
      <c r="Y34" s="52"/>
      <c r="Z34" s="52"/>
      <c r="AA34" s="52"/>
      <c r="AB34" s="52"/>
      <c r="AC34" s="52"/>
    </row>
    <row r="35" spans="1:29" x14ac:dyDescent="0.25">
      <c r="A35" s="9"/>
      <c r="B35" s="8"/>
      <c r="C35" s="8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33" t="s">
        <v>98</v>
      </c>
      <c r="Q35" s="34"/>
      <c r="R35" s="34"/>
      <c r="S35" s="34"/>
      <c r="T35" s="34"/>
      <c r="U35" s="35"/>
      <c r="V35" s="52"/>
      <c r="W35" s="52"/>
      <c r="X35" s="52"/>
      <c r="Y35" s="52"/>
      <c r="Z35" s="52"/>
      <c r="AA35" s="52"/>
      <c r="AB35" s="52"/>
      <c r="AC35" s="52"/>
    </row>
    <row r="36" spans="1:29" x14ac:dyDescent="0.25">
      <c r="A36" s="9" t="s">
        <v>12</v>
      </c>
      <c r="B36" s="8"/>
      <c r="C36" s="8"/>
      <c r="D36" s="8"/>
      <c r="E36" s="8"/>
      <c r="F36" s="8"/>
      <c r="G36" s="8"/>
      <c r="H36" s="8"/>
      <c r="I36" s="14">
        <f>I41+I42</f>
        <v>4762951.7425350873</v>
      </c>
      <c r="J36" s="8"/>
      <c r="K36" s="8"/>
      <c r="L36" s="8"/>
      <c r="M36" s="8"/>
      <c r="N36" s="8"/>
      <c r="O36" s="15"/>
      <c r="P36" s="36" t="s">
        <v>107</v>
      </c>
      <c r="Q36" s="15">
        <v>1.19</v>
      </c>
      <c r="R36" s="15"/>
      <c r="S36" s="15"/>
      <c r="T36" s="15"/>
      <c r="U36" s="37"/>
      <c r="V36" s="52"/>
      <c r="W36" s="52"/>
      <c r="X36" s="52"/>
      <c r="Y36" s="52"/>
      <c r="Z36" s="52"/>
      <c r="AA36" s="52"/>
      <c r="AB36" s="52"/>
      <c r="AC36" s="52"/>
    </row>
    <row r="37" spans="1:29" x14ac:dyDescent="0.25">
      <c r="A37" s="8" t="s">
        <v>15</v>
      </c>
      <c r="B37" s="8"/>
      <c r="C37" s="8"/>
      <c r="D37" s="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5"/>
      <c r="P37" s="36" t="s">
        <v>99</v>
      </c>
      <c r="Q37" s="17">
        <v>0.05</v>
      </c>
      <c r="R37" s="15"/>
      <c r="S37" s="15"/>
      <c r="T37" s="15"/>
      <c r="U37" s="37"/>
      <c r="V37" s="52"/>
      <c r="W37" s="52"/>
      <c r="X37" s="52"/>
      <c r="Y37" s="52"/>
      <c r="Z37" s="52"/>
      <c r="AA37" s="52"/>
      <c r="AB37" s="52"/>
      <c r="AC37" s="52"/>
    </row>
    <row r="38" spans="1:29" x14ac:dyDescent="0.25">
      <c r="A38" s="8"/>
      <c r="B38" s="8" t="s">
        <v>21</v>
      </c>
      <c r="C38" s="8"/>
      <c r="D38" s="8"/>
      <c r="E38" s="11">
        <f>'Assumptions and data-Bankruptcy'!$B$26*'Forecast (Bankruptcy)'!E7</f>
        <v>4620000</v>
      </c>
      <c r="F38" s="11">
        <f>'Assumptions and data-Bankruptcy'!$B$26*'Forecast (Bankruptcy)'!F7</f>
        <v>3234000</v>
      </c>
      <c r="G38" s="11">
        <f>'Assumptions and data-Bankruptcy'!$B$26*'Forecast (Bankruptcy)'!G7</f>
        <v>2263800</v>
      </c>
      <c r="H38" s="11">
        <f>'Assumptions and data-Bankruptcy'!$B$26*'Forecast (Bankruptcy)'!H7</f>
        <v>1584660</v>
      </c>
      <c r="I38" s="11">
        <f>'Assumptions and data-Bankruptcy'!$B$26*'Forecast (Bankruptcy)'!I7</f>
        <v>1109262</v>
      </c>
      <c r="J38" s="11">
        <f>'Assumptions and data-Bankruptcy'!$B$26*'Forecast (Bankruptcy)'!J7</f>
        <v>776483.39999999991</v>
      </c>
      <c r="K38" s="11">
        <f>'Assumptions and data-Bankruptcy'!$B$26*'Forecast (Bankruptcy)'!K7</f>
        <v>543538.38</v>
      </c>
      <c r="L38" s="11">
        <f>'Assumptions and data-Bankruptcy'!$B$26*'Forecast (Bankruptcy)'!L7</f>
        <v>380476.86599999998</v>
      </c>
      <c r="M38" s="11">
        <f>'Assumptions and data-Bankruptcy'!$B$26*'Forecast (Bankruptcy)'!M7</f>
        <v>266333.80619999999</v>
      </c>
      <c r="N38" s="11">
        <f>'Assumptions and data-Bankruptcy'!$B$26*'Forecast (Bankruptcy)'!N7</f>
        <v>186433.66434000002</v>
      </c>
      <c r="O38" s="15"/>
      <c r="P38" s="36" t="s">
        <v>100</v>
      </c>
      <c r="Q38" s="17">
        <v>0.11</v>
      </c>
      <c r="R38" s="15"/>
      <c r="S38" s="15"/>
      <c r="T38" s="15"/>
      <c r="U38" s="37"/>
      <c r="V38" s="58">
        <v>-1</v>
      </c>
      <c r="W38" s="57"/>
      <c r="X38" s="56">
        <f>V38*I38</f>
        <v>-1109262</v>
      </c>
      <c r="Y38" s="52"/>
      <c r="Z38" s="52"/>
      <c r="AA38" s="52" t="s">
        <v>165</v>
      </c>
      <c r="AB38" s="52" t="s">
        <v>164</v>
      </c>
      <c r="AC38" s="52" t="s">
        <v>163</v>
      </c>
    </row>
    <row r="39" spans="1:29" x14ac:dyDescent="0.25">
      <c r="A39" s="8"/>
      <c r="B39" s="8" t="s">
        <v>13</v>
      </c>
      <c r="C39" s="8"/>
      <c r="D39" s="8"/>
      <c r="E39" s="12">
        <f t="shared" ref="E39:N39" si="4">E20</f>
        <v>473794.00041808671</v>
      </c>
      <c r="F39" s="12">
        <f t="shared" si="4"/>
        <v>0</v>
      </c>
      <c r="G39" s="12">
        <f t="shared" si="4"/>
        <v>0</v>
      </c>
      <c r="H39" s="12">
        <f t="shared" si="4"/>
        <v>0</v>
      </c>
      <c r="I39" s="12">
        <f t="shared" si="4"/>
        <v>0</v>
      </c>
      <c r="J39" s="12">
        <f t="shared" si="4"/>
        <v>0</v>
      </c>
      <c r="K39" s="12">
        <f t="shared" si="4"/>
        <v>0</v>
      </c>
      <c r="L39" s="12">
        <f t="shared" si="4"/>
        <v>0</v>
      </c>
      <c r="M39" s="12">
        <f t="shared" si="4"/>
        <v>0</v>
      </c>
      <c r="N39" s="12">
        <f t="shared" si="4"/>
        <v>0</v>
      </c>
      <c r="O39" s="15" t="s">
        <v>101</v>
      </c>
      <c r="P39" s="36"/>
      <c r="Q39" s="18">
        <f>Q37+Q36*(Q38-Q37)</f>
        <v>0.12139999999999999</v>
      </c>
      <c r="R39" s="15"/>
      <c r="S39" s="15"/>
      <c r="T39" s="15"/>
      <c r="U39" s="37"/>
      <c r="V39" s="52" t="s">
        <v>151</v>
      </c>
      <c r="W39" s="52">
        <f>SUM(W25:W38)</f>
        <v>1040400</v>
      </c>
      <c r="X39" s="55">
        <f>SUM(X25:X38)</f>
        <v>647612.19178082189</v>
      </c>
      <c r="Y39" s="52"/>
      <c r="Z39" s="52" t="s">
        <v>162</v>
      </c>
      <c r="AA39" s="54">
        <f>W40</f>
        <v>734629.8566802548</v>
      </c>
      <c r="AB39" s="54">
        <v>0</v>
      </c>
      <c r="AC39" s="52">
        <v>1</v>
      </c>
    </row>
    <row r="40" spans="1:29" x14ac:dyDescent="0.25">
      <c r="A40" s="8"/>
      <c r="B40" s="8"/>
      <c r="C40" s="8"/>
      <c r="D40" s="8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5"/>
      <c r="P40" s="36" t="s">
        <v>102</v>
      </c>
      <c r="Q40" s="17" t="s">
        <v>103</v>
      </c>
      <c r="R40" s="15" t="s">
        <v>77</v>
      </c>
      <c r="S40" s="15" t="s">
        <v>104</v>
      </c>
      <c r="T40" s="15" t="s">
        <v>105</v>
      </c>
      <c r="U40" s="37"/>
      <c r="V40" s="52" t="s">
        <v>161</v>
      </c>
      <c r="W40" s="54">
        <f>I41</f>
        <v>734629.8566802548</v>
      </c>
      <c r="X40" s="52"/>
      <c r="Y40" s="52"/>
      <c r="Z40" s="52" t="s">
        <v>160</v>
      </c>
      <c r="AA40" s="54">
        <f>W45</f>
        <v>753382.33510056708</v>
      </c>
      <c r="AB40" s="54">
        <f>I42-AA40</f>
        <v>3274939.5507542659</v>
      </c>
      <c r="AC40" s="52">
        <f>W45/I42</f>
        <v>0.18702138420120196</v>
      </c>
    </row>
    <row r="41" spans="1:29" x14ac:dyDescent="0.25">
      <c r="A41" s="8"/>
      <c r="B41" s="8" t="s">
        <v>28</v>
      </c>
      <c r="C41" s="8"/>
      <c r="D41" s="8"/>
      <c r="E41" s="12">
        <f>'Mortgage (Bankruptcy)'!F13</f>
        <v>788197.07723545993</v>
      </c>
      <c r="F41" s="12">
        <f>'Mortgage (Bankruptcy)'!F27</f>
        <v>775790.2945417345</v>
      </c>
      <c r="G41" s="12">
        <f>'Mortgage (Bankruptcy)'!F41</f>
        <v>762748.7572987919</v>
      </c>
      <c r="H41" s="12">
        <f>'Mortgage (Bankruptcy)'!F55</f>
        <v>749039.99025920522</v>
      </c>
      <c r="I41" s="12">
        <f>'Mortgage (Bankruptcy)'!F69</f>
        <v>734629.8566802548</v>
      </c>
      <c r="J41" s="12">
        <f>'Mortgage (Bankruptcy)'!F83</f>
        <v>719482.47331867588</v>
      </c>
      <c r="K41" s="12">
        <f>'Mortgage (Bankruptcy)'!F97</f>
        <v>703560.12107637653</v>
      </c>
      <c r="L41" s="12">
        <f>'Mortgage (Bankruptcy)'!F111</f>
        <v>686823.1510746195</v>
      </c>
      <c r="M41" s="12">
        <f>'Mortgage (Bankruptcy)'!F125</f>
        <v>669229.88592278305</v>
      </c>
      <c r="N41" s="12">
        <f>'Mortgage (Bankruptcy)'!F139</f>
        <v>650736.5159358423</v>
      </c>
      <c r="O41" s="15"/>
      <c r="P41" s="38">
        <f>AVERAGE(E41:N41)</f>
        <v>724023.81233437429</v>
      </c>
      <c r="Q41" s="17">
        <f>P41/P48</f>
        <v>0.13121102376574675</v>
      </c>
      <c r="R41" s="18">
        <f>'Mortgage (Bankruptcy)'!I1</f>
        <v>0.05</v>
      </c>
      <c r="S41" s="18">
        <f>R41*(1-'Assumptions and data-Bankruptcy'!$B$32)</f>
        <v>3.4999999999999996E-2</v>
      </c>
      <c r="T41" s="20">
        <f>Q41*S41</f>
        <v>4.5923858318011358E-3</v>
      </c>
      <c r="U41" s="37"/>
      <c r="V41" s="52" t="s">
        <v>159</v>
      </c>
      <c r="W41" s="54">
        <f>W39-W40</f>
        <v>305770.1433197452</v>
      </c>
      <c r="X41" s="52"/>
      <c r="Y41" s="52"/>
      <c r="Z41" s="52"/>
      <c r="AA41" s="52"/>
      <c r="AB41" s="52"/>
      <c r="AC41" s="52"/>
    </row>
    <row r="42" spans="1:29" x14ac:dyDescent="0.25">
      <c r="A42" s="8"/>
      <c r="B42" s="8" t="s">
        <v>27</v>
      </c>
      <c r="C42" s="8"/>
      <c r="D42" s="8"/>
      <c r="E42" s="12">
        <v>283547.12228415959</v>
      </c>
      <c r="F42" s="12"/>
      <c r="G42" s="12"/>
      <c r="H42" s="12">
        <v>1134997.8701441581</v>
      </c>
      <c r="I42" s="12">
        <v>4028321.8858548328</v>
      </c>
      <c r="J42" s="12">
        <v>8027318.8167487979</v>
      </c>
      <c r="K42" s="12">
        <v>13069443.376737814</v>
      </c>
      <c r="L42" s="12">
        <v>19142393.733017679</v>
      </c>
      <c r="M42" s="12">
        <v>26272586.551833205</v>
      </c>
      <c r="N42" s="12">
        <v>34517485.395832419</v>
      </c>
      <c r="O42" s="15"/>
      <c r="P42" s="38">
        <f>AVERAGE(E42:N42)</f>
        <v>13309511.844056632</v>
      </c>
      <c r="Q42" s="18">
        <f>P42/P48</f>
        <v>2.4120127613627265</v>
      </c>
      <c r="R42" s="18">
        <f>'Assumptions and data-Bankruptcy'!B34</f>
        <v>0.1</v>
      </c>
      <c r="S42" s="18">
        <f>R42*(1-'Assumptions and data-Bankruptcy'!$B$32)</f>
        <v>6.9999999999999993E-2</v>
      </c>
      <c r="T42" s="20">
        <f>Q42*S42</f>
        <v>0.16884089329539084</v>
      </c>
      <c r="U42" s="37"/>
      <c r="V42" s="52"/>
      <c r="W42" s="52"/>
      <c r="X42" s="52"/>
      <c r="Y42" s="52"/>
      <c r="Z42" s="52"/>
      <c r="AA42" s="52"/>
      <c r="AB42" s="52"/>
      <c r="AC42" s="52"/>
    </row>
    <row r="43" spans="1:29" x14ac:dyDescent="0.25">
      <c r="A43" s="8"/>
      <c r="B43" s="8"/>
      <c r="C43" s="8"/>
      <c r="D43" s="8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5"/>
      <c r="P43" s="36"/>
      <c r="Q43" s="15"/>
      <c r="R43" s="15"/>
      <c r="S43" s="15"/>
      <c r="T43" s="15"/>
      <c r="U43" s="37"/>
      <c r="V43" s="52" t="s">
        <v>158</v>
      </c>
      <c r="W43" s="54">
        <f>W41+X39</f>
        <v>953382.33510056708</v>
      </c>
      <c r="X43" s="52"/>
      <c r="Y43" s="52"/>
      <c r="Z43" s="52"/>
      <c r="AA43" s="52"/>
      <c r="AB43" s="52"/>
      <c r="AC43" s="52"/>
    </row>
    <row r="44" spans="1:29" x14ac:dyDescent="0.25">
      <c r="A44" s="8" t="s">
        <v>16</v>
      </c>
      <c r="B44" s="8"/>
      <c r="C44" s="8"/>
      <c r="D44" s="8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5"/>
      <c r="P44" s="36"/>
      <c r="Q44" s="15"/>
      <c r="R44" s="15"/>
      <c r="S44" s="15"/>
      <c r="T44" s="15"/>
      <c r="U44" s="37"/>
      <c r="V44" s="52" t="s">
        <v>157</v>
      </c>
      <c r="W44" s="52">
        <v>200000</v>
      </c>
      <c r="X44" s="52"/>
      <c r="Y44" s="52"/>
      <c r="Z44" s="52"/>
      <c r="AA44" s="52"/>
      <c r="AB44" s="52"/>
      <c r="AC44" s="52"/>
    </row>
    <row r="45" spans="1:29" x14ac:dyDescent="0.25">
      <c r="A45" s="8"/>
      <c r="B45" s="8" t="s">
        <v>17</v>
      </c>
      <c r="C45" s="8"/>
      <c r="D45" s="8"/>
      <c r="E45" s="12">
        <f>'Assumptions and data-Bankruptcy'!$B$33</f>
        <v>4000000</v>
      </c>
      <c r="F45" s="12">
        <f>'Assumptions and data-Bankruptcy'!$B$33</f>
        <v>4000000</v>
      </c>
      <c r="G45" s="12">
        <f>'Assumptions and data-Bankruptcy'!$B$33</f>
        <v>4000000</v>
      </c>
      <c r="H45" s="12">
        <f>'Assumptions and data-Bankruptcy'!$B$33</f>
        <v>4000000</v>
      </c>
      <c r="I45" s="12">
        <f>'Assumptions and data-Bankruptcy'!$B$33</f>
        <v>4000000</v>
      </c>
      <c r="J45" s="12">
        <f>'Assumptions and data-Bankruptcy'!$B$33</f>
        <v>4000000</v>
      </c>
      <c r="K45" s="12">
        <f>'Assumptions and data-Bankruptcy'!$B$33</f>
        <v>4000000</v>
      </c>
      <c r="L45" s="12">
        <f>'Assumptions and data-Bankruptcy'!$B$33</f>
        <v>4000000</v>
      </c>
      <c r="M45" s="12">
        <f>'Assumptions and data-Bankruptcy'!$B$33</f>
        <v>4000000</v>
      </c>
      <c r="N45" s="12">
        <f>'Assumptions and data-Bankruptcy'!$B$33</f>
        <v>4000000</v>
      </c>
      <c r="O45" s="15"/>
      <c r="P45" s="38">
        <f>AVERAGE(E45:N45)</f>
        <v>4000000</v>
      </c>
      <c r="Q45" s="18">
        <f>SUM(P45:P46)/P48</f>
        <v>-1.5432237851284731</v>
      </c>
      <c r="R45" s="18">
        <f>Q39</f>
        <v>0.12139999999999999</v>
      </c>
      <c r="S45" s="18">
        <f>R45</f>
        <v>0.12139999999999999</v>
      </c>
      <c r="T45" s="20">
        <f>Q45*S45</f>
        <v>-0.18734736751459663</v>
      </c>
      <c r="U45" s="37"/>
      <c r="V45" s="52" t="s">
        <v>156</v>
      </c>
      <c r="W45" s="54">
        <f>W43-W44</f>
        <v>753382.33510056708</v>
      </c>
      <c r="X45" s="52"/>
      <c r="Y45" s="52"/>
      <c r="Z45" s="52"/>
      <c r="AA45" s="52"/>
      <c r="AB45" s="52"/>
      <c r="AC45" s="52"/>
    </row>
    <row r="46" spans="1:29" x14ac:dyDescent="0.25">
      <c r="A46" s="8"/>
      <c r="B46" s="8" t="s">
        <v>14</v>
      </c>
      <c r="C46" s="12"/>
      <c r="D46" s="12"/>
      <c r="E46" s="12">
        <f>E21</f>
        <v>1105519.334308869</v>
      </c>
      <c r="F46" s="12">
        <f t="shared" ref="F46:N46" si="5">E46+F21</f>
        <v>944221.24119342933</v>
      </c>
      <c r="G46" s="12">
        <f t="shared" si="5"/>
        <v>-494775.19737279345</v>
      </c>
      <c r="H46" s="12">
        <f t="shared" si="5"/>
        <v>-2982320.3261567866</v>
      </c>
      <c r="I46" s="12">
        <f t="shared" si="5"/>
        <v>-6455669.4685624847</v>
      </c>
      <c r="J46" s="12">
        <f t="shared" si="5"/>
        <v>-10859703.698286653</v>
      </c>
      <c r="K46" s="12">
        <f t="shared" si="5"/>
        <v>-16184115.183567612</v>
      </c>
      <c r="L46" s="12">
        <f t="shared" si="5"/>
        <v>-22453155.064119689</v>
      </c>
      <c r="M46" s="12">
        <f t="shared" si="5"/>
        <v>-29718813.163775168</v>
      </c>
      <c r="N46" s="12">
        <f t="shared" si="5"/>
        <v>-38056439.619981691</v>
      </c>
      <c r="O46" s="15"/>
      <c r="P46" s="38">
        <f>AVERAGE(E46:N46)</f>
        <v>-12515525.114632059</v>
      </c>
      <c r="Q46" s="15"/>
      <c r="R46" s="15"/>
      <c r="S46" s="15"/>
      <c r="T46" s="15"/>
      <c r="U46" s="37"/>
      <c r="V46" s="52"/>
      <c r="W46" s="52"/>
      <c r="X46" s="52"/>
      <c r="Y46" s="52"/>
      <c r="Z46" s="52"/>
      <c r="AA46" s="52"/>
      <c r="AB46" s="52"/>
      <c r="AC46" s="52"/>
    </row>
    <row r="47" spans="1:29" x14ac:dyDescent="0.25">
      <c r="A47" s="8"/>
      <c r="B47" s="8"/>
      <c r="C47" s="8"/>
      <c r="D47" s="8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/>
      <c r="P47" s="36"/>
      <c r="Q47" s="15"/>
      <c r="R47" s="15"/>
      <c r="S47" s="15"/>
      <c r="T47" s="15"/>
      <c r="U47" s="37"/>
      <c r="V47" s="52" t="s">
        <v>155</v>
      </c>
      <c r="W47" s="52"/>
      <c r="X47" s="52"/>
      <c r="Y47" s="52"/>
      <c r="Z47" s="52"/>
      <c r="AA47" s="52"/>
      <c r="AB47" s="52"/>
      <c r="AC47" s="52"/>
    </row>
    <row r="48" spans="1:29" x14ac:dyDescent="0.25">
      <c r="A48" s="9" t="s">
        <v>29</v>
      </c>
      <c r="B48" s="8"/>
      <c r="C48" s="8"/>
      <c r="D48" s="8"/>
      <c r="E48" s="12">
        <f t="shared" ref="E48:N48" si="6">SUM(E38:E46)</f>
        <v>11271057.534246575</v>
      </c>
      <c r="F48" s="12">
        <f t="shared" si="6"/>
        <v>8954011.5357351638</v>
      </c>
      <c r="G48" s="12">
        <f t="shared" si="6"/>
        <v>6531773.5599259986</v>
      </c>
      <c r="H48" s="12">
        <f t="shared" si="6"/>
        <v>4486377.534246576</v>
      </c>
      <c r="I48" s="12">
        <f t="shared" si="6"/>
        <v>3416544.2739726035</v>
      </c>
      <c r="J48" s="12">
        <f t="shared" si="6"/>
        <v>2663580.9917808212</v>
      </c>
      <c r="K48" s="12">
        <f t="shared" si="6"/>
        <v>2132426.6942465771</v>
      </c>
      <c r="L48" s="12">
        <f t="shared" si="6"/>
        <v>1756538.6859726086</v>
      </c>
      <c r="M48" s="12">
        <f t="shared" si="6"/>
        <v>1489337.0801808201</v>
      </c>
      <c r="N48" s="12">
        <f t="shared" si="6"/>
        <v>1298215.9561265707</v>
      </c>
      <c r="O48" s="15"/>
      <c r="P48" s="38">
        <f>SUM(P41:P46)</f>
        <v>5518010.5417589471</v>
      </c>
      <c r="Q48" s="15"/>
      <c r="R48" s="15"/>
      <c r="S48" s="15"/>
      <c r="T48" s="17">
        <f>T41+T42+T45</f>
        <v>-1.3914088387404655E-2</v>
      </c>
      <c r="U48" s="37" t="s">
        <v>106</v>
      </c>
      <c r="V48" s="52"/>
      <c r="W48" s="52" t="s">
        <v>154</v>
      </c>
      <c r="X48" s="54">
        <f>-(E41-D41)</f>
        <v>-788197.07723545993</v>
      </c>
      <c r="Y48" s="54">
        <f>-(F41-E41)</f>
        <v>12406.782693725429</v>
      </c>
      <c r="Z48" s="54">
        <f>-(G41-F41)</f>
        <v>13041.537242942606</v>
      </c>
      <c r="AA48" s="54">
        <f>-(H41-G41)</f>
        <v>13708.767039586673</v>
      </c>
      <c r="AB48" s="54">
        <f>-(I41-H41)</f>
        <v>14410.133578950423</v>
      </c>
      <c r="AC48" s="52"/>
    </row>
    <row r="49" spans="1:29" ht="32.25" customHeight="1" x14ac:dyDescent="0.25">
      <c r="B49" s="1" t="s">
        <v>36</v>
      </c>
      <c r="E49" s="5">
        <f t="shared" ref="E49:N49" si="7">E34-E48</f>
        <v>0</v>
      </c>
      <c r="F49" s="5">
        <f t="shared" si="7"/>
        <v>-0.26176256127655506</v>
      </c>
      <c r="G49" s="5">
        <f t="shared" si="7"/>
        <v>-0.36814517620950937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-5.8207660913467407E-9</v>
      </c>
      <c r="M49" s="5">
        <f t="shared" si="7"/>
        <v>1.862645149230957E-9</v>
      </c>
      <c r="N49" s="5">
        <f t="shared" si="7"/>
        <v>4.6566128730773926E-9</v>
      </c>
      <c r="P49" s="39"/>
      <c r="Q49" s="40"/>
      <c r="R49" s="40"/>
      <c r="S49" s="40"/>
      <c r="T49" s="41"/>
      <c r="U49" s="42"/>
      <c r="V49" s="52"/>
      <c r="W49" s="52" t="s">
        <v>153</v>
      </c>
      <c r="X49" s="52"/>
      <c r="Y49" s="52"/>
      <c r="Z49" s="52"/>
      <c r="AA49" s="52"/>
      <c r="AB49" s="52"/>
      <c r="AC49" s="54">
        <f>I41</f>
        <v>734629.8566802548</v>
      </c>
    </row>
    <row r="50" spans="1:29" x14ac:dyDescent="0.25">
      <c r="A50" s="7"/>
      <c r="E50" s="5"/>
      <c r="F50" s="5"/>
      <c r="G50" s="5"/>
      <c r="H50" s="5"/>
      <c r="I50" s="5"/>
      <c r="J50" s="5"/>
      <c r="K50" s="5"/>
      <c r="L50" s="5"/>
      <c r="M50" s="5"/>
      <c r="N50" s="5"/>
      <c r="V50" s="52"/>
      <c r="W50" s="52" t="s">
        <v>152</v>
      </c>
      <c r="X50" s="54"/>
      <c r="Y50" s="54">
        <f>E16</f>
        <v>39731.953044625508</v>
      </c>
      <c r="Z50" s="54">
        <f>F16</f>
        <v>39128.093115440126</v>
      </c>
      <c r="AA50" s="54">
        <f>G16</f>
        <v>38493.33856622289</v>
      </c>
      <c r="AB50" s="54">
        <f>H16</f>
        <v>37826.108769578634</v>
      </c>
      <c r="AC50" s="54">
        <f>I16</f>
        <v>37124.742230214833</v>
      </c>
    </row>
    <row r="51" spans="1:29" x14ac:dyDescent="0.25">
      <c r="V51" s="52"/>
      <c r="W51" s="52" t="s">
        <v>151</v>
      </c>
      <c r="X51" s="54">
        <f t="shared" ref="X51:AC51" si="8">SUM(X48:X50)</f>
        <v>-788197.07723545993</v>
      </c>
      <c r="Y51" s="54">
        <f t="shared" si="8"/>
        <v>52138.735738350937</v>
      </c>
      <c r="Z51" s="54">
        <f t="shared" si="8"/>
        <v>52169.630358382732</v>
      </c>
      <c r="AA51" s="54">
        <f t="shared" si="8"/>
        <v>52202.105605809564</v>
      </c>
      <c r="AB51" s="54">
        <f t="shared" si="8"/>
        <v>52236.242348529056</v>
      </c>
      <c r="AC51" s="54">
        <f t="shared" si="8"/>
        <v>771754.59891046968</v>
      </c>
    </row>
    <row r="52" spans="1:29" x14ac:dyDescent="0.25">
      <c r="B52" s="62" t="s">
        <v>108</v>
      </c>
      <c r="C52" s="63"/>
      <c r="D52" s="63"/>
      <c r="E52" s="51"/>
      <c r="F52" s="51"/>
      <c r="G52" s="51"/>
      <c r="H52" s="51"/>
      <c r="I52" s="51"/>
      <c r="J52" s="51"/>
      <c r="K52" s="51"/>
      <c r="L52" s="51"/>
      <c r="M52" s="51"/>
      <c r="N52" s="51"/>
      <c r="V52" s="52"/>
      <c r="W52" s="52" t="s">
        <v>131</v>
      </c>
      <c r="X52" s="53">
        <f>IRR(X51:AC51)</f>
        <v>5.0465078712952582E-2</v>
      </c>
      <c r="Y52" s="52"/>
      <c r="Z52" s="52"/>
      <c r="AA52" s="52"/>
      <c r="AB52" s="52"/>
      <c r="AC52" s="52"/>
    </row>
    <row r="53" spans="1:29" x14ac:dyDescent="0.25">
      <c r="B53" s="62" t="s">
        <v>109</v>
      </c>
      <c r="C53" s="63"/>
      <c r="D53" s="63"/>
      <c r="E53" s="51"/>
      <c r="F53" s="51"/>
      <c r="G53" s="51"/>
      <c r="H53" s="51"/>
      <c r="I53" s="51"/>
      <c r="J53" s="51"/>
      <c r="K53" s="51"/>
      <c r="L53" s="51"/>
      <c r="M53" s="51"/>
      <c r="N53" s="51"/>
      <c r="V53" s="52"/>
      <c r="W53" s="52"/>
      <c r="X53" s="52"/>
      <c r="Y53" s="52"/>
      <c r="Z53" s="52"/>
      <c r="AA53" s="52"/>
      <c r="AB53" s="52"/>
      <c r="AC53" s="52"/>
    </row>
    <row r="54" spans="1:29" x14ac:dyDescent="0.25">
      <c r="B54" s="63"/>
      <c r="C54" s="63" t="s">
        <v>110</v>
      </c>
      <c r="D54" s="63"/>
      <c r="E54" s="64">
        <f t="shared" ref="E54:N54" si="9">E5-E7-SUM(E10:E12)</f>
        <v>1661000</v>
      </c>
      <c r="F54" s="64">
        <f t="shared" si="9"/>
        <v>-108570</v>
      </c>
      <c r="G54" s="64">
        <f t="shared" si="9"/>
        <v>-1386903.0999999996</v>
      </c>
      <c r="H54" s="64">
        <f t="shared" si="9"/>
        <v>-2322619.233</v>
      </c>
      <c r="I54" s="64">
        <f t="shared" si="9"/>
        <v>-3019792.2115899995</v>
      </c>
      <c r="J54" s="64">
        <f t="shared" si="9"/>
        <v>-3551314.8556017</v>
      </c>
      <c r="K54" s="64">
        <f t="shared" si="9"/>
        <v>-3968254.6240403103</v>
      </c>
      <c r="L54" s="64">
        <f t="shared" si="9"/>
        <v>-4306402.6014429033</v>
      </c>
      <c r="M54" s="64">
        <f t="shared" si="9"/>
        <v>-4590857.8338148277</v>
      </c>
      <c r="N54" s="64">
        <f t="shared" si="9"/>
        <v>-4839236.4108010549</v>
      </c>
      <c r="V54" s="52" t="s">
        <v>27</v>
      </c>
      <c r="W54" s="52"/>
      <c r="X54" s="52"/>
      <c r="Y54" s="52"/>
      <c r="Z54" s="52"/>
      <c r="AA54" s="52"/>
      <c r="AB54" s="52"/>
      <c r="AC54" s="52"/>
    </row>
    <row r="55" spans="1:29" x14ac:dyDescent="0.25">
      <c r="B55" s="63"/>
      <c r="C55" s="63" t="s">
        <v>111</v>
      </c>
      <c r="D55" s="63"/>
      <c r="E55" s="64">
        <f t="shared" ref="E55:N55" si="10">E14</f>
        <v>13600</v>
      </c>
      <c r="F55" s="64">
        <f t="shared" si="10"/>
        <v>13600</v>
      </c>
      <c r="G55" s="64">
        <f t="shared" si="10"/>
        <v>13600</v>
      </c>
      <c r="H55" s="64">
        <f t="shared" si="10"/>
        <v>13600</v>
      </c>
      <c r="I55" s="64">
        <f t="shared" si="10"/>
        <v>13600</v>
      </c>
      <c r="J55" s="64">
        <f t="shared" si="10"/>
        <v>13600</v>
      </c>
      <c r="K55" s="64">
        <f t="shared" si="10"/>
        <v>13600</v>
      </c>
      <c r="L55" s="64">
        <f t="shared" si="10"/>
        <v>13600</v>
      </c>
      <c r="M55" s="64">
        <f t="shared" si="10"/>
        <v>13600</v>
      </c>
      <c r="N55" s="64">
        <f t="shared" si="10"/>
        <v>13600</v>
      </c>
      <c r="V55" s="52"/>
      <c r="W55" s="52" t="s">
        <v>154</v>
      </c>
      <c r="X55" s="54">
        <f>-(E42-D42)</f>
        <v>-283547.12228415959</v>
      </c>
      <c r="Y55" s="54">
        <f>-(F42-E42)</f>
        <v>283547.12228415959</v>
      </c>
      <c r="Z55" s="54">
        <f>-(G42-F42)</f>
        <v>0</v>
      </c>
      <c r="AA55" s="54">
        <f>-(H42-G42)</f>
        <v>-1134997.8701441581</v>
      </c>
      <c r="AB55" s="54">
        <f>-(I42-H42)</f>
        <v>-2893324.0157106747</v>
      </c>
      <c r="AC55" s="52"/>
    </row>
    <row r="56" spans="1:29" x14ac:dyDescent="0.25">
      <c r="B56" s="63"/>
      <c r="C56" s="63" t="s">
        <v>112</v>
      </c>
      <c r="D56" s="63"/>
      <c r="E56" s="64">
        <f t="shared" ref="E56:N56" si="11">E54-E55</f>
        <v>1647400</v>
      </c>
      <c r="F56" s="64">
        <f t="shared" si="11"/>
        <v>-122170</v>
      </c>
      <c r="G56" s="64">
        <f t="shared" si="11"/>
        <v>-1400503.0999999996</v>
      </c>
      <c r="H56" s="64">
        <f t="shared" si="11"/>
        <v>-2336219.233</v>
      </c>
      <c r="I56" s="64">
        <f t="shared" si="11"/>
        <v>-3033392.2115899995</v>
      </c>
      <c r="J56" s="64">
        <f t="shared" si="11"/>
        <v>-3564914.8556017</v>
      </c>
      <c r="K56" s="64">
        <f t="shared" si="11"/>
        <v>-3981854.6240403103</v>
      </c>
      <c r="L56" s="64">
        <f t="shared" si="11"/>
        <v>-4320002.6014429033</v>
      </c>
      <c r="M56" s="64">
        <f t="shared" si="11"/>
        <v>-4604457.8338148277</v>
      </c>
      <c r="N56" s="64">
        <f t="shared" si="11"/>
        <v>-4852836.4108010549</v>
      </c>
      <c r="V56" s="52"/>
      <c r="W56" s="52" t="s">
        <v>153</v>
      </c>
      <c r="X56" s="52"/>
      <c r="Y56" s="52"/>
      <c r="Z56" s="52"/>
      <c r="AA56" s="52"/>
      <c r="AB56" s="52"/>
      <c r="AC56" s="54">
        <f>AA40</f>
        <v>753382.33510056708</v>
      </c>
    </row>
    <row r="57" spans="1:29" x14ac:dyDescent="0.25">
      <c r="B57" s="63"/>
      <c r="C57" s="63" t="s">
        <v>113</v>
      </c>
      <c r="D57" s="63"/>
      <c r="E57" s="64">
        <f>E56*'Assumptions and data-Bankruptcy'!$B$32</f>
        <v>494220</v>
      </c>
      <c r="F57" s="64">
        <f>F56*'Assumptions and data-Bankruptcy'!$B$32</f>
        <v>-36651</v>
      </c>
      <c r="G57" s="64">
        <f>G56*'Assumptions and data-Bankruptcy'!$B$32</f>
        <v>-420150.92999999988</v>
      </c>
      <c r="H57" s="64">
        <f>H56*'Assumptions and data-Bankruptcy'!$B$32</f>
        <v>-700865.76989999996</v>
      </c>
      <c r="I57" s="64">
        <f>I56*'Assumptions and data-Bankruptcy'!$B$32</f>
        <v>-910017.66347699985</v>
      </c>
      <c r="J57" s="64">
        <f>J56*'Assumptions and data-Bankruptcy'!$B$32</f>
        <v>-1069474.45668051</v>
      </c>
      <c r="K57" s="64">
        <f>K56*'Assumptions and data-Bankruptcy'!$B$32</f>
        <v>-1194556.387212093</v>
      </c>
      <c r="L57" s="64">
        <f>L56*'Assumptions and data-Bankruptcy'!$B$32</f>
        <v>-1296000.7804328708</v>
      </c>
      <c r="M57" s="64">
        <f>M56*'Assumptions and data-Bankruptcy'!$B$32</f>
        <v>-1381337.3501444482</v>
      </c>
      <c r="N57" s="64">
        <f>N56*'Assumptions and data-Bankruptcy'!$B$32</f>
        <v>-1455850.9232403163</v>
      </c>
      <c r="V57" s="52"/>
      <c r="W57" s="52" t="s">
        <v>152</v>
      </c>
      <c r="X57" s="54"/>
      <c r="Y57" s="54">
        <f>E17</f>
        <v>28354.71222841596</v>
      </c>
      <c r="Z57" s="54">
        <f>F17</f>
        <v>0</v>
      </c>
      <c r="AA57" s="54">
        <f>G17</f>
        <v>0</v>
      </c>
      <c r="AB57" s="54">
        <f>H17</f>
        <v>113499.78701441582</v>
      </c>
      <c r="AC57" s="54">
        <f>I17</f>
        <v>402832.18858548329</v>
      </c>
    </row>
    <row r="58" spans="1:29" x14ac:dyDescent="0.25">
      <c r="B58" s="63"/>
      <c r="C58" s="63" t="s">
        <v>114</v>
      </c>
      <c r="D58" s="63"/>
      <c r="E58" s="64">
        <f t="shared" ref="E58:N58" si="12">E54-E57</f>
        <v>1166780</v>
      </c>
      <c r="F58" s="64">
        <f t="shared" si="12"/>
        <v>-71919</v>
      </c>
      <c r="G58" s="64">
        <f t="shared" si="12"/>
        <v>-966752.16999999969</v>
      </c>
      <c r="H58" s="64">
        <f t="shared" si="12"/>
        <v>-1621753.4631000001</v>
      </c>
      <c r="I58" s="64">
        <f t="shared" si="12"/>
        <v>-2109774.5481129996</v>
      </c>
      <c r="J58" s="64">
        <f t="shared" si="12"/>
        <v>-2481840.3989211898</v>
      </c>
      <c r="K58" s="64">
        <f t="shared" si="12"/>
        <v>-2773698.2368282173</v>
      </c>
      <c r="L58" s="64">
        <f t="shared" si="12"/>
        <v>-3010401.8210100327</v>
      </c>
      <c r="M58" s="64">
        <f t="shared" si="12"/>
        <v>-3209520.4836703795</v>
      </c>
      <c r="N58" s="64">
        <f t="shared" si="12"/>
        <v>-3383385.4875607388</v>
      </c>
      <c r="V58" s="52"/>
      <c r="W58" s="52" t="s">
        <v>151</v>
      </c>
      <c r="X58" s="54">
        <f t="shared" ref="X58:AC58" si="13">SUM(X55:X57)</f>
        <v>-283547.12228415959</v>
      </c>
      <c r="Y58" s="54">
        <f t="shared" si="13"/>
        <v>311901.83451257553</v>
      </c>
      <c r="Z58" s="54">
        <f t="shared" si="13"/>
        <v>0</v>
      </c>
      <c r="AA58" s="54">
        <f t="shared" si="13"/>
        <v>-1134997.8701441581</v>
      </c>
      <c r="AB58" s="54">
        <f t="shared" si="13"/>
        <v>-2779824.2286962587</v>
      </c>
      <c r="AC58" s="54">
        <f t="shared" si="13"/>
        <v>1156214.5236860504</v>
      </c>
    </row>
    <row r="59" spans="1:29" x14ac:dyDescent="0.25">
      <c r="B59" s="63"/>
      <c r="C59" s="63"/>
      <c r="D59" s="63"/>
      <c r="E59" s="51"/>
      <c r="F59" s="51"/>
      <c r="G59" s="51"/>
      <c r="H59" s="51"/>
      <c r="I59" s="51"/>
      <c r="J59" s="51"/>
      <c r="K59" s="51"/>
      <c r="L59" s="51"/>
      <c r="M59" s="51"/>
      <c r="N59" s="51"/>
      <c r="V59" s="52"/>
      <c r="W59" s="52" t="s">
        <v>131</v>
      </c>
      <c r="X59" s="53">
        <f>IRR(X58:AC58)</f>
        <v>-0.63666119707046542</v>
      </c>
      <c r="Y59" s="52"/>
      <c r="Z59" s="52"/>
      <c r="AA59" s="52"/>
      <c r="AB59" s="52"/>
      <c r="AC59" s="52"/>
    </row>
    <row r="60" spans="1:29" x14ac:dyDescent="0.25">
      <c r="B60" s="62" t="s">
        <v>115</v>
      </c>
      <c r="C60" s="63"/>
      <c r="D60" s="63"/>
      <c r="E60" s="51"/>
      <c r="F60" s="51"/>
      <c r="G60" s="51"/>
      <c r="H60" s="51"/>
      <c r="I60" s="51"/>
      <c r="J60" s="51"/>
      <c r="K60" s="51"/>
      <c r="L60" s="51"/>
      <c r="M60" s="51"/>
      <c r="N60" s="51"/>
      <c r="V60" s="52"/>
      <c r="W60" s="52"/>
      <c r="X60" s="52"/>
      <c r="Y60" s="52"/>
      <c r="Z60" s="52"/>
      <c r="AA60" s="52"/>
      <c r="AB60" s="52"/>
      <c r="AC60" s="52"/>
    </row>
    <row r="61" spans="1:29" ht="3" customHeight="1" x14ac:dyDescent="0.25">
      <c r="B61" t="s">
        <v>116</v>
      </c>
      <c r="C61"/>
      <c r="D61"/>
    </row>
    <row r="62" spans="1:29" hidden="1" x14ac:dyDescent="0.25">
      <c r="B62" t="s">
        <v>117</v>
      </c>
      <c r="C62" t="s">
        <v>118</v>
      </c>
      <c r="D62" s="44">
        <f t="shared" ref="D62:N62" si="14">-(E25-D25)</f>
        <v>-440000</v>
      </c>
      <c r="E62" s="44">
        <f t="shared" si="14"/>
        <v>132000</v>
      </c>
      <c r="F62" s="44">
        <f t="shared" si="14"/>
        <v>92400</v>
      </c>
      <c r="G62" s="44">
        <f t="shared" si="14"/>
        <v>64680</v>
      </c>
      <c r="H62" s="44">
        <f t="shared" si="14"/>
        <v>45276</v>
      </c>
      <c r="I62" s="44">
        <f t="shared" si="14"/>
        <v>31693.199999999997</v>
      </c>
      <c r="J62" s="44">
        <f t="shared" si="14"/>
        <v>22185.240000000005</v>
      </c>
      <c r="K62" s="44">
        <f t="shared" si="14"/>
        <v>15529.667999999998</v>
      </c>
      <c r="L62" s="44">
        <f t="shared" si="14"/>
        <v>10870.767599999996</v>
      </c>
      <c r="M62" s="44">
        <f t="shared" si="14"/>
        <v>7609.5373199999995</v>
      </c>
      <c r="N62" s="44">
        <f t="shared" si="14"/>
        <v>17755.587080000005</v>
      </c>
    </row>
    <row r="63" spans="1:29" hidden="1" x14ac:dyDescent="0.25">
      <c r="B63" t="s">
        <v>117</v>
      </c>
      <c r="C63" t="s">
        <v>119</v>
      </c>
      <c r="D63" s="44">
        <f t="shared" ref="D63:N63" si="15">-(E26-D26)</f>
        <v>0</v>
      </c>
      <c r="E63" s="44">
        <f t="shared" si="15"/>
        <v>-775951</v>
      </c>
      <c r="F63" s="44">
        <f t="shared" si="15"/>
        <v>253060</v>
      </c>
      <c r="G63" s="44">
        <f t="shared" si="15"/>
        <v>522891</v>
      </c>
      <c r="H63" s="44">
        <f t="shared" si="15"/>
        <v>0</v>
      </c>
      <c r="I63" s="44">
        <f t="shared" si="15"/>
        <v>0</v>
      </c>
      <c r="J63" s="44">
        <f t="shared" si="15"/>
        <v>0</v>
      </c>
      <c r="K63" s="44">
        <f t="shared" si="15"/>
        <v>0</v>
      </c>
      <c r="L63" s="44">
        <f t="shared" si="15"/>
        <v>0</v>
      </c>
      <c r="M63" s="44">
        <f t="shared" si="15"/>
        <v>0</v>
      </c>
      <c r="N63" s="44">
        <f t="shared" si="15"/>
        <v>0</v>
      </c>
    </row>
    <row r="64" spans="1:29" hidden="1" x14ac:dyDescent="0.25">
      <c r="B64" t="s">
        <v>117</v>
      </c>
      <c r="C64" t="s">
        <v>9</v>
      </c>
      <c r="D64" s="44">
        <f t="shared" ref="D64:N64" si="16">-(E27-D27)</f>
        <v>-5424657.5342465751</v>
      </c>
      <c r="E64" s="44">
        <f t="shared" si="16"/>
        <v>1627397.2602739725</v>
      </c>
      <c r="F64" s="44">
        <f t="shared" si="16"/>
        <v>1139178.0821917807</v>
      </c>
      <c r="G64" s="44">
        <f t="shared" si="16"/>
        <v>797424.65753424657</v>
      </c>
      <c r="H64" s="44">
        <f t="shared" si="16"/>
        <v>558197.26027397253</v>
      </c>
      <c r="I64" s="44">
        <f t="shared" si="16"/>
        <v>390738.08219178091</v>
      </c>
      <c r="J64" s="44">
        <f t="shared" si="16"/>
        <v>273516.65753424657</v>
      </c>
      <c r="K64" s="44">
        <f t="shared" si="16"/>
        <v>191461.66027397261</v>
      </c>
      <c r="L64" s="44">
        <f t="shared" si="16"/>
        <v>134023.16219178075</v>
      </c>
      <c r="M64" s="44">
        <f t="shared" si="16"/>
        <v>93816.213534246577</v>
      </c>
      <c r="N64" s="44">
        <f t="shared" si="16"/>
        <v>218904.49824657539</v>
      </c>
    </row>
    <row r="65" spans="2:16" hidden="1" x14ac:dyDescent="0.25">
      <c r="B65" t="s">
        <v>117</v>
      </c>
      <c r="C65" t="s">
        <v>10</v>
      </c>
      <c r="D65" s="44">
        <f t="shared" ref="D65:N65" si="17">-(E28-D28)</f>
        <v>-4400000</v>
      </c>
      <c r="E65" s="44">
        <f t="shared" si="17"/>
        <v>1320000</v>
      </c>
      <c r="F65" s="44">
        <f t="shared" si="17"/>
        <v>924000</v>
      </c>
      <c r="G65" s="44">
        <f t="shared" si="17"/>
        <v>646800</v>
      </c>
      <c r="H65" s="44">
        <f t="shared" si="17"/>
        <v>452760</v>
      </c>
      <c r="I65" s="44">
        <f t="shared" si="17"/>
        <v>316932</v>
      </c>
      <c r="J65" s="44">
        <f t="shared" si="17"/>
        <v>221852.40000000002</v>
      </c>
      <c r="K65" s="44">
        <f t="shared" si="17"/>
        <v>155296.67999999993</v>
      </c>
      <c r="L65" s="44">
        <f t="shared" si="17"/>
        <v>108707.67600000001</v>
      </c>
      <c r="M65" s="44">
        <f t="shared" si="17"/>
        <v>76095.373200000002</v>
      </c>
      <c r="N65" s="44">
        <f t="shared" si="17"/>
        <v>177555.87080000003</v>
      </c>
    </row>
    <row r="66" spans="2:16" hidden="1" x14ac:dyDescent="0.25">
      <c r="B66" t="s">
        <v>120</v>
      </c>
      <c r="C66" t="s">
        <v>21</v>
      </c>
      <c r="D66" s="44">
        <f t="shared" ref="D66:N66" si="18">E38-D38</f>
        <v>4620000</v>
      </c>
      <c r="E66" s="44">
        <f t="shared" si="18"/>
        <v>-1386000</v>
      </c>
      <c r="F66" s="44">
        <f t="shared" si="18"/>
        <v>-970200</v>
      </c>
      <c r="G66" s="44">
        <f t="shared" si="18"/>
        <v>-679140</v>
      </c>
      <c r="H66" s="44">
        <f t="shared" si="18"/>
        <v>-475398</v>
      </c>
      <c r="I66" s="44">
        <f t="shared" si="18"/>
        <v>-332778.60000000009</v>
      </c>
      <c r="J66" s="44">
        <f t="shared" si="18"/>
        <v>-232945.0199999999</v>
      </c>
      <c r="K66" s="44">
        <f t="shared" si="18"/>
        <v>-163061.51400000002</v>
      </c>
      <c r="L66" s="44">
        <f t="shared" si="18"/>
        <v>-114143.05979999999</v>
      </c>
      <c r="M66" s="44">
        <f t="shared" si="18"/>
        <v>-79900.141859999974</v>
      </c>
      <c r="N66" s="44">
        <f t="shared" si="18"/>
        <v>-186433.66434000002</v>
      </c>
    </row>
    <row r="67" spans="2:16" hidden="1" x14ac:dyDescent="0.25">
      <c r="B67" t="s">
        <v>120</v>
      </c>
      <c r="C67" t="s">
        <v>121</v>
      </c>
      <c r="D67" s="45">
        <f t="shared" ref="D67:N67" si="19">E57-D57</f>
        <v>494220</v>
      </c>
      <c r="E67" s="45">
        <f t="shared" si="19"/>
        <v>-530871</v>
      </c>
      <c r="F67" s="45">
        <f t="shared" si="19"/>
        <v>-383499.92999999988</v>
      </c>
      <c r="G67" s="45">
        <f t="shared" si="19"/>
        <v>-280714.83990000008</v>
      </c>
      <c r="H67" s="45">
        <f t="shared" si="19"/>
        <v>-209151.89357699989</v>
      </c>
      <c r="I67" s="45">
        <f t="shared" si="19"/>
        <v>-159456.79320351011</v>
      </c>
      <c r="J67" s="45">
        <f t="shared" si="19"/>
        <v>-125081.93053158303</v>
      </c>
      <c r="K67" s="45">
        <f t="shared" si="19"/>
        <v>-101444.39322077786</v>
      </c>
      <c r="L67" s="45">
        <f t="shared" si="19"/>
        <v>-85336.56971157738</v>
      </c>
      <c r="M67" s="45">
        <f t="shared" si="19"/>
        <v>-74513.573095868109</v>
      </c>
      <c r="N67" s="45">
        <f t="shared" si="19"/>
        <v>1455850.9232403163</v>
      </c>
    </row>
    <row r="68" spans="2:16" hidden="1" x14ac:dyDescent="0.25"/>
    <row r="69" spans="2:16" hidden="1" x14ac:dyDescent="0.25">
      <c r="B69" t="s">
        <v>123</v>
      </c>
    </row>
    <row r="70" spans="2:16" hidden="1" x14ac:dyDescent="0.25">
      <c r="B70" s="1" t="s">
        <v>117</v>
      </c>
      <c r="C70" s="1" t="s">
        <v>124</v>
      </c>
      <c r="D70" s="5">
        <f t="shared" ref="D70:N70" si="20">-(E30-D30)</f>
        <v>-612000</v>
      </c>
      <c r="E70" s="5">
        <f t="shared" si="20"/>
        <v>0</v>
      </c>
      <c r="F70" s="5">
        <f t="shared" si="20"/>
        <v>0</v>
      </c>
      <c r="G70" s="5">
        <f t="shared" si="20"/>
        <v>0</v>
      </c>
      <c r="H70" s="5">
        <f t="shared" si="20"/>
        <v>0</v>
      </c>
      <c r="I70" s="5">
        <f t="shared" si="20"/>
        <v>0</v>
      </c>
      <c r="J70" s="5">
        <f t="shared" si="20"/>
        <v>0</v>
      </c>
      <c r="K70" s="5">
        <f t="shared" si="20"/>
        <v>0</v>
      </c>
      <c r="L70" s="5">
        <f t="shared" si="20"/>
        <v>0</v>
      </c>
      <c r="M70" s="5">
        <f t="shared" si="20"/>
        <v>0</v>
      </c>
      <c r="N70" s="5">
        <f t="shared" si="20"/>
        <v>612000</v>
      </c>
      <c r="O70" s="46">
        <v>0.1</v>
      </c>
    </row>
    <row r="71" spans="2:16" hidden="1" x14ac:dyDescent="0.25">
      <c r="C71" t="s">
        <v>125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1">
        <f>N70*O70</f>
        <v>61200</v>
      </c>
      <c r="O71" t="s">
        <v>127</v>
      </c>
      <c r="P71" s="5">
        <f>N70</f>
        <v>612000</v>
      </c>
    </row>
    <row r="72" spans="2:16" hidden="1" x14ac:dyDescent="0.25">
      <c r="C72" t="s">
        <v>126</v>
      </c>
      <c r="N72" s="1">
        <f>-(P72*'Assumptions and data-Bankruptcy'!B32)</f>
        <v>-18360</v>
      </c>
      <c r="O72" t="s">
        <v>128</v>
      </c>
      <c r="P72" s="5">
        <f>N70+N71-P71</f>
        <v>61200</v>
      </c>
    </row>
    <row r="73" spans="2:16" hidden="1" x14ac:dyDescent="0.25"/>
    <row r="74" spans="2:16" hidden="1" x14ac:dyDescent="0.25">
      <c r="B74" s="1" t="s">
        <v>117</v>
      </c>
      <c r="C74" s="1" t="s">
        <v>129</v>
      </c>
      <c r="D74" s="5">
        <f t="shared" ref="D74:N74" si="21">-(E31-D31)</f>
        <v>-408000</v>
      </c>
      <c r="E74" s="5">
        <f t="shared" si="21"/>
        <v>0</v>
      </c>
      <c r="F74" s="5">
        <f t="shared" si="21"/>
        <v>0</v>
      </c>
      <c r="G74" s="5">
        <f t="shared" si="21"/>
        <v>0</v>
      </c>
      <c r="H74" s="5">
        <f t="shared" si="21"/>
        <v>0</v>
      </c>
      <c r="I74" s="5">
        <f t="shared" si="21"/>
        <v>0</v>
      </c>
      <c r="J74" s="5">
        <f t="shared" si="21"/>
        <v>0</v>
      </c>
      <c r="K74" s="5">
        <f t="shared" si="21"/>
        <v>0</v>
      </c>
      <c r="L74" s="5">
        <f t="shared" si="21"/>
        <v>0</v>
      </c>
      <c r="M74" s="5">
        <f t="shared" si="21"/>
        <v>0</v>
      </c>
      <c r="N74" s="5">
        <f t="shared" si="21"/>
        <v>408000</v>
      </c>
      <c r="O74" s="22">
        <v>0.05</v>
      </c>
    </row>
    <row r="75" spans="2:16" hidden="1" x14ac:dyDescent="0.25">
      <c r="C75" t="s">
        <v>125</v>
      </c>
      <c r="N75" s="1">
        <f>N74*O74</f>
        <v>20400</v>
      </c>
      <c r="O75" t="s">
        <v>127</v>
      </c>
      <c r="P75" s="5">
        <f>N31-N32</f>
        <v>272000</v>
      </c>
    </row>
    <row r="76" spans="2:16" hidden="1" x14ac:dyDescent="0.25">
      <c r="C76" t="s">
        <v>126</v>
      </c>
      <c r="N76" s="1">
        <f>-P76*'Assumptions and data-Bankruptcy'!B32</f>
        <v>-46920</v>
      </c>
      <c r="O76" t="s">
        <v>128</v>
      </c>
      <c r="P76" s="5">
        <f>N74+N75-P75</f>
        <v>156400</v>
      </c>
    </row>
    <row r="77" spans="2:16" hidden="1" x14ac:dyDescent="0.25">
      <c r="C77"/>
    </row>
    <row r="78" spans="2:16" hidden="1" x14ac:dyDescent="0.25">
      <c r="C78" s="1" t="s">
        <v>150</v>
      </c>
    </row>
    <row r="79" spans="2:16" hidden="1" x14ac:dyDescent="0.25"/>
    <row r="80" spans="2:16" hidden="1" x14ac:dyDescent="0.25">
      <c r="B80" s="26" t="s">
        <v>130</v>
      </c>
      <c r="D80" s="5">
        <f t="shared" ref="D80:N80" si="22">D58+SUM(D62:D78)</f>
        <v>-6170437.5342465751</v>
      </c>
      <c r="E80" s="5">
        <f t="shared" si="22"/>
        <v>1553355.2602739725</v>
      </c>
      <c r="F80" s="5">
        <f t="shared" si="22"/>
        <v>983019.15219178074</v>
      </c>
      <c r="G80" s="5">
        <f t="shared" si="22"/>
        <v>105188.64763424685</v>
      </c>
      <c r="H80" s="5">
        <f t="shared" si="22"/>
        <v>-1250070.0964030274</v>
      </c>
      <c r="I80" s="5">
        <f t="shared" si="22"/>
        <v>-1862646.659124729</v>
      </c>
      <c r="J80" s="5">
        <f t="shared" si="22"/>
        <v>-2322313.0519185262</v>
      </c>
      <c r="K80" s="5">
        <f t="shared" si="22"/>
        <v>-2675916.1357750227</v>
      </c>
      <c r="L80" s="5">
        <f t="shared" si="22"/>
        <v>-2956279.8447298291</v>
      </c>
      <c r="M80" s="5">
        <f t="shared" si="22"/>
        <v>-3186413.0745720011</v>
      </c>
      <c r="N80" s="5">
        <f t="shared" si="22"/>
        <v>-663432.27253384702</v>
      </c>
    </row>
    <row r="81" spans="2:3" hidden="1" x14ac:dyDescent="0.25">
      <c r="B81" s="26" t="s">
        <v>131</v>
      </c>
      <c r="C81" s="46" t="e">
        <f>IRR(D80:N80)</f>
        <v>#NUM!</v>
      </c>
    </row>
    <row r="82" spans="2:3" hidden="1" x14ac:dyDescent="0.25">
      <c r="B82" s="26" t="s">
        <v>106</v>
      </c>
      <c r="C82" s="46">
        <f>T48</f>
        <v>-1.3914088387404655E-2</v>
      </c>
    </row>
    <row r="83" spans="2:3" s="51" customFormat="1" hidden="1" x14ac:dyDescent="0.25"/>
    <row r="84" spans="2:3" hidden="1" x14ac:dyDescent="0.25">
      <c r="B84" s="1" t="s">
        <v>149</v>
      </c>
    </row>
    <row r="85" spans="2:3" hidden="1" x14ac:dyDescent="0.25">
      <c r="C85" s="1" t="s">
        <v>148</v>
      </c>
    </row>
    <row r="86" spans="2:3" hidden="1" x14ac:dyDescent="0.25">
      <c r="B86" s="1" t="s">
        <v>147</v>
      </c>
    </row>
    <row r="87" spans="2:3" hidden="1" x14ac:dyDescent="0.25">
      <c r="B87" s="1" t="s">
        <v>146</v>
      </c>
    </row>
  </sheetData>
  <sheetProtection selectLockedCells="1" selectUnlockedCells="1"/>
  <mergeCells count="1">
    <mergeCell ref="V23:AC23"/>
  </mergeCells>
  <pageMargins left="0.25" right="0.25" top="0.75" bottom="0.75" header="0.3" footer="0.3"/>
  <pageSetup scale="41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workbookViewId="0">
      <pane ySplit="1" topLeftCell="A2" activePane="bottomLeft" state="frozen"/>
      <selection pane="bottomLeft" activeCell="I5" sqref="I5"/>
    </sheetView>
  </sheetViews>
  <sheetFormatPr defaultColWidth="11.5703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42578125" customWidth="1"/>
    <col min="9" max="9" width="13.85546875" bestFit="1" customWidth="1"/>
  </cols>
  <sheetData>
    <row r="1" spans="1:9" x14ac:dyDescent="0.2">
      <c r="B1" t="s">
        <v>80</v>
      </c>
      <c r="C1" t="s">
        <v>76</v>
      </c>
      <c r="D1" t="s">
        <v>79</v>
      </c>
      <c r="E1" t="s">
        <v>75</v>
      </c>
      <c r="F1" t="s">
        <v>78</v>
      </c>
      <c r="H1" t="s">
        <v>77</v>
      </c>
      <c r="I1" s="30">
        <v>0.05</v>
      </c>
    </row>
    <row r="2" spans="1:9" x14ac:dyDescent="0.2">
      <c r="A2" s="29" t="s">
        <v>86</v>
      </c>
      <c r="B2" s="28">
        <f>I6</f>
        <v>800000</v>
      </c>
      <c r="C2" s="28">
        <f t="shared" ref="C2:C13" si="0">+E2-D2</f>
        <v>961.23965076377908</v>
      </c>
      <c r="D2" s="28">
        <f t="shared" ref="D2:D13" si="1">B2*$I$2</f>
        <v>3333.3333333333335</v>
      </c>
      <c r="E2" s="28">
        <f t="shared" ref="E2:E13" si="2">-$I$8</f>
        <v>4294.5729840971126</v>
      </c>
      <c r="F2" s="28">
        <f t="shared" ref="F2:F13" si="3">+B2-C2</f>
        <v>799038.7603492362</v>
      </c>
      <c r="H2" t="s">
        <v>81</v>
      </c>
      <c r="I2" s="30">
        <f>+I1/12</f>
        <v>4.1666666666666666E-3</v>
      </c>
    </row>
    <row r="3" spans="1:9" x14ac:dyDescent="0.2">
      <c r="A3" s="29" t="s">
        <v>87</v>
      </c>
      <c r="B3" s="28">
        <f t="shared" ref="B3:B13" si="4">+F2</f>
        <v>799038.7603492362</v>
      </c>
      <c r="C3" s="28">
        <f t="shared" si="0"/>
        <v>965.2448159752953</v>
      </c>
      <c r="D3" s="28">
        <f t="shared" si="1"/>
        <v>3329.3281681218173</v>
      </c>
      <c r="E3" s="28">
        <f t="shared" si="2"/>
        <v>4294.5729840971126</v>
      </c>
      <c r="F3" s="28">
        <f t="shared" si="3"/>
        <v>798073.51553326088</v>
      </c>
      <c r="H3" t="s">
        <v>82</v>
      </c>
      <c r="I3" s="31">
        <v>0</v>
      </c>
    </row>
    <row r="4" spans="1:9" x14ac:dyDescent="0.2">
      <c r="A4" s="29" t="s">
        <v>88</v>
      </c>
      <c r="B4" s="28">
        <f t="shared" si="4"/>
        <v>798073.51553326088</v>
      </c>
      <c r="C4" s="28">
        <f t="shared" si="0"/>
        <v>969.26666937519212</v>
      </c>
      <c r="D4" s="28">
        <f t="shared" si="1"/>
        <v>3325.3063147219204</v>
      </c>
      <c r="E4" s="28">
        <f t="shared" si="2"/>
        <v>4294.5729840971126</v>
      </c>
      <c r="F4" s="28">
        <f t="shared" si="3"/>
        <v>797104.24886388564</v>
      </c>
      <c r="H4" t="s">
        <v>83</v>
      </c>
      <c r="I4" s="6">
        <v>360</v>
      </c>
    </row>
    <row r="5" spans="1:9" x14ac:dyDescent="0.2">
      <c r="A5" s="29" t="s">
        <v>89</v>
      </c>
      <c r="B5" s="28">
        <f t="shared" si="4"/>
        <v>797104.24886388564</v>
      </c>
      <c r="C5" s="28">
        <f t="shared" si="0"/>
        <v>973.30528049758914</v>
      </c>
      <c r="D5" s="28">
        <f t="shared" si="1"/>
        <v>3321.2677035995234</v>
      </c>
      <c r="E5" s="28">
        <f t="shared" si="2"/>
        <v>4294.5729840971126</v>
      </c>
      <c r="F5" s="28">
        <f t="shared" si="3"/>
        <v>796130.943583388</v>
      </c>
      <c r="H5" t="s">
        <v>84</v>
      </c>
      <c r="I5">
        <v>0</v>
      </c>
    </row>
    <row r="6" spans="1:9" x14ac:dyDescent="0.2">
      <c r="A6" s="29" t="s">
        <v>90</v>
      </c>
      <c r="B6" s="28">
        <f t="shared" si="4"/>
        <v>796130.943583388</v>
      </c>
      <c r="C6" s="28">
        <f t="shared" si="0"/>
        <v>977.36071916632909</v>
      </c>
      <c r="D6" s="28">
        <f t="shared" si="1"/>
        <v>3317.2122649307835</v>
      </c>
      <c r="E6" s="28">
        <f t="shared" si="2"/>
        <v>4294.5729840971126</v>
      </c>
      <c r="F6" s="28">
        <f t="shared" si="3"/>
        <v>795153.58286422165</v>
      </c>
      <c r="H6" t="s">
        <v>85</v>
      </c>
      <c r="I6" s="31">
        <v>800000</v>
      </c>
    </row>
    <row r="7" spans="1:9" x14ac:dyDescent="0.2">
      <c r="A7" s="29" t="s">
        <v>91</v>
      </c>
      <c r="B7" s="28">
        <f t="shared" si="4"/>
        <v>795153.58286422165</v>
      </c>
      <c r="C7" s="28">
        <f t="shared" si="0"/>
        <v>981.4330554961889</v>
      </c>
      <c r="D7" s="28">
        <f t="shared" si="1"/>
        <v>3313.1399286009237</v>
      </c>
      <c r="E7" s="28">
        <f t="shared" si="2"/>
        <v>4294.5729840971126</v>
      </c>
      <c r="F7" s="28">
        <f t="shared" si="3"/>
        <v>794172.14980872546</v>
      </c>
    </row>
    <row r="8" spans="1:9" x14ac:dyDescent="0.2">
      <c r="A8" s="29" t="s">
        <v>92</v>
      </c>
      <c r="B8" s="28">
        <f t="shared" si="4"/>
        <v>794172.14980872546</v>
      </c>
      <c r="C8" s="28">
        <f t="shared" si="0"/>
        <v>985.52235989408973</v>
      </c>
      <c r="D8" s="28">
        <f t="shared" si="1"/>
        <v>3309.0506242030228</v>
      </c>
      <c r="E8" s="28">
        <f t="shared" si="2"/>
        <v>4294.5729840971126</v>
      </c>
      <c r="F8" s="28">
        <f t="shared" si="3"/>
        <v>793186.62744883134</v>
      </c>
      <c r="H8" t="s">
        <v>75</v>
      </c>
      <c r="I8" s="31">
        <f>PMT(I2,I4,I6,I3,I5)</f>
        <v>-4294.5729840971126</v>
      </c>
    </row>
    <row r="9" spans="1:9" x14ac:dyDescent="0.2">
      <c r="A9" s="29" t="s">
        <v>93</v>
      </c>
      <c r="B9" s="28">
        <f t="shared" si="4"/>
        <v>793186.62744883134</v>
      </c>
      <c r="C9" s="28">
        <f t="shared" si="0"/>
        <v>989.62870306031527</v>
      </c>
      <c r="D9" s="28">
        <f t="shared" si="1"/>
        <v>3304.9442810367973</v>
      </c>
      <c r="E9" s="28">
        <f t="shared" si="2"/>
        <v>4294.5729840971126</v>
      </c>
      <c r="F9" s="28">
        <f t="shared" si="3"/>
        <v>792196.99874577101</v>
      </c>
    </row>
    <row r="10" spans="1:9" x14ac:dyDescent="0.2">
      <c r="A10" s="29" t="s">
        <v>94</v>
      </c>
      <c r="B10" s="28">
        <f t="shared" si="4"/>
        <v>792196.99874577101</v>
      </c>
      <c r="C10" s="28">
        <f t="shared" si="0"/>
        <v>993.75215598973364</v>
      </c>
      <c r="D10" s="28">
        <f t="shared" si="1"/>
        <v>3300.8208281073789</v>
      </c>
      <c r="E10" s="28">
        <f t="shared" si="2"/>
        <v>4294.5729840971126</v>
      </c>
      <c r="F10" s="28">
        <f t="shared" si="3"/>
        <v>791203.24658978125</v>
      </c>
    </row>
    <row r="11" spans="1:9" x14ac:dyDescent="0.2">
      <c r="A11" s="29" t="s">
        <v>95</v>
      </c>
      <c r="B11" s="28">
        <f t="shared" si="4"/>
        <v>791203.24658978125</v>
      </c>
      <c r="C11" s="28">
        <f t="shared" si="0"/>
        <v>997.89278997302426</v>
      </c>
      <c r="D11" s="28">
        <f t="shared" si="1"/>
        <v>3296.6801941240883</v>
      </c>
      <c r="E11" s="28">
        <f t="shared" si="2"/>
        <v>4294.5729840971126</v>
      </c>
      <c r="F11" s="28">
        <f t="shared" si="3"/>
        <v>790205.35379980819</v>
      </c>
    </row>
    <row r="12" spans="1:9" x14ac:dyDescent="0.2">
      <c r="A12" s="29" t="s">
        <v>96</v>
      </c>
      <c r="B12" s="28">
        <f t="shared" si="4"/>
        <v>790205.35379980819</v>
      </c>
      <c r="C12" s="28">
        <f t="shared" si="0"/>
        <v>1002.0506765979117</v>
      </c>
      <c r="D12" s="28">
        <f t="shared" si="1"/>
        <v>3292.5223074992009</v>
      </c>
      <c r="E12" s="28">
        <f t="shared" si="2"/>
        <v>4294.5729840971126</v>
      </c>
      <c r="F12" s="28">
        <f t="shared" si="3"/>
        <v>789203.30312321032</v>
      </c>
    </row>
    <row r="13" spans="1:9" x14ac:dyDescent="0.2">
      <c r="A13" s="29" t="s">
        <v>97</v>
      </c>
      <c r="B13" s="28">
        <f t="shared" si="4"/>
        <v>789203.30312321032</v>
      </c>
      <c r="C13" s="28">
        <f t="shared" si="0"/>
        <v>1006.2258877504028</v>
      </c>
      <c r="D13" s="28">
        <f t="shared" si="1"/>
        <v>3288.3470963467098</v>
      </c>
      <c r="E13" s="28">
        <f t="shared" si="2"/>
        <v>4294.5729840971126</v>
      </c>
      <c r="F13" s="25">
        <f t="shared" si="3"/>
        <v>788197.07723545993</v>
      </c>
      <c r="G13">
        <v>1</v>
      </c>
    </row>
    <row r="14" spans="1:9" x14ac:dyDescent="0.2">
      <c r="A14" s="27" t="s">
        <v>74</v>
      </c>
      <c r="B14" s="27"/>
      <c r="C14" s="25">
        <f>SUM(C2:C13)</f>
        <v>11802.922764539851</v>
      </c>
      <c r="D14" s="25">
        <f>SUM(D2:D13)</f>
        <v>39731.953044625508</v>
      </c>
      <c r="E14" s="28"/>
      <c r="F14" s="28"/>
    </row>
    <row r="15" spans="1:9" x14ac:dyDescent="0.2">
      <c r="A15" s="29"/>
      <c r="B15" s="29"/>
      <c r="C15" s="28"/>
      <c r="D15" s="28"/>
      <c r="E15" s="28"/>
      <c r="F15" s="28"/>
    </row>
    <row r="16" spans="1:9" x14ac:dyDescent="0.2">
      <c r="A16" s="29" t="s">
        <v>86</v>
      </c>
      <c r="B16" s="28">
        <f>+F13</f>
        <v>788197.07723545993</v>
      </c>
      <c r="C16" s="28">
        <f t="shared" ref="C16:C27" si="5">+E16-D16</f>
        <v>1010.4184956160298</v>
      </c>
      <c r="D16" s="28">
        <f t="shared" ref="D16:D27" si="6">B16*$I$2</f>
        <v>3284.1544884810828</v>
      </c>
      <c r="E16" s="28">
        <f t="shared" ref="E16:E27" si="7">-$I$8</f>
        <v>4294.5729840971126</v>
      </c>
      <c r="F16" s="28">
        <f t="shared" ref="F16:F27" si="8">+B16-C16</f>
        <v>787186.65873984387</v>
      </c>
    </row>
    <row r="17" spans="1:7" x14ac:dyDescent="0.2">
      <c r="A17" s="29" t="s">
        <v>87</v>
      </c>
      <c r="B17" s="28">
        <f t="shared" ref="B17:B27" si="9">+F16</f>
        <v>787186.65873984387</v>
      </c>
      <c r="C17" s="28">
        <f t="shared" si="5"/>
        <v>1014.6285726810966</v>
      </c>
      <c r="D17" s="28">
        <f t="shared" si="6"/>
        <v>3279.944411416016</v>
      </c>
      <c r="E17" s="28">
        <f t="shared" si="7"/>
        <v>4294.5729840971126</v>
      </c>
      <c r="F17" s="28">
        <f t="shared" si="8"/>
        <v>786172.03016716277</v>
      </c>
    </row>
    <row r="18" spans="1:7" x14ac:dyDescent="0.2">
      <c r="A18" s="29" t="s">
        <v>88</v>
      </c>
      <c r="B18" s="28">
        <f t="shared" si="9"/>
        <v>786172.03016716277</v>
      </c>
      <c r="C18" s="28">
        <f t="shared" si="5"/>
        <v>1018.8561917339343</v>
      </c>
      <c r="D18" s="28">
        <f t="shared" si="6"/>
        <v>3275.7167923631782</v>
      </c>
      <c r="E18" s="28">
        <f t="shared" si="7"/>
        <v>4294.5729840971126</v>
      </c>
      <c r="F18" s="28">
        <f t="shared" si="8"/>
        <v>785153.1739754288</v>
      </c>
    </row>
    <row r="19" spans="1:7" x14ac:dyDescent="0.2">
      <c r="A19" s="29" t="s">
        <v>89</v>
      </c>
      <c r="B19" s="28">
        <f t="shared" si="9"/>
        <v>785153.1739754288</v>
      </c>
      <c r="C19" s="28">
        <f t="shared" si="5"/>
        <v>1023.1014258661594</v>
      </c>
      <c r="D19" s="28">
        <f t="shared" si="6"/>
        <v>3271.4715582309532</v>
      </c>
      <c r="E19" s="28">
        <f t="shared" si="7"/>
        <v>4294.5729840971126</v>
      </c>
      <c r="F19" s="28">
        <f t="shared" si="8"/>
        <v>784130.07254956267</v>
      </c>
    </row>
    <row r="20" spans="1:7" x14ac:dyDescent="0.2">
      <c r="A20" s="29" t="s">
        <v>90</v>
      </c>
      <c r="B20" s="28">
        <f t="shared" si="9"/>
        <v>784130.07254956267</v>
      </c>
      <c r="C20" s="28">
        <f t="shared" si="5"/>
        <v>1027.364348473935</v>
      </c>
      <c r="D20" s="28">
        <f t="shared" si="6"/>
        <v>3267.2086356231775</v>
      </c>
      <c r="E20" s="28">
        <f t="shared" si="7"/>
        <v>4294.5729840971126</v>
      </c>
      <c r="F20" s="28">
        <f t="shared" si="8"/>
        <v>783102.70820108871</v>
      </c>
    </row>
    <row r="21" spans="1:7" x14ac:dyDescent="0.2">
      <c r="A21" s="29" t="s">
        <v>91</v>
      </c>
      <c r="B21" s="28">
        <f t="shared" si="9"/>
        <v>783102.70820108871</v>
      </c>
      <c r="C21" s="28">
        <f t="shared" si="5"/>
        <v>1031.6450332592431</v>
      </c>
      <c r="D21" s="28">
        <f t="shared" si="6"/>
        <v>3262.9279508378695</v>
      </c>
      <c r="E21" s="28">
        <f t="shared" si="7"/>
        <v>4294.5729840971126</v>
      </c>
      <c r="F21" s="28">
        <f t="shared" si="8"/>
        <v>782071.06316782942</v>
      </c>
    </row>
    <row r="22" spans="1:7" x14ac:dyDescent="0.2">
      <c r="A22" s="29" t="s">
        <v>92</v>
      </c>
      <c r="B22" s="28">
        <f t="shared" si="9"/>
        <v>782071.06316782942</v>
      </c>
      <c r="C22" s="28">
        <f t="shared" si="5"/>
        <v>1035.9435542311567</v>
      </c>
      <c r="D22" s="28">
        <f t="shared" si="6"/>
        <v>3258.6294298659559</v>
      </c>
      <c r="E22" s="28">
        <f t="shared" si="7"/>
        <v>4294.5729840971126</v>
      </c>
      <c r="F22" s="28">
        <f t="shared" si="8"/>
        <v>781035.11961359822</v>
      </c>
    </row>
    <row r="23" spans="1:7" x14ac:dyDescent="0.2">
      <c r="A23" s="29" t="s">
        <v>93</v>
      </c>
      <c r="B23" s="28">
        <f t="shared" si="9"/>
        <v>781035.11961359822</v>
      </c>
      <c r="C23" s="28">
        <f t="shared" si="5"/>
        <v>1040.25998570712</v>
      </c>
      <c r="D23" s="28">
        <f t="shared" si="6"/>
        <v>3254.3129983899926</v>
      </c>
      <c r="E23" s="28">
        <f t="shared" si="7"/>
        <v>4294.5729840971126</v>
      </c>
      <c r="F23" s="28">
        <f t="shared" si="8"/>
        <v>779994.8596278911</v>
      </c>
    </row>
    <row r="24" spans="1:7" x14ac:dyDescent="0.2">
      <c r="A24" s="29" t="s">
        <v>94</v>
      </c>
      <c r="B24" s="28">
        <f t="shared" si="9"/>
        <v>779994.8596278911</v>
      </c>
      <c r="C24" s="28">
        <f t="shared" si="5"/>
        <v>1044.5944023142329</v>
      </c>
      <c r="D24" s="28">
        <f t="shared" si="6"/>
        <v>3249.9785817828797</v>
      </c>
      <c r="E24" s="28">
        <f t="shared" si="7"/>
        <v>4294.5729840971126</v>
      </c>
      <c r="F24" s="28">
        <f t="shared" si="8"/>
        <v>778950.26522557682</v>
      </c>
    </row>
    <row r="25" spans="1:7" x14ac:dyDescent="0.2">
      <c r="A25" s="29" t="s">
        <v>95</v>
      </c>
      <c r="B25" s="28">
        <f t="shared" si="9"/>
        <v>778950.26522557682</v>
      </c>
      <c r="C25" s="28">
        <f t="shared" si="5"/>
        <v>1048.9468789905427</v>
      </c>
      <c r="D25" s="28">
        <f t="shared" si="6"/>
        <v>3245.6261051065699</v>
      </c>
      <c r="E25" s="28">
        <f t="shared" si="7"/>
        <v>4294.5729840971126</v>
      </c>
      <c r="F25" s="28">
        <f t="shared" si="8"/>
        <v>777901.31834658631</v>
      </c>
    </row>
    <row r="26" spans="1:7" x14ac:dyDescent="0.2">
      <c r="A26" s="29" t="s">
        <v>96</v>
      </c>
      <c r="B26" s="28">
        <f t="shared" si="9"/>
        <v>777901.31834658631</v>
      </c>
      <c r="C26" s="28">
        <f t="shared" si="5"/>
        <v>1053.3174909863365</v>
      </c>
      <c r="D26" s="28">
        <f t="shared" si="6"/>
        <v>3241.2554931107761</v>
      </c>
      <c r="E26" s="28">
        <f t="shared" si="7"/>
        <v>4294.5729840971126</v>
      </c>
      <c r="F26" s="28">
        <f t="shared" si="8"/>
        <v>776848.0008556</v>
      </c>
    </row>
    <row r="27" spans="1:7" x14ac:dyDescent="0.2">
      <c r="A27" s="29" t="s">
        <v>97</v>
      </c>
      <c r="B27" s="28">
        <f t="shared" si="9"/>
        <v>776848.0008556</v>
      </c>
      <c r="C27" s="28">
        <f t="shared" si="5"/>
        <v>1057.7063138654457</v>
      </c>
      <c r="D27" s="28">
        <f t="shared" si="6"/>
        <v>3236.8666702316668</v>
      </c>
      <c r="E27" s="28">
        <f t="shared" si="7"/>
        <v>4294.5729840971126</v>
      </c>
      <c r="F27" s="25">
        <f t="shared" si="8"/>
        <v>775790.2945417345</v>
      </c>
      <c r="G27">
        <v>2</v>
      </c>
    </row>
    <row r="28" spans="1:7" x14ac:dyDescent="0.2">
      <c r="A28" s="27" t="s">
        <v>74</v>
      </c>
      <c r="B28" s="27"/>
      <c r="C28" s="25">
        <f>SUM(C16:C27)</f>
        <v>12406.782693725232</v>
      </c>
      <c r="D28" s="25">
        <f>SUM(D16:D27)</f>
        <v>39128.093115440126</v>
      </c>
      <c r="E28" s="28"/>
      <c r="F28" s="28"/>
    </row>
    <row r="29" spans="1:7" x14ac:dyDescent="0.2">
      <c r="A29" s="29"/>
      <c r="B29" s="29"/>
      <c r="C29" s="28"/>
      <c r="D29" s="28"/>
      <c r="E29" s="28"/>
      <c r="F29" s="28"/>
    </row>
    <row r="30" spans="1:7" x14ac:dyDescent="0.2">
      <c r="A30" s="29" t="s">
        <v>86</v>
      </c>
      <c r="B30" s="28">
        <f>+F27</f>
        <v>775790.2945417345</v>
      </c>
      <c r="C30" s="28">
        <f t="shared" ref="C30:C41" si="10">+E30-D30</f>
        <v>1062.113423506552</v>
      </c>
      <c r="D30" s="28">
        <f t="shared" ref="D30:D41" si="11">B30*$I$2</f>
        <v>3232.4595605905606</v>
      </c>
      <c r="E30" s="28">
        <f t="shared" ref="E30:E41" si="12">-$I$8</f>
        <v>4294.5729840971126</v>
      </c>
      <c r="F30" s="28">
        <f t="shared" ref="F30:F41" si="13">+B30-C30</f>
        <v>774728.18111822801</v>
      </c>
    </row>
    <row r="31" spans="1:7" x14ac:dyDescent="0.2">
      <c r="A31" s="29" t="s">
        <v>87</v>
      </c>
      <c r="B31" s="28">
        <f t="shared" ref="B31:B41" si="14">+F30</f>
        <v>774728.18111822801</v>
      </c>
      <c r="C31" s="28">
        <f t="shared" si="10"/>
        <v>1066.538896104496</v>
      </c>
      <c r="D31" s="28">
        <f t="shared" si="11"/>
        <v>3228.0340879926166</v>
      </c>
      <c r="E31" s="28">
        <f t="shared" si="12"/>
        <v>4294.5729840971126</v>
      </c>
      <c r="F31" s="28">
        <f t="shared" si="13"/>
        <v>773661.64222212345</v>
      </c>
    </row>
    <row r="32" spans="1:7" x14ac:dyDescent="0.2">
      <c r="A32" s="29" t="s">
        <v>88</v>
      </c>
      <c r="B32" s="28">
        <f t="shared" si="14"/>
        <v>773661.64222212345</v>
      </c>
      <c r="C32" s="28">
        <f t="shared" si="10"/>
        <v>1070.9828081715982</v>
      </c>
      <c r="D32" s="28">
        <f t="shared" si="11"/>
        <v>3223.5901759255144</v>
      </c>
      <c r="E32" s="28">
        <f t="shared" si="12"/>
        <v>4294.5729840971126</v>
      </c>
      <c r="F32" s="28">
        <f t="shared" si="13"/>
        <v>772590.6594139518</v>
      </c>
    </row>
    <row r="33" spans="1:7" x14ac:dyDescent="0.2">
      <c r="A33" s="29" t="s">
        <v>89</v>
      </c>
      <c r="B33" s="28">
        <f t="shared" si="14"/>
        <v>772590.6594139518</v>
      </c>
      <c r="C33" s="28">
        <f t="shared" si="10"/>
        <v>1075.4452365389802</v>
      </c>
      <c r="D33" s="28">
        <f t="shared" si="11"/>
        <v>3219.1277475581323</v>
      </c>
      <c r="E33" s="28">
        <f t="shared" si="12"/>
        <v>4294.5729840971126</v>
      </c>
      <c r="F33" s="28">
        <f t="shared" si="13"/>
        <v>771515.2141774128</v>
      </c>
    </row>
    <row r="34" spans="1:7" x14ac:dyDescent="0.2">
      <c r="A34" s="29" t="s">
        <v>90</v>
      </c>
      <c r="B34" s="28">
        <f t="shared" si="14"/>
        <v>771515.2141774128</v>
      </c>
      <c r="C34" s="28">
        <f t="shared" si="10"/>
        <v>1079.9262583578925</v>
      </c>
      <c r="D34" s="28">
        <f t="shared" si="11"/>
        <v>3214.6467257392201</v>
      </c>
      <c r="E34" s="28">
        <f t="shared" si="12"/>
        <v>4294.5729840971126</v>
      </c>
      <c r="F34" s="28">
        <f t="shared" si="13"/>
        <v>770435.28791905486</v>
      </c>
    </row>
    <row r="35" spans="1:7" x14ac:dyDescent="0.2">
      <c r="A35" s="29" t="s">
        <v>91</v>
      </c>
      <c r="B35" s="28">
        <f t="shared" si="14"/>
        <v>770435.28791905486</v>
      </c>
      <c r="C35" s="28">
        <f t="shared" si="10"/>
        <v>1084.4259511010505</v>
      </c>
      <c r="D35" s="28">
        <f t="shared" si="11"/>
        <v>3210.1470329960621</v>
      </c>
      <c r="E35" s="28">
        <f t="shared" si="12"/>
        <v>4294.5729840971126</v>
      </c>
      <c r="F35" s="28">
        <f t="shared" si="13"/>
        <v>769350.86196795385</v>
      </c>
    </row>
    <row r="36" spans="1:7" x14ac:dyDescent="0.2">
      <c r="A36" s="29" t="s">
        <v>92</v>
      </c>
      <c r="B36" s="28">
        <f t="shared" si="14"/>
        <v>769350.86196795385</v>
      </c>
      <c r="C36" s="28">
        <f t="shared" si="10"/>
        <v>1088.9443925639716</v>
      </c>
      <c r="D36" s="28">
        <f t="shared" si="11"/>
        <v>3205.6285915331409</v>
      </c>
      <c r="E36" s="28">
        <f t="shared" si="12"/>
        <v>4294.5729840971126</v>
      </c>
      <c r="F36" s="28">
        <f t="shared" si="13"/>
        <v>768261.91757538985</v>
      </c>
    </row>
    <row r="37" spans="1:7" x14ac:dyDescent="0.2">
      <c r="A37" s="29" t="s">
        <v>93</v>
      </c>
      <c r="B37" s="28">
        <f t="shared" si="14"/>
        <v>768261.91757538985</v>
      </c>
      <c r="C37" s="28">
        <f t="shared" si="10"/>
        <v>1093.4816608663214</v>
      </c>
      <c r="D37" s="28">
        <f t="shared" si="11"/>
        <v>3201.0913232307912</v>
      </c>
      <c r="E37" s="28">
        <f t="shared" si="12"/>
        <v>4294.5729840971126</v>
      </c>
      <c r="F37" s="28">
        <f t="shared" si="13"/>
        <v>767168.43591452355</v>
      </c>
    </row>
    <row r="38" spans="1:7" x14ac:dyDescent="0.2">
      <c r="A38" s="29" t="s">
        <v>94</v>
      </c>
      <c r="B38" s="28">
        <f t="shared" si="14"/>
        <v>767168.43591452355</v>
      </c>
      <c r="C38" s="28">
        <f t="shared" si="10"/>
        <v>1098.0378344532646</v>
      </c>
      <c r="D38" s="28">
        <f t="shared" si="11"/>
        <v>3196.5351496438479</v>
      </c>
      <c r="E38" s="28">
        <f t="shared" si="12"/>
        <v>4294.5729840971126</v>
      </c>
      <c r="F38" s="28">
        <f t="shared" si="13"/>
        <v>766070.39808007027</v>
      </c>
    </row>
    <row r="39" spans="1:7" x14ac:dyDescent="0.2">
      <c r="A39" s="29" t="s">
        <v>95</v>
      </c>
      <c r="B39" s="28">
        <f t="shared" si="14"/>
        <v>766070.39808007027</v>
      </c>
      <c r="C39" s="28">
        <f t="shared" si="10"/>
        <v>1102.6129920968197</v>
      </c>
      <c r="D39" s="28">
        <f t="shared" si="11"/>
        <v>3191.9599920002929</v>
      </c>
      <c r="E39" s="28">
        <f t="shared" si="12"/>
        <v>4294.5729840971126</v>
      </c>
      <c r="F39" s="28">
        <f t="shared" si="13"/>
        <v>764967.78508797346</v>
      </c>
    </row>
    <row r="40" spans="1:7" x14ac:dyDescent="0.2">
      <c r="A40" s="29" t="s">
        <v>96</v>
      </c>
      <c r="B40" s="28">
        <f t="shared" si="14"/>
        <v>764967.78508797346</v>
      </c>
      <c r="C40" s="28">
        <f t="shared" si="10"/>
        <v>1107.2072128972231</v>
      </c>
      <c r="D40" s="28">
        <f t="shared" si="11"/>
        <v>3187.3657711998894</v>
      </c>
      <c r="E40" s="28">
        <f t="shared" si="12"/>
        <v>4294.5729840971126</v>
      </c>
      <c r="F40" s="28">
        <f t="shared" si="13"/>
        <v>763860.57787507621</v>
      </c>
    </row>
    <row r="41" spans="1:7" x14ac:dyDescent="0.2">
      <c r="A41" s="29" t="s">
        <v>97</v>
      </c>
      <c r="B41" s="28">
        <f t="shared" si="14"/>
        <v>763860.57787507621</v>
      </c>
      <c r="C41" s="28">
        <f t="shared" si="10"/>
        <v>1111.8205762842949</v>
      </c>
      <c r="D41" s="28">
        <f t="shared" si="11"/>
        <v>3182.7524078128176</v>
      </c>
      <c r="E41" s="28">
        <f t="shared" si="12"/>
        <v>4294.5729840971126</v>
      </c>
      <c r="F41" s="25">
        <f t="shared" si="13"/>
        <v>762748.7572987919</v>
      </c>
      <c r="G41">
        <v>3</v>
      </c>
    </row>
    <row r="42" spans="1:7" x14ac:dyDescent="0.2">
      <c r="A42" s="27" t="s">
        <v>74</v>
      </c>
      <c r="B42" s="27"/>
      <c r="C42" s="25">
        <f>SUM(C30:C41)</f>
        <v>13041.537242942466</v>
      </c>
      <c r="D42" s="25">
        <f>SUM(D30:D41)</f>
        <v>38493.33856622289</v>
      </c>
      <c r="E42" s="28"/>
      <c r="F42" s="28"/>
    </row>
    <row r="43" spans="1:7" x14ac:dyDescent="0.2">
      <c r="A43" s="29"/>
      <c r="B43" s="29"/>
      <c r="C43" s="28"/>
      <c r="D43" s="28"/>
      <c r="E43" s="28"/>
      <c r="F43" s="28"/>
    </row>
    <row r="44" spans="1:7" x14ac:dyDescent="0.2">
      <c r="A44" s="29" t="s">
        <v>86</v>
      </c>
      <c r="B44" s="28">
        <f>+F41</f>
        <v>762748.7572987919</v>
      </c>
      <c r="C44" s="28">
        <f t="shared" ref="C44:C55" si="15">+E44-D44</f>
        <v>1116.4531620188131</v>
      </c>
      <c r="D44" s="28">
        <f t="shared" ref="D44:D55" si="16">B44*$I$2</f>
        <v>3178.1198220782994</v>
      </c>
      <c r="E44" s="28">
        <f t="shared" ref="E44:E55" si="17">-$I$8</f>
        <v>4294.5729840971126</v>
      </c>
      <c r="F44" s="28">
        <f t="shared" ref="F44:F55" si="18">+B44-C44</f>
        <v>761632.30413677311</v>
      </c>
    </row>
    <row r="45" spans="1:7" x14ac:dyDescent="0.2">
      <c r="A45" s="29" t="s">
        <v>87</v>
      </c>
      <c r="B45" s="28">
        <f t="shared" ref="B45:B55" si="19">+F44</f>
        <v>761632.30413677311</v>
      </c>
      <c r="C45" s="28">
        <f t="shared" si="15"/>
        <v>1121.1050501938912</v>
      </c>
      <c r="D45" s="28">
        <f t="shared" si="16"/>
        <v>3173.4679339032214</v>
      </c>
      <c r="E45" s="28">
        <f t="shared" si="17"/>
        <v>4294.5729840971126</v>
      </c>
      <c r="F45" s="28">
        <f t="shared" si="18"/>
        <v>760511.19908657926</v>
      </c>
    </row>
    <row r="46" spans="1:7" x14ac:dyDescent="0.2">
      <c r="A46" s="29" t="s">
        <v>88</v>
      </c>
      <c r="B46" s="28">
        <f t="shared" si="19"/>
        <v>760511.19908657926</v>
      </c>
      <c r="C46" s="28">
        <f t="shared" si="15"/>
        <v>1125.7763212363657</v>
      </c>
      <c r="D46" s="28">
        <f t="shared" si="16"/>
        <v>3168.7966628607469</v>
      </c>
      <c r="E46" s="28">
        <f t="shared" si="17"/>
        <v>4294.5729840971126</v>
      </c>
      <c r="F46" s="28">
        <f t="shared" si="18"/>
        <v>759385.42276534287</v>
      </c>
    </row>
    <row r="47" spans="1:7" x14ac:dyDescent="0.2">
      <c r="A47" s="29" t="s">
        <v>89</v>
      </c>
      <c r="B47" s="28">
        <f t="shared" si="19"/>
        <v>759385.42276534287</v>
      </c>
      <c r="C47" s="28">
        <f t="shared" si="15"/>
        <v>1130.4670559081842</v>
      </c>
      <c r="D47" s="28">
        <f t="shared" si="16"/>
        <v>3164.1059281889284</v>
      </c>
      <c r="E47" s="28">
        <f t="shared" si="17"/>
        <v>4294.5729840971126</v>
      </c>
      <c r="F47" s="28">
        <f t="shared" si="18"/>
        <v>758254.9557094347</v>
      </c>
    </row>
    <row r="48" spans="1:7" x14ac:dyDescent="0.2">
      <c r="A48" s="29" t="s">
        <v>90</v>
      </c>
      <c r="B48" s="28">
        <f t="shared" si="19"/>
        <v>758254.9557094347</v>
      </c>
      <c r="C48" s="28">
        <f t="shared" si="15"/>
        <v>1135.1773353078015</v>
      </c>
      <c r="D48" s="28">
        <f t="shared" si="16"/>
        <v>3159.3956487893111</v>
      </c>
      <c r="E48" s="28">
        <f t="shared" si="17"/>
        <v>4294.5729840971126</v>
      </c>
      <c r="F48" s="28">
        <f t="shared" si="18"/>
        <v>757119.77837412688</v>
      </c>
    </row>
    <row r="49" spans="1:7" x14ac:dyDescent="0.2">
      <c r="A49" s="29" t="s">
        <v>91</v>
      </c>
      <c r="B49" s="28">
        <f t="shared" si="19"/>
        <v>757119.77837412688</v>
      </c>
      <c r="C49" s="28">
        <f t="shared" si="15"/>
        <v>1139.9072408715838</v>
      </c>
      <c r="D49" s="28">
        <f t="shared" si="16"/>
        <v>3154.6657432255288</v>
      </c>
      <c r="E49" s="28">
        <f t="shared" si="17"/>
        <v>4294.5729840971126</v>
      </c>
      <c r="F49" s="28">
        <f t="shared" si="18"/>
        <v>755979.87113325531</v>
      </c>
    </row>
    <row r="50" spans="1:7" x14ac:dyDescent="0.2">
      <c r="A50" s="29" t="s">
        <v>92</v>
      </c>
      <c r="B50" s="28">
        <f t="shared" si="19"/>
        <v>755979.87113325531</v>
      </c>
      <c r="C50" s="28">
        <f t="shared" si="15"/>
        <v>1144.6568543752155</v>
      </c>
      <c r="D50" s="28">
        <f t="shared" si="16"/>
        <v>3149.9161297218971</v>
      </c>
      <c r="E50" s="28">
        <f t="shared" si="17"/>
        <v>4294.5729840971126</v>
      </c>
      <c r="F50" s="28">
        <f t="shared" si="18"/>
        <v>754835.21427888004</v>
      </c>
    </row>
    <row r="51" spans="1:7" x14ac:dyDescent="0.2">
      <c r="A51" s="29" t="s">
        <v>93</v>
      </c>
      <c r="B51" s="28">
        <f t="shared" si="19"/>
        <v>754835.21427888004</v>
      </c>
      <c r="C51" s="28">
        <f t="shared" si="15"/>
        <v>1149.4262579351125</v>
      </c>
      <c r="D51" s="28">
        <f t="shared" si="16"/>
        <v>3145.146726162</v>
      </c>
      <c r="E51" s="28">
        <f t="shared" si="17"/>
        <v>4294.5729840971126</v>
      </c>
      <c r="F51" s="28">
        <f t="shared" si="18"/>
        <v>753685.78802094492</v>
      </c>
    </row>
    <row r="52" spans="1:7" x14ac:dyDescent="0.2">
      <c r="A52" s="29" t="s">
        <v>94</v>
      </c>
      <c r="B52" s="28">
        <f t="shared" si="19"/>
        <v>753685.78802094492</v>
      </c>
      <c r="C52" s="28">
        <f t="shared" si="15"/>
        <v>1154.215534009842</v>
      </c>
      <c r="D52" s="28">
        <f t="shared" si="16"/>
        <v>3140.3574500872705</v>
      </c>
      <c r="E52" s="28">
        <f t="shared" si="17"/>
        <v>4294.5729840971126</v>
      </c>
      <c r="F52" s="28">
        <f t="shared" si="18"/>
        <v>752531.57248693507</v>
      </c>
    </row>
    <row r="53" spans="1:7" x14ac:dyDescent="0.2">
      <c r="A53" s="29" t="s">
        <v>95</v>
      </c>
      <c r="B53" s="28">
        <f t="shared" si="19"/>
        <v>752531.57248693507</v>
      </c>
      <c r="C53" s="28">
        <f t="shared" si="15"/>
        <v>1159.0247654015498</v>
      </c>
      <c r="D53" s="28">
        <f t="shared" si="16"/>
        <v>3135.5482186955628</v>
      </c>
      <c r="E53" s="28">
        <f t="shared" si="17"/>
        <v>4294.5729840971126</v>
      </c>
      <c r="F53" s="28">
        <f t="shared" si="18"/>
        <v>751372.54772153357</v>
      </c>
    </row>
    <row r="54" spans="1:7" x14ac:dyDescent="0.2">
      <c r="A54" s="29" t="s">
        <v>96</v>
      </c>
      <c r="B54" s="28">
        <f t="shared" si="19"/>
        <v>751372.54772153357</v>
      </c>
      <c r="C54" s="28">
        <f t="shared" si="15"/>
        <v>1163.8540352573896</v>
      </c>
      <c r="D54" s="28">
        <f t="shared" si="16"/>
        <v>3130.718948839723</v>
      </c>
      <c r="E54" s="28">
        <f t="shared" si="17"/>
        <v>4294.5729840971126</v>
      </c>
      <c r="F54" s="28">
        <f t="shared" si="18"/>
        <v>750208.69368627621</v>
      </c>
    </row>
    <row r="55" spans="1:7" x14ac:dyDescent="0.2">
      <c r="A55" s="29" t="s">
        <v>97</v>
      </c>
      <c r="B55" s="28">
        <f t="shared" si="19"/>
        <v>750208.69368627621</v>
      </c>
      <c r="C55" s="28">
        <f t="shared" si="15"/>
        <v>1168.7034270709619</v>
      </c>
      <c r="D55" s="28">
        <f t="shared" si="16"/>
        <v>3125.8695570261507</v>
      </c>
      <c r="E55" s="28">
        <f t="shared" si="17"/>
        <v>4294.5729840971126</v>
      </c>
      <c r="F55" s="25">
        <f t="shared" si="18"/>
        <v>749039.99025920522</v>
      </c>
      <c r="G55" s="32">
        <v>4</v>
      </c>
    </row>
    <row r="56" spans="1:7" x14ac:dyDescent="0.2">
      <c r="A56" s="27" t="s">
        <v>74</v>
      </c>
      <c r="B56" s="26"/>
      <c r="C56" s="25">
        <f>SUM(C44:C55)</f>
        <v>13708.76703958671</v>
      </c>
      <c r="D56" s="25">
        <f>SUM(D44:D55)</f>
        <v>37826.108769578634</v>
      </c>
    </row>
    <row r="58" spans="1:7" x14ac:dyDescent="0.2">
      <c r="A58" s="29" t="s">
        <v>86</v>
      </c>
      <c r="B58" s="28">
        <f>+F55</f>
        <v>749039.99025920522</v>
      </c>
      <c r="C58" s="28">
        <f t="shared" ref="C58:C69" si="20">+E58-D58</f>
        <v>1173.5730246837575</v>
      </c>
      <c r="D58" s="28">
        <f t="shared" ref="D58:D69" si="21">B58*$I$2</f>
        <v>3120.9999594133551</v>
      </c>
      <c r="E58" s="28">
        <f t="shared" ref="E58:E69" si="22">-$I$8</f>
        <v>4294.5729840971126</v>
      </c>
      <c r="F58" s="28">
        <f t="shared" ref="F58:F69" si="23">+B58-C58</f>
        <v>747866.41723452148</v>
      </c>
    </row>
    <row r="59" spans="1:7" x14ac:dyDescent="0.2">
      <c r="A59" s="29" t="s">
        <v>87</v>
      </c>
      <c r="B59" s="28">
        <f t="shared" ref="B59:B69" si="24">+F58</f>
        <v>747866.41723452148</v>
      </c>
      <c r="C59" s="28">
        <f t="shared" si="20"/>
        <v>1178.4629122866063</v>
      </c>
      <c r="D59" s="28">
        <f t="shared" si="21"/>
        <v>3116.1100718105063</v>
      </c>
      <c r="E59" s="28">
        <f t="shared" si="22"/>
        <v>4294.5729840971126</v>
      </c>
      <c r="F59" s="28">
        <f t="shared" si="23"/>
        <v>746687.95432223484</v>
      </c>
    </row>
    <row r="60" spans="1:7" x14ac:dyDescent="0.2">
      <c r="A60" s="29" t="s">
        <v>88</v>
      </c>
      <c r="B60" s="28">
        <f t="shared" si="24"/>
        <v>746687.95432223484</v>
      </c>
      <c r="C60" s="28">
        <f t="shared" si="20"/>
        <v>1183.3731744211341</v>
      </c>
      <c r="D60" s="28">
        <f t="shared" si="21"/>
        <v>3111.1998096759785</v>
      </c>
      <c r="E60" s="28">
        <f t="shared" si="22"/>
        <v>4294.5729840971126</v>
      </c>
      <c r="F60" s="28">
        <f t="shared" si="23"/>
        <v>745504.5811478137</v>
      </c>
    </row>
    <row r="61" spans="1:7" x14ac:dyDescent="0.2">
      <c r="A61" s="29" t="s">
        <v>89</v>
      </c>
      <c r="B61" s="28">
        <f t="shared" si="24"/>
        <v>745504.5811478137</v>
      </c>
      <c r="C61" s="28">
        <f t="shared" si="20"/>
        <v>1188.303895981222</v>
      </c>
      <c r="D61" s="28">
        <f t="shared" si="21"/>
        <v>3106.2690881158906</v>
      </c>
      <c r="E61" s="28">
        <f t="shared" si="22"/>
        <v>4294.5729840971126</v>
      </c>
      <c r="F61" s="28">
        <f t="shared" si="23"/>
        <v>744316.27725183254</v>
      </c>
    </row>
    <row r="62" spans="1:7" x14ac:dyDescent="0.2">
      <c r="A62" s="29" t="s">
        <v>90</v>
      </c>
      <c r="B62" s="28">
        <f t="shared" si="24"/>
        <v>744316.27725183254</v>
      </c>
      <c r="C62" s="28">
        <f t="shared" si="20"/>
        <v>1193.255162214477</v>
      </c>
      <c r="D62" s="28">
        <f t="shared" si="21"/>
        <v>3101.3178218826356</v>
      </c>
      <c r="E62" s="28">
        <f t="shared" si="22"/>
        <v>4294.5729840971126</v>
      </c>
      <c r="F62" s="28">
        <f t="shared" si="23"/>
        <v>743123.02208961803</v>
      </c>
    </row>
    <row r="63" spans="1:7" x14ac:dyDescent="0.2">
      <c r="A63" s="29" t="s">
        <v>91</v>
      </c>
      <c r="B63" s="28">
        <f t="shared" si="24"/>
        <v>743123.02208961803</v>
      </c>
      <c r="C63" s="28">
        <f t="shared" si="20"/>
        <v>1198.227058723704</v>
      </c>
      <c r="D63" s="28">
        <f t="shared" si="21"/>
        <v>3096.3459253734086</v>
      </c>
      <c r="E63" s="28">
        <f t="shared" si="22"/>
        <v>4294.5729840971126</v>
      </c>
      <c r="F63" s="28">
        <f t="shared" si="23"/>
        <v>741924.79503089434</v>
      </c>
    </row>
    <row r="64" spans="1:7" x14ac:dyDescent="0.2">
      <c r="A64" s="29" t="s">
        <v>92</v>
      </c>
      <c r="B64" s="28">
        <f t="shared" si="24"/>
        <v>741924.79503089434</v>
      </c>
      <c r="C64" s="28">
        <f t="shared" si="20"/>
        <v>1203.219671468386</v>
      </c>
      <c r="D64" s="28">
        <f t="shared" si="21"/>
        <v>3091.3533126287266</v>
      </c>
      <c r="E64" s="28">
        <f t="shared" si="22"/>
        <v>4294.5729840971126</v>
      </c>
      <c r="F64" s="28">
        <f t="shared" si="23"/>
        <v>740721.57535942597</v>
      </c>
    </row>
    <row r="65" spans="1:7" x14ac:dyDescent="0.2">
      <c r="A65" s="29" t="s">
        <v>93</v>
      </c>
      <c r="B65" s="28">
        <f t="shared" si="24"/>
        <v>740721.57535942597</v>
      </c>
      <c r="C65" s="28">
        <f t="shared" si="20"/>
        <v>1208.2330867661713</v>
      </c>
      <c r="D65" s="28">
        <f t="shared" si="21"/>
        <v>3086.3398973309413</v>
      </c>
      <c r="E65" s="28">
        <f t="shared" si="22"/>
        <v>4294.5729840971126</v>
      </c>
      <c r="F65" s="28">
        <f t="shared" si="23"/>
        <v>739513.34227265976</v>
      </c>
    </row>
    <row r="66" spans="1:7" x14ac:dyDescent="0.2">
      <c r="A66" s="29" t="s">
        <v>94</v>
      </c>
      <c r="B66" s="28">
        <f t="shared" si="24"/>
        <v>739513.34227265976</v>
      </c>
      <c r="C66" s="28">
        <f t="shared" si="20"/>
        <v>1213.2673912943637</v>
      </c>
      <c r="D66" s="28">
        <f t="shared" si="21"/>
        <v>3081.3055928027488</v>
      </c>
      <c r="E66" s="28">
        <f t="shared" si="22"/>
        <v>4294.5729840971126</v>
      </c>
      <c r="F66" s="28">
        <f t="shared" si="23"/>
        <v>738300.07488136541</v>
      </c>
    </row>
    <row r="67" spans="1:7" x14ac:dyDescent="0.2">
      <c r="A67" s="29" t="s">
        <v>95</v>
      </c>
      <c r="B67" s="28">
        <f t="shared" si="24"/>
        <v>738300.07488136541</v>
      </c>
      <c r="C67" s="28">
        <f t="shared" si="20"/>
        <v>1218.3226720914236</v>
      </c>
      <c r="D67" s="28">
        <f t="shared" si="21"/>
        <v>3076.250312005689</v>
      </c>
      <c r="E67" s="28">
        <f t="shared" si="22"/>
        <v>4294.5729840971126</v>
      </c>
      <c r="F67" s="28">
        <f t="shared" si="23"/>
        <v>737081.75220927398</v>
      </c>
    </row>
    <row r="68" spans="1:7" x14ac:dyDescent="0.2">
      <c r="A68" s="29" t="s">
        <v>96</v>
      </c>
      <c r="B68" s="28">
        <f t="shared" si="24"/>
        <v>737081.75220927398</v>
      </c>
      <c r="C68" s="28">
        <f t="shared" si="20"/>
        <v>1223.399016558471</v>
      </c>
      <c r="D68" s="28">
        <f t="shared" si="21"/>
        <v>3071.1739675386416</v>
      </c>
      <c r="E68" s="28">
        <f t="shared" si="22"/>
        <v>4294.5729840971126</v>
      </c>
      <c r="F68" s="28">
        <f t="shared" si="23"/>
        <v>735858.35319271556</v>
      </c>
    </row>
    <row r="69" spans="1:7" x14ac:dyDescent="0.2">
      <c r="A69" s="29" t="s">
        <v>97</v>
      </c>
      <c r="B69" s="28">
        <f t="shared" si="24"/>
        <v>735858.35319271556</v>
      </c>
      <c r="C69" s="28">
        <f t="shared" si="20"/>
        <v>1228.4965124607979</v>
      </c>
      <c r="D69" s="28">
        <f t="shared" si="21"/>
        <v>3066.0764716363146</v>
      </c>
      <c r="E69" s="28">
        <f t="shared" si="22"/>
        <v>4294.5729840971126</v>
      </c>
      <c r="F69" s="25">
        <f t="shared" si="23"/>
        <v>734629.8566802548</v>
      </c>
      <c r="G69">
        <v>5</v>
      </c>
    </row>
    <row r="70" spans="1:7" x14ac:dyDescent="0.2">
      <c r="A70" s="27" t="s">
        <v>74</v>
      </c>
      <c r="B70" s="26"/>
      <c r="C70" s="25">
        <f>SUM(C58:C69)</f>
        <v>14410.133578950514</v>
      </c>
      <c r="D70" s="25">
        <f>SUM(D58:D69)</f>
        <v>37124.742230214833</v>
      </c>
    </row>
    <row r="72" spans="1:7" x14ac:dyDescent="0.2">
      <c r="A72" s="29" t="s">
        <v>86</v>
      </c>
      <c r="B72" s="28">
        <f>+F69</f>
        <v>734629.8566802548</v>
      </c>
      <c r="C72" s="28">
        <f t="shared" ref="C72:C83" si="25">+E72-D72</f>
        <v>1233.6152479293842</v>
      </c>
      <c r="D72" s="28">
        <f t="shared" ref="D72:D83" si="26">B72*$I$2</f>
        <v>3060.9577361677284</v>
      </c>
      <c r="E72" s="28">
        <f t="shared" ref="E72:E83" si="27">-$I$8</f>
        <v>4294.5729840971126</v>
      </c>
      <c r="F72" s="28">
        <f t="shared" ref="F72:F83" si="28">+B72-C72</f>
        <v>733396.24143232545</v>
      </c>
    </row>
    <row r="73" spans="1:7" x14ac:dyDescent="0.2">
      <c r="A73" s="29" t="s">
        <v>87</v>
      </c>
      <c r="B73" s="28">
        <f t="shared" ref="B73:B83" si="29">+F72</f>
        <v>733396.24143232545</v>
      </c>
      <c r="C73" s="28">
        <f t="shared" si="25"/>
        <v>1238.7553114624234</v>
      </c>
      <c r="D73" s="28">
        <f t="shared" si="26"/>
        <v>3055.8176726346892</v>
      </c>
      <c r="E73" s="28">
        <f t="shared" si="27"/>
        <v>4294.5729840971126</v>
      </c>
      <c r="F73" s="28">
        <f t="shared" si="28"/>
        <v>732157.486120863</v>
      </c>
    </row>
    <row r="74" spans="1:7" x14ac:dyDescent="0.2">
      <c r="A74" s="29" t="s">
        <v>88</v>
      </c>
      <c r="B74" s="28">
        <f t="shared" si="29"/>
        <v>732157.486120863</v>
      </c>
      <c r="C74" s="28">
        <f t="shared" si="25"/>
        <v>1243.9167919268502</v>
      </c>
      <c r="D74" s="28">
        <f t="shared" si="26"/>
        <v>3050.6561921702623</v>
      </c>
      <c r="E74" s="28">
        <f t="shared" si="27"/>
        <v>4294.5729840971126</v>
      </c>
      <c r="F74" s="28">
        <f t="shared" si="28"/>
        <v>730913.56932893617</v>
      </c>
    </row>
    <row r="75" spans="1:7" x14ac:dyDescent="0.2">
      <c r="A75" s="29" t="s">
        <v>89</v>
      </c>
      <c r="B75" s="28">
        <f t="shared" si="29"/>
        <v>730913.56932893617</v>
      </c>
      <c r="C75" s="28">
        <f t="shared" si="25"/>
        <v>1249.0997785598784</v>
      </c>
      <c r="D75" s="28">
        <f t="shared" si="26"/>
        <v>3045.4732055372342</v>
      </c>
      <c r="E75" s="28">
        <f t="shared" si="27"/>
        <v>4294.5729840971126</v>
      </c>
      <c r="F75" s="28">
        <f t="shared" si="28"/>
        <v>729664.46955037629</v>
      </c>
    </row>
    <row r="76" spans="1:7" x14ac:dyDescent="0.2">
      <c r="A76" s="29" t="s">
        <v>90</v>
      </c>
      <c r="B76" s="28">
        <f t="shared" si="29"/>
        <v>729664.46955037629</v>
      </c>
      <c r="C76" s="28">
        <f t="shared" si="25"/>
        <v>1254.3043609705446</v>
      </c>
      <c r="D76" s="28">
        <f t="shared" si="26"/>
        <v>3040.2686231265679</v>
      </c>
      <c r="E76" s="28">
        <f t="shared" si="27"/>
        <v>4294.5729840971126</v>
      </c>
      <c r="F76" s="28">
        <f t="shared" si="28"/>
        <v>728410.16518940579</v>
      </c>
    </row>
    <row r="77" spans="1:7" x14ac:dyDescent="0.2">
      <c r="A77" s="29" t="s">
        <v>91</v>
      </c>
      <c r="B77" s="28">
        <f t="shared" si="29"/>
        <v>728410.16518940579</v>
      </c>
      <c r="C77" s="28">
        <f t="shared" si="25"/>
        <v>1259.5306291412553</v>
      </c>
      <c r="D77" s="28">
        <f t="shared" si="26"/>
        <v>3035.0423549558573</v>
      </c>
      <c r="E77" s="28">
        <f t="shared" si="27"/>
        <v>4294.5729840971126</v>
      </c>
      <c r="F77" s="28">
        <f t="shared" si="28"/>
        <v>727150.63456026453</v>
      </c>
    </row>
    <row r="78" spans="1:7" x14ac:dyDescent="0.2">
      <c r="A78" s="29" t="s">
        <v>92</v>
      </c>
      <c r="B78" s="28">
        <f t="shared" si="29"/>
        <v>727150.63456026453</v>
      </c>
      <c r="C78" s="28">
        <f t="shared" si="25"/>
        <v>1264.7786734293436</v>
      </c>
      <c r="D78" s="28">
        <f t="shared" si="26"/>
        <v>3029.794310667769</v>
      </c>
      <c r="E78" s="28">
        <f t="shared" si="27"/>
        <v>4294.5729840971126</v>
      </c>
      <c r="F78" s="28">
        <f t="shared" si="28"/>
        <v>725885.85588683514</v>
      </c>
    </row>
    <row r="79" spans="1:7" x14ac:dyDescent="0.2">
      <c r="A79" s="29" t="s">
        <v>93</v>
      </c>
      <c r="B79" s="28">
        <f t="shared" si="29"/>
        <v>725885.85588683514</v>
      </c>
      <c r="C79" s="28">
        <f t="shared" si="25"/>
        <v>1270.048584568633</v>
      </c>
      <c r="D79" s="28">
        <f t="shared" si="26"/>
        <v>3024.5243995284795</v>
      </c>
      <c r="E79" s="28">
        <f t="shared" si="27"/>
        <v>4294.5729840971126</v>
      </c>
      <c r="F79" s="28">
        <f t="shared" si="28"/>
        <v>724615.80730226648</v>
      </c>
    </row>
    <row r="80" spans="1:7" x14ac:dyDescent="0.2">
      <c r="A80" s="29" t="s">
        <v>94</v>
      </c>
      <c r="B80" s="28">
        <f t="shared" si="29"/>
        <v>724615.80730226648</v>
      </c>
      <c r="C80" s="28">
        <f t="shared" si="25"/>
        <v>1275.3404536710023</v>
      </c>
      <c r="D80" s="28">
        <f t="shared" si="26"/>
        <v>3019.2325304261103</v>
      </c>
      <c r="E80" s="28">
        <f t="shared" si="27"/>
        <v>4294.5729840971126</v>
      </c>
      <c r="F80" s="28">
        <f t="shared" si="28"/>
        <v>723340.46684859542</v>
      </c>
    </row>
    <row r="81" spans="1:7" x14ac:dyDescent="0.2">
      <c r="A81" s="29" t="s">
        <v>95</v>
      </c>
      <c r="B81" s="28">
        <f t="shared" si="29"/>
        <v>723340.46684859542</v>
      </c>
      <c r="C81" s="28">
        <f t="shared" si="25"/>
        <v>1280.6543722279648</v>
      </c>
      <c r="D81" s="28">
        <f t="shared" si="26"/>
        <v>3013.9186118691478</v>
      </c>
      <c r="E81" s="28">
        <f t="shared" si="27"/>
        <v>4294.5729840971126</v>
      </c>
      <c r="F81" s="28">
        <f t="shared" si="28"/>
        <v>722059.81247636746</v>
      </c>
    </row>
    <row r="82" spans="1:7" x14ac:dyDescent="0.2">
      <c r="A82" s="29" t="s">
        <v>96</v>
      </c>
      <c r="B82" s="28">
        <f t="shared" si="29"/>
        <v>722059.81247636746</v>
      </c>
      <c r="C82" s="28">
        <f t="shared" si="25"/>
        <v>1285.9904321122481</v>
      </c>
      <c r="D82" s="28">
        <f t="shared" si="26"/>
        <v>3008.5825519848645</v>
      </c>
      <c r="E82" s="28">
        <f t="shared" si="27"/>
        <v>4294.5729840971126</v>
      </c>
      <c r="F82" s="28">
        <f t="shared" si="28"/>
        <v>720773.82204425521</v>
      </c>
    </row>
    <row r="83" spans="1:7" x14ac:dyDescent="0.2">
      <c r="A83" s="29" t="s">
        <v>97</v>
      </c>
      <c r="B83" s="28">
        <f t="shared" si="29"/>
        <v>720773.82204425521</v>
      </c>
      <c r="C83" s="28">
        <f t="shared" si="25"/>
        <v>1291.3487255793825</v>
      </c>
      <c r="D83" s="28">
        <f t="shared" si="26"/>
        <v>3003.22425851773</v>
      </c>
      <c r="E83" s="28">
        <f t="shared" si="27"/>
        <v>4294.5729840971126</v>
      </c>
      <c r="F83" s="25">
        <f t="shared" si="28"/>
        <v>719482.47331867588</v>
      </c>
      <c r="G83">
        <v>6</v>
      </c>
    </row>
    <row r="84" spans="1:7" x14ac:dyDescent="0.2">
      <c r="A84" s="27" t="s">
        <v>74</v>
      </c>
      <c r="B84" s="26"/>
      <c r="C84" s="25">
        <f>SUM(C72:C83)</f>
        <v>15147.38336157891</v>
      </c>
      <c r="D84" s="25">
        <f>SUM(D72:D83)</f>
        <v>36387.492447586439</v>
      </c>
    </row>
    <row r="85" spans="1:7" x14ac:dyDescent="0.2">
      <c r="B85" s="29"/>
      <c r="C85" s="28"/>
      <c r="D85" s="28"/>
      <c r="E85" s="28"/>
      <c r="F85" s="28"/>
    </row>
    <row r="86" spans="1:7" x14ac:dyDescent="0.2">
      <c r="A86" s="29" t="s">
        <v>86</v>
      </c>
      <c r="B86" s="28">
        <f>+F83</f>
        <v>719482.47331867588</v>
      </c>
      <c r="C86" s="28">
        <f t="shared" ref="C86:C97" si="30">+E86-D86</f>
        <v>1296.7293452692966</v>
      </c>
      <c r="D86" s="28">
        <f t="shared" ref="D86:D97" si="31">B86*$I$2</f>
        <v>2997.843638827816</v>
      </c>
      <c r="E86" s="28">
        <f t="shared" ref="E86:E97" si="32">-$I$8</f>
        <v>4294.5729840971126</v>
      </c>
      <c r="F86" s="28">
        <f t="shared" ref="F86:F97" si="33">+B86-C86</f>
        <v>718185.74397340661</v>
      </c>
    </row>
    <row r="87" spans="1:7" x14ac:dyDescent="0.2">
      <c r="A87" s="29" t="s">
        <v>87</v>
      </c>
      <c r="B87" s="28">
        <f t="shared" ref="B87:B97" si="34">+F86</f>
        <v>718185.74397340661</v>
      </c>
      <c r="C87" s="28">
        <f t="shared" si="30"/>
        <v>1302.1323842079182</v>
      </c>
      <c r="D87" s="28">
        <f t="shared" si="31"/>
        <v>2992.4405998891943</v>
      </c>
      <c r="E87" s="28">
        <f t="shared" si="32"/>
        <v>4294.5729840971126</v>
      </c>
      <c r="F87" s="28">
        <f t="shared" si="33"/>
        <v>716883.6115891987</v>
      </c>
    </row>
    <row r="88" spans="1:7" x14ac:dyDescent="0.2">
      <c r="A88" s="29" t="s">
        <v>88</v>
      </c>
      <c r="B88" s="28">
        <f t="shared" si="34"/>
        <v>716883.6115891987</v>
      </c>
      <c r="C88" s="28">
        <f t="shared" si="30"/>
        <v>1307.5579358087848</v>
      </c>
      <c r="D88" s="28">
        <f t="shared" si="31"/>
        <v>2987.0150482883278</v>
      </c>
      <c r="E88" s="28">
        <f t="shared" si="32"/>
        <v>4294.5729840971126</v>
      </c>
      <c r="F88" s="28">
        <f t="shared" si="33"/>
        <v>715576.05365338991</v>
      </c>
    </row>
    <row r="89" spans="1:7" x14ac:dyDescent="0.2">
      <c r="A89" s="29" t="s">
        <v>89</v>
      </c>
      <c r="B89" s="28">
        <f t="shared" si="34"/>
        <v>715576.05365338991</v>
      </c>
      <c r="C89" s="28">
        <f t="shared" si="30"/>
        <v>1313.0060938746547</v>
      </c>
      <c r="D89" s="28">
        <f t="shared" si="31"/>
        <v>2981.5668902224579</v>
      </c>
      <c r="E89" s="28">
        <f t="shared" si="32"/>
        <v>4294.5729840971126</v>
      </c>
      <c r="F89" s="28">
        <f t="shared" si="33"/>
        <v>714263.04755951522</v>
      </c>
    </row>
    <row r="90" spans="1:7" x14ac:dyDescent="0.2">
      <c r="A90" s="29" t="s">
        <v>90</v>
      </c>
      <c r="B90" s="28">
        <f t="shared" si="34"/>
        <v>714263.04755951522</v>
      </c>
      <c r="C90" s="28">
        <f t="shared" si="30"/>
        <v>1318.4769525991323</v>
      </c>
      <c r="D90" s="28">
        <f t="shared" si="31"/>
        <v>2976.0960314979802</v>
      </c>
      <c r="E90" s="28">
        <f t="shared" si="32"/>
        <v>4294.5729840971126</v>
      </c>
      <c r="F90" s="28">
        <f t="shared" si="33"/>
        <v>712944.5706069161</v>
      </c>
    </row>
    <row r="91" spans="1:7" x14ac:dyDescent="0.2">
      <c r="A91" s="29" t="s">
        <v>91</v>
      </c>
      <c r="B91" s="28">
        <f t="shared" si="34"/>
        <v>712944.5706069161</v>
      </c>
      <c r="C91" s="28">
        <f t="shared" si="30"/>
        <v>1323.9706065682954</v>
      </c>
      <c r="D91" s="28">
        <f t="shared" si="31"/>
        <v>2970.6023775288172</v>
      </c>
      <c r="E91" s="28">
        <f t="shared" si="32"/>
        <v>4294.5729840971126</v>
      </c>
      <c r="F91" s="28">
        <f t="shared" si="33"/>
        <v>711620.60000034783</v>
      </c>
    </row>
    <row r="92" spans="1:7" x14ac:dyDescent="0.2">
      <c r="A92" s="29" t="s">
        <v>92</v>
      </c>
      <c r="B92" s="28">
        <f t="shared" si="34"/>
        <v>711620.60000034783</v>
      </c>
      <c r="C92" s="28">
        <f t="shared" si="30"/>
        <v>1329.4871507623302</v>
      </c>
      <c r="D92" s="28">
        <f t="shared" si="31"/>
        <v>2965.0858333347824</v>
      </c>
      <c r="E92" s="28">
        <f t="shared" si="32"/>
        <v>4294.5729840971126</v>
      </c>
      <c r="F92" s="28">
        <f t="shared" si="33"/>
        <v>710291.11284958548</v>
      </c>
    </row>
    <row r="93" spans="1:7" x14ac:dyDescent="0.2">
      <c r="A93" s="29" t="s">
        <v>93</v>
      </c>
      <c r="B93" s="28">
        <f t="shared" si="34"/>
        <v>710291.11284958548</v>
      </c>
      <c r="C93" s="28">
        <f t="shared" si="30"/>
        <v>1335.0266805571732</v>
      </c>
      <c r="D93" s="28">
        <f t="shared" si="31"/>
        <v>2959.5463035399393</v>
      </c>
      <c r="E93" s="28">
        <f t="shared" si="32"/>
        <v>4294.5729840971126</v>
      </c>
      <c r="F93" s="28">
        <f t="shared" si="33"/>
        <v>708956.08616902831</v>
      </c>
    </row>
    <row r="94" spans="1:7" x14ac:dyDescent="0.2">
      <c r="A94" s="29" t="s">
        <v>94</v>
      </c>
      <c r="B94" s="28">
        <f t="shared" si="34"/>
        <v>708956.08616902831</v>
      </c>
      <c r="C94" s="28">
        <f t="shared" si="30"/>
        <v>1340.5892917261613</v>
      </c>
      <c r="D94" s="28">
        <f t="shared" si="31"/>
        <v>2953.9836923709513</v>
      </c>
      <c r="E94" s="28">
        <f t="shared" si="32"/>
        <v>4294.5729840971126</v>
      </c>
      <c r="F94" s="28">
        <f t="shared" si="33"/>
        <v>707615.49687730218</v>
      </c>
    </row>
    <row r="95" spans="1:7" x14ac:dyDescent="0.2">
      <c r="A95" s="29" t="s">
        <v>95</v>
      </c>
      <c r="B95" s="28">
        <f t="shared" si="34"/>
        <v>707615.49687730218</v>
      </c>
      <c r="C95" s="28">
        <f t="shared" si="30"/>
        <v>1346.175080441687</v>
      </c>
      <c r="D95" s="28">
        <f t="shared" si="31"/>
        <v>2948.3979036554256</v>
      </c>
      <c r="E95" s="28">
        <f t="shared" si="32"/>
        <v>4294.5729840971126</v>
      </c>
      <c r="F95" s="28">
        <f t="shared" si="33"/>
        <v>706269.32179686055</v>
      </c>
    </row>
    <row r="96" spans="1:7" x14ac:dyDescent="0.2">
      <c r="A96" s="29" t="s">
        <v>96</v>
      </c>
      <c r="B96" s="28">
        <f t="shared" si="34"/>
        <v>706269.32179686055</v>
      </c>
      <c r="C96" s="28">
        <f t="shared" si="30"/>
        <v>1351.7841432768605</v>
      </c>
      <c r="D96" s="28">
        <f t="shared" si="31"/>
        <v>2942.7888408202521</v>
      </c>
      <c r="E96" s="28">
        <f t="shared" si="32"/>
        <v>4294.5729840971126</v>
      </c>
      <c r="F96" s="28">
        <f t="shared" si="33"/>
        <v>704917.53765358368</v>
      </c>
    </row>
    <row r="97" spans="1:7" x14ac:dyDescent="0.2">
      <c r="A97" s="29" t="s">
        <v>97</v>
      </c>
      <c r="B97" s="28">
        <f t="shared" si="34"/>
        <v>704917.53765358368</v>
      </c>
      <c r="C97" s="28">
        <f t="shared" si="30"/>
        <v>1357.4165772071806</v>
      </c>
      <c r="D97" s="28">
        <f t="shared" si="31"/>
        <v>2937.156406889932</v>
      </c>
      <c r="E97" s="28">
        <f t="shared" si="32"/>
        <v>4294.5729840971126</v>
      </c>
      <c r="F97" s="25">
        <f t="shared" si="33"/>
        <v>703560.12107637653</v>
      </c>
      <c r="G97">
        <v>7</v>
      </c>
    </row>
    <row r="98" spans="1:7" x14ac:dyDescent="0.2">
      <c r="A98" s="27" t="s">
        <v>74</v>
      </c>
      <c r="B98" s="26"/>
      <c r="C98" s="25">
        <f>SUM(C86:C97)</f>
        <v>15922.352242299476</v>
      </c>
      <c r="D98" s="25">
        <f>SUM(D86:D97)</f>
        <v>35612.523566865879</v>
      </c>
    </row>
    <row r="99" spans="1:7" x14ac:dyDescent="0.2">
      <c r="B99" s="29"/>
      <c r="C99" s="28"/>
      <c r="D99" s="28"/>
      <c r="E99" s="28"/>
      <c r="F99" s="28"/>
    </row>
    <row r="100" spans="1:7" x14ac:dyDescent="0.2">
      <c r="A100" s="29" t="s">
        <v>86</v>
      </c>
      <c r="B100" s="28">
        <f>+F97</f>
        <v>703560.12107637653</v>
      </c>
      <c r="C100" s="28">
        <f t="shared" ref="C100:C111" si="35">+E100-D100</f>
        <v>1363.0724796122104</v>
      </c>
      <c r="D100" s="28">
        <f t="shared" ref="D100:D111" si="36">B100*$I$2</f>
        <v>2931.5005044849022</v>
      </c>
      <c r="E100" s="28">
        <f t="shared" ref="E100:E111" si="37">-$I$8</f>
        <v>4294.5729840971126</v>
      </c>
      <c r="F100" s="28">
        <f t="shared" ref="F100:F111" si="38">+B100-C100</f>
        <v>702197.04859676433</v>
      </c>
    </row>
    <row r="101" spans="1:7" x14ac:dyDescent="0.2">
      <c r="A101" s="29" t="s">
        <v>87</v>
      </c>
      <c r="B101" s="28">
        <f t="shared" ref="B101:B111" si="39">+F100</f>
        <v>702197.04859676433</v>
      </c>
      <c r="C101" s="28">
        <f t="shared" si="35"/>
        <v>1368.7519482772614</v>
      </c>
      <c r="D101" s="28">
        <f t="shared" si="36"/>
        <v>2925.8210358198512</v>
      </c>
      <c r="E101" s="28">
        <f t="shared" si="37"/>
        <v>4294.5729840971126</v>
      </c>
      <c r="F101" s="28">
        <f t="shared" si="38"/>
        <v>700828.2966484871</v>
      </c>
    </row>
    <row r="102" spans="1:7" x14ac:dyDescent="0.2">
      <c r="A102" s="29" t="s">
        <v>88</v>
      </c>
      <c r="B102" s="28">
        <f t="shared" si="39"/>
        <v>700828.2966484871</v>
      </c>
      <c r="C102" s="28">
        <f t="shared" si="35"/>
        <v>1374.4550813950832</v>
      </c>
      <c r="D102" s="28">
        <f t="shared" si="36"/>
        <v>2920.1179027020294</v>
      </c>
      <c r="E102" s="28">
        <f t="shared" si="37"/>
        <v>4294.5729840971126</v>
      </c>
      <c r="F102" s="28">
        <f t="shared" si="38"/>
        <v>699453.84156709199</v>
      </c>
    </row>
    <row r="103" spans="1:7" x14ac:dyDescent="0.2">
      <c r="A103" s="29" t="s">
        <v>89</v>
      </c>
      <c r="B103" s="28">
        <f t="shared" si="39"/>
        <v>699453.84156709199</v>
      </c>
      <c r="C103" s="28">
        <f t="shared" si="35"/>
        <v>1380.1819775675626</v>
      </c>
      <c r="D103" s="28">
        <f t="shared" si="36"/>
        <v>2914.3910065295499</v>
      </c>
      <c r="E103" s="28">
        <f t="shared" si="37"/>
        <v>4294.5729840971126</v>
      </c>
      <c r="F103" s="28">
        <f t="shared" si="38"/>
        <v>698073.65958952438</v>
      </c>
    </row>
    <row r="104" spans="1:7" x14ac:dyDescent="0.2">
      <c r="A104" s="29" t="s">
        <v>90</v>
      </c>
      <c r="B104" s="28">
        <f t="shared" si="39"/>
        <v>698073.65958952438</v>
      </c>
      <c r="C104" s="28">
        <f t="shared" si="35"/>
        <v>1385.9327358074279</v>
      </c>
      <c r="D104" s="28">
        <f t="shared" si="36"/>
        <v>2908.6402482896847</v>
      </c>
      <c r="E104" s="28">
        <f t="shared" si="37"/>
        <v>4294.5729840971126</v>
      </c>
      <c r="F104" s="28">
        <f t="shared" si="38"/>
        <v>696687.726853717</v>
      </c>
    </row>
    <row r="105" spans="1:7" x14ac:dyDescent="0.2">
      <c r="A105" s="29" t="s">
        <v>91</v>
      </c>
      <c r="B105" s="28">
        <f t="shared" si="39"/>
        <v>696687.726853717</v>
      </c>
      <c r="C105" s="28">
        <f t="shared" si="35"/>
        <v>1391.7074555399586</v>
      </c>
      <c r="D105" s="28">
        <f t="shared" si="36"/>
        <v>2902.865528557154</v>
      </c>
      <c r="E105" s="28">
        <f t="shared" si="37"/>
        <v>4294.5729840971126</v>
      </c>
      <c r="F105" s="28">
        <f t="shared" si="38"/>
        <v>695296.01939817704</v>
      </c>
    </row>
    <row r="106" spans="1:7" x14ac:dyDescent="0.2">
      <c r="A106" s="29" t="s">
        <v>92</v>
      </c>
      <c r="B106" s="28">
        <f t="shared" si="39"/>
        <v>695296.01939817704</v>
      </c>
      <c r="C106" s="28">
        <f t="shared" si="35"/>
        <v>1397.5062366047082</v>
      </c>
      <c r="D106" s="28">
        <f t="shared" si="36"/>
        <v>2897.0667474924044</v>
      </c>
      <c r="E106" s="28">
        <f t="shared" si="37"/>
        <v>4294.5729840971126</v>
      </c>
      <c r="F106" s="28">
        <f t="shared" si="38"/>
        <v>693898.51316157228</v>
      </c>
    </row>
    <row r="107" spans="1:7" x14ac:dyDescent="0.2">
      <c r="A107" s="29" t="s">
        <v>93</v>
      </c>
      <c r="B107" s="28">
        <f t="shared" si="39"/>
        <v>693898.51316157228</v>
      </c>
      <c r="C107" s="28">
        <f t="shared" si="35"/>
        <v>1403.3291792572281</v>
      </c>
      <c r="D107" s="28">
        <f t="shared" si="36"/>
        <v>2891.2438048398844</v>
      </c>
      <c r="E107" s="28">
        <f t="shared" si="37"/>
        <v>4294.5729840971126</v>
      </c>
      <c r="F107" s="28">
        <f t="shared" si="38"/>
        <v>692495.18398231501</v>
      </c>
    </row>
    <row r="108" spans="1:7" x14ac:dyDescent="0.2">
      <c r="A108" s="29" t="s">
        <v>94</v>
      </c>
      <c r="B108" s="28">
        <f t="shared" si="39"/>
        <v>692495.18398231501</v>
      </c>
      <c r="C108" s="28">
        <f t="shared" si="35"/>
        <v>1409.1763841708002</v>
      </c>
      <c r="D108" s="28">
        <f t="shared" si="36"/>
        <v>2885.3965999263123</v>
      </c>
      <c r="E108" s="28">
        <f t="shared" si="37"/>
        <v>4294.5729840971126</v>
      </c>
      <c r="F108" s="28">
        <f t="shared" si="38"/>
        <v>691086.00759814424</v>
      </c>
    </row>
    <row r="109" spans="1:7" x14ac:dyDescent="0.2">
      <c r="A109" s="29" t="s">
        <v>95</v>
      </c>
      <c r="B109" s="28">
        <f t="shared" si="39"/>
        <v>691086.00759814424</v>
      </c>
      <c r="C109" s="28">
        <f t="shared" si="35"/>
        <v>1415.0479524381781</v>
      </c>
      <c r="D109" s="28">
        <f t="shared" si="36"/>
        <v>2879.5250316589345</v>
      </c>
      <c r="E109" s="28">
        <f t="shared" si="37"/>
        <v>4294.5729840971126</v>
      </c>
      <c r="F109" s="28">
        <f t="shared" si="38"/>
        <v>689670.95964570611</v>
      </c>
    </row>
    <row r="110" spans="1:7" x14ac:dyDescent="0.2">
      <c r="A110" s="29" t="s">
        <v>96</v>
      </c>
      <c r="B110" s="28">
        <f t="shared" si="39"/>
        <v>689670.95964570611</v>
      </c>
      <c r="C110" s="28">
        <f t="shared" si="35"/>
        <v>1420.9439855733372</v>
      </c>
      <c r="D110" s="28">
        <f t="shared" si="36"/>
        <v>2873.6289985237754</v>
      </c>
      <c r="E110" s="28">
        <f t="shared" si="37"/>
        <v>4294.5729840971126</v>
      </c>
      <c r="F110" s="28">
        <f t="shared" si="38"/>
        <v>688250.01566013275</v>
      </c>
    </row>
    <row r="111" spans="1:7" x14ac:dyDescent="0.2">
      <c r="A111" s="29" t="s">
        <v>97</v>
      </c>
      <c r="B111" s="28">
        <f t="shared" si="39"/>
        <v>688250.01566013275</v>
      </c>
      <c r="C111" s="28">
        <f t="shared" si="35"/>
        <v>1426.8645855132263</v>
      </c>
      <c r="D111" s="28">
        <f t="shared" si="36"/>
        <v>2867.7083985838863</v>
      </c>
      <c r="E111" s="28">
        <f t="shared" si="37"/>
        <v>4294.5729840971126</v>
      </c>
      <c r="F111" s="25">
        <f t="shared" si="38"/>
        <v>686823.1510746195</v>
      </c>
      <c r="G111">
        <v>8</v>
      </c>
    </row>
    <row r="112" spans="1:7" x14ac:dyDescent="0.2">
      <c r="A112" s="27" t="s">
        <v>74</v>
      </c>
      <c r="B112" s="26"/>
      <c r="C112" s="25">
        <f>SUM(C100:C111)</f>
        <v>16736.970001756985</v>
      </c>
      <c r="D112" s="25">
        <f>SUM(D100:D111)</f>
        <v>34797.905807408366</v>
      </c>
    </row>
    <row r="114" spans="1:7" x14ac:dyDescent="0.2">
      <c r="A114" s="29" t="s">
        <v>86</v>
      </c>
      <c r="B114" s="28">
        <f>+F111</f>
        <v>686823.1510746195</v>
      </c>
      <c r="C114" s="28">
        <f t="shared" ref="C114:C125" si="40">+E114-D114</f>
        <v>1432.8098546195315</v>
      </c>
      <c r="D114" s="28">
        <f t="shared" ref="D114:D125" si="41">B114*$I$2</f>
        <v>2861.7631294775811</v>
      </c>
      <c r="E114" s="28">
        <f t="shared" ref="E114:E125" si="42">-$I$8</f>
        <v>4294.5729840971126</v>
      </c>
      <c r="F114" s="28">
        <f t="shared" ref="F114:F125" si="43">+B114-C114</f>
        <v>685390.34121999994</v>
      </c>
    </row>
    <row r="115" spans="1:7" x14ac:dyDescent="0.2">
      <c r="A115" s="29" t="s">
        <v>87</v>
      </c>
      <c r="B115" s="28">
        <f t="shared" ref="B115:B125" si="44">+F114</f>
        <v>685390.34121999994</v>
      </c>
      <c r="C115" s="28">
        <f t="shared" si="40"/>
        <v>1438.7798956804463</v>
      </c>
      <c r="D115" s="28">
        <f t="shared" si="41"/>
        <v>2855.7930884166663</v>
      </c>
      <c r="E115" s="28">
        <f t="shared" si="42"/>
        <v>4294.5729840971126</v>
      </c>
      <c r="F115" s="28">
        <f t="shared" si="43"/>
        <v>683951.56132431945</v>
      </c>
    </row>
    <row r="116" spans="1:7" x14ac:dyDescent="0.2">
      <c r="A116" s="29" t="s">
        <v>88</v>
      </c>
      <c r="B116" s="28">
        <f t="shared" si="44"/>
        <v>683951.56132431945</v>
      </c>
      <c r="C116" s="28">
        <f t="shared" si="40"/>
        <v>1444.7748119124481</v>
      </c>
      <c r="D116" s="28">
        <f t="shared" si="41"/>
        <v>2849.7981721846645</v>
      </c>
      <c r="E116" s="28">
        <f t="shared" si="42"/>
        <v>4294.5729840971126</v>
      </c>
      <c r="F116" s="28">
        <f t="shared" si="43"/>
        <v>682506.78651240701</v>
      </c>
    </row>
    <row r="117" spans="1:7" x14ac:dyDescent="0.2">
      <c r="A117" s="29" t="s">
        <v>89</v>
      </c>
      <c r="B117" s="28">
        <f t="shared" si="44"/>
        <v>682506.78651240701</v>
      </c>
      <c r="C117" s="28">
        <f t="shared" si="40"/>
        <v>1450.7947069620832</v>
      </c>
      <c r="D117" s="28">
        <f t="shared" si="41"/>
        <v>2843.7782771350294</v>
      </c>
      <c r="E117" s="28">
        <f t="shared" si="42"/>
        <v>4294.5729840971126</v>
      </c>
      <c r="F117" s="28">
        <f t="shared" si="43"/>
        <v>681055.99180544494</v>
      </c>
    </row>
    <row r="118" spans="1:7" x14ac:dyDescent="0.2">
      <c r="A118" s="29" t="s">
        <v>90</v>
      </c>
      <c r="B118" s="28">
        <f t="shared" si="44"/>
        <v>681055.99180544494</v>
      </c>
      <c r="C118" s="28">
        <f t="shared" si="40"/>
        <v>1456.8396849077585</v>
      </c>
      <c r="D118" s="28">
        <f t="shared" si="41"/>
        <v>2837.7332991893541</v>
      </c>
      <c r="E118" s="28">
        <f t="shared" si="42"/>
        <v>4294.5729840971126</v>
      </c>
      <c r="F118" s="28">
        <f t="shared" si="43"/>
        <v>679599.15212053712</v>
      </c>
    </row>
    <row r="119" spans="1:7" x14ac:dyDescent="0.2">
      <c r="A119" s="29" t="s">
        <v>91</v>
      </c>
      <c r="B119" s="28">
        <f t="shared" si="44"/>
        <v>679599.15212053712</v>
      </c>
      <c r="C119" s="28">
        <f t="shared" si="40"/>
        <v>1462.9098502615411</v>
      </c>
      <c r="D119" s="28">
        <f t="shared" si="41"/>
        <v>2831.6631338355714</v>
      </c>
      <c r="E119" s="28">
        <f t="shared" si="42"/>
        <v>4294.5729840971126</v>
      </c>
      <c r="F119" s="28">
        <f t="shared" si="43"/>
        <v>678136.2422702756</v>
      </c>
    </row>
    <row r="120" spans="1:7" x14ac:dyDescent="0.2">
      <c r="A120" s="29" t="s">
        <v>92</v>
      </c>
      <c r="B120" s="28">
        <f t="shared" si="44"/>
        <v>678136.2422702756</v>
      </c>
      <c r="C120" s="28">
        <f t="shared" si="40"/>
        <v>1469.0053079709642</v>
      </c>
      <c r="D120" s="28">
        <f t="shared" si="41"/>
        <v>2825.5676761261484</v>
      </c>
      <c r="E120" s="28">
        <f t="shared" si="42"/>
        <v>4294.5729840971126</v>
      </c>
      <c r="F120" s="28">
        <f t="shared" si="43"/>
        <v>676667.23696230468</v>
      </c>
    </row>
    <row r="121" spans="1:7" x14ac:dyDescent="0.2">
      <c r="A121" s="29" t="s">
        <v>93</v>
      </c>
      <c r="B121" s="28">
        <f t="shared" si="44"/>
        <v>676667.23696230468</v>
      </c>
      <c r="C121" s="28">
        <f t="shared" si="40"/>
        <v>1475.1261634208431</v>
      </c>
      <c r="D121" s="28">
        <f t="shared" si="41"/>
        <v>2819.4468206762695</v>
      </c>
      <c r="E121" s="28">
        <f t="shared" si="42"/>
        <v>4294.5729840971126</v>
      </c>
      <c r="F121" s="28">
        <f t="shared" si="43"/>
        <v>675192.11079888383</v>
      </c>
    </row>
    <row r="122" spans="1:7" x14ac:dyDescent="0.2">
      <c r="A122" s="29" t="s">
        <v>94</v>
      </c>
      <c r="B122" s="28">
        <f t="shared" si="44"/>
        <v>675192.11079888383</v>
      </c>
      <c r="C122" s="28">
        <f t="shared" si="40"/>
        <v>1481.2725224350966</v>
      </c>
      <c r="D122" s="28">
        <f t="shared" si="41"/>
        <v>2813.300461662016</v>
      </c>
      <c r="E122" s="28">
        <f t="shared" si="42"/>
        <v>4294.5729840971126</v>
      </c>
      <c r="F122" s="28">
        <f t="shared" si="43"/>
        <v>673710.83827644878</v>
      </c>
    </row>
    <row r="123" spans="1:7" x14ac:dyDescent="0.2">
      <c r="A123" s="29" t="s">
        <v>95</v>
      </c>
      <c r="B123" s="28">
        <f t="shared" si="44"/>
        <v>673710.83827644878</v>
      </c>
      <c r="C123" s="28">
        <f t="shared" si="40"/>
        <v>1487.4444912785762</v>
      </c>
      <c r="D123" s="28">
        <f t="shared" si="41"/>
        <v>2807.1284928185364</v>
      </c>
      <c r="E123" s="28">
        <f t="shared" si="42"/>
        <v>4294.5729840971126</v>
      </c>
      <c r="F123" s="28">
        <f t="shared" si="43"/>
        <v>672223.39378517016</v>
      </c>
    </row>
    <row r="124" spans="1:7" x14ac:dyDescent="0.2">
      <c r="A124" s="29" t="s">
        <v>96</v>
      </c>
      <c r="B124" s="28">
        <f t="shared" si="44"/>
        <v>672223.39378517016</v>
      </c>
      <c r="C124" s="28">
        <f t="shared" si="40"/>
        <v>1493.6421766589037</v>
      </c>
      <c r="D124" s="28">
        <f t="shared" si="41"/>
        <v>2800.9308074382088</v>
      </c>
      <c r="E124" s="28">
        <f t="shared" si="42"/>
        <v>4294.5729840971126</v>
      </c>
      <c r="F124" s="28">
        <f t="shared" si="43"/>
        <v>670729.75160851132</v>
      </c>
    </row>
    <row r="125" spans="1:7" x14ac:dyDescent="0.2">
      <c r="A125" s="29" t="s">
        <v>97</v>
      </c>
      <c r="B125" s="28">
        <f t="shared" si="44"/>
        <v>670729.75160851132</v>
      </c>
      <c r="C125" s="28">
        <f t="shared" si="40"/>
        <v>1499.8656857283154</v>
      </c>
      <c r="D125" s="28">
        <f t="shared" si="41"/>
        <v>2794.7072983687972</v>
      </c>
      <c r="E125" s="28">
        <f t="shared" si="42"/>
        <v>4294.5729840971126</v>
      </c>
      <c r="F125" s="25">
        <f t="shared" si="43"/>
        <v>669229.88592278305</v>
      </c>
      <c r="G125">
        <v>9</v>
      </c>
    </row>
    <row r="126" spans="1:7" x14ac:dyDescent="0.2">
      <c r="A126" s="27" t="s">
        <v>74</v>
      </c>
      <c r="B126" s="26"/>
      <c r="C126" s="25">
        <f>SUM(C114:C125)</f>
        <v>17593.265151836509</v>
      </c>
      <c r="D126" s="25">
        <f>SUM(D114:D125)</f>
        <v>33941.610657328842</v>
      </c>
    </row>
    <row r="128" spans="1:7" x14ac:dyDescent="0.2">
      <c r="A128" s="29" t="s">
        <v>86</v>
      </c>
      <c r="B128" s="28">
        <f>+F125</f>
        <v>669229.88592278305</v>
      </c>
      <c r="C128" s="28">
        <f t="shared" ref="C128:C139" si="45">+E128-D128</f>
        <v>1506.1151260855167</v>
      </c>
      <c r="D128" s="28">
        <f t="shared" ref="D128:D139" si="46">B128*$I$2</f>
        <v>2788.4578580115958</v>
      </c>
      <c r="E128" s="28">
        <f t="shared" ref="E128:E139" si="47">-$I$8</f>
        <v>4294.5729840971126</v>
      </c>
      <c r="F128" s="28">
        <f t="shared" ref="F128:F139" si="48">+B128-C128</f>
        <v>667723.77079669759</v>
      </c>
    </row>
    <row r="129" spans="1:7" x14ac:dyDescent="0.2">
      <c r="A129" s="29" t="s">
        <v>87</v>
      </c>
      <c r="B129" s="28">
        <f t="shared" ref="B129:B139" si="49">+F128</f>
        <v>667723.77079669759</v>
      </c>
      <c r="C129" s="28">
        <f t="shared" si="45"/>
        <v>1512.3906057775393</v>
      </c>
      <c r="D129" s="28">
        <f t="shared" si="46"/>
        <v>2782.1823783195732</v>
      </c>
      <c r="E129" s="28">
        <f t="shared" si="47"/>
        <v>4294.5729840971126</v>
      </c>
      <c r="F129" s="28">
        <f t="shared" si="48"/>
        <v>666211.38019092008</v>
      </c>
    </row>
    <row r="130" spans="1:7" x14ac:dyDescent="0.2">
      <c r="A130" s="29" t="s">
        <v>88</v>
      </c>
      <c r="B130" s="28">
        <f t="shared" si="49"/>
        <v>666211.38019092008</v>
      </c>
      <c r="C130" s="28">
        <f t="shared" si="45"/>
        <v>1518.6922333016123</v>
      </c>
      <c r="D130" s="28">
        <f t="shared" si="46"/>
        <v>2775.8807507955003</v>
      </c>
      <c r="E130" s="28">
        <f t="shared" si="47"/>
        <v>4294.5729840971126</v>
      </c>
      <c r="F130" s="28">
        <f t="shared" si="48"/>
        <v>664692.6879576185</v>
      </c>
    </row>
    <row r="131" spans="1:7" x14ac:dyDescent="0.2">
      <c r="A131" s="29" t="s">
        <v>89</v>
      </c>
      <c r="B131" s="28">
        <f t="shared" si="49"/>
        <v>664692.6879576185</v>
      </c>
      <c r="C131" s="28">
        <f t="shared" si="45"/>
        <v>1525.0201176070354</v>
      </c>
      <c r="D131" s="28">
        <f t="shared" si="46"/>
        <v>2769.5528664900771</v>
      </c>
      <c r="E131" s="28">
        <f t="shared" si="47"/>
        <v>4294.5729840971126</v>
      </c>
      <c r="F131" s="28">
        <f t="shared" si="48"/>
        <v>663167.66784001142</v>
      </c>
    </row>
    <row r="132" spans="1:7" x14ac:dyDescent="0.2">
      <c r="A132" s="29" t="s">
        <v>90</v>
      </c>
      <c r="B132" s="28">
        <f t="shared" si="49"/>
        <v>663167.66784001142</v>
      </c>
      <c r="C132" s="28">
        <f t="shared" si="45"/>
        <v>1531.3743680970651</v>
      </c>
      <c r="D132" s="28">
        <f t="shared" si="46"/>
        <v>2763.1986160000474</v>
      </c>
      <c r="E132" s="28">
        <f t="shared" si="47"/>
        <v>4294.5729840971126</v>
      </c>
      <c r="F132" s="28">
        <f t="shared" si="48"/>
        <v>661636.29347191437</v>
      </c>
    </row>
    <row r="133" spans="1:7" x14ac:dyDescent="0.2">
      <c r="A133" s="29" t="s">
        <v>91</v>
      </c>
      <c r="B133" s="28">
        <f t="shared" si="49"/>
        <v>661636.29347191437</v>
      </c>
      <c r="C133" s="28">
        <f t="shared" si="45"/>
        <v>1537.7550946308029</v>
      </c>
      <c r="D133" s="28">
        <f t="shared" si="46"/>
        <v>2756.8178894663097</v>
      </c>
      <c r="E133" s="28">
        <f t="shared" si="47"/>
        <v>4294.5729840971126</v>
      </c>
      <c r="F133" s="28">
        <f t="shared" si="48"/>
        <v>660098.53837728361</v>
      </c>
    </row>
    <row r="134" spans="1:7" x14ac:dyDescent="0.2">
      <c r="A134" s="29" t="s">
        <v>92</v>
      </c>
      <c r="B134" s="28">
        <f t="shared" si="49"/>
        <v>660098.53837728361</v>
      </c>
      <c r="C134" s="28">
        <f t="shared" si="45"/>
        <v>1544.1624075250975</v>
      </c>
      <c r="D134" s="28">
        <f t="shared" si="46"/>
        <v>2750.4105765720151</v>
      </c>
      <c r="E134" s="28">
        <f t="shared" si="47"/>
        <v>4294.5729840971126</v>
      </c>
      <c r="F134" s="28">
        <f t="shared" si="48"/>
        <v>658554.37596975849</v>
      </c>
    </row>
    <row r="135" spans="1:7" x14ac:dyDescent="0.2">
      <c r="A135" s="29" t="s">
        <v>93</v>
      </c>
      <c r="B135" s="28">
        <f t="shared" si="49"/>
        <v>658554.37596975849</v>
      </c>
      <c r="C135" s="28">
        <f t="shared" si="45"/>
        <v>1550.5964175564523</v>
      </c>
      <c r="D135" s="28">
        <f t="shared" si="46"/>
        <v>2743.9765665406603</v>
      </c>
      <c r="E135" s="28">
        <f t="shared" si="47"/>
        <v>4294.5729840971126</v>
      </c>
      <c r="F135" s="28">
        <f t="shared" si="48"/>
        <v>657003.77955220209</v>
      </c>
    </row>
    <row r="136" spans="1:7" x14ac:dyDescent="0.2">
      <c r="A136" s="29" t="s">
        <v>94</v>
      </c>
      <c r="B136" s="28">
        <f t="shared" si="49"/>
        <v>657003.77955220209</v>
      </c>
      <c r="C136" s="28">
        <f t="shared" si="45"/>
        <v>1557.0572359629373</v>
      </c>
      <c r="D136" s="28">
        <f t="shared" si="46"/>
        <v>2737.5157481341753</v>
      </c>
      <c r="E136" s="28">
        <f t="shared" si="47"/>
        <v>4294.5729840971126</v>
      </c>
      <c r="F136" s="28">
        <f t="shared" si="48"/>
        <v>655446.72231623915</v>
      </c>
    </row>
    <row r="137" spans="1:7" x14ac:dyDescent="0.2">
      <c r="A137" s="29" t="s">
        <v>95</v>
      </c>
      <c r="B137" s="28">
        <f t="shared" si="49"/>
        <v>655446.72231623915</v>
      </c>
      <c r="C137" s="28">
        <f t="shared" si="45"/>
        <v>1563.5449744461162</v>
      </c>
      <c r="D137" s="28">
        <f t="shared" si="46"/>
        <v>2731.0280096509964</v>
      </c>
      <c r="E137" s="28">
        <f t="shared" si="47"/>
        <v>4294.5729840971126</v>
      </c>
      <c r="F137" s="28">
        <f t="shared" si="48"/>
        <v>653883.17734179308</v>
      </c>
    </row>
    <row r="138" spans="1:7" x14ac:dyDescent="0.2">
      <c r="A138" s="29" t="s">
        <v>96</v>
      </c>
      <c r="B138" s="28">
        <f t="shared" si="49"/>
        <v>653883.17734179308</v>
      </c>
      <c r="C138" s="28">
        <f t="shared" si="45"/>
        <v>1570.0597451729745</v>
      </c>
      <c r="D138" s="28">
        <f t="shared" si="46"/>
        <v>2724.513238924138</v>
      </c>
      <c r="E138" s="28">
        <f t="shared" si="47"/>
        <v>4294.5729840971126</v>
      </c>
      <c r="F138" s="28">
        <f t="shared" si="48"/>
        <v>652313.11759662011</v>
      </c>
    </row>
    <row r="139" spans="1:7" x14ac:dyDescent="0.2">
      <c r="A139" s="29" t="s">
        <v>97</v>
      </c>
      <c r="B139" s="28">
        <f t="shared" si="49"/>
        <v>652313.11759662011</v>
      </c>
      <c r="C139" s="28">
        <f t="shared" si="45"/>
        <v>1576.601660777862</v>
      </c>
      <c r="D139" s="28">
        <f t="shared" si="46"/>
        <v>2717.9713233192506</v>
      </c>
      <c r="E139" s="28">
        <f t="shared" si="47"/>
        <v>4294.5729840971126</v>
      </c>
      <c r="F139" s="25">
        <f t="shared" si="48"/>
        <v>650736.5159358423</v>
      </c>
      <c r="G139">
        <v>10</v>
      </c>
    </row>
    <row r="140" spans="1:7" x14ac:dyDescent="0.2">
      <c r="A140" s="27" t="s">
        <v>74</v>
      </c>
      <c r="B140" s="26"/>
      <c r="C140" s="25">
        <f>SUM(C128:C139)</f>
        <v>18493.369986941012</v>
      </c>
      <c r="D140" s="25">
        <f>SUM(D128:D139)</f>
        <v>33041.505822224339</v>
      </c>
    </row>
    <row r="141" spans="1:7" x14ac:dyDescent="0.2">
      <c r="B141" s="29"/>
      <c r="C141" s="28"/>
      <c r="D141" s="28"/>
      <c r="E141" s="28"/>
      <c r="F141" s="28"/>
    </row>
    <row r="142" spans="1:7" x14ac:dyDescent="0.2">
      <c r="B142" s="28"/>
      <c r="C142" s="28"/>
      <c r="D142" s="28"/>
      <c r="E142" s="28"/>
      <c r="F142" s="28"/>
    </row>
    <row r="143" spans="1:7" x14ac:dyDescent="0.2">
      <c r="B143" s="28"/>
      <c r="C143" s="28"/>
      <c r="D143" s="28"/>
      <c r="E143" s="28"/>
      <c r="F143" s="28"/>
    </row>
    <row r="144" spans="1:7" x14ac:dyDescent="0.2">
      <c r="B144" s="28"/>
      <c r="C144" s="28"/>
      <c r="D144" s="28"/>
      <c r="E144" s="28"/>
      <c r="F144" s="28"/>
    </row>
    <row r="145" spans="2:6" x14ac:dyDescent="0.2">
      <c r="B145" s="28"/>
      <c r="C145" s="28"/>
      <c r="D145" s="28"/>
      <c r="E145" s="28"/>
      <c r="F145" s="28"/>
    </row>
    <row r="146" spans="2:6" x14ac:dyDescent="0.2">
      <c r="B146" s="28"/>
      <c r="C146" s="28"/>
      <c r="D146" s="28"/>
      <c r="E146" s="28"/>
      <c r="F146" s="28"/>
    </row>
    <row r="147" spans="2:6" x14ac:dyDescent="0.2">
      <c r="B147" s="28"/>
      <c r="C147" s="28"/>
      <c r="D147" s="28"/>
      <c r="E147" s="28"/>
      <c r="F147" s="28"/>
    </row>
    <row r="148" spans="2:6" x14ac:dyDescent="0.2">
      <c r="B148" s="28"/>
      <c r="C148" s="28"/>
      <c r="D148" s="28"/>
      <c r="E148" s="28"/>
      <c r="F148" s="28"/>
    </row>
    <row r="149" spans="2:6" x14ac:dyDescent="0.2">
      <c r="B149" s="28"/>
      <c r="C149" s="28"/>
      <c r="D149" s="28"/>
      <c r="E149" s="28"/>
      <c r="F149" s="28"/>
    </row>
    <row r="150" spans="2:6" x14ac:dyDescent="0.2">
      <c r="B150" s="28"/>
      <c r="C150" s="28"/>
      <c r="D150" s="28"/>
      <c r="E150" s="28"/>
      <c r="F150" s="28"/>
    </row>
    <row r="151" spans="2:6" x14ac:dyDescent="0.2">
      <c r="B151" s="28"/>
      <c r="C151" s="28"/>
      <c r="D151" s="28"/>
      <c r="E151" s="28"/>
      <c r="F151" s="28"/>
    </row>
    <row r="152" spans="2:6" x14ac:dyDescent="0.2">
      <c r="B152" s="28"/>
      <c r="C152" s="28"/>
      <c r="D152" s="28"/>
      <c r="E152" s="28"/>
      <c r="F152" s="28"/>
    </row>
    <row r="153" spans="2:6" x14ac:dyDescent="0.2">
      <c r="B153" s="28"/>
      <c r="C153" s="28"/>
      <c r="D153" s="28"/>
      <c r="E153" s="28"/>
      <c r="F153" s="25"/>
    </row>
    <row r="154" spans="2:6" x14ac:dyDescent="0.2">
      <c r="B154" s="27"/>
      <c r="C154" s="25"/>
      <c r="D154" s="25"/>
      <c r="E154" s="28"/>
      <c r="F154" s="28"/>
    </row>
    <row r="155" spans="2:6" x14ac:dyDescent="0.2">
      <c r="B155" s="29"/>
      <c r="C155" s="28"/>
      <c r="D155" s="28"/>
      <c r="E155" s="28"/>
      <c r="F155" s="28"/>
    </row>
    <row r="156" spans="2:6" x14ac:dyDescent="0.2">
      <c r="B156" s="28"/>
      <c r="C156" s="28"/>
      <c r="D156" s="28"/>
      <c r="E156" s="28"/>
      <c r="F156" s="28"/>
    </row>
    <row r="157" spans="2:6" x14ac:dyDescent="0.2">
      <c r="B157" s="28"/>
      <c r="C157" s="28"/>
      <c r="D157" s="28"/>
      <c r="E157" s="28"/>
      <c r="F157" s="28"/>
    </row>
    <row r="158" spans="2:6" x14ac:dyDescent="0.2">
      <c r="B158" s="28"/>
      <c r="C158" s="28"/>
      <c r="D158" s="28"/>
      <c r="E158" s="28"/>
      <c r="F158" s="28"/>
    </row>
    <row r="159" spans="2:6" x14ac:dyDescent="0.2">
      <c r="B159" s="28"/>
      <c r="C159" s="28"/>
      <c r="D159" s="28"/>
      <c r="E159" s="28"/>
      <c r="F159" s="28"/>
    </row>
    <row r="160" spans="2:6" x14ac:dyDescent="0.2">
      <c r="B160" s="28"/>
      <c r="C160" s="28"/>
      <c r="D160" s="28"/>
      <c r="E160" s="28"/>
      <c r="F160" s="28"/>
    </row>
    <row r="161" spans="2:6" x14ac:dyDescent="0.2">
      <c r="B161" s="28"/>
      <c r="C161" s="28"/>
      <c r="D161" s="28"/>
      <c r="E161" s="28"/>
      <c r="F161" s="28"/>
    </row>
    <row r="162" spans="2:6" x14ac:dyDescent="0.2">
      <c r="B162" s="28"/>
      <c r="C162" s="28"/>
      <c r="D162" s="28"/>
      <c r="E162" s="28"/>
      <c r="F162" s="28"/>
    </row>
    <row r="163" spans="2:6" x14ac:dyDescent="0.2">
      <c r="B163" s="28"/>
      <c r="C163" s="28"/>
      <c r="D163" s="28"/>
      <c r="E163" s="28"/>
      <c r="F163" s="28"/>
    </row>
    <row r="164" spans="2:6" x14ac:dyDescent="0.2">
      <c r="B164" s="28"/>
      <c r="C164" s="28"/>
      <c r="D164" s="28"/>
      <c r="E164" s="28"/>
      <c r="F164" s="28"/>
    </row>
    <row r="165" spans="2:6" x14ac:dyDescent="0.2">
      <c r="B165" s="28"/>
      <c r="C165" s="28"/>
      <c r="D165" s="28"/>
      <c r="E165" s="28"/>
      <c r="F165" s="28"/>
    </row>
    <row r="166" spans="2:6" x14ac:dyDescent="0.2">
      <c r="B166" s="28"/>
      <c r="C166" s="28"/>
      <c r="D166" s="28"/>
      <c r="E166" s="28"/>
      <c r="F166" s="28"/>
    </row>
    <row r="167" spans="2:6" x14ac:dyDescent="0.2">
      <c r="B167" s="28"/>
      <c r="C167" s="28"/>
      <c r="D167" s="28"/>
      <c r="E167" s="28"/>
      <c r="F167" s="25"/>
    </row>
    <row r="168" spans="2:6" x14ac:dyDescent="0.2">
      <c r="B168" s="26"/>
      <c r="C168" s="25"/>
      <c r="D168" s="25"/>
    </row>
    <row r="170" spans="2:6" x14ac:dyDescent="0.2">
      <c r="B170" s="28"/>
      <c r="C170" s="28"/>
      <c r="D170" s="28"/>
      <c r="E170" s="28"/>
      <c r="F170" s="28"/>
    </row>
    <row r="171" spans="2:6" x14ac:dyDescent="0.2">
      <c r="B171" s="28"/>
      <c r="C171" s="28"/>
      <c r="D171" s="28"/>
      <c r="E171" s="28"/>
      <c r="F171" s="28"/>
    </row>
    <row r="172" spans="2:6" x14ac:dyDescent="0.2">
      <c r="B172" s="28"/>
      <c r="C172" s="28"/>
      <c r="D172" s="28"/>
      <c r="E172" s="28"/>
      <c r="F172" s="28"/>
    </row>
    <row r="173" spans="2:6" x14ac:dyDescent="0.2">
      <c r="B173" s="28"/>
      <c r="C173" s="28"/>
      <c r="D173" s="28"/>
      <c r="E173" s="28"/>
      <c r="F173" s="28"/>
    </row>
    <row r="174" spans="2:6" x14ac:dyDescent="0.2">
      <c r="B174" s="28"/>
      <c r="C174" s="28"/>
      <c r="D174" s="28"/>
      <c r="E174" s="28"/>
      <c r="F174" s="28"/>
    </row>
    <row r="175" spans="2:6" x14ac:dyDescent="0.2">
      <c r="B175" s="28"/>
      <c r="C175" s="28"/>
      <c r="D175" s="28"/>
      <c r="E175" s="28"/>
      <c r="F175" s="28"/>
    </row>
    <row r="176" spans="2:6" x14ac:dyDescent="0.2">
      <c r="B176" s="28"/>
      <c r="C176" s="28"/>
      <c r="D176" s="28"/>
      <c r="E176" s="28"/>
      <c r="F176" s="28"/>
    </row>
    <row r="177" spans="2:6" x14ac:dyDescent="0.2">
      <c r="B177" s="28"/>
      <c r="C177" s="28"/>
      <c r="D177" s="28"/>
      <c r="E177" s="28"/>
      <c r="F177" s="28"/>
    </row>
    <row r="178" spans="2:6" x14ac:dyDescent="0.2">
      <c r="B178" s="28"/>
      <c r="C178" s="28"/>
      <c r="D178" s="28"/>
      <c r="E178" s="28"/>
      <c r="F178" s="28"/>
    </row>
    <row r="179" spans="2:6" x14ac:dyDescent="0.2">
      <c r="B179" s="28"/>
      <c r="C179" s="28"/>
      <c r="D179" s="28"/>
      <c r="E179" s="28"/>
      <c r="F179" s="28"/>
    </row>
    <row r="180" spans="2:6" x14ac:dyDescent="0.2">
      <c r="B180" s="28"/>
      <c r="C180" s="28"/>
      <c r="D180" s="28"/>
      <c r="E180" s="28"/>
      <c r="F180" s="28"/>
    </row>
    <row r="181" spans="2:6" x14ac:dyDescent="0.2">
      <c r="B181" s="28"/>
      <c r="C181" s="28"/>
      <c r="D181" s="28"/>
      <c r="E181" s="28"/>
      <c r="F181" s="25"/>
    </row>
    <row r="182" spans="2:6" x14ac:dyDescent="0.2">
      <c r="B182" s="26"/>
      <c r="C182" s="25"/>
      <c r="D182" s="25"/>
    </row>
    <row r="184" spans="2:6" x14ac:dyDescent="0.2">
      <c r="B184" s="28"/>
      <c r="C184" s="28"/>
      <c r="D184" s="28"/>
      <c r="E184" s="28"/>
      <c r="F184" s="2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B20" sqref="B20"/>
    </sheetView>
  </sheetViews>
  <sheetFormatPr defaultRowHeight="12.75" x14ac:dyDescent="0.2"/>
  <cols>
    <col min="1" max="1" width="22" bestFit="1" customWidth="1"/>
    <col min="2" max="2" width="10.7109375" bestFit="1" customWidth="1"/>
  </cols>
  <sheetData>
    <row r="1" spans="1:3" x14ac:dyDescent="0.2">
      <c r="A1" t="s">
        <v>44</v>
      </c>
      <c r="B1">
        <v>14500000</v>
      </c>
    </row>
    <row r="2" spans="1:3" x14ac:dyDescent="0.2">
      <c r="A2" t="s">
        <v>132</v>
      </c>
      <c r="B2">
        <v>10000</v>
      </c>
    </row>
    <row r="3" spans="1:3" x14ac:dyDescent="0.2">
      <c r="A3" t="s">
        <v>133</v>
      </c>
      <c r="B3">
        <v>2200</v>
      </c>
    </row>
    <row r="4" spans="1:3" x14ac:dyDescent="0.2">
      <c r="A4" t="s">
        <v>45</v>
      </c>
      <c r="B4">
        <f>B2*B3</f>
        <v>22000000</v>
      </c>
    </row>
    <row r="5" spans="1:3" x14ac:dyDescent="0.2">
      <c r="A5" t="s">
        <v>56</v>
      </c>
      <c r="B5">
        <v>1020000</v>
      </c>
    </row>
    <row r="7" spans="1:3" x14ac:dyDescent="0.2">
      <c r="A7" t="s">
        <v>48</v>
      </c>
      <c r="B7" s="47">
        <v>0.03</v>
      </c>
    </row>
    <row r="8" spans="1:3" x14ac:dyDescent="0.2">
      <c r="A8" t="s">
        <v>49</v>
      </c>
      <c r="B8" s="22">
        <v>0.6</v>
      </c>
      <c r="C8" t="s">
        <v>50</v>
      </c>
    </row>
    <row r="10" spans="1:3" x14ac:dyDescent="0.2">
      <c r="A10" t="s">
        <v>51</v>
      </c>
    </row>
    <row r="11" spans="1:3" x14ac:dyDescent="0.2">
      <c r="A11" t="s">
        <v>52</v>
      </c>
      <c r="B11" s="22">
        <v>0.15</v>
      </c>
      <c r="C11" t="s">
        <v>50</v>
      </c>
    </row>
    <row r="12" spans="1:3" x14ac:dyDescent="0.2">
      <c r="A12" t="s">
        <v>53</v>
      </c>
      <c r="B12" s="22">
        <v>0.05</v>
      </c>
    </row>
    <row r="13" spans="1:3" x14ac:dyDescent="0.2">
      <c r="A13" t="s">
        <v>54</v>
      </c>
      <c r="B13" s="22">
        <v>0.05</v>
      </c>
    </row>
    <row r="15" spans="1:3" x14ac:dyDescent="0.2">
      <c r="A15" t="s">
        <v>55</v>
      </c>
      <c r="B15" s="22">
        <v>0.4</v>
      </c>
      <c r="C15" t="s">
        <v>57</v>
      </c>
    </row>
    <row r="16" spans="1:3" x14ac:dyDescent="0.2">
      <c r="A16" t="s">
        <v>46</v>
      </c>
      <c r="B16" s="22">
        <v>0.6</v>
      </c>
      <c r="C16" t="s">
        <v>57</v>
      </c>
    </row>
    <row r="17" spans="1:6" x14ac:dyDescent="0.2">
      <c r="A17" t="s">
        <v>135</v>
      </c>
      <c r="B17" s="6">
        <v>850000</v>
      </c>
    </row>
    <row r="19" spans="1:6" x14ac:dyDescent="0.2">
      <c r="A19" t="s">
        <v>137</v>
      </c>
      <c r="B19" s="6">
        <v>30</v>
      </c>
      <c r="C19" t="s">
        <v>58</v>
      </c>
    </row>
    <row r="20" spans="1:6" x14ac:dyDescent="0.2">
      <c r="A20" t="s">
        <v>138</v>
      </c>
      <c r="B20" s="6">
        <v>10</v>
      </c>
      <c r="C20" t="s">
        <v>139</v>
      </c>
      <c r="E20">
        <f>Forecast!E32/'Assumptions and data'!B20</f>
        <v>85000</v>
      </c>
      <c r="F20" t="s">
        <v>140</v>
      </c>
    </row>
    <row r="21" spans="1:6" x14ac:dyDescent="0.2">
      <c r="B21">
        <f>Forecast!E33/'Assumptions and data'!B19</f>
        <v>13600</v>
      </c>
      <c r="C21" t="s">
        <v>59</v>
      </c>
    </row>
    <row r="23" spans="1:6" x14ac:dyDescent="0.2">
      <c r="A23" t="s">
        <v>60</v>
      </c>
      <c r="B23" s="22">
        <v>0.02</v>
      </c>
      <c r="C23" t="s">
        <v>50</v>
      </c>
    </row>
    <row r="24" spans="1:6" x14ac:dyDescent="0.2">
      <c r="A24" t="s">
        <v>61</v>
      </c>
      <c r="B24" s="6">
        <v>90</v>
      </c>
      <c r="C24" t="s">
        <v>134</v>
      </c>
    </row>
    <row r="25" spans="1:6" x14ac:dyDescent="0.2">
      <c r="A25" t="s">
        <v>62</v>
      </c>
      <c r="B25" s="6">
        <v>73</v>
      </c>
      <c r="C25" t="s">
        <v>50</v>
      </c>
    </row>
    <row r="27" spans="1:6" x14ac:dyDescent="0.2">
      <c r="A27" t="s">
        <v>63</v>
      </c>
      <c r="B27" s="22">
        <v>0.35</v>
      </c>
      <c r="C27" t="s">
        <v>64</v>
      </c>
    </row>
    <row r="29" spans="1:6" x14ac:dyDescent="0.2">
      <c r="A29" t="s">
        <v>65</v>
      </c>
      <c r="B29">
        <f>B5</f>
        <v>1020000</v>
      </c>
    </row>
    <row r="30" spans="1:6" x14ac:dyDescent="0.2">
      <c r="B30" s="22">
        <v>0.2</v>
      </c>
      <c r="C30" t="s">
        <v>66</v>
      </c>
    </row>
    <row r="31" spans="1:6" x14ac:dyDescent="0.2">
      <c r="B31">
        <f>80%*B29/13</f>
        <v>62769.230769230766</v>
      </c>
      <c r="C31" t="s">
        <v>67</v>
      </c>
    </row>
    <row r="32" spans="1:6" x14ac:dyDescent="0.2">
      <c r="A32" t="s">
        <v>68</v>
      </c>
      <c r="B32" s="22">
        <v>0.03</v>
      </c>
      <c r="C32" t="s">
        <v>69</v>
      </c>
    </row>
    <row r="33" spans="1:3" x14ac:dyDescent="0.2">
      <c r="A33" t="s">
        <v>70</v>
      </c>
      <c r="B33" s="22">
        <v>0.24</v>
      </c>
    </row>
    <row r="34" spans="1:3" x14ac:dyDescent="0.2">
      <c r="A34" t="s">
        <v>71</v>
      </c>
      <c r="B34" s="6">
        <v>3000000</v>
      </c>
      <c r="C34" t="s">
        <v>72</v>
      </c>
    </row>
    <row r="35" spans="1:3" x14ac:dyDescent="0.2">
      <c r="A35" t="s">
        <v>73</v>
      </c>
      <c r="B35" s="22">
        <v>0.1</v>
      </c>
      <c r="C35" t="s">
        <v>35</v>
      </c>
    </row>
    <row r="37" spans="1:3" x14ac:dyDescent="0.2">
      <c r="A37" t="s">
        <v>143</v>
      </c>
      <c r="B37" s="6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workbookViewId="0">
      <pane ySplit="1" topLeftCell="A2" activePane="bottomLeft" state="frozen"/>
      <selection activeCell="B7" sqref="B7"/>
      <selection pane="bottomLeft" activeCell="B7" sqref="B7"/>
    </sheetView>
  </sheetViews>
  <sheetFormatPr defaultColWidth="11.5703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42578125" customWidth="1"/>
    <col min="9" max="9" width="13.85546875" bestFit="1" customWidth="1"/>
  </cols>
  <sheetData>
    <row r="1" spans="1:9" x14ac:dyDescent="0.2">
      <c r="B1" t="s">
        <v>80</v>
      </c>
      <c r="C1" t="s">
        <v>76</v>
      </c>
      <c r="D1" t="s">
        <v>79</v>
      </c>
      <c r="E1" t="s">
        <v>75</v>
      </c>
      <c r="F1" t="s">
        <v>78</v>
      </c>
      <c r="H1" t="s">
        <v>77</v>
      </c>
      <c r="I1" s="30">
        <v>0.05</v>
      </c>
    </row>
    <row r="2" spans="1:9" x14ac:dyDescent="0.2">
      <c r="A2" s="29" t="s">
        <v>86</v>
      </c>
      <c r="B2" s="28">
        <f>I6</f>
        <v>800000</v>
      </c>
      <c r="C2" s="28">
        <f t="shared" ref="C2:C13" si="0">+E2-D2</f>
        <v>961.23965076377908</v>
      </c>
      <c r="D2" s="28">
        <f t="shared" ref="D2:D13" si="1">B2*$I$2</f>
        <v>3333.3333333333335</v>
      </c>
      <c r="E2" s="28">
        <f t="shared" ref="E2:E13" si="2">-$I$8</f>
        <v>4294.5729840971126</v>
      </c>
      <c r="F2" s="28">
        <f t="shared" ref="F2:F13" si="3">+B2-C2</f>
        <v>799038.7603492362</v>
      </c>
      <c r="H2" t="s">
        <v>81</v>
      </c>
      <c r="I2" s="30">
        <f>+I1/12</f>
        <v>4.1666666666666666E-3</v>
      </c>
    </row>
    <row r="3" spans="1:9" x14ac:dyDescent="0.2">
      <c r="A3" s="29" t="s">
        <v>87</v>
      </c>
      <c r="B3" s="28">
        <f t="shared" ref="B3:B13" si="4">+F2</f>
        <v>799038.7603492362</v>
      </c>
      <c r="C3" s="28">
        <f t="shared" si="0"/>
        <v>965.2448159752953</v>
      </c>
      <c r="D3" s="28">
        <f t="shared" si="1"/>
        <v>3329.3281681218173</v>
      </c>
      <c r="E3" s="28">
        <f t="shared" si="2"/>
        <v>4294.5729840971126</v>
      </c>
      <c r="F3" s="28">
        <f t="shared" si="3"/>
        <v>798073.51553326088</v>
      </c>
      <c r="H3" t="s">
        <v>82</v>
      </c>
      <c r="I3" s="31">
        <v>0</v>
      </c>
    </row>
    <row r="4" spans="1:9" x14ac:dyDescent="0.2">
      <c r="A4" s="29" t="s">
        <v>88</v>
      </c>
      <c r="B4" s="28">
        <f t="shared" si="4"/>
        <v>798073.51553326088</v>
      </c>
      <c r="C4" s="28">
        <f t="shared" si="0"/>
        <v>969.26666937519212</v>
      </c>
      <c r="D4" s="28">
        <f t="shared" si="1"/>
        <v>3325.3063147219204</v>
      </c>
      <c r="E4" s="28">
        <f t="shared" si="2"/>
        <v>4294.5729840971126</v>
      </c>
      <c r="F4" s="28">
        <f t="shared" si="3"/>
        <v>797104.24886388564</v>
      </c>
      <c r="H4" t="s">
        <v>83</v>
      </c>
      <c r="I4" s="6">
        <v>360</v>
      </c>
    </row>
    <row r="5" spans="1:9" x14ac:dyDescent="0.2">
      <c r="A5" s="29" t="s">
        <v>89</v>
      </c>
      <c r="B5" s="28">
        <f t="shared" si="4"/>
        <v>797104.24886388564</v>
      </c>
      <c r="C5" s="28">
        <f t="shared" si="0"/>
        <v>973.30528049758914</v>
      </c>
      <c r="D5" s="28">
        <f t="shared" si="1"/>
        <v>3321.2677035995234</v>
      </c>
      <c r="E5" s="28">
        <f t="shared" si="2"/>
        <v>4294.5729840971126</v>
      </c>
      <c r="F5" s="28">
        <f t="shared" si="3"/>
        <v>796130.943583388</v>
      </c>
      <c r="H5" t="s">
        <v>84</v>
      </c>
      <c r="I5">
        <v>0</v>
      </c>
    </row>
    <row r="6" spans="1:9" x14ac:dyDescent="0.2">
      <c r="A6" s="29" t="s">
        <v>90</v>
      </c>
      <c r="B6" s="28">
        <f t="shared" si="4"/>
        <v>796130.943583388</v>
      </c>
      <c r="C6" s="28">
        <f t="shared" si="0"/>
        <v>977.36071916632909</v>
      </c>
      <c r="D6" s="28">
        <f t="shared" si="1"/>
        <v>3317.2122649307835</v>
      </c>
      <c r="E6" s="28">
        <f t="shared" si="2"/>
        <v>4294.5729840971126</v>
      </c>
      <c r="F6" s="28">
        <f t="shared" si="3"/>
        <v>795153.58286422165</v>
      </c>
      <c r="H6" t="s">
        <v>85</v>
      </c>
      <c r="I6" s="31">
        <v>800000</v>
      </c>
    </row>
    <row r="7" spans="1:9" x14ac:dyDescent="0.2">
      <c r="A7" s="29" t="s">
        <v>91</v>
      </c>
      <c r="B7" s="28">
        <f t="shared" si="4"/>
        <v>795153.58286422165</v>
      </c>
      <c r="C7" s="28">
        <f t="shared" si="0"/>
        <v>981.4330554961889</v>
      </c>
      <c r="D7" s="28">
        <f t="shared" si="1"/>
        <v>3313.1399286009237</v>
      </c>
      <c r="E7" s="28">
        <f t="shared" si="2"/>
        <v>4294.5729840971126</v>
      </c>
      <c r="F7" s="28">
        <f t="shared" si="3"/>
        <v>794172.14980872546</v>
      </c>
    </row>
    <row r="8" spans="1:9" x14ac:dyDescent="0.2">
      <c r="A8" s="29" t="s">
        <v>92</v>
      </c>
      <c r="B8" s="28">
        <f t="shared" si="4"/>
        <v>794172.14980872546</v>
      </c>
      <c r="C8" s="28">
        <f t="shared" si="0"/>
        <v>985.52235989408973</v>
      </c>
      <c r="D8" s="28">
        <f t="shared" si="1"/>
        <v>3309.0506242030228</v>
      </c>
      <c r="E8" s="28">
        <f t="shared" si="2"/>
        <v>4294.5729840971126</v>
      </c>
      <c r="F8" s="28">
        <f t="shared" si="3"/>
        <v>793186.62744883134</v>
      </c>
      <c r="H8" t="s">
        <v>75</v>
      </c>
      <c r="I8" s="31">
        <f>PMT(I2,I4,I6,I3,I5)</f>
        <v>-4294.5729840971126</v>
      </c>
    </row>
    <row r="9" spans="1:9" x14ac:dyDescent="0.2">
      <c r="A9" s="29" t="s">
        <v>93</v>
      </c>
      <c r="B9" s="28">
        <f t="shared" si="4"/>
        <v>793186.62744883134</v>
      </c>
      <c r="C9" s="28">
        <f t="shared" si="0"/>
        <v>989.62870306031527</v>
      </c>
      <c r="D9" s="28">
        <f t="shared" si="1"/>
        <v>3304.9442810367973</v>
      </c>
      <c r="E9" s="28">
        <f t="shared" si="2"/>
        <v>4294.5729840971126</v>
      </c>
      <c r="F9" s="28">
        <f t="shared" si="3"/>
        <v>792196.99874577101</v>
      </c>
    </row>
    <row r="10" spans="1:9" x14ac:dyDescent="0.2">
      <c r="A10" s="29" t="s">
        <v>94</v>
      </c>
      <c r="B10" s="28">
        <f t="shared" si="4"/>
        <v>792196.99874577101</v>
      </c>
      <c r="C10" s="28">
        <f t="shared" si="0"/>
        <v>993.75215598973364</v>
      </c>
      <c r="D10" s="28">
        <f t="shared" si="1"/>
        <v>3300.8208281073789</v>
      </c>
      <c r="E10" s="28">
        <f t="shared" si="2"/>
        <v>4294.5729840971126</v>
      </c>
      <c r="F10" s="28">
        <f t="shared" si="3"/>
        <v>791203.24658978125</v>
      </c>
    </row>
    <row r="11" spans="1:9" x14ac:dyDescent="0.2">
      <c r="A11" s="29" t="s">
        <v>95</v>
      </c>
      <c r="B11" s="28">
        <f t="shared" si="4"/>
        <v>791203.24658978125</v>
      </c>
      <c r="C11" s="28">
        <f t="shared" si="0"/>
        <v>997.89278997302426</v>
      </c>
      <c r="D11" s="28">
        <f t="shared" si="1"/>
        <v>3296.6801941240883</v>
      </c>
      <c r="E11" s="28">
        <f t="shared" si="2"/>
        <v>4294.5729840971126</v>
      </c>
      <c r="F11" s="28">
        <f t="shared" si="3"/>
        <v>790205.35379980819</v>
      </c>
    </row>
    <row r="12" spans="1:9" x14ac:dyDescent="0.2">
      <c r="A12" s="29" t="s">
        <v>96</v>
      </c>
      <c r="B12" s="28">
        <f t="shared" si="4"/>
        <v>790205.35379980819</v>
      </c>
      <c r="C12" s="28">
        <f t="shared" si="0"/>
        <v>1002.0506765979117</v>
      </c>
      <c r="D12" s="28">
        <f t="shared" si="1"/>
        <v>3292.5223074992009</v>
      </c>
      <c r="E12" s="28">
        <f t="shared" si="2"/>
        <v>4294.5729840971126</v>
      </c>
      <c r="F12" s="28">
        <f t="shared" si="3"/>
        <v>789203.30312321032</v>
      </c>
    </row>
    <row r="13" spans="1:9" x14ac:dyDescent="0.2">
      <c r="A13" s="29" t="s">
        <v>97</v>
      </c>
      <c r="B13" s="28">
        <f t="shared" si="4"/>
        <v>789203.30312321032</v>
      </c>
      <c r="C13" s="28">
        <f t="shared" si="0"/>
        <v>1006.2258877504028</v>
      </c>
      <c r="D13" s="28">
        <f t="shared" si="1"/>
        <v>3288.3470963467098</v>
      </c>
      <c r="E13" s="28">
        <f t="shared" si="2"/>
        <v>4294.5729840971126</v>
      </c>
      <c r="F13" s="25">
        <f t="shared" si="3"/>
        <v>788197.07723545993</v>
      </c>
      <c r="G13">
        <v>1</v>
      </c>
    </row>
    <row r="14" spans="1:9" x14ac:dyDescent="0.2">
      <c r="A14" s="27" t="s">
        <v>74</v>
      </c>
      <c r="B14" s="27"/>
      <c r="C14" s="25">
        <f>SUM(C2:C13)</f>
        <v>11802.922764539851</v>
      </c>
      <c r="D14" s="25">
        <f>SUM(D2:D13)</f>
        <v>39731.953044625508</v>
      </c>
      <c r="E14" s="28"/>
      <c r="F14" s="28"/>
    </row>
    <row r="15" spans="1:9" x14ac:dyDescent="0.2">
      <c r="A15" s="29"/>
      <c r="B15" s="29"/>
      <c r="C15" s="28"/>
      <c r="D15" s="28"/>
      <c r="E15" s="28"/>
      <c r="F15" s="28"/>
    </row>
    <row r="16" spans="1:9" x14ac:dyDescent="0.2">
      <c r="A16" s="29" t="s">
        <v>86</v>
      </c>
      <c r="B16" s="28">
        <f>+F13</f>
        <v>788197.07723545993</v>
      </c>
      <c r="C16" s="28">
        <f t="shared" ref="C16:C27" si="5">+E16-D16</f>
        <v>1010.4184956160298</v>
      </c>
      <c r="D16" s="28">
        <f t="shared" ref="D16:D27" si="6">B16*$I$2</f>
        <v>3284.1544884810828</v>
      </c>
      <c r="E16" s="28">
        <f t="shared" ref="E16:E27" si="7">-$I$8</f>
        <v>4294.5729840971126</v>
      </c>
      <c r="F16" s="28">
        <f t="shared" ref="F16:F27" si="8">+B16-C16</f>
        <v>787186.65873984387</v>
      </c>
    </row>
    <row r="17" spans="1:7" x14ac:dyDescent="0.2">
      <c r="A17" s="29" t="s">
        <v>87</v>
      </c>
      <c r="B17" s="28">
        <f t="shared" ref="B17:B27" si="9">+F16</f>
        <v>787186.65873984387</v>
      </c>
      <c r="C17" s="28">
        <f t="shared" si="5"/>
        <v>1014.6285726810966</v>
      </c>
      <c r="D17" s="28">
        <f t="shared" si="6"/>
        <v>3279.944411416016</v>
      </c>
      <c r="E17" s="28">
        <f t="shared" si="7"/>
        <v>4294.5729840971126</v>
      </c>
      <c r="F17" s="28">
        <f t="shared" si="8"/>
        <v>786172.03016716277</v>
      </c>
    </row>
    <row r="18" spans="1:7" x14ac:dyDescent="0.2">
      <c r="A18" s="29" t="s">
        <v>88</v>
      </c>
      <c r="B18" s="28">
        <f t="shared" si="9"/>
        <v>786172.03016716277</v>
      </c>
      <c r="C18" s="28">
        <f t="shared" si="5"/>
        <v>1018.8561917339343</v>
      </c>
      <c r="D18" s="28">
        <f t="shared" si="6"/>
        <v>3275.7167923631782</v>
      </c>
      <c r="E18" s="28">
        <f t="shared" si="7"/>
        <v>4294.5729840971126</v>
      </c>
      <c r="F18" s="28">
        <f t="shared" si="8"/>
        <v>785153.1739754288</v>
      </c>
    </row>
    <row r="19" spans="1:7" x14ac:dyDescent="0.2">
      <c r="A19" s="29" t="s">
        <v>89</v>
      </c>
      <c r="B19" s="28">
        <f t="shared" si="9"/>
        <v>785153.1739754288</v>
      </c>
      <c r="C19" s="28">
        <f t="shared" si="5"/>
        <v>1023.1014258661594</v>
      </c>
      <c r="D19" s="28">
        <f t="shared" si="6"/>
        <v>3271.4715582309532</v>
      </c>
      <c r="E19" s="28">
        <f t="shared" si="7"/>
        <v>4294.5729840971126</v>
      </c>
      <c r="F19" s="28">
        <f t="shared" si="8"/>
        <v>784130.07254956267</v>
      </c>
    </row>
    <row r="20" spans="1:7" x14ac:dyDescent="0.2">
      <c r="A20" s="29" t="s">
        <v>90</v>
      </c>
      <c r="B20" s="28">
        <f t="shared" si="9"/>
        <v>784130.07254956267</v>
      </c>
      <c r="C20" s="28">
        <f t="shared" si="5"/>
        <v>1027.364348473935</v>
      </c>
      <c r="D20" s="28">
        <f t="shared" si="6"/>
        <v>3267.2086356231775</v>
      </c>
      <c r="E20" s="28">
        <f t="shared" si="7"/>
        <v>4294.5729840971126</v>
      </c>
      <c r="F20" s="28">
        <f t="shared" si="8"/>
        <v>783102.70820108871</v>
      </c>
    </row>
    <row r="21" spans="1:7" x14ac:dyDescent="0.2">
      <c r="A21" s="29" t="s">
        <v>91</v>
      </c>
      <c r="B21" s="28">
        <f t="shared" si="9"/>
        <v>783102.70820108871</v>
      </c>
      <c r="C21" s="28">
        <f t="shared" si="5"/>
        <v>1031.6450332592431</v>
      </c>
      <c r="D21" s="28">
        <f t="shared" si="6"/>
        <v>3262.9279508378695</v>
      </c>
      <c r="E21" s="28">
        <f t="shared" si="7"/>
        <v>4294.5729840971126</v>
      </c>
      <c r="F21" s="28">
        <f t="shared" si="8"/>
        <v>782071.06316782942</v>
      </c>
    </row>
    <row r="22" spans="1:7" x14ac:dyDescent="0.2">
      <c r="A22" s="29" t="s">
        <v>92</v>
      </c>
      <c r="B22" s="28">
        <f t="shared" si="9"/>
        <v>782071.06316782942</v>
      </c>
      <c r="C22" s="28">
        <f t="shared" si="5"/>
        <v>1035.9435542311567</v>
      </c>
      <c r="D22" s="28">
        <f t="shared" si="6"/>
        <v>3258.6294298659559</v>
      </c>
      <c r="E22" s="28">
        <f t="shared" si="7"/>
        <v>4294.5729840971126</v>
      </c>
      <c r="F22" s="28">
        <f t="shared" si="8"/>
        <v>781035.11961359822</v>
      </c>
    </row>
    <row r="23" spans="1:7" x14ac:dyDescent="0.2">
      <c r="A23" s="29" t="s">
        <v>93</v>
      </c>
      <c r="B23" s="28">
        <f t="shared" si="9"/>
        <v>781035.11961359822</v>
      </c>
      <c r="C23" s="28">
        <f t="shared" si="5"/>
        <v>1040.25998570712</v>
      </c>
      <c r="D23" s="28">
        <f t="shared" si="6"/>
        <v>3254.3129983899926</v>
      </c>
      <c r="E23" s="28">
        <f t="shared" si="7"/>
        <v>4294.5729840971126</v>
      </c>
      <c r="F23" s="28">
        <f t="shared" si="8"/>
        <v>779994.8596278911</v>
      </c>
    </row>
    <row r="24" spans="1:7" x14ac:dyDescent="0.2">
      <c r="A24" s="29" t="s">
        <v>94</v>
      </c>
      <c r="B24" s="28">
        <f t="shared" si="9"/>
        <v>779994.8596278911</v>
      </c>
      <c r="C24" s="28">
        <f t="shared" si="5"/>
        <v>1044.5944023142329</v>
      </c>
      <c r="D24" s="28">
        <f t="shared" si="6"/>
        <v>3249.9785817828797</v>
      </c>
      <c r="E24" s="28">
        <f t="shared" si="7"/>
        <v>4294.5729840971126</v>
      </c>
      <c r="F24" s="28">
        <f t="shared" si="8"/>
        <v>778950.26522557682</v>
      </c>
    </row>
    <row r="25" spans="1:7" x14ac:dyDescent="0.2">
      <c r="A25" s="29" t="s">
        <v>95</v>
      </c>
      <c r="B25" s="28">
        <f t="shared" si="9"/>
        <v>778950.26522557682</v>
      </c>
      <c r="C25" s="28">
        <f t="shared" si="5"/>
        <v>1048.9468789905427</v>
      </c>
      <c r="D25" s="28">
        <f t="shared" si="6"/>
        <v>3245.6261051065699</v>
      </c>
      <c r="E25" s="28">
        <f t="shared" si="7"/>
        <v>4294.5729840971126</v>
      </c>
      <c r="F25" s="28">
        <f t="shared" si="8"/>
        <v>777901.31834658631</v>
      </c>
    </row>
    <row r="26" spans="1:7" x14ac:dyDescent="0.2">
      <c r="A26" s="29" t="s">
        <v>96</v>
      </c>
      <c r="B26" s="28">
        <f t="shared" si="9"/>
        <v>777901.31834658631</v>
      </c>
      <c r="C26" s="28">
        <f t="shared" si="5"/>
        <v>1053.3174909863365</v>
      </c>
      <c r="D26" s="28">
        <f t="shared" si="6"/>
        <v>3241.2554931107761</v>
      </c>
      <c r="E26" s="28">
        <f t="shared" si="7"/>
        <v>4294.5729840971126</v>
      </c>
      <c r="F26" s="28">
        <f t="shared" si="8"/>
        <v>776848.0008556</v>
      </c>
    </row>
    <row r="27" spans="1:7" x14ac:dyDescent="0.2">
      <c r="A27" s="29" t="s">
        <v>97</v>
      </c>
      <c r="B27" s="28">
        <f t="shared" si="9"/>
        <v>776848.0008556</v>
      </c>
      <c r="C27" s="28">
        <f t="shared" si="5"/>
        <v>1057.7063138654457</v>
      </c>
      <c r="D27" s="28">
        <f t="shared" si="6"/>
        <v>3236.8666702316668</v>
      </c>
      <c r="E27" s="28">
        <f t="shared" si="7"/>
        <v>4294.5729840971126</v>
      </c>
      <c r="F27" s="25">
        <f t="shared" si="8"/>
        <v>775790.2945417345</v>
      </c>
      <c r="G27">
        <v>2</v>
      </c>
    </row>
    <row r="28" spans="1:7" x14ac:dyDescent="0.2">
      <c r="A28" s="27" t="s">
        <v>74</v>
      </c>
      <c r="B28" s="27"/>
      <c r="C28" s="25">
        <f>SUM(C16:C27)</f>
        <v>12406.782693725232</v>
      </c>
      <c r="D28" s="25">
        <f>SUM(D16:D27)</f>
        <v>39128.093115440126</v>
      </c>
      <c r="E28" s="28"/>
      <c r="F28" s="28"/>
    </row>
    <row r="29" spans="1:7" x14ac:dyDescent="0.2">
      <c r="A29" s="29"/>
      <c r="B29" s="29"/>
      <c r="C29" s="28"/>
      <c r="D29" s="28"/>
      <c r="E29" s="28"/>
      <c r="F29" s="28"/>
    </row>
    <row r="30" spans="1:7" x14ac:dyDescent="0.2">
      <c r="A30" s="29" t="s">
        <v>86</v>
      </c>
      <c r="B30" s="28">
        <f>+F27</f>
        <v>775790.2945417345</v>
      </c>
      <c r="C30" s="28">
        <f t="shared" ref="C30:C41" si="10">+E30-D30</f>
        <v>1062.113423506552</v>
      </c>
      <c r="D30" s="28">
        <f t="shared" ref="D30:D41" si="11">B30*$I$2</f>
        <v>3232.4595605905606</v>
      </c>
      <c r="E30" s="28">
        <f t="shared" ref="E30:E41" si="12">-$I$8</f>
        <v>4294.5729840971126</v>
      </c>
      <c r="F30" s="28">
        <f t="shared" ref="F30:F41" si="13">+B30-C30</f>
        <v>774728.18111822801</v>
      </c>
    </row>
    <row r="31" spans="1:7" x14ac:dyDescent="0.2">
      <c r="A31" s="29" t="s">
        <v>87</v>
      </c>
      <c r="B31" s="28">
        <f t="shared" ref="B31:B41" si="14">+F30</f>
        <v>774728.18111822801</v>
      </c>
      <c r="C31" s="28">
        <f t="shared" si="10"/>
        <v>1066.538896104496</v>
      </c>
      <c r="D31" s="28">
        <f t="shared" si="11"/>
        <v>3228.0340879926166</v>
      </c>
      <c r="E31" s="28">
        <f t="shared" si="12"/>
        <v>4294.5729840971126</v>
      </c>
      <c r="F31" s="28">
        <f t="shared" si="13"/>
        <v>773661.64222212345</v>
      </c>
    </row>
    <row r="32" spans="1:7" x14ac:dyDescent="0.2">
      <c r="A32" s="29" t="s">
        <v>88</v>
      </c>
      <c r="B32" s="28">
        <f t="shared" si="14"/>
        <v>773661.64222212345</v>
      </c>
      <c r="C32" s="28">
        <f t="shared" si="10"/>
        <v>1070.9828081715982</v>
      </c>
      <c r="D32" s="28">
        <f t="shared" si="11"/>
        <v>3223.5901759255144</v>
      </c>
      <c r="E32" s="28">
        <f t="shared" si="12"/>
        <v>4294.5729840971126</v>
      </c>
      <c r="F32" s="28">
        <f t="shared" si="13"/>
        <v>772590.6594139518</v>
      </c>
    </row>
    <row r="33" spans="1:7" x14ac:dyDescent="0.2">
      <c r="A33" s="29" t="s">
        <v>89</v>
      </c>
      <c r="B33" s="28">
        <f t="shared" si="14"/>
        <v>772590.6594139518</v>
      </c>
      <c r="C33" s="28">
        <f t="shared" si="10"/>
        <v>1075.4452365389802</v>
      </c>
      <c r="D33" s="28">
        <f t="shared" si="11"/>
        <v>3219.1277475581323</v>
      </c>
      <c r="E33" s="28">
        <f t="shared" si="12"/>
        <v>4294.5729840971126</v>
      </c>
      <c r="F33" s="28">
        <f t="shared" si="13"/>
        <v>771515.2141774128</v>
      </c>
    </row>
    <row r="34" spans="1:7" x14ac:dyDescent="0.2">
      <c r="A34" s="29" t="s">
        <v>90</v>
      </c>
      <c r="B34" s="28">
        <f t="shared" si="14"/>
        <v>771515.2141774128</v>
      </c>
      <c r="C34" s="28">
        <f t="shared" si="10"/>
        <v>1079.9262583578925</v>
      </c>
      <c r="D34" s="28">
        <f t="shared" si="11"/>
        <v>3214.6467257392201</v>
      </c>
      <c r="E34" s="28">
        <f t="shared" si="12"/>
        <v>4294.5729840971126</v>
      </c>
      <c r="F34" s="28">
        <f t="shared" si="13"/>
        <v>770435.28791905486</v>
      </c>
    </row>
    <row r="35" spans="1:7" x14ac:dyDescent="0.2">
      <c r="A35" s="29" t="s">
        <v>91</v>
      </c>
      <c r="B35" s="28">
        <f t="shared" si="14"/>
        <v>770435.28791905486</v>
      </c>
      <c r="C35" s="28">
        <f t="shared" si="10"/>
        <v>1084.4259511010505</v>
      </c>
      <c r="D35" s="28">
        <f t="shared" si="11"/>
        <v>3210.1470329960621</v>
      </c>
      <c r="E35" s="28">
        <f t="shared" si="12"/>
        <v>4294.5729840971126</v>
      </c>
      <c r="F35" s="28">
        <f t="shared" si="13"/>
        <v>769350.86196795385</v>
      </c>
    </row>
    <row r="36" spans="1:7" x14ac:dyDescent="0.2">
      <c r="A36" s="29" t="s">
        <v>92</v>
      </c>
      <c r="B36" s="28">
        <f t="shared" si="14"/>
        <v>769350.86196795385</v>
      </c>
      <c r="C36" s="28">
        <f t="shared" si="10"/>
        <v>1088.9443925639716</v>
      </c>
      <c r="D36" s="28">
        <f t="shared" si="11"/>
        <v>3205.6285915331409</v>
      </c>
      <c r="E36" s="28">
        <f t="shared" si="12"/>
        <v>4294.5729840971126</v>
      </c>
      <c r="F36" s="28">
        <f t="shared" si="13"/>
        <v>768261.91757538985</v>
      </c>
    </row>
    <row r="37" spans="1:7" x14ac:dyDescent="0.2">
      <c r="A37" s="29" t="s">
        <v>93</v>
      </c>
      <c r="B37" s="28">
        <f t="shared" si="14"/>
        <v>768261.91757538985</v>
      </c>
      <c r="C37" s="28">
        <f t="shared" si="10"/>
        <v>1093.4816608663214</v>
      </c>
      <c r="D37" s="28">
        <f t="shared" si="11"/>
        <v>3201.0913232307912</v>
      </c>
      <c r="E37" s="28">
        <f t="shared" si="12"/>
        <v>4294.5729840971126</v>
      </c>
      <c r="F37" s="28">
        <f t="shared" si="13"/>
        <v>767168.43591452355</v>
      </c>
    </row>
    <row r="38" spans="1:7" x14ac:dyDescent="0.2">
      <c r="A38" s="29" t="s">
        <v>94</v>
      </c>
      <c r="B38" s="28">
        <f t="shared" si="14"/>
        <v>767168.43591452355</v>
      </c>
      <c r="C38" s="28">
        <f t="shared" si="10"/>
        <v>1098.0378344532646</v>
      </c>
      <c r="D38" s="28">
        <f t="shared" si="11"/>
        <v>3196.5351496438479</v>
      </c>
      <c r="E38" s="28">
        <f t="shared" si="12"/>
        <v>4294.5729840971126</v>
      </c>
      <c r="F38" s="28">
        <f t="shared" si="13"/>
        <v>766070.39808007027</v>
      </c>
    </row>
    <row r="39" spans="1:7" x14ac:dyDescent="0.2">
      <c r="A39" s="29" t="s">
        <v>95</v>
      </c>
      <c r="B39" s="28">
        <f t="shared" si="14"/>
        <v>766070.39808007027</v>
      </c>
      <c r="C39" s="28">
        <f t="shared" si="10"/>
        <v>1102.6129920968197</v>
      </c>
      <c r="D39" s="28">
        <f t="shared" si="11"/>
        <v>3191.9599920002929</v>
      </c>
      <c r="E39" s="28">
        <f t="shared" si="12"/>
        <v>4294.5729840971126</v>
      </c>
      <c r="F39" s="28">
        <f t="shared" si="13"/>
        <v>764967.78508797346</v>
      </c>
    </row>
    <row r="40" spans="1:7" x14ac:dyDescent="0.2">
      <c r="A40" s="29" t="s">
        <v>96</v>
      </c>
      <c r="B40" s="28">
        <f t="shared" si="14"/>
        <v>764967.78508797346</v>
      </c>
      <c r="C40" s="28">
        <f t="shared" si="10"/>
        <v>1107.2072128972231</v>
      </c>
      <c r="D40" s="28">
        <f t="shared" si="11"/>
        <v>3187.3657711998894</v>
      </c>
      <c r="E40" s="28">
        <f t="shared" si="12"/>
        <v>4294.5729840971126</v>
      </c>
      <c r="F40" s="28">
        <f t="shared" si="13"/>
        <v>763860.57787507621</v>
      </c>
    </row>
    <row r="41" spans="1:7" x14ac:dyDescent="0.2">
      <c r="A41" s="29" t="s">
        <v>97</v>
      </c>
      <c r="B41" s="28">
        <f t="shared" si="14"/>
        <v>763860.57787507621</v>
      </c>
      <c r="C41" s="28">
        <f t="shared" si="10"/>
        <v>1111.8205762842949</v>
      </c>
      <c r="D41" s="28">
        <f t="shared" si="11"/>
        <v>3182.7524078128176</v>
      </c>
      <c r="E41" s="28">
        <f t="shared" si="12"/>
        <v>4294.5729840971126</v>
      </c>
      <c r="F41" s="25">
        <f t="shared" si="13"/>
        <v>762748.7572987919</v>
      </c>
      <c r="G41">
        <v>3</v>
      </c>
    </row>
    <row r="42" spans="1:7" x14ac:dyDescent="0.2">
      <c r="A42" s="27" t="s">
        <v>74</v>
      </c>
      <c r="B42" s="27"/>
      <c r="C42" s="25">
        <f>SUM(C30:C41)</f>
        <v>13041.537242942466</v>
      </c>
      <c r="D42" s="25">
        <f>SUM(D30:D41)</f>
        <v>38493.33856622289</v>
      </c>
      <c r="E42" s="28"/>
      <c r="F42" s="28"/>
    </row>
    <row r="43" spans="1:7" x14ac:dyDescent="0.2">
      <c r="A43" s="29"/>
      <c r="B43" s="29"/>
      <c r="C43" s="28"/>
      <c r="D43" s="28"/>
      <c r="E43" s="28"/>
      <c r="F43" s="28"/>
    </row>
    <row r="44" spans="1:7" x14ac:dyDescent="0.2">
      <c r="A44" s="29" t="s">
        <v>86</v>
      </c>
      <c r="B44" s="28">
        <f>+F41</f>
        <v>762748.7572987919</v>
      </c>
      <c r="C44" s="28">
        <f t="shared" ref="C44:C55" si="15">+E44-D44</f>
        <v>1116.4531620188131</v>
      </c>
      <c r="D44" s="28">
        <f t="shared" ref="D44:D55" si="16">B44*$I$2</f>
        <v>3178.1198220782994</v>
      </c>
      <c r="E44" s="28">
        <f t="shared" ref="E44:E55" si="17">-$I$8</f>
        <v>4294.5729840971126</v>
      </c>
      <c r="F44" s="28">
        <f t="shared" ref="F44:F55" si="18">+B44-C44</f>
        <v>761632.30413677311</v>
      </c>
    </row>
    <row r="45" spans="1:7" x14ac:dyDescent="0.2">
      <c r="A45" s="29" t="s">
        <v>87</v>
      </c>
      <c r="B45" s="28">
        <f t="shared" ref="B45:B55" si="19">+F44</f>
        <v>761632.30413677311</v>
      </c>
      <c r="C45" s="28">
        <f t="shared" si="15"/>
        <v>1121.1050501938912</v>
      </c>
      <c r="D45" s="28">
        <f t="shared" si="16"/>
        <v>3173.4679339032214</v>
      </c>
      <c r="E45" s="28">
        <f t="shared" si="17"/>
        <v>4294.5729840971126</v>
      </c>
      <c r="F45" s="28">
        <f t="shared" si="18"/>
        <v>760511.19908657926</v>
      </c>
    </row>
    <row r="46" spans="1:7" x14ac:dyDescent="0.2">
      <c r="A46" s="29" t="s">
        <v>88</v>
      </c>
      <c r="B46" s="28">
        <f t="shared" si="19"/>
        <v>760511.19908657926</v>
      </c>
      <c r="C46" s="28">
        <f t="shared" si="15"/>
        <v>1125.7763212363657</v>
      </c>
      <c r="D46" s="28">
        <f t="shared" si="16"/>
        <v>3168.7966628607469</v>
      </c>
      <c r="E46" s="28">
        <f t="shared" si="17"/>
        <v>4294.5729840971126</v>
      </c>
      <c r="F46" s="28">
        <f t="shared" si="18"/>
        <v>759385.42276534287</v>
      </c>
    </row>
    <row r="47" spans="1:7" x14ac:dyDescent="0.2">
      <c r="A47" s="29" t="s">
        <v>89</v>
      </c>
      <c r="B47" s="28">
        <f t="shared" si="19"/>
        <v>759385.42276534287</v>
      </c>
      <c r="C47" s="28">
        <f t="shared" si="15"/>
        <v>1130.4670559081842</v>
      </c>
      <c r="D47" s="28">
        <f t="shared" si="16"/>
        <v>3164.1059281889284</v>
      </c>
      <c r="E47" s="28">
        <f t="shared" si="17"/>
        <v>4294.5729840971126</v>
      </c>
      <c r="F47" s="28">
        <f t="shared" si="18"/>
        <v>758254.9557094347</v>
      </c>
    </row>
    <row r="48" spans="1:7" x14ac:dyDescent="0.2">
      <c r="A48" s="29" t="s">
        <v>90</v>
      </c>
      <c r="B48" s="28">
        <f t="shared" si="19"/>
        <v>758254.9557094347</v>
      </c>
      <c r="C48" s="28">
        <f t="shared" si="15"/>
        <v>1135.1773353078015</v>
      </c>
      <c r="D48" s="28">
        <f t="shared" si="16"/>
        <v>3159.3956487893111</v>
      </c>
      <c r="E48" s="28">
        <f t="shared" si="17"/>
        <v>4294.5729840971126</v>
      </c>
      <c r="F48" s="28">
        <f t="shared" si="18"/>
        <v>757119.77837412688</v>
      </c>
    </row>
    <row r="49" spans="1:7" x14ac:dyDescent="0.2">
      <c r="A49" s="29" t="s">
        <v>91</v>
      </c>
      <c r="B49" s="28">
        <f t="shared" si="19"/>
        <v>757119.77837412688</v>
      </c>
      <c r="C49" s="28">
        <f t="shared" si="15"/>
        <v>1139.9072408715838</v>
      </c>
      <c r="D49" s="28">
        <f t="shared" si="16"/>
        <v>3154.6657432255288</v>
      </c>
      <c r="E49" s="28">
        <f t="shared" si="17"/>
        <v>4294.5729840971126</v>
      </c>
      <c r="F49" s="28">
        <f t="shared" si="18"/>
        <v>755979.87113325531</v>
      </c>
    </row>
    <row r="50" spans="1:7" x14ac:dyDescent="0.2">
      <c r="A50" s="29" t="s">
        <v>92</v>
      </c>
      <c r="B50" s="28">
        <f t="shared" si="19"/>
        <v>755979.87113325531</v>
      </c>
      <c r="C50" s="28">
        <f t="shared" si="15"/>
        <v>1144.6568543752155</v>
      </c>
      <c r="D50" s="28">
        <f t="shared" si="16"/>
        <v>3149.9161297218971</v>
      </c>
      <c r="E50" s="28">
        <f t="shared" si="17"/>
        <v>4294.5729840971126</v>
      </c>
      <c r="F50" s="28">
        <f t="shared" si="18"/>
        <v>754835.21427888004</v>
      </c>
    </row>
    <row r="51" spans="1:7" x14ac:dyDescent="0.2">
      <c r="A51" s="29" t="s">
        <v>93</v>
      </c>
      <c r="B51" s="28">
        <f t="shared" si="19"/>
        <v>754835.21427888004</v>
      </c>
      <c r="C51" s="28">
        <f t="shared" si="15"/>
        <v>1149.4262579351125</v>
      </c>
      <c r="D51" s="28">
        <f t="shared" si="16"/>
        <v>3145.146726162</v>
      </c>
      <c r="E51" s="28">
        <f t="shared" si="17"/>
        <v>4294.5729840971126</v>
      </c>
      <c r="F51" s="28">
        <f t="shared" si="18"/>
        <v>753685.78802094492</v>
      </c>
    </row>
    <row r="52" spans="1:7" x14ac:dyDescent="0.2">
      <c r="A52" s="29" t="s">
        <v>94</v>
      </c>
      <c r="B52" s="28">
        <f t="shared" si="19"/>
        <v>753685.78802094492</v>
      </c>
      <c r="C52" s="28">
        <f t="shared" si="15"/>
        <v>1154.215534009842</v>
      </c>
      <c r="D52" s="28">
        <f t="shared" si="16"/>
        <v>3140.3574500872705</v>
      </c>
      <c r="E52" s="28">
        <f t="shared" si="17"/>
        <v>4294.5729840971126</v>
      </c>
      <c r="F52" s="28">
        <f t="shared" si="18"/>
        <v>752531.57248693507</v>
      </c>
    </row>
    <row r="53" spans="1:7" x14ac:dyDescent="0.2">
      <c r="A53" s="29" t="s">
        <v>95</v>
      </c>
      <c r="B53" s="28">
        <f t="shared" si="19"/>
        <v>752531.57248693507</v>
      </c>
      <c r="C53" s="28">
        <f t="shared" si="15"/>
        <v>1159.0247654015498</v>
      </c>
      <c r="D53" s="28">
        <f t="shared" si="16"/>
        <v>3135.5482186955628</v>
      </c>
      <c r="E53" s="28">
        <f t="shared" si="17"/>
        <v>4294.5729840971126</v>
      </c>
      <c r="F53" s="28">
        <f t="shared" si="18"/>
        <v>751372.54772153357</v>
      </c>
    </row>
    <row r="54" spans="1:7" x14ac:dyDescent="0.2">
      <c r="A54" s="29" t="s">
        <v>96</v>
      </c>
      <c r="B54" s="28">
        <f t="shared" si="19"/>
        <v>751372.54772153357</v>
      </c>
      <c r="C54" s="28">
        <f t="shared" si="15"/>
        <v>1163.8540352573896</v>
      </c>
      <c r="D54" s="28">
        <f t="shared" si="16"/>
        <v>3130.718948839723</v>
      </c>
      <c r="E54" s="28">
        <f t="shared" si="17"/>
        <v>4294.5729840971126</v>
      </c>
      <c r="F54" s="28">
        <f t="shared" si="18"/>
        <v>750208.69368627621</v>
      </c>
    </row>
    <row r="55" spans="1:7" x14ac:dyDescent="0.2">
      <c r="A55" s="29" t="s">
        <v>97</v>
      </c>
      <c r="B55" s="28">
        <f t="shared" si="19"/>
        <v>750208.69368627621</v>
      </c>
      <c r="C55" s="28">
        <f t="shared" si="15"/>
        <v>1168.7034270709619</v>
      </c>
      <c r="D55" s="28">
        <f t="shared" si="16"/>
        <v>3125.8695570261507</v>
      </c>
      <c r="E55" s="28">
        <f t="shared" si="17"/>
        <v>4294.5729840971126</v>
      </c>
      <c r="F55" s="25">
        <f t="shared" si="18"/>
        <v>749039.99025920522</v>
      </c>
      <c r="G55" s="32">
        <v>4</v>
      </c>
    </row>
    <row r="56" spans="1:7" x14ac:dyDescent="0.2">
      <c r="A56" s="27" t="s">
        <v>74</v>
      </c>
      <c r="B56" s="26"/>
      <c r="C56" s="25">
        <f>SUM(C44:C55)</f>
        <v>13708.76703958671</v>
      </c>
      <c r="D56" s="25">
        <f>SUM(D44:D55)</f>
        <v>37826.108769578634</v>
      </c>
    </row>
    <row r="58" spans="1:7" x14ac:dyDescent="0.2">
      <c r="A58" s="29" t="s">
        <v>86</v>
      </c>
      <c r="B58" s="28">
        <f>+F55</f>
        <v>749039.99025920522</v>
      </c>
      <c r="C58" s="28">
        <f t="shared" ref="C58:C69" si="20">+E58-D58</f>
        <v>1173.5730246837575</v>
      </c>
      <c r="D58" s="28">
        <f t="shared" ref="D58:D69" si="21">B58*$I$2</f>
        <v>3120.9999594133551</v>
      </c>
      <c r="E58" s="28">
        <f t="shared" ref="E58:E69" si="22">-$I$8</f>
        <v>4294.5729840971126</v>
      </c>
      <c r="F58" s="28">
        <f t="shared" ref="F58:F69" si="23">+B58-C58</f>
        <v>747866.41723452148</v>
      </c>
    </row>
    <row r="59" spans="1:7" x14ac:dyDescent="0.2">
      <c r="A59" s="29" t="s">
        <v>87</v>
      </c>
      <c r="B59" s="28">
        <f t="shared" ref="B59:B69" si="24">+F58</f>
        <v>747866.41723452148</v>
      </c>
      <c r="C59" s="28">
        <f t="shared" si="20"/>
        <v>1178.4629122866063</v>
      </c>
      <c r="D59" s="28">
        <f t="shared" si="21"/>
        <v>3116.1100718105063</v>
      </c>
      <c r="E59" s="28">
        <f t="shared" si="22"/>
        <v>4294.5729840971126</v>
      </c>
      <c r="F59" s="28">
        <f t="shared" si="23"/>
        <v>746687.95432223484</v>
      </c>
    </row>
    <row r="60" spans="1:7" x14ac:dyDescent="0.2">
      <c r="A60" s="29" t="s">
        <v>88</v>
      </c>
      <c r="B60" s="28">
        <f t="shared" si="24"/>
        <v>746687.95432223484</v>
      </c>
      <c r="C60" s="28">
        <f t="shared" si="20"/>
        <v>1183.3731744211341</v>
      </c>
      <c r="D60" s="28">
        <f t="shared" si="21"/>
        <v>3111.1998096759785</v>
      </c>
      <c r="E60" s="28">
        <f t="shared" si="22"/>
        <v>4294.5729840971126</v>
      </c>
      <c r="F60" s="28">
        <f t="shared" si="23"/>
        <v>745504.5811478137</v>
      </c>
    </row>
    <row r="61" spans="1:7" x14ac:dyDescent="0.2">
      <c r="A61" s="29" t="s">
        <v>89</v>
      </c>
      <c r="B61" s="28">
        <f t="shared" si="24"/>
        <v>745504.5811478137</v>
      </c>
      <c r="C61" s="28">
        <f t="shared" si="20"/>
        <v>1188.303895981222</v>
      </c>
      <c r="D61" s="28">
        <f t="shared" si="21"/>
        <v>3106.2690881158906</v>
      </c>
      <c r="E61" s="28">
        <f t="shared" si="22"/>
        <v>4294.5729840971126</v>
      </c>
      <c r="F61" s="28">
        <f t="shared" si="23"/>
        <v>744316.27725183254</v>
      </c>
    </row>
    <row r="62" spans="1:7" x14ac:dyDescent="0.2">
      <c r="A62" s="29" t="s">
        <v>90</v>
      </c>
      <c r="B62" s="28">
        <f t="shared" si="24"/>
        <v>744316.27725183254</v>
      </c>
      <c r="C62" s="28">
        <f t="shared" si="20"/>
        <v>1193.255162214477</v>
      </c>
      <c r="D62" s="28">
        <f t="shared" si="21"/>
        <v>3101.3178218826356</v>
      </c>
      <c r="E62" s="28">
        <f t="shared" si="22"/>
        <v>4294.5729840971126</v>
      </c>
      <c r="F62" s="28">
        <f t="shared" si="23"/>
        <v>743123.02208961803</v>
      </c>
    </row>
    <row r="63" spans="1:7" x14ac:dyDescent="0.2">
      <c r="A63" s="29" t="s">
        <v>91</v>
      </c>
      <c r="B63" s="28">
        <f t="shared" si="24"/>
        <v>743123.02208961803</v>
      </c>
      <c r="C63" s="28">
        <f t="shared" si="20"/>
        <v>1198.227058723704</v>
      </c>
      <c r="D63" s="28">
        <f t="shared" si="21"/>
        <v>3096.3459253734086</v>
      </c>
      <c r="E63" s="28">
        <f t="shared" si="22"/>
        <v>4294.5729840971126</v>
      </c>
      <c r="F63" s="28">
        <f t="shared" si="23"/>
        <v>741924.79503089434</v>
      </c>
    </row>
    <row r="64" spans="1:7" x14ac:dyDescent="0.2">
      <c r="A64" s="29" t="s">
        <v>92</v>
      </c>
      <c r="B64" s="28">
        <f t="shared" si="24"/>
        <v>741924.79503089434</v>
      </c>
      <c r="C64" s="28">
        <f t="shared" si="20"/>
        <v>1203.219671468386</v>
      </c>
      <c r="D64" s="28">
        <f t="shared" si="21"/>
        <v>3091.3533126287266</v>
      </c>
      <c r="E64" s="28">
        <f t="shared" si="22"/>
        <v>4294.5729840971126</v>
      </c>
      <c r="F64" s="28">
        <f t="shared" si="23"/>
        <v>740721.57535942597</v>
      </c>
    </row>
    <row r="65" spans="1:7" x14ac:dyDescent="0.2">
      <c r="A65" s="29" t="s">
        <v>93</v>
      </c>
      <c r="B65" s="28">
        <f t="shared" si="24"/>
        <v>740721.57535942597</v>
      </c>
      <c r="C65" s="28">
        <f t="shared" si="20"/>
        <v>1208.2330867661713</v>
      </c>
      <c r="D65" s="28">
        <f t="shared" si="21"/>
        <v>3086.3398973309413</v>
      </c>
      <c r="E65" s="28">
        <f t="shared" si="22"/>
        <v>4294.5729840971126</v>
      </c>
      <c r="F65" s="28">
        <f t="shared" si="23"/>
        <v>739513.34227265976</v>
      </c>
    </row>
    <row r="66" spans="1:7" x14ac:dyDescent="0.2">
      <c r="A66" s="29" t="s">
        <v>94</v>
      </c>
      <c r="B66" s="28">
        <f t="shared" si="24"/>
        <v>739513.34227265976</v>
      </c>
      <c r="C66" s="28">
        <f t="shared" si="20"/>
        <v>1213.2673912943637</v>
      </c>
      <c r="D66" s="28">
        <f t="shared" si="21"/>
        <v>3081.3055928027488</v>
      </c>
      <c r="E66" s="28">
        <f t="shared" si="22"/>
        <v>4294.5729840971126</v>
      </c>
      <c r="F66" s="28">
        <f t="shared" si="23"/>
        <v>738300.07488136541</v>
      </c>
    </row>
    <row r="67" spans="1:7" x14ac:dyDescent="0.2">
      <c r="A67" s="29" t="s">
        <v>95</v>
      </c>
      <c r="B67" s="28">
        <f t="shared" si="24"/>
        <v>738300.07488136541</v>
      </c>
      <c r="C67" s="28">
        <f t="shared" si="20"/>
        <v>1218.3226720914236</v>
      </c>
      <c r="D67" s="28">
        <f t="shared" si="21"/>
        <v>3076.250312005689</v>
      </c>
      <c r="E67" s="28">
        <f t="shared" si="22"/>
        <v>4294.5729840971126</v>
      </c>
      <c r="F67" s="28">
        <f t="shared" si="23"/>
        <v>737081.75220927398</v>
      </c>
    </row>
    <row r="68" spans="1:7" x14ac:dyDescent="0.2">
      <c r="A68" s="29" t="s">
        <v>96</v>
      </c>
      <c r="B68" s="28">
        <f t="shared" si="24"/>
        <v>737081.75220927398</v>
      </c>
      <c r="C68" s="28">
        <f t="shared" si="20"/>
        <v>1223.399016558471</v>
      </c>
      <c r="D68" s="28">
        <f t="shared" si="21"/>
        <v>3071.1739675386416</v>
      </c>
      <c r="E68" s="28">
        <f t="shared" si="22"/>
        <v>4294.5729840971126</v>
      </c>
      <c r="F68" s="28">
        <f t="shared" si="23"/>
        <v>735858.35319271556</v>
      </c>
    </row>
    <row r="69" spans="1:7" x14ac:dyDescent="0.2">
      <c r="A69" s="29" t="s">
        <v>97</v>
      </c>
      <c r="B69" s="28">
        <f t="shared" si="24"/>
        <v>735858.35319271556</v>
      </c>
      <c r="C69" s="28">
        <f t="shared" si="20"/>
        <v>1228.4965124607979</v>
      </c>
      <c r="D69" s="28">
        <f t="shared" si="21"/>
        <v>3066.0764716363146</v>
      </c>
      <c r="E69" s="28">
        <f t="shared" si="22"/>
        <v>4294.5729840971126</v>
      </c>
      <c r="F69" s="25">
        <f t="shared" si="23"/>
        <v>734629.8566802548</v>
      </c>
      <c r="G69">
        <v>5</v>
      </c>
    </row>
    <row r="70" spans="1:7" x14ac:dyDescent="0.2">
      <c r="A70" s="27" t="s">
        <v>74</v>
      </c>
      <c r="B70" s="26"/>
      <c r="C70" s="25">
        <f>SUM(C58:C69)</f>
        <v>14410.133578950514</v>
      </c>
      <c r="D70" s="25">
        <f>SUM(D58:D69)</f>
        <v>37124.742230214833</v>
      </c>
    </row>
    <row r="72" spans="1:7" x14ac:dyDescent="0.2">
      <c r="A72" s="29" t="s">
        <v>86</v>
      </c>
      <c r="B72" s="28">
        <f>+F69</f>
        <v>734629.8566802548</v>
      </c>
      <c r="C72" s="28">
        <f t="shared" ref="C72:C83" si="25">+E72-D72</f>
        <v>1233.6152479293842</v>
      </c>
      <c r="D72" s="28">
        <f t="shared" ref="D72:D83" si="26">B72*$I$2</f>
        <v>3060.9577361677284</v>
      </c>
      <c r="E72" s="28">
        <f t="shared" ref="E72:E83" si="27">-$I$8</f>
        <v>4294.5729840971126</v>
      </c>
      <c r="F72" s="28">
        <f t="shared" ref="F72:F83" si="28">+B72-C72</f>
        <v>733396.24143232545</v>
      </c>
    </row>
    <row r="73" spans="1:7" x14ac:dyDescent="0.2">
      <c r="A73" s="29" t="s">
        <v>87</v>
      </c>
      <c r="B73" s="28">
        <f t="shared" ref="B73:B83" si="29">+F72</f>
        <v>733396.24143232545</v>
      </c>
      <c r="C73" s="28">
        <f t="shared" si="25"/>
        <v>1238.7553114624234</v>
      </c>
      <c r="D73" s="28">
        <f t="shared" si="26"/>
        <v>3055.8176726346892</v>
      </c>
      <c r="E73" s="28">
        <f t="shared" si="27"/>
        <v>4294.5729840971126</v>
      </c>
      <c r="F73" s="28">
        <f t="shared" si="28"/>
        <v>732157.486120863</v>
      </c>
    </row>
    <row r="74" spans="1:7" x14ac:dyDescent="0.2">
      <c r="A74" s="29" t="s">
        <v>88</v>
      </c>
      <c r="B74" s="28">
        <f t="shared" si="29"/>
        <v>732157.486120863</v>
      </c>
      <c r="C74" s="28">
        <f t="shared" si="25"/>
        <v>1243.9167919268502</v>
      </c>
      <c r="D74" s="28">
        <f t="shared" si="26"/>
        <v>3050.6561921702623</v>
      </c>
      <c r="E74" s="28">
        <f t="shared" si="27"/>
        <v>4294.5729840971126</v>
      </c>
      <c r="F74" s="28">
        <f t="shared" si="28"/>
        <v>730913.56932893617</v>
      </c>
    </row>
    <row r="75" spans="1:7" x14ac:dyDescent="0.2">
      <c r="A75" s="29" t="s">
        <v>89</v>
      </c>
      <c r="B75" s="28">
        <f t="shared" si="29"/>
        <v>730913.56932893617</v>
      </c>
      <c r="C75" s="28">
        <f t="shared" si="25"/>
        <v>1249.0997785598784</v>
      </c>
      <c r="D75" s="28">
        <f t="shared" si="26"/>
        <v>3045.4732055372342</v>
      </c>
      <c r="E75" s="28">
        <f t="shared" si="27"/>
        <v>4294.5729840971126</v>
      </c>
      <c r="F75" s="28">
        <f t="shared" si="28"/>
        <v>729664.46955037629</v>
      </c>
    </row>
    <row r="76" spans="1:7" x14ac:dyDescent="0.2">
      <c r="A76" s="29" t="s">
        <v>90</v>
      </c>
      <c r="B76" s="28">
        <f t="shared" si="29"/>
        <v>729664.46955037629</v>
      </c>
      <c r="C76" s="28">
        <f t="shared" si="25"/>
        <v>1254.3043609705446</v>
      </c>
      <c r="D76" s="28">
        <f t="shared" si="26"/>
        <v>3040.2686231265679</v>
      </c>
      <c r="E76" s="28">
        <f t="shared" si="27"/>
        <v>4294.5729840971126</v>
      </c>
      <c r="F76" s="28">
        <f t="shared" si="28"/>
        <v>728410.16518940579</v>
      </c>
    </row>
    <row r="77" spans="1:7" x14ac:dyDescent="0.2">
      <c r="A77" s="29" t="s">
        <v>91</v>
      </c>
      <c r="B77" s="28">
        <f t="shared" si="29"/>
        <v>728410.16518940579</v>
      </c>
      <c r="C77" s="28">
        <f t="shared" si="25"/>
        <v>1259.5306291412553</v>
      </c>
      <c r="D77" s="28">
        <f t="shared" si="26"/>
        <v>3035.0423549558573</v>
      </c>
      <c r="E77" s="28">
        <f t="shared" si="27"/>
        <v>4294.5729840971126</v>
      </c>
      <c r="F77" s="28">
        <f t="shared" si="28"/>
        <v>727150.63456026453</v>
      </c>
    </row>
    <row r="78" spans="1:7" x14ac:dyDescent="0.2">
      <c r="A78" s="29" t="s">
        <v>92</v>
      </c>
      <c r="B78" s="28">
        <f t="shared" si="29"/>
        <v>727150.63456026453</v>
      </c>
      <c r="C78" s="28">
        <f t="shared" si="25"/>
        <v>1264.7786734293436</v>
      </c>
      <c r="D78" s="28">
        <f t="shared" si="26"/>
        <v>3029.794310667769</v>
      </c>
      <c r="E78" s="28">
        <f t="shared" si="27"/>
        <v>4294.5729840971126</v>
      </c>
      <c r="F78" s="28">
        <f t="shared" si="28"/>
        <v>725885.85588683514</v>
      </c>
    </row>
    <row r="79" spans="1:7" x14ac:dyDescent="0.2">
      <c r="A79" s="29" t="s">
        <v>93</v>
      </c>
      <c r="B79" s="28">
        <f t="shared" si="29"/>
        <v>725885.85588683514</v>
      </c>
      <c r="C79" s="28">
        <f t="shared" si="25"/>
        <v>1270.048584568633</v>
      </c>
      <c r="D79" s="28">
        <f t="shared" si="26"/>
        <v>3024.5243995284795</v>
      </c>
      <c r="E79" s="28">
        <f t="shared" si="27"/>
        <v>4294.5729840971126</v>
      </c>
      <c r="F79" s="28">
        <f t="shared" si="28"/>
        <v>724615.80730226648</v>
      </c>
    </row>
    <row r="80" spans="1:7" x14ac:dyDescent="0.2">
      <c r="A80" s="29" t="s">
        <v>94</v>
      </c>
      <c r="B80" s="28">
        <f t="shared" si="29"/>
        <v>724615.80730226648</v>
      </c>
      <c r="C80" s="28">
        <f t="shared" si="25"/>
        <v>1275.3404536710023</v>
      </c>
      <c r="D80" s="28">
        <f t="shared" si="26"/>
        <v>3019.2325304261103</v>
      </c>
      <c r="E80" s="28">
        <f t="shared" si="27"/>
        <v>4294.5729840971126</v>
      </c>
      <c r="F80" s="28">
        <f t="shared" si="28"/>
        <v>723340.46684859542</v>
      </c>
    </row>
    <row r="81" spans="1:7" x14ac:dyDescent="0.2">
      <c r="A81" s="29" t="s">
        <v>95</v>
      </c>
      <c r="B81" s="28">
        <f t="shared" si="29"/>
        <v>723340.46684859542</v>
      </c>
      <c r="C81" s="28">
        <f t="shared" si="25"/>
        <v>1280.6543722279648</v>
      </c>
      <c r="D81" s="28">
        <f t="shared" si="26"/>
        <v>3013.9186118691478</v>
      </c>
      <c r="E81" s="28">
        <f t="shared" si="27"/>
        <v>4294.5729840971126</v>
      </c>
      <c r="F81" s="28">
        <f t="shared" si="28"/>
        <v>722059.81247636746</v>
      </c>
    </row>
    <row r="82" spans="1:7" x14ac:dyDescent="0.2">
      <c r="A82" s="29" t="s">
        <v>96</v>
      </c>
      <c r="B82" s="28">
        <f t="shared" si="29"/>
        <v>722059.81247636746</v>
      </c>
      <c r="C82" s="28">
        <f t="shared" si="25"/>
        <v>1285.9904321122481</v>
      </c>
      <c r="D82" s="28">
        <f t="shared" si="26"/>
        <v>3008.5825519848645</v>
      </c>
      <c r="E82" s="28">
        <f t="shared" si="27"/>
        <v>4294.5729840971126</v>
      </c>
      <c r="F82" s="28">
        <f t="shared" si="28"/>
        <v>720773.82204425521</v>
      </c>
    </row>
    <row r="83" spans="1:7" x14ac:dyDescent="0.2">
      <c r="A83" s="29" t="s">
        <v>97</v>
      </c>
      <c r="B83" s="28">
        <f t="shared" si="29"/>
        <v>720773.82204425521</v>
      </c>
      <c r="C83" s="28">
        <f t="shared" si="25"/>
        <v>1291.3487255793825</v>
      </c>
      <c r="D83" s="28">
        <f t="shared" si="26"/>
        <v>3003.22425851773</v>
      </c>
      <c r="E83" s="28">
        <f t="shared" si="27"/>
        <v>4294.5729840971126</v>
      </c>
      <c r="F83" s="25">
        <f t="shared" si="28"/>
        <v>719482.47331867588</v>
      </c>
      <c r="G83">
        <v>6</v>
      </c>
    </row>
    <row r="84" spans="1:7" x14ac:dyDescent="0.2">
      <c r="A84" s="27" t="s">
        <v>74</v>
      </c>
      <c r="B84" s="26"/>
      <c r="C84" s="25">
        <f>SUM(C72:C83)</f>
        <v>15147.38336157891</v>
      </c>
      <c r="D84" s="25">
        <f>SUM(D72:D83)</f>
        <v>36387.492447586439</v>
      </c>
    </row>
    <row r="85" spans="1:7" x14ac:dyDescent="0.2">
      <c r="B85" s="29"/>
      <c r="C85" s="28"/>
      <c r="D85" s="28"/>
      <c r="E85" s="28"/>
      <c r="F85" s="28"/>
    </row>
    <row r="86" spans="1:7" x14ac:dyDescent="0.2">
      <c r="A86" s="29" t="s">
        <v>86</v>
      </c>
      <c r="B86" s="28">
        <f>+F83</f>
        <v>719482.47331867588</v>
      </c>
      <c r="C86" s="28">
        <f t="shared" ref="C86:C97" si="30">+E86-D86</f>
        <v>1296.7293452692966</v>
      </c>
      <c r="D86" s="28">
        <f t="shared" ref="D86:D97" si="31">B86*$I$2</f>
        <v>2997.843638827816</v>
      </c>
      <c r="E86" s="28">
        <f t="shared" ref="E86:E97" si="32">-$I$8</f>
        <v>4294.5729840971126</v>
      </c>
      <c r="F86" s="28">
        <f t="shared" ref="F86:F97" si="33">+B86-C86</f>
        <v>718185.74397340661</v>
      </c>
    </row>
    <row r="87" spans="1:7" x14ac:dyDescent="0.2">
      <c r="A87" s="29" t="s">
        <v>87</v>
      </c>
      <c r="B87" s="28">
        <f t="shared" ref="B87:B97" si="34">+F86</f>
        <v>718185.74397340661</v>
      </c>
      <c r="C87" s="28">
        <f t="shared" si="30"/>
        <v>1302.1323842079182</v>
      </c>
      <c r="D87" s="28">
        <f t="shared" si="31"/>
        <v>2992.4405998891943</v>
      </c>
      <c r="E87" s="28">
        <f t="shared" si="32"/>
        <v>4294.5729840971126</v>
      </c>
      <c r="F87" s="28">
        <f t="shared" si="33"/>
        <v>716883.6115891987</v>
      </c>
    </row>
    <row r="88" spans="1:7" x14ac:dyDescent="0.2">
      <c r="A88" s="29" t="s">
        <v>88</v>
      </c>
      <c r="B88" s="28">
        <f t="shared" si="34"/>
        <v>716883.6115891987</v>
      </c>
      <c r="C88" s="28">
        <f t="shared" si="30"/>
        <v>1307.5579358087848</v>
      </c>
      <c r="D88" s="28">
        <f t="shared" si="31"/>
        <v>2987.0150482883278</v>
      </c>
      <c r="E88" s="28">
        <f t="shared" si="32"/>
        <v>4294.5729840971126</v>
      </c>
      <c r="F88" s="28">
        <f t="shared" si="33"/>
        <v>715576.05365338991</v>
      </c>
    </row>
    <row r="89" spans="1:7" x14ac:dyDescent="0.2">
      <c r="A89" s="29" t="s">
        <v>89</v>
      </c>
      <c r="B89" s="28">
        <f t="shared" si="34"/>
        <v>715576.05365338991</v>
      </c>
      <c r="C89" s="28">
        <f t="shared" si="30"/>
        <v>1313.0060938746547</v>
      </c>
      <c r="D89" s="28">
        <f t="shared" si="31"/>
        <v>2981.5668902224579</v>
      </c>
      <c r="E89" s="28">
        <f t="shared" si="32"/>
        <v>4294.5729840971126</v>
      </c>
      <c r="F89" s="28">
        <f t="shared" si="33"/>
        <v>714263.04755951522</v>
      </c>
    </row>
    <row r="90" spans="1:7" x14ac:dyDescent="0.2">
      <c r="A90" s="29" t="s">
        <v>90</v>
      </c>
      <c r="B90" s="28">
        <f t="shared" si="34"/>
        <v>714263.04755951522</v>
      </c>
      <c r="C90" s="28">
        <f t="shared" si="30"/>
        <v>1318.4769525991323</v>
      </c>
      <c r="D90" s="28">
        <f t="shared" si="31"/>
        <v>2976.0960314979802</v>
      </c>
      <c r="E90" s="28">
        <f t="shared" si="32"/>
        <v>4294.5729840971126</v>
      </c>
      <c r="F90" s="28">
        <f t="shared" si="33"/>
        <v>712944.5706069161</v>
      </c>
    </row>
    <row r="91" spans="1:7" x14ac:dyDescent="0.2">
      <c r="A91" s="29" t="s">
        <v>91</v>
      </c>
      <c r="B91" s="28">
        <f t="shared" si="34"/>
        <v>712944.5706069161</v>
      </c>
      <c r="C91" s="28">
        <f t="shared" si="30"/>
        <v>1323.9706065682954</v>
      </c>
      <c r="D91" s="28">
        <f t="shared" si="31"/>
        <v>2970.6023775288172</v>
      </c>
      <c r="E91" s="28">
        <f t="shared" si="32"/>
        <v>4294.5729840971126</v>
      </c>
      <c r="F91" s="28">
        <f t="shared" si="33"/>
        <v>711620.60000034783</v>
      </c>
    </row>
    <row r="92" spans="1:7" x14ac:dyDescent="0.2">
      <c r="A92" s="29" t="s">
        <v>92</v>
      </c>
      <c r="B92" s="28">
        <f t="shared" si="34"/>
        <v>711620.60000034783</v>
      </c>
      <c r="C92" s="28">
        <f t="shared" si="30"/>
        <v>1329.4871507623302</v>
      </c>
      <c r="D92" s="28">
        <f t="shared" si="31"/>
        <v>2965.0858333347824</v>
      </c>
      <c r="E92" s="28">
        <f t="shared" si="32"/>
        <v>4294.5729840971126</v>
      </c>
      <c r="F92" s="28">
        <f t="shared" si="33"/>
        <v>710291.11284958548</v>
      </c>
    </row>
    <row r="93" spans="1:7" x14ac:dyDescent="0.2">
      <c r="A93" s="29" t="s">
        <v>93</v>
      </c>
      <c r="B93" s="28">
        <f t="shared" si="34"/>
        <v>710291.11284958548</v>
      </c>
      <c r="C93" s="28">
        <f t="shared" si="30"/>
        <v>1335.0266805571732</v>
      </c>
      <c r="D93" s="28">
        <f t="shared" si="31"/>
        <v>2959.5463035399393</v>
      </c>
      <c r="E93" s="28">
        <f t="shared" si="32"/>
        <v>4294.5729840971126</v>
      </c>
      <c r="F93" s="28">
        <f t="shared" si="33"/>
        <v>708956.08616902831</v>
      </c>
    </row>
    <row r="94" spans="1:7" x14ac:dyDescent="0.2">
      <c r="A94" s="29" t="s">
        <v>94</v>
      </c>
      <c r="B94" s="28">
        <f t="shared" si="34"/>
        <v>708956.08616902831</v>
      </c>
      <c r="C94" s="28">
        <f t="shared" si="30"/>
        <v>1340.5892917261613</v>
      </c>
      <c r="D94" s="28">
        <f t="shared" si="31"/>
        <v>2953.9836923709513</v>
      </c>
      <c r="E94" s="28">
        <f t="shared" si="32"/>
        <v>4294.5729840971126</v>
      </c>
      <c r="F94" s="28">
        <f t="shared" si="33"/>
        <v>707615.49687730218</v>
      </c>
    </row>
    <row r="95" spans="1:7" x14ac:dyDescent="0.2">
      <c r="A95" s="29" t="s">
        <v>95</v>
      </c>
      <c r="B95" s="28">
        <f t="shared" si="34"/>
        <v>707615.49687730218</v>
      </c>
      <c r="C95" s="28">
        <f t="shared" si="30"/>
        <v>1346.175080441687</v>
      </c>
      <c r="D95" s="28">
        <f t="shared" si="31"/>
        <v>2948.3979036554256</v>
      </c>
      <c r="E95" s="28">
        <f t="shared" si="32"/>
        <v>4294.5729840971126</v>
      </c>
      <c r="F95" s="28">
        <f t="shared" si="33"/>
        <v>706269.32179686055</v>
      </c>
    </row>
    <row r="96" spans="1:7" x14ac:dyDescent="0.2">
      <c r="A96" s="29" t="s">
        <v>96</v>
      </c>
      <c r="B96" s="28">
        <f t="shared" si="34"/>
        <v>706269.32179686055</v>
      </c>
      <c r="C96" s="28">
        <f t="shared" si="30"/>
        <v>1351.7841432768605</v>
      </c>
      <c r="D96" s="28">
        <f t="shared" si="31"/>
        <v>2942.7888408202521</v>
      </c>
      <c r="E96" s="28">
        <f t="shared" si="32"/>
        <v>4294.5729840971126</v>
      </c>
      <c r="F96" s="28">
        <f t="shared" si="33"/>
        <v>704917.53765358368</v>
      </c>
    </row>
    <row r="97" spans="1:7" x14ac:dyDescent="0.2">
      <c r="A97" s="29" t="s">
        <v>97</v>
      </c>
      <c r="B97" s="28">
        <f t="shared" si="34"/>
        <v>704917.53765358368</v>
      </c>
      <c r="C97" s="28">
        <f t="shared" si="30"/>
        <v>1357.4165772071806</v>
      </c>
      <c r="D97" s="28">
        <f t="shared" si="31"/>
        <v>2937.156406889932</v>
      </c>
      <c r="E97" s="28">
        <f t="shared" si="32"/>
        <v>4294.5729840971126</v>
      </c>
      <c r="F97" s="25">
        <f t="shared" si="33"/>
        <v>703560.12107637653</v>
      </c>
      <c r="G97">
        <v>7</v>
      </c>
    </row>
    <row r="98" spans="1:7" x14ac:dyDescent="0.2">
      <c r="A98" s="27" t="s">
        <v>74</v>
      </c>
      <c r="B98" s="26"/>
      <c r="C98" s="25">
        <f>SUM(C86:C97)</f>
        <v>15922.352242299476</v>
      </c>
      <c r="D98" s="25">
        <f>SUM(D86:D97)</f>
        <v>35612.523566865879</v>
      </c>
    </row>
    <row r="99" spans="1:7" x14ac:dyDescent="0.2">
      <c r="B99" s="29"/>
      <c r="C99" s="28"/>
      <c r="D99" s="28"/>
      <c r="E99" s="28"/>
      <c r="F99" s="28"/>
    </row>
    <row r="100" spans="1:7" x14ac:dyDescent="0.2">
      <c r="A100" s="29" t="s">
        <v>86</v>
      </c>
      <c r="B100" s="28">
        <f>+F97</f>
        <v>703560.12107637653</v>
      </c>
      <c r="C100" s="28">
        <f t="shared" ref="C100:C111" si="35">+E100-D100</f>
        <v>1363.0724796122104</v>
      </c>
      <c r="D100" s="28">
        <f t="shared" ref="D100:D111" si="36">B100*$I$2</f>
        <v>2931.5005044849022</v>
      </c>
      <c r="E100" s="28">
        <f t="shared" ref="E100:E111" si="37">-$I$8</f>
        <v>4294.5729840971126</v>
      </c>
      <c r="F100" s="28">
        <f t="shared" ref="F100:F111" si="38">+B100-C100</f>
        <v>702197.04859676433</v>
      </c>
    </row>
    <row r="101" spans="1:7" x14ac:dyDescent="0.2">
      <c r="A101" s="29" t="s">
        <v>87</v>
      </c>
      <c r="B101" s="28">
        <f t="shared" ref="B101:B111" si="39">+F100</f>
        <v>702197.04859676433</v>
      </c>
      <c r="C101" s="28">
        <f t="shared" si="35"/>
        <v>1368.7519482772614</v>
      </c>
      <c r="D101" s="28">
        <f t="shared" si="36"/>
        <v>2925.8210358198512</v>
      </c>
      <c r="E101" s="28">
        <f t="shared" si="37"/>
        <v>4294.5729840971126</v>
      </c>
      <c r="F101" s="28">
        <f t="shared" si="38"/>
        <v>700828.2966484871</v>
      </c>
    </row>
    <row r="102" spans="1:7" x14ac:dyDescent="0.2">
      <c r="A102" s="29" t="s">
        <v>88</v>
      </c>
      <c r="B102" s="28">
        <f t="shared" si="39"/>
        <v>700828.2966484871</v>
      </c>
      <c r="C102" s="28">
        <f t="shared" si="35"/>
        <v>1374.4550813950832</v>
      </c>
      <c r="D102" s="28">
        <f t="shared" si="36"/>
        <v>2920.1179027020294</v>
      </c>
      <c r="E102" s="28">
        <f t="shared" si="37"/>
        <v>4294.5729840971126</v>
      </c>
      <c r="F102" s="28">
        <f t="shared" si="38"/>
        <v>699453.84156709199</v>
      </c>
    </row>
    <row r="103" spans="1:7" x14ac:dyDescent="0.2">
      <c r="A103" s="29" t="s">
        <v>89</v>
      </c>
      <c r="B103" s="28">
        <f t="shared" si="39"/>
        <v>699453.84156709199</v>
      </c>
      <c r="C103" s="28">
        <f t="shared" si="35"/>
        <v>1380.1819775675626</v>
      </c>
      <c r="D103" s="28">
        <f t="shared" si="36"/>
        <v>2914.3910065295499</v>
      </c>
      <c r="E103" s="28">
        <f t="shared" si="37"/>
        <v>4294.5729840971126</v>
      </c>
      <c r="F103" s="28">
        <f t="shared" si="38"/>
        <v>698073.65958952438</v>
      </c>
    </row>
    <row r="104" spans="1:7" x14ac:dyDescent="0.2">
      <c r="A104" s="29" t="s">
        <v>90</v>
      </c>
      <c r="B104" s="28">
        <f t="shared" si="39"/>
        <v>698073.65958952438</v>
      </c>
      <c r="C104" s="28">
        <f t="shared" si="35"/>
        <v>1385.9327358074279</v>
      </c>
      <c r="D104" s="28">
        <f t="shared" si="36"/>
        <v>2908.6402482896847</v>
      </c>
      <c r="E104" s="28">
        <f t="shared" si="37"/>
        <v>4294.5729840971126</v>
      </c>
      <c r="F104" s="28">
        <f t="shared" si="38"/>
        <v>696687.726853717</v>
      </c>
    </row>
    <row r="105" spans="1:7" x14ac:dyDescent="0.2">
      <c r="A105" s="29" t="s">
        <v>91</v>
      </c>
      <c r="B105" s="28">
        <f t="shared" si="39"/>
        <v>696687.726853717</v>
      </c>
      <c r="C105" s="28">
        <f t="shared" si="35"/>
        <v>1391.7074555399586</v>
      </c>
      <c r="D105" s="28">
        <f t="shared" si="36"/>
        <v>2902.865528557154</v>
      </c>
      <c r="E105" s="28">
        <f t="shared" si="37"/>
        <v>4294.5729840971126</v>
      </c>
      <c r="F105" s="28">
        <f t="shared" si="38"/>
        <v>695296.01939817704</v>
      </c>
    </row>
    <row r="106" spans="1:7" x14ac:dyDescent="0.2">
      <c r="A106" s="29" t="s">
        <v>92</v>
      </c>
      <c r="B106" s="28">
        <f t="shared" si="39"/>
        <v>695296.01939817704</v>
      </c>
      <c r="C106" s="28">
        <f t="shared" si="35"/>
        <v>1397.5062366047082</v>
      </c>
      <c r="D106" s="28">
        <f t="shared" si="36"/>
        <v>2897.0667474924044</v>
      </c>
      <c r="E106" s="28">
        <f t="shared" si="37"/>
        <v>4294.5729840971126</v>
      </c>
      <c r="F106" s="28">
        <f t="shared" si="38"/>
        <v>693898.51316157228</v>
      </c>
    </row>
    <row r="107" spans="1:7" x14ac:dyDescent="0.2">
      <c r="A107" s="29" t="s">
        <v>93</v>
      </c>
      <c r="B107" s="28">
        <f t="shared" si="39"/>
        <v>693898.51316157228</v>
      </c>
      <c r="C107" s="28">
        <f t="shared" si="35"/>
        <v>1403.3291792572281</v>
      </c>
      <c r="D107" s="28">
        <f t="shared" si="36"/>
        <v>2891.2438048398844</v>
      </c>
      <c r="E107" s="28">
        <f t="shared" si="37"/>
        <v>4294.5729840971126</v>
      </c>
      <c r="F107" s="28">
        <f t="shared" si="38"/>
        <v>692495.18398231501</v>
      </c>
    </row>
    <row r="108" spans="1:7" x14ac:dyDescent="0.2">
      <c r="A108" s="29" t="s">
        <v>94</v>
      </c>
      <c r="B108" s="28">
        <f t="shared" si="39"/>
        <v>692495.18398231501</v>
      </c>
      <c r="C108" s="28">
        <f t="shared" si="35"/>
        <v>1409.1763841708002</v>
      </c>
      <c r="D108" s="28">
        <f t="shared" si="36"/>
        <v>2885.3965999263123</v>
      </c>
      <c r="E108" s="28">
        <f t="shared" si="37"/>
        <v>4294.5729840971126</v>
      </c>
      <c r="F108" s="28">
        <f t="shared" si="38"/>
        <v>691086.00759814424</v>
      </c>
    </row>
    <row r="109" spans="1:7" x14ac:dyDescent="0.2">
      <c r="A109" s="29" t="s">
        <v>95</v>
      </c>
      <c r="B109" s="28">
        <f t="shared" si="39"/>
        <v>691086.00759814424</v>
      </c>
      <c r="C109" s="28">
        <f t="shared" si="35"/>
        <v>1415.0479524381781</v>
      </c>
      <c r="D109" s="28">
        <f t="shared" si="36"/>
        <v>2879.5250316589345</v>
      </c>
      <c r="E109" s="28">
        <f t="shared" si="37"/>
        <v>4294.5729840971126</v>
      </c>
      <c r="F109" s="28">
        <f t="shared" si="38"/>
        <v>689670.95964570611</v>
      </c>
    </row>
    <row r="110" spans="1:7" x14ac:dyDescent="0.2">
      <c r="A110" s="29" t="s">
        <v>96</v>
      </c>
      <c r="B110" s="28">
        <f t="shared" si="39"/>
        <v>689670.95964570611</v>
      </c>
      <c r="C110" s="28">
        <f t="shared" si="35"/>
        <v>1420.9439855733372</v>
      </c>
      <c r="D110" s="28">
        <f t="shared" si="36"/>
        <v>2873.6289985237754</v>
      </c>
      <c r="E110" s="28">
        <f t="shared" si="37"/>
        <v>4294.5729840971126</v>
      </c>
      <c r="F110" s="28">
        <f t="shared" si="38"/>
        <v>688250.01566013275</v>
      </c>
    </row>
    <row r="111" spans="1:7" x14ac:dyDescent="0.2">
      <c r="A111" s="29" t="s">
        <v>97</v>
      </c>
      <c r="B111" s="28">
        <f t="shared" si="39"/>
        <v>688250.01566013275</v>
      </c>
      <c r="C111" s="28">
        <f t="shared" si="35"/>
        <v>1426.8645855132263</v>
      </c>
      <c r="D111" s="28">
        <f t="shared" si="36"/>
        <v>2867.7083985838863</v>
      </c>
      <c r="E111" s="28">
        <f t="shared" si="37"/>
        <v>4294.5729840971126</v>
      </c>
      <c r="F111" s="25">
        <f t="shared" si="38"/>
        <v>686823.1510746195</v>
      </c>
      <c r="G111">
        <v>8</v>
      </c>
    </row>
    <row r="112" spans="1:7" x14ac:dyDescent="0.2">
      <c r="A112" s="27" t="s">
        <v>74</v>
      </c>
      <c r="B112" s="26"/>
      <c r="C112" s="25">
        <f>SUM(C100:C111)</f>
        <v>16736.970001756985</v>
      </c>
      <c r="D112" s="25">
        <f>SUM(D100:D111)</f>
        <v>34797.905807408366</v>
      </c>
    </row>
    <row r="114" spans="1:7" x14ac:dyDescent="0.2">
      <c r="A114" s="29" t="s">
        <v>86</v>
      </c>
      <c r="B114" s="28">
        <f>+F111</f>
        <v>686823.1510746195</v>
      </c>
      <c r="C114" s="28">
        <f t="shared" ref="C114:C125" si="40">+E114-D114</f>
        <v>1432.8098546195315</v>
      </c>
      <c r="D114" s="28">
        <f t="shared" ref="D114:D125" si="41">B114*$I$2</f>
        <v>2861.7631294775811</v>
      </c>
      <c r="E114" s="28">
        <f t="shared" ref="E114:E125" si="42">-$I$8</f>
        <v>4294.5729840971126</v>
      </c>
      <c r="F114" s="28">
        <f t="shared" ref="F114:F125" si="43">+B114-C114</f>
        <v>685390.34121999994</v>
      </c>
    </row>
    <row r="115" spans="1:7" x14ac:dyDescent="0.2">
      <c r="A115" s="29" t="s">
        <v>87</v>
      </c>
      <c r="B115" s="28">
        <f t="shared" ref="B115:B125" si="44">+F114</f>
        <v>685390.34121999994</v>
      </c>
      <c r="C115" s="28">
        <f t="shared" si="40"/>
        <v>1438.7798956804463</v>
      </c>
      <c r="D115" s="28">
        <f t="shared" si="41"/>
        <v>2855.7930884166663</v>
      </c>
      <c r="E115" s="28">
        <f t="shared" si="42"/>
        <v>4294.5729840971126</v>
      </c>
      <c r="F115" s="28">
        <f t="shared" si="43"/>
        <v>683951.56132431945</v>
      </c>
    </row>
    <row r="116" spans="1:7" x14ac:dyDescent="0.2">
      <c r="A116" s="29" t="s">
        <v>88</v>
      </c>
      <c r="B116" s="28">
        <f t="shared" si="44"/>
        <v>683951.56132431945</v>
      </c>
      <c r="C116" s="28">
        <f t="shared" si="40"/>
        <v>1444.7748119124481</v>
      </c>
      <c r="D116" s="28">
        <f t="shared" si="41"/>
        <v>2849.7981721846645</v>
      </c>
      <c r="E116" s="28">
        <f t="shared" si="42"/>
        <v>4294.5729840971126</v>
      </c>
      <c r="F116" s="28">
        <f t="shared" si="43"/>
        <v>682506.78651240701</v>
      </c>
    </row>
    <row r="117" spans="1:7" x14ac:dyDescent="0.2">
      <c r="A117" s="29" t="s">
        <v>89</v>
      </c>
      <c r="B117" s="28">
        <f t="shared" si="44"/>
        <v>682506.78651240701</v>
      </c>
      <c r="C117" s="28">
        <f t="shared" si="40"/>
        <v>1450.7947069620832</v>
      </c>
      <c r="D117" s="28">
        <f t="shared" si="41"/>
        <v>2843.7782771350294</v>
      </c>
      <c r="E117" s="28">
        <f t="shared" si="42"/>
        <v>4294.5729840971126</v>
      </c>
      <c r="F117" s="28">
        <f t="shared" si="43"/>
        <v>681055.99180544494</v>
      </c>
    </row>
    <row r="118" spans="1:7" x14ac:dyDescent="0.2">
      <c r="A118" s="29" t="s">
        <v>90</v>
      </c>
      <c r="B118" s="28">
        <f t="shared" si="44"/>
        <v>681055.99180544494</v>
      </c>
      <c r="C118" s="28">
        <f t="shared" si="40"/>
        <v>1456.8396849077585</v>
      </c>
      <c r="D118" s="28">
        <f t="shared" si="41"/>
        <v>2837.7332991893541</v>
      </c>
      <c r="E118" s="28">
        <f t="shared" si="42"/>
        <v>4294.5729840971126</v>
      </c>
      <c r="F118" s="28">
        <f t="shared" si="43"/>
        <v>679599.15212053712</v>
      </c>
    </row>
    <row r="119" spans="1:7" x14ac:dyDescent="0.2">
      <c r="A119" s="29" t="s">
        <v>91</v>
      </c>
      <c r="B119" s="28">
        <f t="shared" si="44"/>
        <v>679599.15212053712</v>
      </c>
      <c r="C119" s="28">
        <f t="shared" si="40"/>
        <v>1462.9098502615411</v>
      </c>
      <c r="D119" s="28">
        <f t="shared" si="41"/>
        <v>2831.6631338355714</v>
      </c>
      <c r="E119" s="28">
        <f t="shared" si="42"/>
        <v>4294.5729840971126</v>
      </c>
      <c r="F119" s="28">
        <f t="shared" si="43"/>
        <v>678136.2422702756</v>
      </c>
    </row>
    <row r="120" spans="1:7" x14ac:dyDescent="0.2">
      <c r="A120" s="29" t="s">
        <v>92</v>
      </c>
      <c r="B120" s="28">
        <f t="shared" si="44"/>
        <v>678136.2422702756</v>
      </c>
      <c r="C120" s="28">
        <f t="shared" si="40"/>
        <v>1469.0053079709642</v>
      </c>
      <c r="D120" s="28">
        <f t="shared" si="41"/>
        <v>2825.5676761261484</v>
      </c>
      <c r="E120" s="28">
        <f t="shared" si="42"/>
        <v>4294.5729840971126</v>
      </c>
      <c r="F120" s="28">
        <f t="shared" si="43"/>
        <v>676667.23696230468</v>
      </c>
    </row>
    <row r="121" spans="1:7" x14ac:dyDescent="0.2">
      <c r="A121" s="29" t="s">
        <v>93</v>
      </c>
      <c r="B121" s="28">
        <f t="shared" si="44"/>
        <v>676667.23696230468</v>
      </c>
      <c r="C121" s="28">
        <f t="shared" si="40"/>
        <v>1475.1261634208431</v>
      </c>
      <c r="D121" s="28">
        <f t="shared" si="41"/>
        <v>2819.4468206762695</v>
      </c>
      <c r="E121" s="28">
        <f t="shared" si="42"/>
        <v>4294.5729840971126</v>
      </c>
      <c r="F121" s="28">
        <f t="shared" si="43"/>
        <v>675192.11079888383</v>
      </c>
    </row>
    <row r="122" spans="1:7" x14ac:dyDescent="0.2">
      <c r="A122" s="29" t="s">
        <v>94</v>
      </c>
      <c r="B122" s="28">
        <f t="shared" si="44"/>
        <v>675192.11079888383</v>
      </c>
      <c r="C122" s="28">
        <f t="shared" si="40"/>
        <v>1481.2725224350966</v>
      </c>
      <c r="D122" s="28">
        <f t="shared" si="41"/>
        <v>2813.300461662016</v>
      </c>
      <c r="E122" s="28">
        <f t="shared" si="42"/>
        <v>4294.5729840971126</v>
      </c>
      <c r="F122" s="28">
        <f t="shared" si="43"/>
        <v>673710.83827644878</v>
      </c>
    </row>
    <row r="123" spans="1:7" x14ac:dyDescent="0.2">
      <c r="A123" s="29" t="s">
        <v>95</v>
      </c>
      <c r="B123" s="28">
        <f t="shared" si="44"/>
        <v>673710.83827644878</v>
      </c>
      <c r="C123" s="28">
        <f t="shared" si="40"/>
        <v>1487.4444912785762</v>
      </c>
      <c r="D123" s="28">
        <f t="shared" si="41"/>
        <v>2807.1284928185364</v>
      </c>
      <c r="E123" s="28">
        <f t="shared" si="42"/>
        <v>4294.5729840971126</v>
      </c>
      <c r="F123" s="28">
        <f t="shared" si="43"/>
        <v>672223.39378517016</v>
      </c>
    </row>
    <row r="124" spans="1:7" x14ac:dyDescent="0.2">
      <c r="A124" s="29" t="s">
        <v>96</v>
      </c>
      <c r="B124" s="28">
        <f t="shared" si="44"/>
        <v>672223.39378517016</v>
      </c>
      <c r="C124" s="28">
        <f t="shared" si="40"/>
        <v>1493.6421766589037</v>
      </c>
      <c r="D124" s="28">
        <f t="shared" si="41"/>
        <v>2800.9308074382088</v>
      </c>
      <c r="E124" s="28">
        <f t="shared" si="42"/>
        <v>4294.5729840971126</v>
      </c>
      <c r="F124" s="28">
        <f t="shared" si="43"/>
        <v>670729.75160851132</v>
      </c>
    </row>
    <row r="125" spans="1:7" x14ac:dyDescent="0.2">
      <c r="A125" s="29" t="s">
        <v>97</v>
      </c>
      <c r="B125" s="28">
        <f t="shared" si="44"/>
        <v>670729.75160851132</v>
      </c>
      <c r="C125" s="28">
        <f t="shared" si="40"/>
        <v>1499.8656857283154</v>
      </c>
      <c r="D125" s="28">
        <f t="shared" si="41"/>
        <v>2794.7072983687972</v>
      </c>
      <c r="E125" s="28">
        <f t="shared" si="42"/>
        <v>4294.5729840971126</v>
      </c>
      <c r="F125" s="25">
        <f t="shared" si="43"/>
        <v>669229.88592278305</v>
      </c>
      <c r="G125">
        <v>9</v>
      </c>
    </row>
    <row r="126" spans="1:7" x14ac:dyDescent="0.2">
      <c r="A126" s="27" t="s">
        <v>74</v>
      </c>
      <c r="B126" s="26"/>
      <c r="C126" s="25">
        <f>SUM(C114:C125)</f>
        <v>17593.265151836509</v>
      </c>
      <c r="D126" s="25">
        <f>SUM(D114:D125)</f>
        <v>33941.610657328842</v>
      </c>
    </row>
    <row r="128" spans="1:7" x14ac:dyDescent="0.2">
      <c r="A128" s="29" t="s">
        <v>86</v>
      </c>
      <c r="B128" s="28">
        <f>+F125</f>
        <v>669229.88592278305</v>
      </c>
      <c r="C128" s="28">
        <f t="shared" ref="C128:C139" si="45">+E128-D128</f>
        <v>1506.1151260855167</v>
      </c>
      <c r="D128" s="28">
        <f t="shared" ref="D128:D139" si="46">B128*$I$2</f>
        <v>2788.4578580115958</v>
      </c>
      <c r="E128" s="28">
        <f t="shared" ref="E128:E139" si="47">-$I$8</f>
        <v>4294.5729840971126</v>
      </c>
      <c r="F128" s="28">
        <f t="shared" ref="F128:F139" si="48">+B128-C128</f>
        <v>667723.77079669759</v>
      </c>
    </row>
    <row r="129" spans="1:7" x14ac:dyDescent="0.2">
      <c r="A129" s="29" t="s">
        <v>87</v>
      </c>
      <c r="B129" s="28">
        <f t="shared" ref="B129:B139" si="49">+F128</f>
        <v>667723.77079669759</v>
      </c>
      <c r="C129" s="28">
        <f t="shared" si="45"/>
        <v>1512.3906057775393</v>
      </c>
      <c r="D129" s="28">
        <f t="shared" si="46"/>
        <v>2782.1823783195732</v>
      </c>
      <c r="E129" s="28">
        <f t="shared" si="47"/>
        <v>4294.5729840971126</v>
      </c>
      <c r="F129" s="28">
        <f t="shared" si="48"/>
        <v>666211.38019092008</v>
      </c>
    </row>
    <row r="130" spans="1:7" x14ac:dyDescent="0.2">
      <c r="A130" s="29" t="s">
        <v>88</v>
      </c>
      <c r="B130" s="28">
        <f t="shared" si="49"/>
        <v>666211.38019092008</v>
      </c>
      <c r="C130" s="28">
        <f t="shared" si="45"/>
        <v>1518.6922333016123</v>
      </c>
      <c r="D130" s="28">
        <f t="shared" si="46"/>
        <v>2775.8807507955003</v>
      </c>
      <c r="E130" s="28">
        <f t="shared" si="47"/>
        <v>4294.5729840971126</v>
      </c>
      <c r="F130" s="28">
        <f t="shared" si="48"/>
        <v>664692.6879576185</v>
      </c>
    </row>
    <row r="131" spans="1:7" x14ac:dyDescent="0.2">
      <c r="A131" s="29" t="s">
        <v>89</v>
      </c>
      <c r="B131" s="28">
        <f t="shared" si="49"/>
        <v>664692.6879576185</v>
      </c>
      <c r="C131" s="28">
        <f t="shared" si="45"/>
        <v>1525.0201176070354</v>
      </c>
      <c r="D131" s="28">
        <f t="shared" si="46"/>
        <v>2769.5528664900771</v>
      </c>
      <c r="E131" s="28">
        <f t="shared" si="47"/>
        <v>4294.5729840971126</v>
      </c>
      <c r="F131" s="28">
        <f t="shared" si="48"/>
        <v>663167.66784001142</v>
      </c>
    </row>
    <row r="132" spans="1:7" x14ac:dyDescent="0.2">
      <c r="A132" s="29" t="s">
        <v>90</v>
      </c>
      <c r="B132" s="28">
        <f t="shared" si="49"/>
        <v>663167.66784001142</v>
      </c>
      <c r="C132" s="28">
        <f t="shared" si="45"/>
        <v>1531.3743680970651</v>
      </c>
      <c r="D132" s="28">
        <f t="shared" si="46"/>
        <v>2763.1986160000474</v>
      </c>
      <c r="E132" s="28">
        <f t="shared" si="47"/>
        <v>4294.5729840971126</v>
      </c>
      <c r="F132" s="28">
        <f t="shared" si="48"/>
        <v>661636.29347191437</v>
      </c>
    </row>
    <row r="133" spans="1:7" x14ac:dyDescent="0.2">
      <c r="A133" s="29" t="s">
        <v>91</v>
      </c>
      <c r="B133" s="28">
        <f t="shared" si="49"/>
        <v>661636.29347191437</v>
      </c>
      <c r="C133" s="28">
        <f t="shared" si="45"/>
        <v>1537.7550946308029</v>
      </c>
      <c r="D133" s="28">
        <f t="shared" si="46"/>
        <v>2756.8178894663097</v>
      </c>
      <c r="E133" s="28">
        <f t="shared" si="47"/>
        <v>4294.5729840971126</v>
      </c>
      <c r="F133" s="28">
        <f t="shared" si="48"/>
        <v>660098.53837728361</v>
      </c>
    </row>
    <row r="134" spans="1:7" x14ac:dyDescent="0.2">
      <c r="A134" s="29" t="s">
        <v>92</v>
      </c>
      <c r="B134" s="28">
        <f t="shared" si="49"/>
        <v>660098.53837728361</v>
      </c>
      <c r="C134" s="28">
        <f t="shared" si="45"/>
        <v>1544.1624075250975</v>
      </c>
      <c r="D134" s="28">
        <f t="shared" si="46"/>
        <v>2750.4105765720151</v>
      </c>
      <c r="E134" s="28">
        <f t="shared" si="47"/>
        <v>4294.5729840971126</v>
      </c>
      <c r="F134" s="28">
        <f t="shared" si="48"/>
        <v>658554.37596975849</v>
      </c>
    </row>
    <row r="135" spans="1:7" x14ac:dyDescent="0.2">
      <c r="A135" s="29" t="s">
        <v>93</v>
      </c>
      <c r="B135" s="28">
        <f t="shared" si="49"/>
        <v>658554.37596975849</v>
      </c>
      <c r="C135" s="28">
        <f t="shared" si="45"/>
        <v>1550.5964175564523</v>
      </c>
      <c r="D135" s="28">
        <f t="shared" si="46"/>
        <v>2743.9765665406603</v>
      </c>
      <c r="E135" s="28">
        <f t="shared" si="47"/>
        <v>4294.5729840971126</v>
      </c>
      <c r="F135" s="28">
        <f t="shared" si="48"/>
        <v>657003.77955220209</v>
      </c>
    </row>
    <row r="136" spans="1:7" x14ac:dyDescent="0.2">
      <c r="A136" s="29" t="s">
        <v>94</v>
      </c>
      <c r="B136" s="28">
        <f t="shared" si="49"/>
        <v>657003.77955220209</v>
      </c>
      <c r="C136" s="28">
        <f t="shared" si="45"/>
        <v>1557.0572359629373</v>
      </c>
      <c r="D136" s="28">
        <f t="shared" si="46"/>
        <v>2737.5157481341753</v>
      </c>
      <c r="E136" s="28">
        <f t="shared" si="47"/>
        <v>4294.5729840971126</v>
      </c>
      <c r="F136" s="28">
        <f t="shared" si="48"/>
        <v>655446.72231623915</v>
      </c>
    </row>
    <row r="137" spans="1:7" x14ac:dyDescent="0.2">
      <c r="A137" s="29" t="s">
        <v>95</v>
      </c>
      <c r="B137" s="28">
        <f t="shared" si="49"/>
        <v>655446.72231623915</v>
      </c>
      <c r="C137" s="28">
        <f t="shared" si="45"/>
        <v>1563.5449744461162</v>
      </c>
      <c r="D137" s="28">
        <f t="shared" si="46"/>
        <v>2731.0280096509964</v>
      </c>
      <c r="E137" s="28">
        <f t="shared" si="47"/>
        <v>4294.5729840971126</v>
      </c>
      <c r="F137" s="28">
        <f t="shared" si="48"/>
        <v>653883.17734179308</v>
      </c>
    </row>
    <row r="138" spans="1:7" x14ac:dyDescent="0.2">
      <c r="A138" s="29" t="s">
        <v>96</v>
      </c>
      <c r="B138" s="28">
        <f t="shared" si="49"/>
        <v>653883.17734179308</v>
      </c>
      <c r="C138" s="28">
        <f t="shared" si="45"/>
        <v>1570.0597451729745</v>
      </c>
      <c r="D138" s="28">
        <f t="shared" si="46"/>
        <v>2724.513238924138</v>
      </c>
      <c r="E138" s="28">
        <f t="shared" si="47"/>
        <v>4294.5729840971126</v>
      </c>
      <c r="F138" s="28">
        <f t="shared" si="48"/>
        <v>652313.11759662011</v>
      </c>
    </row>
    <row r="139" spans="1:7" x14ac:dyDescent="0.2">
      <c r="A139" s="29" t="s">
        <v>97</v>
      </c>
      <c r="B139" s="28">
        <f t="shared" si="49"/>
        <v>652313.11759662011</v>
      </c>
      <c r="C139" s="28">
        <f t="shared" si="45"/>
        <v>1576.601660777862</v>
      </c>
      <c r="D139" s="28">
        <f t="shared" si="46"/>
        <v>2717.9713233192506</v>
      </c>
      <c r="E139" s="28">
        <f t="shared" si="47"/>
        <v>4294.5729840971126</v>
      </c>
      <c r="F139" s="25">
        <f t="shared" si="48"/>
        <v>650736.5159358423</v>
      </c>
      <c r="G139">
        <v>10</v>
      </c>
    </row>
    <row r="140" spans="1:7" x14ac:dyDescent="0.2">
      <c r="A140" s="27" t="s">
        <v>74</v>
      </c>
      <c r="B140" s="26"/>
      <c r="C140" s="25">
        <f>SUM(C128:C139)</f>
        <v>18493.369986941012</v>
      </c>
      <c r="D140" s="25">
        <f>SUM(D128:D139)</f>
        <v>33041.505822224339</v>
      </c>
    </row>
    <row r="141" spans="1:7" x14ac:dyDescent="0.2">
      <c r="B141" s="29"/>
      <c r="C141" s="28"/>
      <c r="D141" s="28"/>
      <c r="E141" s="28"/>
      <c r="F141" s="28"/>
    </row>
    <row r="142" spans="1:7" x14ac:dyDescent="0.2">
      <c r="B142" s="28"/>
      <c r="C142" s="28"/>
      <c r="D142" s="28"/>
      <c r="E142" s="28"/>
      <c r="F142" s="28"/>
    </row>
    <row r="143" spans="1:7" x14ac:dyDescent="0.2">
      <c r="B143" s="28"/>
      <c r="C143" s="28"/>
      <c r="D143" s="28"/>
      <c r="E143" s="28"/>
      <c r="F143" s="28"/>
    </row>
    <row r="144" spans="1:7" x14ac:dyDescent="0.2">
      <c r="B144" s="28"/>
      <c r="C144" s="28"/>
      <c r="D144" s="28"/>
      <c r="E144" s="28"/>
      <c r="F144" s="28"/>
    </row>
    <row r="145" spans="2:6" x14ac:dyDescent="0.2">
      <c r="B145" s="28"/>
      <c r="C145" s="28"/>
      <c r="D145" s="28"/>
      <c r="E145" s="28"/>
      <c r="F145" s="28"/>
    </row>
    <row r="146" spans="2:6" x14ac:dyDescent="0.2">
      <c r="B146" s="28"/>
      <c r="C146" s="28"/>
      <c r="D146" s="28"/>
      <c r="E146" s="28"/>
      <c r="F146" s="28"/>
    </row>
    <row r="147" spans="2:6" x14ac:dyDescent="0.2">
      <c r="B147" s="28"/>
      <c r="C147" s="28"/>
      <c r="D147" s="28"/>
      <c r="E147" s="28"/>
      <c r="F147" s="28"/>
    </row>
    <row r="148" spans="2:6" x14ac:dyDescent="0.2">
      <c r="B148" s="28"/>
      <c r="C148" s="28"/>
      <c r="D148" s="28"/>
      <c r="E148" s="28"/>
      <c r="F148" s="28"/>
    </row>
    <row r="149" spans="2:6" x14ac:dyDescent="0.2">
      <c r="B149" s="28"/>
      <c r="C149" s="28"/>
      <c r="D149" s="28"/>
      <c r="E149" s="28"/>
      <c r="F149" s="28"/>
    </row>
    <row r="150" spans="2:6" x14ac:dyDescent="0.2">
      <c r="B150" s="28"/>
      <c r="C150" s="28"/>
      <c r="D150" s="28"/>
      <c r="E150" s="28"/>
      <c r="F150" s="28"/>
    </row>
    <row r="151" spans="2:6" x14ac:dyDescent="0.2">
      <c r="B151" s="28"/>
      <c r="C151" s="28"/>
      <c r="D151" s="28"/>
      <c r="E151" s="28"/>
      <c r="F151" s="28"/>
    </row>
    <row r="152" spans="2:6" x14ac:dyDescent="0.2">
      <c r="B152" s="28"/>
      <c r="C152" s="28"/>
      <c r="D152" s="28"/>
      <c r="E152" s="28"/>
      <c r="F152" s="28"/>
    </row>
    <row r="153" spans="2:6" x14ac:dyDescent="0.2">
      <c r="B153" s="28"/>
      <c r="C153" s="28"/>
      <c r="D153" s="28"/>
      <c r="E153" s="28"/>
      <c r="F153" s="25"/>
    </row>
    <row r="154" spans="2:6" x14ac:dyDescent="0.2">
      <c r="B154" s="27"/>
      <c r="C154" s="25"/>
      <c r="D154" s="25"/>
      <c r="E154" s="28"/>
      <c r="F154" s="28"/>
    </row>
    <row r="155" spans="2:6" x14ac:dyDescent="0.2">
      <c r="B155" s="29"/>
      <c r="C155" s="28"/>
      <c r="D155" s="28"/>
      <c r="E155" s="28"/>
      <c r="F155" s="28"/>
    </row>
    <row r="156" spans="2:6" x14ac:dyDescent="0.2">
      <c r="B156" s="28"/>
      <c r="C156" s="28"/>
      <c r="D156" s="28"/>
      <c r="E156" s="28"/>
      <c r="F156" s="28"/>
    </row>
    <row r="157" spans="2:6" x14ac:dyDescent="0.2">
      <c r="B157" s="28"/>
      <c r="C157" s="28"/>
      <c r="D157" s="28"/>
      <c r="E157" s="28"/>
      <c r="F157" s="28"/>
    </row>
    <row r="158" spans="2:6" x14ac:dyDescent="0.2">
      <c r="B158" s="28"/>
      <c r="C158" s="28"/>
      <c r="D158" s="28"/>
      <c r="E158" s="28"/>
      <c r="F158" s="28"/>
    </row>
    <row r="159" spans="2:6" x14ac:dyDescent="0.2">
      <c r="B159" s="28"/>
      <c r="C159" s="28"/>
      <c r="D159" s="28"/>
      <c r="E159" s="28"/>
      <c r="F159" s="28"/>
    </row>
    <row r="160" spans="2:6" x14ac:dyDescent="0.2">
      <c r="B160" s="28"/>
      <c r="C160" s="28"/>
      <c r="D160" s="28"/>
      <c r="E160" s="28"/>
      <c r="F160" s="28"/>
    </row>
    <row r="161" spans="2:6" x14ac:dyDescent="0.2">
      <c r="B161" s="28"/>
      <c r="C161" s="28"/>
      <c r="D161" s="28"/>
      <c r="E161" s="28"/>
      <c r="F161" s="28"/>
    </row>
    <row r="162" spans="2:6" x14ac:dyDescent="0.2">
      <c r="B162" s="28"/>
      <c r="C162" s="28"/>
      <c r="D162" s="28"/>
      <c r="E162" s="28"/>
      <c r="F162" s="28"/>
    </row>
    <row r="163" spans="2:6" x14ac:dyDescent="0.2">
      <c r="B163" s="28"/>
      <c r="C163" s="28"/>
      <c r="D163" s="28"/>
      <c r="E163" s="28"/>
      <c r="F163" s="28"/>
    </row>
    <row r="164" spans="2:6" x14ac:dyDescent="0.2">
      <c r="B164" s="28"/>
      <c r="C164" s="28"/>
      <c r="D164" s="28"/>
      <c r="E164" s="28"/>
      <c r="F164" s="28"/>
    </row>
    <row r="165" spans="2:6" x14ac:dyDescent="0.2">
      <c r="B165" s="28"/>
      <c r="C165" s="28"/>
      <c r="D165" s="28"/>
      <c r="E165" s="28"/>
      <c r="F165" s="28"/>
    </row>
    <row r="166" spans="2:6" x14ac:dyDescent="0.2">
      <c r="B166" s="28"/>
      <c r="C166" s="28"/>
      <c r="D166" s="28"/>
      <c r="E166" s="28"/>
      <c r="F166" s="28"/>
    </row>
    <row r="167" spans="2:6" x14ac:dyDescent="0.2">
      <c r="B167" s="28"/>
      <c r="C167" s="28"/>
      <c r="D167" s="28"/>
      <c r="E167" s="28"/>
      <c r="F167" s="25"/>
    </row>
    <row r="168" spans="2:6" x14ac:dyDescent="0.2">
      <c r="B168" s="26"/>
      <c r="C168" s="25"/>
      <c r="D168" s="25"/>
    </row>
    <row r="170" spans="2:6" x14ac:dyDescent="0.2">
      <c r="B170" s="28"/>
      <c r="C170" s="28"/>
      <c r="D170" s="28"/>
      <c r="E170" s="28"/>
      <c r="F170" s="28"/>
    </row>
    <row r="171" spans="2:6" x14ac:dyDescent="0.2">
      <c r="B171" s="28"/>
      <c r="C171" s="28"/>
      <c r="D171" s="28"/>
      <c r="E171" s="28"/>
      <c r="F171" s="28"/>
    </row>
    <row r="172" spans="2:6" x14ac:dyDescent="0.2">
      <c r="B172" s="28"/>
      <c r="C172" s="28"/>
      <c r="D172" s="28"/>
      <c r="E172" s="28"/>
      <c r="F172" s="28"/>
    </row>
    <row r="173" spans="2:6" x14ac:dyDescent="0.2">
      <c r="B173" s="28"/>
      <c r="C173" s="28"/>
      <c r="D173" s="28"/>
      <c r="E173" s="28"/>
      <c r="F173" s="28"/>
    </row>
    <row r="174" spans="2:6" x14ac:dyDescent="0.2">
      <c r="B174" s="28"/>
      <c r="C174" s="28"/>
      <c r="D174" s="28"/>
      <c r="E174" s="28"/>
      <c r="F174" s="28"/>
    </row>
    <row r="175" spans="2:6" x14ac:dyDescent="0.2">
      <c r="B175" s="28"/>
      <c r="C175" s="28"/>
      <c r="D175" s="28"/>
      <c r="E175" s="28"/>
      <c r="F175" s="28"/>
    </row>
    <row r="176" spans="2:6" x14ac:dyDescent="0.2">
      <c r="B176" s="28"/>
      <c r="C176" s="28"/>
      <c r="D176" s="28"/>
      <c r="E176" s="28"/>
      <c r="F176" s="28"/>
    </row>
    <row r="177" spans="2:6" x14ac:dyDescent="0.2">
      <c r="B177" s="28"/>
      <c r="C177" s="28"/>
      <c r="D177" s="28"/>
      <c r="E177" s="28"/>
      <c r="F177" s="28"/>
    </row>
    <row r="178" spans="2:6" x14ac:dyDescent="0.2">
      <c r="B178" s="28"/>
      <c r="C178" s="28"/>
      <c r="D178" s="28"/>
      <c r="E178" s="28"/>
      <c r="F178" s="28"/>
    </row>
    <row r="179" spans="2:6" x14ac:dyDescent="0.2">
      <c r="B179" s="28"/>
      <c r="C179" s="28"/>
      <c r="D179" s="28"/>
      <c r="E179" s="28"/>
      <c r="F179" s="28"/>
    </row>
    <row r="180" spans="2:6" x14ac:dyDescent="0.2">
      <c r="B180" s="28"/>
      <c r="C180" s="28"/>
      <c r="D180" s="28"/>
      <c r="E180" s="28"/>
      <c r="F180" s="28"/>
    </row>
    <row r="181" spans="2:6" x14ac:dyDescent="0.2">
      <c r="B181" s="28"/>
      <c r="C181" s="28"/>
      <c r="D181" s="28"/>
      <c r="E181" s="28"/>
      <c r="F181" s="25"/>
    </row>
    <row r="182" spans="2:6" x14ac:dyDescent="0.2">
      <c r="B182" s="26"/>
      <c r="C182" s="25"/>
      <c r="D182" s="25"/>
    </row>
    <row r="184" spans="2:6" x14ac:dyDescent="0.2">
      <c r="B184" s="28"/>
      <c r="C184" s="28"/>
      <c r="D184" s="28"/>
      <c r="E184" s="28"/>
      <c r="F184" s="2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workbookViewId="0">
      <selection activeCell="K29" sqref="K29"/>
    </sheetView>
  </sheetViews>
  <sheetFormatPr defaultRowHeight="12.75" x14ac:dyDescent="0.2"/>
  <cols>
    <col min="1" max="1" width="22" bestFit="1" customWidth="1"/>
    <col min="2" max="2" width="11.7109375" bestFit="1" customWidth="1"/>
  </cols>
  <sheetData>
    <row r="1" spans="1:4" x14ac:dyDescent="0.2">
      <c r="A1" t="s">
        <v>44</v>
      </c>
      <c r="B1">
        <v>14500000</v>
      </c>
    </row>
    <row r="2" spans="1:4" x14ac:dyDescent="0.2">
      <c r="A2" t="s">
        <v>176</v>
      </c>
      <c r="B2">
        <v>10000</v>
      </c>
    </row>
    <row r="3" spans="1:4" x14ac:dyDescent="0.2">
      <c r="A3" t="s">
        <v>175</v>
      </c>
      <c r="B3">
        <v>2200</v>
      </c>
    </row>
    <row r="4" spans="1:4" x14ac:dyDescent="0.2">
      <c r="A4" t="s">
        <v>45</v>
      </c>
      <c r="B4">
        <f>B2*B3</f>
        <v>22000000</v>
      </c>
    </row>
    <row r="5" spans="1:4" x14ac:dyDescent="0.2">
      <c r="A5" t="s">
        <v>56</v>
      </c>
      <c r="B5">
        <v>1020000</v>
      </c>
    </row>
    <row r="7" spans="1:4" x14ac:dyDescent="0.2">
      <c r="A7" t="s">
        <v>174</v>
      </c>
      <c r="B7" s="47">
        <v>-0.3</v>
      </c>
    </row>
    <row r="8" spans="1:4" x14ac:dyDescent="0.2">
      <c r="A8" t="s">
        <v>49</v>
      </c>
      <c r="B8" s="22">
        <v>0.6</v>
      </c>
      <c r="C8" t="s">
        <v>50</v>
      </c>
    </row>
    <row r="10" spans="1:4" x14ac:dyDescent="0.2">
      <c r="A10" t="s">
        <v>51</v>
      </c>
    </row>
    <row r="11" spans="1:4" x14ac:dyDescent="0.2">
      <c r="A11" t="s">
        <v>52</v>
      </c>
      <c r="B11" s="22">
        <v>0.15</v>
      </c>
      <c r="C11" t="s">
        <v>50</v>
      </c>
    </row>
    <row r="12" spans="1:4" x14ac:dyDescent="0.2">
      <c r="A12" t="s">
        <v>53</v>
      </c>
      <c r="B12" s="6">
        <v>440000</v>
      </c>
      <c r="C12" s="22">
        <v>0.04</v>
      </c>
      <c r="D12" t="s">
        <v>173</v>
      </c>
    </row>
    <row r="13" spans="1:4" x14ac:dyDescent="0.2">
      <c r="A13" t="s">
        <v>54</v>
      </c>
      <c r="B13" s="6">
        <v>3300000</v>
      </c>
      <c r="C13" s="22">
        <v>0.03</v>
      </c>
      <c r="D13" t="s">
        <v>173</v>
      </c>
    </row>
    <row r="15" spans="1:4" x14ac:dyDescent="0.2">
      <c r="A15" t="s">
        <v>55</v>
      </c>
      <c r="B15" s="22">
        <v>0.4</v>
      </c>
      <c r="C15" t="s">
        <v>57</v>
      </c>
    </row>
    <row r="16" spans="1:4" x14ac:dyDescent="0.2">
      <c r="A16" t="s">
        <v>46</v>
      </c>
      <c r="B16" s="22">
        <v>0.6</v>
      </c>
      <c r="C16" t="s">
        <v>57</v>
      </c>
    </row>
    <row r="18" spans="1:3" x14ac:dyDescent="0.2">
      <c r="A18" t="s">
        <v>172</v>
      </c>
      <c r="B18" s="6">
        <v>30</v>
      </c>
      <c r="C18" t="s">
        <v>58</v>
      </c>
    </row>
    <row r="19" spans="1:3" x14ac:dyDescent="0.2">
      <c r="B19" s="6"/>
    </row>
    <row r="20" spans="1:3" x14ac:dyDescent="0.2">
      <c r="B20">
        <f>'Forecast (Bankruptcy)'!E31/'Assumptions and data-Bankruptcy'!B18</f>
        <v>13600</v>
      </c>
      <c r="C20" t="s">
        <v>59</v>
      </c>
    </row>
    <row r="22" spans="1:3" x14ac:dyDescent="0.2">
      <c r="A22" t="s">
        <v>60</v>
      </c>
      <c r="B22" s="22">
        <v>0.02</v>
      </c>
      <c r="C22" t="s">
        <v>50</v>
      </c>
    </row>
    <row r="23" spans="1:3" x14ac:dyDescent="0.2">
      <c r="A23" t="s">
        <v>61</v>
      </c>
      <c r="B23" s="6">
        <v>90</v>
      </c>
      <c r="C23" t="s">
        <v>134</v>
      </c>
    </row>
    <row r="24" spans="1:3" x14ac:dyDescent="0.2">
      <c r="A24" t="s">
        <v>62</v>
      </c>
      <c r="B24" s="6">
        <v>73</v>
      </c>
      <c r="C24" t="s">
        <v>134</v>
      </c>
    </row>
    <row r="26" spans="1:3" x14ac:dyDescent="0.2">
      <c r="A26" t="s">
        <v>63</v>
      </c>
      <c r="B26" s="22">
        <v>0.35</v>
      </c>
      <c r="C26" t="s">
        <v>64</v>
      </c>
    </row>
    <row r="28" spans="1:3" x14ac:dyDescent="0.2">
      <c r="A28" t="s">
        <v>65</v>
      </c>
      <c r="B28">
        <f>B5</f>
        <v>1020000</v>
      </c>
    </row>
    <row r="29" spans="1:3" x14ac:dyDescent="0.2">
      <c r="B29" s="22">
        <v>0.2</v>
      </c>
      <c r="C29" t="s">
        <v>66</v>
      </c>
    </row>
    <row r="30" spans="1:3" x14ac:dyDescent="0.2">
      <c r="B30">
        <f>80%*B28/13</f>
        <v>62769.230769230766</v>
      </c>
      <c r="C30" t="s">
        <v>67</v>
      </c>
    </row>
    <row r="31" spans="1:3" x14ac:dyDescent="0.2">
      <c r="A31" t="s">
        <v>68</v>
      </c>
      <c r="B31" s="22">
        <v>0.03</v>
      </c>
      <c r="C31" t="s">
        <v>69</v>
      </c>
    </row>
    <row r="32" spans="1:3" x14ac:dyDescent="0.2">
      <c r="A32" t="s">
        <v>70</v>
      </c>
      <c r="B32" s="22">
        <v>0.3</v>
      </c>
    </row>
    <row r="33" spans="1:3" x14ac:dyDescent="0.2">
      <c r="A33" t="s">
        <v>71</v>
      </c>
      <c r="B33" s="6">
        <v>4000000</v>
      </c>
      <c r="C33" t="s">
        <v>72</v>
      </c>
    </row>
    <row r="34" spans="1:3" x14ac:dyDescent="0.2">
      <c r="A34" t="s">
        <v>73</v>
      </c>
      <c r="B34" s="22">
        <v>0.1</v>
      </c>
      <c r="C34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Forecast</vt:lpstr>
      <vt:lpstr>Forecast (Bankruptcy)</vt:lpstr>
      <vt:lpstr>Mortgage</vt:lpstr>
      <vt:lpstr>Assumptions and data</vt:lpstr>
      <vt:lpstr>Mortgage (Bankruptcy)</vt:lpstr>
      <vt:lpstr>Assumptions and data-Bankruptcy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2014-07-18T14:50:33Z</dcterms:created>
  <dcterms:modified xsi:type="dcterms:W3CDTF">2019-08-23T21:33:11Z</dcterms:modified>
</cp:coreProperties>
</file>