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60" windowWidth="20490" windowHeight="7305"/>
  </bookViews>
  <sheets>
    <sheet name="Forecast" sheetId="8" r:id="rId1"/>
    <sheet name="Sheet2" sheetId="10" r:id="rId2"/>
    <sheet name="Mortgage" sheetId="6" r:id="rId3"/>
    <sheet name="BANKRUPTCY" sheetId="7" r:id="rId4"/>
    <sheet name="Reference" sheetId="3" r:id="rId5"/>
    <sheet name="Resources" sheetId="4" r:id="rId6"/>
    <sheet name="Options" sheetId="11" r:id="rId7"/>
  </sheets>
  <externalReferences>
    <externalReference r:id="rId8"/>
    <externalReference r:id="rId9"/>
    <externalReference r:id="rId10"/>
  </externalReferences>
  <calcPr calcId="145621"/>
</workbook>
</file>

<file path=xl/calcChain.xml><?xml version="1.0" encoding="utf-8"?>
<calcChain xmlns="http://schemas.openxmlformats.org/spreadsheetml/2006/main">
  <c r="J33" i="11" l="1"/>
  <c r="K33" i="11"/>
  <c r="L16" i="11"/>
  <c r="L33" i="11" s="1"/>
  <c r="G20" i="11"/>
  <c r="C29" i="11"/>
  <c r="D33" i="11"/>
  <c r="C33" i="11"/>
  <c r="B33" i="11"/>
  <c r="B29" i="11"/>
  <c r="D25" i="11"/>
  <c r="B25" i="11"/>
  <c r="I20" i="11"/>
  <c r="J20" i="11" s="1"/>
  <c r="K20" i="11" s="1"/>
  <c r="L20" i="11" s="1"/>
  <c r="E33" i="11"/>
  <c r="D29" i="11"/>
  <c r="C43" i="10"/>
  <c r="D42" i="10"/>
  <c r="D43" i="10" s="1"/>
  <c r="C42" i="10"/>
  <c r="B42" i="10"/>
  <c r="B43" i="10" s="1"/>
  <c r="B39" i="10"/>
  <c r="C38" i="10"/>
  <c r="C39" i="10" s="1"/>
  <c r="B38" i="10"/>
  <c r="C35" i="10"/>
  <c r="D34" i="10"/>
  <c r="D35" i="10" s="1"/>
  <c r="C34" i="10"/>
  <c r="B34" i="10"/>
  <c r="B35" i="10" s="1"/>
  <c r="G31" i="10"/>
  <c r="H31" i="10" s="1"/>
  <c r="I31" i="10" s="1"/>
  <c r="J31" i="10" s="1"/>
  <c r="E25" i="10"/>
  <c r="E42" i="10" s="1"/>
  <c r="E43" i="10" s="1"/>
  <c r="D25" i="10"/>
  <c r="D38" i="10" s="1"/>
  <c r="D39" i="10" s="1"/>
  <c r="L29" i="11" l="1"/>
  <c r="J25" i="11"/>
  <c r="K29" i="11"/>
  <c r="K25" i="11"/>
  <c r="L25" i="11"/>
  <c r="C25" i="11"/>
  <c r="E29" i="11"/>
  <c r="E25" i="11"/>
  <c r="E38" i="10"/>
  <c r="E39" i="10" s="1"/>
  <c r="F25" i="10"/>
  <c r="E34" i="10"/>
  <c r="E35" i="10" s="1"/>
  <c r="F29" i="11" l="1"/>
  <c r="F33" i="11"/>
  <c r="F25" i="11"/>
  <c r="F38" i="10"/>
  <c r="F39" i="10" s="1"/>
  <c r="F42" i="10"/>
  <c r="F43" i="10" s="1"/>
  <c r="F34" i="10"/>
  <c r="F35" i="10" s="1"/>
  <c r="G25" i="10"/>
  <c r="G33" i="11" l="1"/>
  <c r="G25" i="11"/>
  <c r="G29" i="11"/>
  <c r="G42" i="10"/>
  <c r="G43" i="10" s="1"/>
  <c r="G34" i="10"/>
  <c r="G35" i="10" s="1"/>
  <c r="H25" i="10"/>
  <c r="G38" i="10"/>
  <c r="G39" i="10" s="1"/>
  <c r="H29" i="11" l="1"/>
  <c r="H33" i="11"/>
  <c r="H25" i="11"/>
  <c r="H38" i="10"/>
  <c r="H39" i="10" s="1"/>
  <c r="H42" i="10"/>
  <c r="H43" i="10" s="1"/>
  <c r="H34" i="10"/>
  <c r="H35" i="10" s="1"/>
  <c r="I25" i="10"/>
  <c r="I33" i="11" l="1"/>
  <c r="I25" i="11"/>
  <c r="I29" i="11"/>
  <c r="I42" i="10"/>
  <c r="I43" i="10" s="1"/>
  <c r="I34" i="10"/>
  <c r="I35" i="10" s="1"/>
  <c r="J25" i="10"/>
  <c r="I38" i="10"/>
  <c r="I39" i="10" s="1"/>
  <c r="J29" i="11" l="1"/>
  <c r="J38" i="10"/>
  <c r="J39" i="10" s="1"/>
  <c r="B40" i="10" s="1"/>
  <c r="J42" i="10"/>
  <c r="J43" i="10" s="1"/>
  <c r="B44" i="10" s="1"/>
  <c r="J34" i="10"/>
  <c r="J35" i="10" s="1"/>
  <c r="B36" i="10" s="1"/>
  <c r="B46" i="10" l="1"/>
  <c r="C99" i="7" l="1"/>
  <c r="O84" i="8" l="1"/>
  <c r="E46" i="8"/>
  <c r="F46" i="8" s="1"/>
  <c r="G46" i="8" s="1"/>
  <c r="H46" i="8" s="1"/>
  <c r="O86" i="8"/>
  <c r="I46" i="8" l="1"/>
  <c r="M120" i="8"/>
  <c r="M119" i="8"/>
  <c r="L119" i="8"/>
  <c r="K119" i="8"/>
  <c r="J119" i="8"/>
  <c r="I119" i="8"/>
  <c r="H119" i="8"/>
  <c r="G119" i="8"/>
  <c r="F119" i="8"/>
  <c r="E119" i="8"/>
  <c r="D119" i="8"/>
  <c r="C119" i="8"/>
  <c r="P111" i="8"/>
  <c r="M111" i="8"/>
  <c r="L111" i="8"/>
  <c r="K111" i="8"/>
  <c r="J111" i="8"/>
  <c r="I111" i="8"/>
  <c r="H111" i="8"/>
  <c r="G111" i="8"/>
  <c r="F111" i="8"/>
  <c r="E111" i="8"/>
  <c r="D111" i="8"/>
  <c r="C111" i="8"/>
  <c r="M104" i="8"/>
  <c r="L104" i="8"/>
  <c r="K104" i="8"/>
  <c r="J104" i="8"/>
  <c r="I104" i="8"/>
  <c r="H104" i="8"/>
  <c r="G104" i="8"/>
  <c r="F104" i="8"/>
  <c r="E104" i="8"/>
  <c r="D104" i="8"/>
  <c r="C104" i="8"/>
  <c r="M103" i="8"/>
  <c r="L103" i="8"/>
  <c r="K103" i="8"/>
  <c r="J103" i="8"/>
  <c r="I103" i="8"/>
  <c r="H103" i="8"/>
  <c r="G103" i="8"/>
  <c r="F103" i="8"/>
  <c r="E103" i="8"/>
  <c r="D103" i="8"/>
  <c r="C103" i="8"/>
  <c r="R84" i="8"/>
  <c r="R83" i="8"/>
  <c r="D73" i="8"/>
  <c r="C115" i="8" s="1"/>
  <c r="M56" i="8"/>
  <c r="L56" i="8"/>
  <c r="K56" i="8"/>
  <c r="J56" i="8"/>
  <c r="I56" i="8"/>
  <c r="H56" i="8"/>
  <c r="G56" i="8"/>
  <c r="F56" i="8"/>
  <c r="E56" i="8"/>
  <c r="D56" i="8"/>
  <c r="M53" i="8"/>
  <c r="L53" i="8"/>
  <c r="L96" i="8" s="1"/>
  <c r="K53" i="8"/>
  <c r="J53" i="8"/>
  <c r="I53" i="8"/>
  <c r="H53" i="8"/>
  <c r="G53" i="8"/>
  <c r="F53" i="8"/>
  <c r="E53" i="8"/>
  <c r="D53" i="8"/>
  <c r="D74" i="8" s="1"/>
  <c r="M52" i="8"/>
  <c r="L52" i="8"/>
  <c r="K52" i="8"/>
  <c r="J52" i="8"/>
  <c r="I52" i="8"/>
  <c r="H52" i="8"/>
  <c r="G52" i="8"/>
  <c r="F52" i="8"/>
  <c r="E52" i="8"/>
  <c r="D52" i="8"/>
  <c r="D72" i="8" s="1"/>
  <c r="M47" i="8"/>
  <c r="L47" i="8"/>
  <c r="K47" i="8"/>
  <c r="J47" i="8"/>
  <c r="I47" i="8"/>
  <c r="H47" i="8"/>
  <c r="G47" i="8"/>
  <c r="F47" i="8"/>
  <c r="E47" i="8"/>
  <c r="D47" i="8"/>
  <c r="D24" i="8"/>
  <c r="D39" i="8" s="1"/>
  <c r="E39" i="8" s="1"/>
  <c r="F39" i="8" s="1"/>
  <c r="G39" i="8" s="1"/>
  <c r="H39" i="8" s="1"/>
  <c r="I39" i="8" s="1"/>
  <c r="J39" i="8" s="1"/>
  <c r="K39" i="8" s="1"/>
  <c r="L39" i="8" s="1"/>
  <c r="M39" i="8" s="1"/>
  <c r="D23" i="8"/>
  <c r="D38" i="8" s="1"/>
  <c r="E38" i="8" s="1"/>
  <c r="F38" i="8" s="1"/>
  <c r="G38" i="8" s="1"/>
  <c r="H38" i="8" s="1"/>
  <c r="I38" i="8" s="1"/>
  <c r="J38" i="8" s="1"/>
  <c r="K38" i="8" s="1"/>
  <c r="L38" i="8" s="1"/>
  <c r="M38" i="8" s="1"/>
  <c r="D22" i="8"/>
  <c r="D15" i="8"/>
  <c r="D12" i="8"/>
  <c r="D10" i="8"/>
  <c r="E72" i="8" l="1"/>
  <c r="F72" i="8" s="1"/>
  <c r="G72" i="8" s="1"/>
  <c r="H72" i="8" s="1"/>
  <c r="I72" i="8" s="1"/>
  <c r="J72" i="8" s="1"/>
  <c r="K72" i="8" s="1"/>
  <c r="L72" i="8" s="1"/>
  <c r="M72" i="8" s="1"/>
  <c r="P119" i="8" s="1"/>
  <c r="P121" i="8" s="1"/>
  <c r="M121" i="8" s="1"/>
  <c r="E73" i="8"/>
  <c r="F73" i="8" s="1"/>
  <c r="D27" i="8"/>
  <c r="H96" i="8"/>
  <c r="D96" i="8"/>
  <c r="J46" i="8"/>
  <c r="E74" i="8"/>
  <c r="F74" i="8" s="1"/>
  <c r="G74" i="8" s="1"/>
  <c r="H74" i="8" s="1"/>
  <c r="I74" i="8" s="1"/>
  <c r="J74" i="8" s="1"/>
  <c r="K74" i="8" s="1"/>
  <c r="L74" i="8" s="1"/>
  <c r="M74" i="8" s="1"/>
  <c r="F96" i="8"/>
  <c r="J96" i="8"/>
  <c r="E96" i="8"/>
  <c r="G96" i="8"/>
  <c r="I96" i="8"/>
  <c r="K96" i="8"/>
  <c r="M96" i="8"/>
  <c r="D115" i="8"/>
  <c r="D37" i="8"/>
  <c r="D26" i="8"/>
  <c r="M112" i="8"/>
  <c r="P113" i="8" s="1"/>
  <c r="M113" i="8" s="1"/>
  <c r="D42" i="8" l="1"/>
  <c r="K46" i="8"/>
  <c r="D67" i="8"/>
  <c r="E37" i="8"/>
  <c r="E115" i="8"/>
  <c r="G73" i="8"/>
  <c r="E45" i="8" l="1"/>
  <c r="E42" i="8"/>
  <c r="L46" i="8"/>
  <c r="F115" i="8"/>
  <c r="H73" i="8"/>
  <c r="F37" i="8"/>
  <c r="E67" i="8"/>
  <c r="C105" i="8"/>
  <c r="F45" i="8" l="1"/>
  <c r="F42" i="8"/>
  <c r="M46" i="8"/>
  <c r="G115" i="8"/>
  <c r="I73" i="8"/>
  <c r="D105" i="8"/>
  <c r="F67" i="8"/>
  <c r="G37" i="8"/>
  <c r="G45" i="8" l="1"/>
  <c r="G42" i="8"/>
  <c r="H37" i="8"/>
  <c r="G67" i="8"/>
  <c r="E105" i="8"/>
  <c r="J73" i="8"/>
  <c r="H115" i="8"/>
  <c r="H45" i="8" l="1"/>
  <c r="H42" i="8"/>
  <c r="F105" i="8"/>
  <c r="I115" i="8"/>
  <c r="K73" i="8"/>
  <c r="H67" i="8"/>
  <c r="I37" i="8"/>
  <c r="I45" i="8" l="1"/>
  <c r="I42" i="8"/>
  <c r="J37" i="8"/>
  <c r="I67" i="8"/>
  <c r="G105" i="8"/>
  <c r="J115" i="8"/>
  <c r="L73" i="8"/>
  <c r="J45" i="8" l="1"/>
  <c r="J42" i="8"/>
  <c r="K115" i="8"/>
  <c r="M73" i="8"/>
  <c r="H105" i="8"/>
  <c r="J67" i="8"/>
  <c r="K37" i="8"/>
  <c r="K45" i="8" l="1"/>
  <c r="K42" i="8"/>
  <c r="L37" i="8"/>
  <c r="K67" i="8"/>
  <c r="I105" i="8"/>
  <c r="M115" i="8"/>
  <c r="M116" i="8" s="1"/>
  <c r="P115" i="8"/>
  <c r="L115" i="8"/>
  <c r="L45" i="8" l="1"/>
  <c r="L42" i="8"/>
  <c r="P117" i="8"/>
  <c r="M117" i="8" s="1"/>
  <c r="L67" i="8"/>
  <c r="M37" i="8"/>
  <c r="J105" i="8"/>
  <c r="M45" i="8" l="1"/>
  <c r="M42" i="8"/>
  <c r="M67" i="8"/>
  <c r="K105" i="8"/>
  <c r="L105" i="8" l="1"/>
  <c r="M105" i="8"/>
  <c r="C109" i="7" l="1"/>
  <c r="E106" i="7"/>
  <c r="E107" i="7" s="1"/>
  <c r="F106" i="7"/>
  <c r="G106" i="7"/>
  <c r="H106" i="7"/>
  <c r="I106" i="7"/>
  <c r="I107" i="7" s="1"/>
  <c r="J106" i="7"/>
  <c r="K106" i="7"/>
  <c r="D106" i="7"/>
  <c r="D104" i="7"/>
  <c r="D107" i="7" s="1"/>
  <c r="E104" i="7"/>
  <c r="F104" i="7"/>
  <c r="G104" i="7"/>
  <c r="G107" i="7" s="1"/>
  <c r="H104" i="7"/>
  <c r="I104" i="7"/>
  <c r="J104" i="7"/>
  <c r="C104" i="7"/>
  <c r="J107" i="7"/>
  <c r="F107" i="7"/>
  <c r="C107" i="7"/>
  <c r="H107" i="7" l="1"/>
  <c r="C100" i="7"/>
  <c r="O87" i="7"/>
  <c r="N86" i="7"/>
  <c r="O80" i="7"/>
  <c r="P72" i="7"/>
  <c r="P64" i="7"/>
  <c r="O70" i="7"/>
  <c r="O69" i="7"/>
  <c r="D72" i="7"/>
  <c r="E72" i="7" s="1"/>
  <c r="K55" i="7"/>
  <c r="J55" i="7"/>
  <c r="I55" i="7"/>
  <c r="H55" i="7"/>
  <c r="G55" i="7"/>
  <c r="F55" i="7"/>
  <c r="E55" i="7"/>
  <c r="D55" i="7"/>
  <c r="K52" i="7"/>
  <c r="J52" i="7"/>
  <c r="I52" i="7"/>
  <c r="H52" i="7"/>
  <c r="G52" i="7"/>
  <c r="F52" i="7"/>
  <c r="E52" i="7"/>
  <c r="D52" i="7"/>
  <c r="K51" i="7"/>
  <c r="J51" i="7"/>
  <c r="I51" i="7"/>
  <c r="H51" i="7"/>
  <c r="G51" i="7"/>
  <c r="F51" i="7"/>
  <c r="E51" i="7"/>
  <c r="D51" i="7"/>
  <c r="D71" i="7" s="1"/>
  <c r="E71" i="7" s="1"/>
  <c r="F71" i="7" s="1"/>
  <c r="G71" i="7" s="1"/>
  <c r="H71" i="7" s="1"/>
  <c r="I71" i="7" s="1"/>
  <c r="J71" i="7" s="1"/>
  <c r="K71" i="7" s="1"/>
  <c r="K47" i="7"/>
  <c r="J47" i="7"/>
  <c r="I47" i="7"/>
  <c r="H47" i="7"/>
  <c r="G47" i="7"/>
  <c r="F47" i="7"/>
  <c r="E47" i="7"/>
  <c r="D47" i="7"/>
  <c r="H46" i="7"/>
  <c r="I46" i="7" s="1"/>
  <c r="G46" i="7"/>
  <c r="G49" i="7" s="1"/>
  <c r="F46" i="7"/>
  <c r="F49" i="7" s="1"/>
  <c r="E46" i="7"/>
  <c r="E49" i="7" s="1"/>
  <c r="D46" i="7"/>
  <c r="D49" i="7" s="1"/>
  <c r="D24" i="7"/>
  <c r="D39" i="7" s="1"/>
  <c r="E39" i="7" s="1"/>
  <c r="F39" i="7" s="1"/>
  <c r="G39" i="7" s="1"/>
  <c r="H39" i="7" s="1"/>
  <c r="I39" i="7" s="1"/>
  <c r="J39" i="7" s="1"/>
  <c r="K39" i="7" s="1"/>
  <c r="D22" i="7"/>
  <c r="D37" i="7" s="1"/>
  <c r="D18" i="7"/>
  <c r="D23" i="7" s="1"/>
  <c r="D38" i="7" s="1"/>
  <c r="E38" i="7" s="1"/>
  <c r="F38" i="7" s="1"/>
  <c r="G38" i="7" s="1"/>
  <c r="H38" i="7" s="1"/>
  <c r="I38" i="7" s="1"/>
  <c r="J38" i="7" s="1"/>
  <c r="K38" i="7" s="1"/>
  <c r="D15" i="7"/>
  <c r="D12" i="7"/>
  <c r="D10" i="7"/>
  <c r="D27" i="7" l="1"/>
  <c r="D42" i="7" s="1"/>
  <c r="D79" i="7" s="1"/>
  <c r="D67" i="7"/>
  <c r="N42" i="7"/>
  <c r="D66" i="7"/>
  <c r="E37" i="7"/>
  <c r="I49" i="7"/>
  <c r="J46" i="7"/>
  <c r="H49" i="7"/>
  <c r="D73" i="7"/>
  <c r="E73" i="7" s="1"/>
  <c r="F73" i="7" s="1"/>
  <c r="G73" i="7" s="1"/>
  <c r="H73" i="7" s="1"/>
  <c r="I73" i="7" s="1"/>
  <c r="J73" i="7" s="1"/>
  <c r="K73" i="7" s="1"/>
  <c r="F72" i="7"/>
  <c r="D26" i="7"/>
  <c r="D75" i="7"/>
  <c r="D57" i="7" l="1"/>
  <c r="G72" i="7"/>
  <c r="D58" i="7"/>
  <c r="D80" i="7" s="1"/>
  <c r="K46" i="7"/>
  <c r="J49" i="7"/>
  <c r="F37" i="7"/>
  <c r="E66" i="7"/>
  <c r="E42" i="7"/>
  <c r="J7" i="6"/>
  <c r="J6" i="6"/>
  <c r="J5" i="6"/>
  <c r="C4" i="6" s="1"/>
  <c r="J3" i="6"/>
  <c r="J8" i="6" l="1"/>
  <c r="D141" i="6" s="1"/>
  <c r="E79" i="7"/>
  <c r="E67" i="7"/>
  <c r="E75" i="7" s="1"/>
  <c r="F66" i="7"/>
  <c r="G37" i="7"/>
  <c r="K49" i="7"/>
  <c r="H72" i="7"/>
  <c r="F42" i="7"/>
  <c r="E57" i="7"/>
  <c r="D59" i="7"/>
  <c r="D86" i="7" s="1"/>
  <c r="E4" i="6"/>
  <c r="D139" i="6"/>
  <c r="D135" i="6"/>
  <c r="D131" i="6"/>
  <c r="D124" i="6"/>
  <c r="D120" i="6"/>
  <c r="D116" i="6"/>
  <c r="D111" i="6"/>
  <c r="D107" i="6"/>
  <c r="D140" i="6"/>
  <c r="D132" i="6"/>
  <c r="D123" i="6"/>
  <c r="D110" i="6"/>
  <c r="D104" i="6"/>
  <c r="D99" i="6"/>
  <c r="D95" i="6"/>
  <c r="D91" i="6"/>
  <c r="D84" i="6"/>
  <c r="D80" i="6"/>
  <c r="D76" i="6"/>
  <c r="D71" i="6"/>
  <c r="D67" i="6"/>
  <c r="D63" i="6"/>
  <c r="D56" i="6"/>
  <c r="D52" i="6"/>
  <c r="D48" i="6"/>
  <c r="D130" i="6"/>
  <c r="D117" i="6"/>
  <c r="D96" i="6"/>
  <c r="D88" i="6"/>
  <c r="D79" i="6"/>
  <c r="D70" i="6"/>
  <c r="D62" i="6"/>
  <c r="D53" i="6"/>
  <c r="D46" i="6"/>
  <c r="D41" i="6"/>
  <c r="D37" i="6"/>
  <c r="D33" i="6"/>
  <c r="D26" i="6"/>
  <c r="D22" i="6"/>
  <c r="D18" i="6"/>
  <c r="D14" i="6"/>
  <c r="D12" i="6"/>
  <c r="D10" i="6"/>
  <c r="D4" i="6"/>
  <c r="D134" i="6"/>
  <c r="D121" i="6"/>
  <c r="D108" i="6"/>
  <c r="D103" i="6"/>
  <c r="D98" i="6"/>
  <c r="D94" i="6"/>
  <c r="D90" i="6"/>
  <c r="D85" i="6"/>
  <c r="D81" i="6"/>
  <c r="D77" i="6"/>
  <c r="D68" i="6"/>
  <c r="D64" i="6"/>
  <c r="D60" i="6"/>
  <c r="D55" i="6"/>
  <c r="D51" i="6"/>
  <c r="D47" i="6"/>
  <c r="D42" i="6"/>
  <c r="D40" i="6"/>
  <c r="D38" i="6"/>
  <c r="D36" i="6"/>
  <c r="D34" i="6"/>
  <c r="D32" i="6"/>
  <c r="D29" i="6"/>
  <c r="D27" i="6"/>
  <c r="D25" i="6"/>
  <c r="D23" i="6"/>
  <c r="D21" i="6"/>
  <c r="D19" i="6"/>
  <c r="D15" i="6"/>
  <c r="D13" i="6"/>
  <c r="D11" i="6"/>
  <c r="D8" i="6"/>
  <c r="D6" i="6"/>
  <c r="D9" i="6"/>
  <c r="D7" i="6"/>
  <c r="D5" i="6"/>
  <c r="D20" i="6" l="1"/>
  <c r="D24" i="6"/>
  <c r="D28" i="6"/>
  <c r="D35" i="6"/>
  <c r="D39" i="6"/>
  <c r="D43" i="6"/>
  <c r="D49" i="6"/>
  <c r="D57" i="6"/>
  <c r="D66" i="6"/>
  <c r="D75" i="6"/>
  <c r="D83" i="6"/>
  <c r="D92" i="6"/>
  <c r="D112" i="6"/>
  <c r="D125" i="6"/>
  <c r="D138" i="6"/>
  <c r="D50" i="6"/>
  <c r="D54" i="6"/>
  <c r="D61" i="6"/>
  <c r="D65" i="6"/>
  <c r="D69" i="6"/>
  <c r="D74" i="6"/>
  <c r="D78" i="6"/>
  <c r="D82" i="6"/>
  <c r="D89" i="6"/>
  <c r="D93" i="6"/>
  <c r="D97" i="6"/>
  <c r="D102" i="6"/>
  <c r="D106" i="6"/>
  <c r="D119" i="6"/>
  <c r="D127" i="6"/>
  <c r="D136" i="6"/>
  <c r="D105" i="6"/>
  <c r="D109" i="6"/>
  <c r="D113" i="6"/>
  <c r="D118" i="6"/>
  <c r="D122" i="6"/>
  <c r="D126" i="6"/>
  <c r="D133" i="6"/>
  <c r="D137" i="6"/>
  <c r="F67" i="7"/>
  <c r="F79" i="7"/>
  <c r="I72" i="7"/>
  <c r="G66" i="7"/>
  <c r="H37" i="7"/>
  <c r="G42" i="7"/>
  <c r="E59" i="7"/>
  <c r="E86" i="7" s="1"/>
  <c r="E58" i="7"/>
  <c r="E80" i="7" s="1"/>
  <c r="F57" i="7"/>
  <c r="F4" i="6"/>
  <c r="G4" i="6" s="1"/>
  <c r="C5" i="6" s="1"/>
  <c r="D16" i="6"/>
  <c r="F58" i="7" l="1"/>
  <c r="F80" i="7" s="1"/>
  <c r="F75" i="7"/>
  <c r="G79" i="7"/>
  <c r="G67" i="7"/>
  <c r="G57" i="7"/>
  <c r="H66" i="7"/>
  <c r="I37" i="7"/>
  <c r="H42" i="7"/>
  <c r="H57" i="7" s="1"/>
  <c r="G75" i="7"/>
  <c r="J72" i="7"/>
  <c r="E5" i="6"/>
  <c r="H58" i="7" l="1"/>
  <c r="H80" i="7" s="1"/>
  <c r="G58" i="7"/>
  <c r="G80" i="7" s="1"/>
  <c r="K72" i="7"/>
  <c r="H67" i="7"/>
  <c r="H79" i="7"/>
  <c r="J37" i="7"/>
  <c r="I66" i="7"/>
  <c r="I42" i="7"/>
  <c r="F59" i="7"/>
  <c r="F86" i="7" s="1"/>
  <c r="F5" i="6"/>
  <c r="G5" i="6" s="1"/>
  <c r="C6" i="6" s="1"/>
  <c r="H75" i="7" l="1"/>
  <c r="J66" i="7"/>
  <c r="K37" i="7"/>
  <c r="J42" i="7"/>
  <c r="I79" i="7"/>
  <c r="I67" i="7"/>
  <c r="I57" i="7"/>
  <c r="G59" i="7"/>
  <c r="G86" i="7" s="1"/>
  <c r="H59" i="7"/>
  <c r="E6" i="6"/>
  <c r="H86" i="7" l="1"/>
  <c r="K66" i="7"/>
  <c r="P66" i="7" s="1"/>
  <c r="K42" i="7"/>
  <c r="I75" i="7"/>
  <c r="I58" i="7"/>
  <c r="I80" i="7" s="1"/>
  <c r="J67" i="7"/>
  <c r="J79" i="7"/>
  <c r="J57" i="7"/>
  <c r="F6" i="6"/>
  <c r="G6" i="6" s="1"/>
  <c r="C7" i="6" s="1"/>
  <c r="J75" i="7" l="1"/>
  <c r="K79" i="7"/>
  <c r="P79" i="7" s="1"/>
  <c r="P80" i="7" s="1"/>
  <c r="P83" i="7" s="1"/>
  <c r="K67" i="7"/>
  <c r="P67" i="7" s="1"/>
  <c r="K57" i="7"/>
  <c r="J58" i="7"/>
  <c r="J80" i="7" s="1"/>
  <c r="I59" i="7"/>
  <c r="I86" i="7" s="1"/>
  <c r="K75" i="7"/>
  <c r="E7" i="6"/>
  <c r="J59" i="7" l="1"/>
  <c r="J86" i="7"/>
  <c r="K58" i="7"/>
  <c r="K80" i="7" s="1"/>
  <c r="F7" i="6"/>
  <c r="G7" i="6" s="1"/>
  <c r="C8" i="6" s="1"/>
  <c r="K59" i="7" l="1"/>
  <c r="K86" i="7" s="1"/>
  <c r="E8" i="6"/>
  <c r="F8" i="6" s="1"/>
  <c r="G8" i="6" s="1"/>
  <c r="C9" i="6" s="1"/>
  <c r="E9" i="6" l="1"/>
  <c r="F9" i="6" s="1"/>
  <c r="G9" i="6" s="1"/>
  <c r="C10" i="6" s="1"/>
  <c r="E10" i="6" l="1"/>
  <c r="F10" i="6" s="1"/>
  <c r="G10" i="6" s="1"/>
  <c r="C11" i="6" s="1"/>
  <c r="E11" i="6" l="1"/>
  <c r="F11" i="6" s="1"/>
  <c r="G11" i="6" s="1"/>
  <c r="C12" i="6" s="1"/>
  <c r="E12" i="6" l="1"/>
  <c r="F12" i="6" s="1"/>
  <c r="G12" i="6" s="1"/>
  <c r="C13" i="6" s="1"/>
  <c r="E13" i="6" l="1"/>
  <c r="F13" i="6" s="1"/>
  <c r="G13" i="6" s="1"/>
  <c r="C14" i="6" s="1"/>
  <c r="E14" i="6" l="1"/>
  <c r="F14" i="6" s="1"/>
  <c r="G14" i="6" s="1"/>
  <c r="C15" i="6" s="1"/>
  <c r="E15" i="6" l="1"/>
  <c r="F15" i="6" l="1"/>
  <c r="G15" i="6" s="1"/>
  <c r="E16" i="6"/>
  <c r="D54" i="7" l="1"/>
  <c r="D97" i="7" s="1"/>
  <c r="C18" i="6"/>
  <c r="D82" i="7"/>
  <c r="E18" i="6"/>
  <c r="C95" i="7" l="1"/>
  <c r="C98" i="7" s="1"/>
  <c r="D88" i="7"/>
  <c r="D90" i="7" s="1"/>
  <c r="F18" i="6"/>
  <c r="G18" i="6" s="1"/>
  <c r="C19" i="6" s="1"/>
  <c r="E19" i="6" l="1"/>
  <c r="F19" i="6" l="1"/>
  <c r="G19" i="6" s="1"/>
  <c r="C20" i="6" s="1"/>
  <c r="E20" i="6" l="1"/>
  <c r="F20" i="6" l="1"/>
  <c r="G20" i="6" s="1"/>
  <c r="C21" i="6" s="1"/>
  <c r="E21" i="6" l="1"/>
  <c r="F21" i="6" l="1"/>
  <c r="G21" i="6" s="1"/>
  <c r="C22" i="6" s="1"/>
  <c r="E22" i="6" l="1"/>
  <c r="F22" i="6" l="1"/>
  <c r="G22" i="6" s="1"/>
  <c r="C23" i="6" s="1"/>
  <c r="E23" i="6" l="1"/>
  <c r="F23" i="6" s="1"/>
  <c r="G23" i="6" s="1"/>
  <c r="C24" i="6" s="1"/>
  <c r="E24" i="6" l="1"/>
  <c r="F24" i="6" s="1"/>
  <c r="G24" i="6" s="1"/>
  <c r="C25" i="6" s="1"/>
  <c r="E25" i="6" l="1"/>
  <c r="F25" i="6" s="1"/>
  <c r="G25" i="6" s="1"/>
  <c r="C26" i="6" s="1"/>
  <c r="E26" i="6" l="1"/>
  <c r="F26" i="6" s="1"/>
  <c r="G26" i="6" s="1"/>
  <c r="C27" i="6" s="1"/>
  <c r="E27" i="6" l="1"/>
  <c r="F27" i="6" s="1"/>
  <c r="G27" i="6" s="1"/>
  <c r="C28" i="6" s="1"/>
  <c r="E28" i="6" l="1"/>
  <c r="F28" i="6" s="1"/>
  <c r="G28" i="6" s="1"/>
  <c r="C29" i="6" s="1"/>
  <c r="E29" i="6" l="1"/>
  <c r="F29" i="6" l="1"/>
  <c r="G29" i="6" s="1"/>
  <c r="E30" i="6"/>
  <c r="E54" i="7" l="1"/>
  <c r="E97" i="7" s="1"/>
  <c r="C32" i="6"/>
  <c r="E82" i="7"/>
  <c r="E32" i="6"/>
  <c r="D95" i="7" l="1"/>
  <c r="D98" i="7" s="1"/>
  <c r="E88" i="7"/>
  <c r="E90" i="7" s="1"/>
  <c r="F32" i="6"/>
  <c r="G32" i="6" s="1"/>
  <c r="C33" i="6" s="1"/>
  <c r="E33" i="6" l="1"/>
  <c r="F33" i="6" l="1"/>
  <c r="G33" i="6" s="1"/>
  <c r="C34" i="6" s="1"/>
  <c r="E34" i="6" l="1"/>
  <c r="F34" i="6" l="1"/>
  <c r="G34" i="6" s="1"/>
  <c r="C35" i="6" s="1"/>
  <c r="E35" i="6" l="1"/>
  <c r="F35" i="6" l="1"/>
  <c r="G35" i="6" s="1"/>
  <c r="C36" i="6" s="1"/>
  <c r="E36" i="6" l="1"/>
  <c r="F36" i="6" l="1"/>
  <c r="G36" i="6" s="1"/>
  <c r="C37" i="6" s="1"/>
  <c r="E37" i="6" l="1"/>
  <c r="F37" i="6" s="1"/>
  <c r="G37" i="6" s="1"/>
  <c r="C38" i="6" s="1"/>
  <c r="E38" i="6" l="1"/>
  <c r="F38" i="6" s="1"/>
  <c r="G38" i="6" s="1"/>
  <c r="C39" i="6" s="1"/>
  <c r="E39" i="6" l="1"/>
  <c r="F39" i="6" s="1"/>
  <c r="G39" i="6" s="1"/>
  <c r="C40" i="6" s="1"/>
  <c r="E40" i="6" l="1"/>
  <c r="F40" i="6" s="1"/>
  <c r="G40" i="6" s="1"/>
  <c r="C41" i="6" s="1"/>
  <c r="E41" i="6" l="1"/>
  <c r="F41" i="6" s="1"/>
  <c r="G41" i="6" s="1"/>
  <c r="C42" i="6" s="1"/>
  <c r="E42" i="6" l="1"/>
  <c r="F42" i="6" s="1"/>
  <c r="G42" i="6" s="1"/>
  <c r="C43" i="6" s="1"/>
  <c r="E43" i="6" l="1"/>
  <c r="F43" i="6" l="1"/>
  <c r="G43" i="6" s="1"/>
  <c r="E44" i="6"/>
  <c r="F54" i="7" l="1"/>
  <c r="F97" i="7" s="1"/>
  <c r="C46" i="6"/>
  <c r="F82" i="7"/>
  <c r="E46" i="6"/>
  <c r="E95" i="7" l="1"/>
  <c r="E98" i="7" s="1"/>
  <c r="F88" i="7"/>
  <c r="F90" i="7" s="1"/>
  <c r="F46" i="6"/>
  <c r="G46" i="6" s="1"/>
  <c r="C47" i="6" s="1"/>
  <c r="E47" i="6" l="1"/>
  <c r="F47" i="6" l="1"/>
  <c r="G47" i="6" s="1"/>
  <c r="C48" i="6" s="1"/>
  <c r="E48" i="6" l="1"/>
  <c r="F48" i="6" l="1"/>
  <c r="G48" i="6" s="1"/>
  <c r="C49" i="6" s="1"/>
  <c r="E49" i="6" l="1"/>
  <c r="F49" i="6" l="1"/>
  <c r="G49" i="6" s="1"/>
  <c r="C50" i="6" s="1"/>
  <c r="E50" i="6" l="1"/>
  <c r="F50" i="6" l="1"/>
  <c r="G50" i="6" s="1"/>
  <c r="C51" i="6" s="1"/>
  <c r="E51" i="6" l="1"/>
  <c r="F51" i="6" s="1"/>
  <c r="G51" i="6" s="1"/>
  <c r="C52" i="6" s="1"/>
  <c r="E52" i="6" l="1"/>
  <c r="F52" i="6" s="1"/>
  <c r="G52" i="6" s="1"/>
  <c r="C53" i="6" s="1"/>
  <c r="E53" i="6" l="1"/>
  <c r="F53" i="6" s="1"/>
  <c r="G53" i="6" s="1"/>
  <c r="C54" i="6" s="1"/>
  <c r="E54" i="6" l="1"/>
  <c r="F54" i="6" s="1"/>
  <c r="G54" i="6" s="1"/>
  <c r="C55" i="6" s="1"/>
  <c r="E55" i="6" l="1"/>
  <c r="F55" i="6" s="1"/>
  <c r="G55" i="6" s="1"/>
  <c r="C56" i="6" s="1"/>
  <c r="E56" i="6" l="1"/>
  <c r="F56" i="6" s="1"/>
  <c r="G56" i="6" s="1"/>
  <c r="C57" i="6" s="1"/>
  <c r="E57" i="6" l="1"/>
  <c r="F57" i="6" l="1"/>
  <c r="G57" i="6" s="1"/>
  <c r="E58" i="6"/>
  <c r="G54" i="7" l="1"/>
  <c r="G97" i="7" s="1"/>
  <c r="C60" i="6"/>
  <c r="G82" i="7"/>
  <c r="E60" i="6"/>
  <c r="F95" i="7" l="1"/>
  <c r="F98" i="7" s="1"/>
  <c r="G88" i="7"/>
  <c r="G90" i="7" s="1"/>
  <c r="F60" i="6"/>
  <c r="G60" i="6" s="1"/>
  <c r="C61" i="6" s="1"/>
  <c r="E61" i="6" l="1"/>
  <c r="F61" i="6" l="1"/>
  <c r="G61" i="6" s="1"/>
  <c r="C62" i="6" s="1"/>
  <c r="E62" i="6" l="1"/>
  <c r="F62" i="6" l="1"/>
  <c r="G62" i="6" s="1"/>
  <c r="C63" i="6" s="1"/>
  <c r="E63" i="6" l="1"/>
  <c r="F63" i="6" l="1"/>
  <c r="G63" i="6" s="1"/>
  <c r="C64" i="6" s="1"/>
  <c r="E64" i="6" l="1"/>
  <c r="F64" i="6" l="1"/>
  <c r="G64" i="6" s="1"/>
  <c r="C65" i="6" s="1"/>
  <c r="E65" i="6" l="1"/>
  <c r="F65" i="6" s="1"/>
  <c r="G65" i="6" s="1"/>
  <c r="C66" i="6" s="1"/>
  <c r="E66" i="6" l="1"/>
  <c r="F66" i="6" s="1"/>
  <c r="G66" i="6" s="1"/>
  <c r="C67" i="6" s="1"/>
  <c r="E67" i="6" l="1"/>
  <c r="F67" i="6" s="1"/>
  <c r="G67" i="6" s="1"/>
  <c r="C68" i="6" s="1"/>
  <c r="E68" i="6" l="1"/>
  <c r="F68" i="6" s="1"/>
  <c r="G68" i="6" s="1"/>
  <c r="C69" i="6" s="1"/>
  <c r="E69" i="6" l="1"/>
  <c r="F69" i="6" s="1"/>
  <c r="G69" i="6" s="1"/>
  <c r="C70" i="6" s="1"/>
  <c r="E70" i="6" l="1"/>
  <c r="F70" i="6" s="1"/>
  <c r="G70" i="6" s="1"/>
  <c r="C71" i="6" s="1"/>
  <c r="E71" i="6" l="1"/>
  <c r="F71" i="6" l="1"/>
  <c r="G71" i="6" s="1"/>
  <c r="E72" i="6"/>
  <c r="H54" i="7" l="1"/>
  <c r="H97" i="7" s="1"/>
  <c r="C74" i="6"/>
  <c r="H82" i="7"/>
  <c r="E74" i="6"/>
  <c r="G95" i="7" l="1"/>
  <c r="G98" i="7" s="1"/>
  <c r="H88" i="7"/>
  <c r="H90" i="7" s="1"/>
  <c r="F74" i="6"/>
  <c r="G74" i="6" s="1"/>
  <c r="C75" i="6" s="1"/>
  <c r="E75" i="6" l="1"/>
  <c r="F75" i="6" l="1"/>
  <c r="G75" i="6" s="1"/>
  <c r="C76" i="6" s="1"/>
  <c r="E76" i="6" l="1"/>
  <c r="F76" i="6" l="1"/>
  <c r="G76" i="6" s="1"/>
  <c r="C77" i="6" s="1"/>
  <c r="E77" i="6" l="1"/>
  <c r="F77" i="6" l="1"/>
  <c r="G77" i="6" s="1"/>
  <c r="C78" i="6" s="1"/>
  <c r="E78" i="6" l="1"/>
  <c r="F78" i="6" l="1"/>
  <c r="G78" i="6" s="1"/>
  <c r="C79" i="6" s="1"/>
  <c r="E79" i="6" l="1"/>
  <c r="F79" i="6" s="1"/>
  <c r="G79" i="6" s="1"/>
  <c r="C80" i="6" s="1"/>
  <c r="E80" i="6" l="1"/>
  <c r="F80" i="6" s="1"/>
  <c r="G80" i="6" s="1"/>
  <c r="C81" i="6" s="1"/>
  <c r="E81" i="6" l="1"/>
  <c r="F81" i="6" s="1"/>
  <c r="G81" i="6" s="1"/>
  <c r="C82" i="6" s="1"/>
  <c r="E82" i="6" l="1"/>
  <c r="F82" i="6" s="1"/>
  <c r="G82" i="6" s="1"/>
  <c r="C83" i="6" s="1"/>
  <c r="E83" i="6" l="1"/>
  <c r="F83" i="6" s="1"/>
  <c r="G83" i="6" s="1"/>
  <c r="C84" i="6" s="1"/>
  <c r="E84" i="6" l="1"/>
  <c r="F84" i="6" s="1"/>
  <c r="G84" i="6" s="1"/>
  <c r="C85" i="6" s="1"/>
  <c r="E85" i="6" l="1"/>
  <c r="F85" i="6" l="1"/>
  <c r="G85" i="6" s="1"/>
  <c r="E86" i="6"/>
  <c r="I54" i="7" l="1"/>
  <c r="I97" i="7" s="1"/>
  <c r="C88" i="6"/>
  <c r="I82" i="7"/>
  <c r="E88" i="6"/>
  <c r="H95" i="7" l="1"/>
  <c r="H98" i="7" s="1"/>
  <c r="I88" i="7"/>
  <c r="I90" i="7" s="1"/>
  <c r="F88" i="6"/>
  <c r="G88" i="6" s="1"/>
  <c r="C89" i="6" s="1"/>
  <c r="E89" i="6" l="1"/>
  <c r="F89" i="6" l="1"/>
  <c r="G89" i="6" s="1"/>
  <c r="C90" i="6" s="1"/>
  <c r="E90" i="6" l="1"/>
  <c r="F90" i="6" l="1"/>
  <c r="G90" i="6" s="1"/>
  <c r="C91" i="6" s="1"/>
  <c r="E91" i="6" l="1"/>
  <c r="F91" i="6" l="1"/>
  <c r="G91" i="6" s="1"/>
  <c r="C92" i="6" s="1"/>
  <c r="E92" i="6" l="1"/>
  <c r="F92" i="6" l="1"/>
  <c r="G92" i="6" s="1"/>
  <c r="C93" i="6" s="1"/>
  <c r="E93" i="6" l="1"/>
  <c r="F93" i="6" s="1"/>
  <c r="G93" i="6" s="1"/>
  <c r="C94" i="6" s="1"/>
  <c r="E94" i="6" l="1"/>
  <c r="F94" i="6" s="1"/>
  <c r="G94" i="6" s="1"/>
  <c r="C95" i="6" s="1"/>
  <c r="E95" i="6" l="1"/>
  <c r="F95" i="6" s="1"/>
  <c r="G95" i="6" s="1"/>
  <c r="C96" i="6" s="1"/>
  <c r="E96" i="6" l="1"/>
  <c r="F96" i="6" s="1"/>
  <c r="G96" i="6" s="1"/>
  <c r="C97" i="6" s="1"/>
  <c r="E97" i="6" l="1"/>
  <c r="F97" i="6" s="1"/>
  <c r="G97" i="6" s="1"/>
  <c r="C98" i="6" s="1"/>
  <c r="E98" i="6" l="1"/>
  <c r="F98" i="6" s="1"/>
  <c r="G98" i="6" s="1"/>
  <c r="C99" i="6" s="1"/>
  <c r="E99" i="6" l="1"/>
  <c r="F99" i="6" l="1"/>
  <c r="G99" i="6" s="1"/>
  <c r="E100" i="6"/>
  <c r="J54" i="7" l="1"/>
  <c r="J97" i="7" s="1"/>
  <c r="C102" i="6"/>
  <c r="J82" i="7"/>
  <c r="E102" i="6"/>
  <c r="I95" i="7" l="1"/>
  <c r="I98" i="7" s="1"/>
  <c r="J88" i="7"/>
  <c r="J90" i="7" s="1"/>
  <c r="F102" i="6"/>
  <c r="G102" i="6" s="1"/>
  <c r="C103" i="6" s="1"/>
  <c r="E103" i="6" l="1"/>
  <c r="F103" i="6" l="1"/>
  <c r="G103" i="6" s="1"/>
  <c r="C104" i="6" s="1"/>
  <c r="E104" i="6" l="1"/>
  <c r="F104" i="6" l="1"/>
  <c r="G104" i="6" s="1"/>
  <c r="C105" i="6" s="1"/>
  <c r="E105" i="6" l="1"/>
  <c r="F105" i="6" l="1"/>
  <c r="G105" i="6" s="1"/>
  <c r="C106" i="6" s="1"/>
  <c r="E106" i="6" l="1"/>
  <c r="F106" i="6" l="1"/>
  <c r="G106" i="6" s="1"/>
  <c r="C107" i="6" s="1"/>
  <c r="E107" i="6" l="1"/>
  <c r="F107" i="6" s="1"/>
  <c r="G107" i="6" s="1"/>
  <c r="C108" i="6" s="1"/>
  <c r="E108" i="6" l="1"/>
  <c r="F108" i="6" s="1"/>
  <c r="G108" i="6" s="1"/>
  <c r="C109" i="6" s="1"/>
  <c r="E109" i="6" l="1"/>
  <c r="F109" i="6" s="1"/>
  <c r="G109" i="6" s="1"/>
  <c r="C110" i="6" s="1"/>
  <c r="C3" i="3"/>
  <c r="C4" i="3"/>
  <c r="E110" i="6" l="1"/>
  <c r="F110" i="6" s="1"/>
  <c r="G110" i="6" s="1"/>
  <c r="C111" i="6" s="1"/>
  <c r="E111" i="6" l="1"/>
  <c r="F111" i="6" s="1"/>
  <c r="G111" i="6" s="1"/>
  <c r="C112" i="6" s="1"/>
  <c r="E112" i="6" l="1"/>
  <c r="F112" i="6" s="1"/>
  <c r="G112" i="6" s="1"/>
  <c r="C113" i="6" s="1"/>
  <c r="E113" i="6" l="1"/>
  <c r="F113" i="6" l="1"/>
  <c r="G113" i="6" s="1"/>
  <c r="E114" i="6"/>
  <c r="K54" i="7" l="1"/>
  <c r="K97" i="7" s="1"/>
  <c r="C116" i="6"/>
  <c r="K82" i="7"/>
  <c r="E116" i="6"/>
  <c r="O86" i="7" l="1"/>
  <c r="J95" i="7"/>
  <c r="J98" i="7" s="1"/>
  <c r="K88" i="7"/>
  <c r="K90" i="7" s="1"/>
  <c r="F116" i="6"/>
  <c r="G116" i="6" s="1"/>
  <c r="C117" i="6" s="1"/>
  <c r="O88" i="7" l="1"/>
  <c r="P87" i="7" s="1"/>
  <c r="Q87" i="7" s="1"/>
  <c r="R87" i="7" s="1"/>
  <c r="P86" i="7"/>
  <c r="Q86" i="7" s="1"/>
  <c r="R86" i="7" s="1"/>
  <c r="E117" i="6"/>
  <c r="K96" i="7" l="1"/>
  <c r="K98" i="7" s="1"/>
  <c r="C101" i="7" s="1"/>
  <c r="S86" i="7"/>
  <c r="K105" i="7"/>
  <c r="K107" i="7" s="1"/>
  <c r="S87" i="7"/>
  <c r="F117" i="6"/>
  <c r="G117" i="6" s="1"/>
  <c r="C118" i="6" s="1"/>
  <c r="C108" i="7" l="1"/>
  <c r="C110" i="7" s="1"/>
  <c r="E118" i="6"/>
  <c r="F118" i="6" l="1"/>
  <c r="G118" i="6" s="1"/>
  <c r="C119" i="6" s="1"/>
  <c r="E119" i="6" l="1"/>
  <c r="F119" i="6" l="1"/>
  <c r="G119" i="6" s="1"/>
  <c r="C120" i="6" s="1"/>
  <c r="E120" i="6" l="1"/>
  <c r="F120" i="6" l="1"/>
  <c r="G120" i="6" s="1"/>
  <c r="C121" i="6" s="1"/>
  <c r="E121" i="6" l="1"/>
  <c r="F121" i="6" s="1"/>
  <c r="G121" i="6" s="1"/>
  <c r="C122" i="6" s="1"/>
  <c r="E122" i="6" l="1"/>
  <c r="F122" i="6" s="1"/>
  <c r="G122" i="6" s="1"/>
  <c r="C123" i="6" s="1"/>
  <c r="E123" i="6" l="1"/>
  <c r="F123" i="6" s="1"/>
  <c r="G123" i="6" s="1"/>
  <c r="C124" i="6" s="1"/>
  <c r="E124" i="6" l="1"/>
  <c r="F124" i="6" s="1"/>
  <c r="G124" i="6" s="1"/>
  <c r="C125" i="6" s="1"/>
  <c r="E125" i="6" l="1"/>
  <c r="F125" i="6" s="1"/>
  <c r="G125" i="6" s="1"/>
  <c r="C126" i="6" s="1"/>
  <c r="E126" i="6" l="1"/>
  <c r="F126" i="6" s="1"/>
  <c r="G126" i="6" s="1"/>
  <c r="C127" i="6" s="1"/>
  <c r="E127" i="6" l="1"/>
  <c r="F127" i="6" l="1"/>
  <c r="G127" i="6" s="1"/>
  <c r="E128" i="6"/>
  <c r="C130" i="6" l="1"/>
  <c r="E130" i="6"/>
  <c r="F130" i="6" l="1"/>
  <c r="G130" i="6" s="1"/>
  <c r="C131" i="6" s="1"/>
  <c r="E131" i="6" l="1"/>
  <c r="F131" i="6" l="1"/>
  <c r="G131" i="6" s="1"/>
  <c r="C132" i="6" s="1"/>
  <c r="E132" i="6" l="1"/>
  <c r="F132" i="6" l="1"/>
  <c r="G132" i="6" s="1"/>
  <c r="C133" i="6" s="1"/>
  <c r="E133" i="6" l="1"/>
  <c r="F133" i="6" l="1"/>
  <c r="G133" i="6" s="1"/>
  <c r="C134" i="6" s="1"/>
  <c r="E134" i="6" l="1"/>
  <c r="F134" i="6" l="1"/>
  <c r="G134" i="6" s="1"/>
  <c r="C135" i="6" s="1"/>
  <c r="E135" i="6" l="1"/>
  <c r="F135" i="6" s="1"/>
  <c r="G135" i="6" s="1"/>
  <c r="C136" i="6" s="1"/>
  <c r="E136" i="6" l="1"/>
  <c r="F136" i="6" s="1"/>
  <c r="G136" i="6" s="1"/>
  <c r="C137" i="6" s="1"/>
  <c r="E137" i="6" l="1"/>
  <c r="F137" i="6" s="1"/>
  <c r="G137" i="6" s="1"/>
  <c r="C138" i="6" s="1"/>
  <c r="E138" i="6" l="1"/>
  <c r="F138" i="6" s="1"/>
  <c r="G138" i="6" s="1"/>
  <c r="C139" i="6" s="1"/>
  <c r="E139" i="6" l="1"/>
  <c r="F139" i="6" s="1"/>
  <c r="G139" i="6" s="1"/>
  <c r="C140" i="6" s="1"/>
  <c r="E140" i="6" l="1"/>
  <c r="F140" i="6" s="1"/>
  <c r="G140" i="6" s="1"/>
  <c r="C141" i="6" s="1"/>
  <c r="E141" i="6" l="1"/>
  <c r="F141" i="6" l="1"/>
  <c r="G141" i="6" s="1"/>
  <c r="E142" i="6"/>
  <c r="D55" i="8" l="1"/>
  <c r="D83" i="8"/>
  <c r="E55" i="8" l="1"/>
  <c r="E83" i="8"/>
  <c r="F55" i="8" l="1"/>
  <c r="F83" i="8"/>
  <c r="G83" i="8" l="1"/>
  <c r="G55" i="8"/>
  <c r="H55" i="8" l="1"/>
  <c r="H83" i="8"/>
  <c r="I55" i="8" l="1"/>
  <c r="I83" i="8"/>
  <c r="J55" i="8" l="1"/>
  <c r="J83" i="8"/>
  <c r="K55" i="8" l="1"/>
  <c r="K83" i="8"/>
  <c r="L55" i="8" l="1"/>
  <c r="L83" i="8"/>
  <c r="M55" i="8" l="1"/>
  <c r="M83" i="8"/>
  <c r="O83" i="8" s="1"/>
  <c r="G80" i="8" l="1"/>
  <c r="H80" i="8"/>
  <c r="E80" i="8"/>
  <c r="L68" i="8"/>
  <c r="G68" i="8"/>
  <c r="I80" i="8"/>
  <c r="I50" i="8"/>
  <c r="I95" i="8" s="1"/>
  <c r="G50" i="8"/>
  <c r="G95" i="8" s="1"/>
  <c r="H68" i="8"/>
  <c r="G106" i="8" s="1"/>
  <c r="H50" i="8"/>
  <c r="K80" i="8"/>
  <c r="K50" i="8"/>
  <c r="K95" i="8" s="1"/>
  <c r="H95" i="8" l="1"/>
  <c r="H97" i="8" s="1"/>
  <c r="H98" i="8" s="1"/>
  <c r="H99" i="8" s="1"/>
  <c r="G107" i="8"/>
  <c r="H58" i="8"/>
  <c r="H59" i="8" s="1"/>
  <c r="H81" i="8" s="1"/>
  <c r="H107" i="8"/>
  <c r="L76" i="8"/>
  <c r="D80" i="8"/>
  <c r="D50" i="8"/>
  <c r="D95" i="8" s="1"/>
  <c r="M80" i="8"/>
  <c r="M50" i="8"/>
  <c r="M95" i="8" s="1"/>
  <c r="L50" i="8"/>
  <c r="L95" i="8" s="1"/>
  <c r="L80" i="8"/>
  <c r="K58" i="8"/>
  <c r="J80" i="8"/>
  <c r="J68" i="8"/>
  <c r="J50" i="8"/>
  <c r="J95" i="8" s="1"/>
  <c r="M68" i="8"/>
  <c r="H76" i="8"/>
  <c r="F68" i="8"/>
  <c r="F80" i="8"/>
  <c r="F50" i="8"/>
  <c r="F95" i="8" s="1"/>
  <c r="D68" i="8"/>
  <c r="K68" i="8"/>
  <c r="G58" i="8"/>
  <c r="E68" i="8"/>
  <c r="E50" i="8"/>
  <c r="E95" i="8" s="1"/>
  <c r="I58" i="8"/>
  <c r="G76" i="8"/>
  <c r="F106" i="8"/>
  <c r="F107" i="8"/>
  <c r="I68" i="8"/>
  <c r="H60" i="8" l="1"/>
  <c r="H106" i="8"/>
  <c r="I76" i="8"/>
  <c r="I59" i="8"/>
  <c r="I81" i="8" s="1"/>
  <c r="E58" i="8"/>
  <c r="G97" i="8"/>
  <c r="K76" i="8"/>
  <c r="J106" i="8"/>
  <c r="F58" i="8"/>
  <c r="F76" i="8"/>
  <c r="E106" i="8"/>
  <c r="J58" i="8"/>
  <c r="I107" i="8"/>
  <c r="K59" i="8"/>
  <c r="K81" i="8" s="1"/>
  <c r="L58" i="8"/>
  <c r="M107" i="8"/>
  <c r="L107" i="8"/>
  <c r="C107" i="8"/>
  <c r="I97" i="8"/>
  <c r="D106" i="8"/>
  <c r="E76" i="8"/>
  <c r="G59" i="8"/>
  <c r="G81" i="8" s="1"/>
  <c r="J107" i="8"/>
  <c r="D107" i="8"/>
  <c r="D76" i="8"/>
  <c r="C106" i="8"/>
  <c r="E107" i="8"/>
  <c r="L106" i="8"/>
  <c r="M76" i="8"/>
  <c r="M106" i="8"/>
  <c r="J76" i="8"/>
  <c r="I106" i="8"/>
  <c r="K97" i="8"/>
  <c r="K107" i="8"/>
  <c r="M58" i="8"/>
  <c r="D58" i="8"/>
  <c r="K106" i="8"/>
  <c r="K98" i="8" l="1"/>
  <c r="K99" i="8" s="1"/>
  <c r="I98" i="8"/>
  <c r="H108" i="8" s="1"/>
  <c r="H123" i="8" s="1"/>
  <c r="G98" i="8"/>
  <c r="G99" i="8" s="1"/>
  <c r="G60" i="8"/>
  <c r="D59" i="8"/>
  <c r="D81" i="8" s="1"/>
  <c r="M59" i="8"/>
  <c r="M81" i="8" s="1"/>
  <c r="L97" i="8"/>
  <c r="J97" i="8"/>
  <c r="F59" i="8"/>
  <c r="F81" i="8" s="1"/>
  <c r="E59" i="8"/>
  <c r="E81" i="8" s="1"/>
  <c r="D97" i="8"/>
  <c r="M97" i="8"/>
  <c r="L59" i="8"/>
  <c r="L81" i="8" s="1"/>
  <c r="K60" i="8"/>
  <c r="J59" i="8"/>
  <c r="J81" i="8" s="1"/>
  <c r="F97" i="8"/>
  <c r="E97" i="8"/>
  <c r="I60" i="8"/>
  <c r="I99" i="8" l="1"/>
  <c r="G108" i="8"/>
  <c r="G123" i="8" s="1"/>
  <c r="E98" i="8"/>
  <c r="E99" i="8" s="1"/>
  <c r="F98" i="8"/>
  <c r="F99" i="8" s="1"/>
  <c r="D98" i="8"/>
  <c r="C108" i="8" s="1"/>
  <c r="C123" i="8" s="1"/>
  <c r="J98" i="8"/>
  <c r="I108" i="8" s="1"/>
  <c r="I123" i="8" s="1"/>
  <c r="M98" i="8"/>
  <c r="M99" i="8" s="1"/>
  <c r="L98" i="8"/>
  <c r="K108" i="8" s="1"/>
  <c r="K123" i="8" s="1"/>
  <c r="M60" i="8"/>
  <c r="L60" i="8"/>
  <c r="F60" i="8"/>
  <c r="J60" i="8"/>
  <c r="E60" i="8"/>
  <c r="D60" i="8"/>
  <c r="D87" i="8" s="1"/>
  <c r="L108" i="8" l="1"/>
  <c r="E108" i="8"/>
  <c r="L99" i="8"/>
  <c r="E123" i="8"/>
  <c r="F108" i="8"/>
  <c r="M108" i="8"/>
  <c r="M123" i="8" s="1"/>
  <c r="F123" i="8"/>
  <c r="D99" i="8"/>
  <c r="D123" i="8" s="1"/>
  <c r="D108" i="8"/>
  <c r="J99" i="8"/>
  <c r="J108" i="8"/>
  <c r="L123" i="8"/>
  <c r="E87" i="8"/>
  <c r="D89" i="8"/>
  <c r="D91" i="8" s="1"/>
  <c r="J123" i="8" l="1"/>
  <c r="C124" i="8" s="1"/>
  <c r="F87" i="8"/>
  <c r="E89" i="8"/>
  <c r="E91" i="8" s="1"/>
  <c r="C125" i="8" l="1"/>
  <c r="G87" i="8"/>
  <c r="F89" i="8"/>
  <c r="F91" i="8" s="1"/>
  <c r="H87" i="8" l="1"/>
  <c r="G89" i="8"/>
  <c r="G91" i="8" s="1"/>
  <c r="I87" i="8" l="1"/>
  <c r="H89" i="8"/>
  <c r="H91" i="8" s="1"/>
  <c r="J87" i="8" l="1"/>
  <c r="I89" i="8"/>
  <c r="I91" i="8" s="1"/>
  <c r="K87" i="8" l="1"/>
  <c r="J89" i="8"/>
  <c r="J91" i="8" s="1"/>
  <c r="L87" i="8" l="1"/>
  <c r="K89" i="8"/>
  <c r="K91" i="8" s="1"/>
  <c r="M87" i="8" l="1"/>
  <c r="M89" i="8" s="1"/>
  <c r="M91" i="8" s="1"/>
  <c r="L89" i="8"/>
  <c r="L91" i="8" s="1"/>
  <c r="O87" i="8" l="1"/>
  <c r="O89" i="8" s="1"/>
  <c r="P83" i="8" s="1"/>
  <c r="P84" i="8" l="1"/>
  <c r="S84" i="8" s="1"/>
  <c r="P86" i="8"/>
  <c r="P89" i="8" l="1"/>
  <c r="Q77" i="8"/>
  <c r="Q80" i="8" s="1"/>
  <c r="Q86" i="8" s="1"/>
  <c r="R86" i="8" s="1"/>
  <c r="S86" i="8" s="1"/>
  <c r="S83" i="8"/>
  <c r="S89" i="8" l="1"/>
  <c r="C126" i="8" s="1"/>
  <c r="B13" i="11" s="1"/>
  <c r="B34" i="11" l="1"/>
  <c r="K34" i="11"/>
  <c r="L34" i="11"/>
  <c r="B30" i="11"/>
  <c r="D30" i="11"/>
  <c r="K30" i="11"/>
  <c r="C34" i="11"/>
  <c r="D26" i="11"/>
  <c r="L30" i="11"/>
  <c r="E34" i="11"/>
  <c r="C30" i="11"/>
  <c r="D34" i="11"/>
  <c r="B26" i="11"/>
  <c r="E26" i="11"/>
  <c r="C26" i="11"/>
  <c r="E30" i="11"/>
  <c r="L26" i="11"/>
  <c r="K26" i="11"/>
  <c r="F34" i="11"/>
  <c r="F30" i="11"/>
  <c r="F26" i="11"/>
  <c r="G26" i="11"/>
  <c r="G30" i="11"/>
  <c r="G34" i="11"/>
  <c r="H26" i="11"/>
  <c r="H34" i="11"/>
  <c r="H30" i="11"/>
  <c r="I26" i="11"/>
  <c r="J26" i="11"/>
  <c r="B27" i="11" s="1"/>
  <c r="I34" i="11"/>
  <c r="I30" i="11"/>
  <c r="J34" i="11"/>
  <c r="B35" i="11" s="1"/>
  <c r="J30" i="11"/>
  <c r="B31" i="11" s="1"/>
  <c r="B37" i="11" l="1"/>
</calcChain>
</file>

<file path=xl/sharedStrings.xml><?xml version="1.0" encoding="utf-8"?>
<sst xmlns="http://schemas.openxmlformats.org/spreadsheetml/2006/main" count="400" uniqueCount="189">
  <si>
    <t>FORECAST</t>
  </si>
  <si>
    <t>INCOME STATEMENT</t>
  </si>
  <si>
    <t>Sales Revenue - Stores</t>
  </si>
  <si>
    <t>Cost of Goods Sold</t>
  </si>
  <si>
    <t>Operating Expenses</t>
  </si>
  <si>
    <t>Marketing</t>
  </si>
  <si>
    <t>BALANCE SHEET</t>
  </si>
  <si>
    <t>Assets</t>
  </si>
  <si>
    <t>Accounts Receivable</t>
  </si>
  <si>
    <t>Inventory</t>
  </si>
  <si>
    <t>Less:  Accumulated Depreciation</t>
  </si>
  <si>
    <t>Liabilities and Equity</t>
  </si>
  <si>
    <t>Income Tax Payable</t>
  </si>
  <si>
    <t>Retained Earnings</t>
  </si>
  <si>
    <t>Liaiblities</t>
  </si>
  <si>
    <t>Equity</t>
  </si>
  <si>
    <t>Taxable Income</t>
  </si>
  <si>
    <t>Income Tax Expense</t>
  </si>
  <si>
    <t>Net Income</t>
  </si>
  <si>
    <t>Accounts Payable</t>
  </si>
  <si>
    <t>Minimum Cash Inventory</t>
  </si>
  <si>
    <t>Cash Above Minimum</t>
  </si>
  <si>
    <t>DFN</t>
  </si>
  <si>
    <t>Extra Bank Loan Interest Expense</t>
  </si>
  <si>
    <t>Extra Bank Loan</t>
  </si>
  <si>
    <t>Total Liabilities and Equity</t>
  </si>
  <si>
    <t>Total Assets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</si>
  <si>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</si>
  <si>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</si>
  <si>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</si>
  <si>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</si>
  <si>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</si>
  <si>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</si>
  <si>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</si>
  <si>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</si>
  <si>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</si>
  <si>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</si>
  <si>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CakeSuite</t>
  </si>
  <si>
    <t>http://cakecentral.com/t/637564/how-many-cupcakes-can-i-sell-realistically/15</t>
  </si>
  <si>
    <t>per unit</t>
  </si>
  <si>
    <t>1. cupcakes</t>
  </si>
  <si>
    <t>3. cookies</t>
  </si>
  <si>
    <t>http://www.veenaartofcakes.com/pricing-your-cakes-a-beginners-guide/</t>
  </si>
  <si>
    <t>2. normal cakes( 8 inch)</t>
  </si>
  <si>
    <t>sale price</t>
  </si>
  <si>
    <t>https://answers.yahoo.com/question/index?qid=20090705173434AAfK019</t>
  </si>
  <si>
    <t>http://www.culinaryone.com/how-much-should-i-charge-for-home-baked-foods/</t>
  </si>
  <si>
    <t>http://wiki.answers.com/Q/How_much_does_a_cookie_cost#slide=2</t>
  </si>
  <si>
    <t>https://answers.yahoo.com/question/index?qid=20070606064322AAaeoAM</t>
  </si>
  <si>
    <t>Cost</t>
  </si>
  <si>
    <t>Sale Price</t>
  </si>
  <si>
    <t>Sale price</t>
  </si>
  <si>
    <t>total revenue</t>
  </si>
  <si>
    <t>total cost</t>
  </si>
  <si>
    <t>per day</t>
  </si>
  <si>
    <t xml:space="preserve">Unit </t>
  </si>
  <si>
    <t>Revenue</t>
  </si>
  <si>
    <t>ASSUMPTION</t>
  </si>
  <si>
    <t>yearly % change</t>
  </si>
  <si>
    <t>Salary &amp;wages</t>
  </si>
  <si>
    <t xml:space="preserve">yearly </t>
  </si>
  <si>
    <t>Total operating EXP.</t>
  </si>
  <si>
    <t>Of total operating exp.</t>
  </si>
  <si>
    <t xml:space="preserve"> $50,000</t>
  </si>
  <si>
    <t xml:space="preserve"> increased in 5 years</t>
  </si>
  <si>
    <t>years life</t>
  </si>
  <si>
    <t>Equipment</t>
  </si>
  <si>
    <t>increasd every year</t>
  </si>
  <si>
    <t>tax rate</t>
  </si>
  <si>
    <t>Days of A/P</t>
  </si>
  <si>
    <t>days</t>
  </si>
  <si>
    <t>Days of Inventory</t>
  </si>
  <si>
    <t>Days of A/R</t>
  </si>
  <si>
    <t>http://www.minimum-wage.org/states.asp?state=Connecticut</t>
  </si>
  <si>
    <t>http://www.payscale.com/research/US/Industry=Bakery/Salary</t>
  </si>
  <si>
    <t>http://www.bakeryequipment.com/bakery-equipment/customer-service/start-up-quote.htm</t>
  </si>
  <si>
    <t>http://www.showcase.com/?Q=41AF84E4938F7D19DD95078A2F54F90C2BAA164FC467CB6E9CA7162D6FAE53D549584F20ECFA3AEA548E51E5270321CB10CAC3A0780E7912469B6ED462E7957646A05128165FA52777135047B23BE6C5&amp;H=true#&amp;&amp;/wEXAQURV29ya2Zsb3dIaXN0b3J5SUQFJGI2N2FiYWE5LWEyY2QtNGI2YS05M2UzLWNhNjhhOGQxNWY1Y7HK9FeLK28KjxcWZN3rUThUcySQ</t>
  </si>
  <si>
    <t>http://www.bplans.com/bakery_business_plan/financial_plan_fc.php</t>
  </si>
  <si>
    <t>FREE CASH FLOWS</t>
  </si>
  <si>
    <t>Cash from Operations</t>
  </si>
  <si>
    <t>Operating Profit</t>
  </si>
  <si>
    <t>Taxable Operating Profit</t>
  </si>
  <si>
    <t>Cash from Changes in Balance Sheet</t>
  </si>
  <si>
    <t>Working Capital</t>
  </si>
  <si>
    <t>(-)</t>
  </si>
  <si>
    <t>Minimum Cash</t>
  </si>
  <si>
    <t>(+)</t>
  </si>
  <si>
    <t>Accounts Payable(All Exp)</t>
  </si>
  <si>
    <t>Tax payable</t>
  </si>
  <si>
    <t>Fixed and Other Assets</t>
  </si>
  <si>
    <t>Land</t>
  </si>
  <si>
    <t>Book value</t>
  </si>
  <si>
    <t>Adjustment for Resale</t>
  </si>
  <si>
    <t>Taxes on Resale</t>
  </si>
  <si>
    <t>Gain</t>
  </si>
  <si>
    <t>Buildings</t>
  </si>
  <si>
    <t>TOTAL FREE CASH FLOWS</t>
  </si>
  <si>
    <t>IRR</t>
  </si>
  <si>
    <t>Less: Depreciation (tax deduction)</t>
  </si>
  <si>
    <t>Taxes on Operations (Taxes Payable)</t>
  </si>
  <si>
    <t>Extra Cash Above Minimum</t>
  </si>
  <si>
    <t>Building</t>
  </si>
  <si>
    <t>Equipment Depreciation Expense</t>
  </si>
  <si>
    <t>Building Depreciation Expense</t>
  </si>
  <si>
    <t>Less: Accumulated Depreciation</t>
  </si>
  <si>
    <t>Mortgage Amortization Schedule</t>
  </si>
  <si>
    <t>Mortgage Terms</t>
  </si>
  <si>
    <t>Prin Balance</t>
  </si>
  <si>
    <t>Payment</t>
  </si>
  <si>
    <t>Interest Pd</t>
  </si>
  <si>
    <t>Principle Pd</t>
  </si>
  <si>
    <t>Remaining Bal</t>
  </si>
  <si>
    <t>Years</t>
  </si>
  <si>
    <t>Rate</t>
  </si>
  <si>
    <t>Starting Prin</t>
  </si>
  <si>
    <t>Months</t>
  </si>
  <si>
    <t>Monthly Rate</t>
  </si>
  <si>
    <t>Mortgage</t>
  </si>
  <si>
    <t>Mortgage Interest Expense</t>
  </si>
  <si>
    <t>Utilities</t>
  </si>
  <si>
    <t>Avg. mothly utility cost</t>
  </si>
  <si>
    <t>WACC</t>
  </si>
  <si>
    <t>CAPM</t>
  </si>
  <si>
    <t>Eq Beta</t>
  </si>
  <si>
    <t>Tbill</t>
  </si>
  <si>
    <t>S&amp;P</t>
  </si>
  <si>
    <t>Return</t>
  </si>
  <si>
    <t>ACTUAL</t>
  </si>
  <si>
    <t>Prop</t>
  </si>
  <si>
    <t>After tax</t>
  </si>
  <si>
    <t>Weighted</t>
  </si>
  <si>
    <t>Avg</t>
  </si>
  <si>
    <t>unlevered beta</t>
  </si>
  <si>
    <t>Extra bank interest</t>
  </si>
  <si>
    <t>Common Stock</t>
  </si>
  <si>
    <t>% Sale</t>
  </si>
  <si>
    <t>Secured</t>
  </si>
  <si>
    <t>Unsecured</t>
  </si>
  <si>
    <t>Total</t>
  </si>
  <si>
    <t>Extra</t>
  </si>
  <si>
    <t>Admin</t>
  </si>
  <si>
    <t>Remaining</t>
  </si>
  <si>
    <t>TOTAL</t>
  </si>
  <si>
    <t>On the $</t>
  </si>
  <si>
    <t>RETURN OF DEBTHOLDERS</t>
  </si>
  <si>
    <t>Mortgage Loan Cash Flows</t>
  </si>
  <si>
    <t>Principal</t>
  </si>
  <si>
    <t>Paid in Bankruptcy</t>
  </si>
  <si>
    <t>Interest Payments</t>
  </si>
  <si>
    <t>Total Cash Flows</t>
  </si>
  <si>
    <t>IRR if not in Bankruptcy</t>
  </si>
  <si>
    <t>Expected IRR</t>
  </si>
  <si>
    <t>Prob</t>
  </si>
  <si>
    <t>Extra Bank Loan Cash Flows</t>
    <phoneticPr fontId="15" type="noConversion"/>
  </si>
  <si>
    <t>Salary &amp; wages</t>
  </si>
  <si>
    <t>Insurance</t>
  </si>
  <si>
    <t xml:space="preserve"> average increase each year</t>
  </si>
  <si>
    <t>NPV</t>
  </si>
  <si>
    <t>The cost to enter the chair market immediately, and the free cash flows from that business, are shown below.</t>
  </si>
  <si>
    <t>The cost to enter the table market are shown below, along with the free cash flows from that business.</t>
  </si>
  <si>
    <t>However, for this problem, the cash flows below are adjusted based on three different possibilities, as follows:</t>
  </si>
  <si>
    <t>(1) In a good market, which has a 60% probability:</t>
  </si>
  <si>
    <t>The chair business is entered immediately, with the cash flows shown below, and the Table business is entered in year 3, with the cash flows shown below.</t>
  </si>
  <si>
    <t>The chair and table businesses are not sold for the numbers below, but instead the chair business is sold in year 8 for $700,000 and the table business is sold in year 8 for $900,000.</t>
  </si>
  <si>
    <t>(2) In a medium market, which has a 20% probability:</t>
  </si>
  <si>
    <t>The chair business is sold in year 8 for $300,000 and the table business is sold in year 8 for $800,000, as shown below.</t>
  </si>
  <si>
    <t>(3) In a bad market, which has a 20% probability:</t>
  </si>
  <si>
    <t>The chair business is entered immediately, with the cash flows shown below, and the Table business is not entered into at all.</t>
  </si>
  <si>
    <t>The chair business is not sold for the number below, but instead the chair business is sold in year 8 for $250,000.</t>
  </si>
  <si>
    <t>The WACC for the company is 6%.</t>
  </si>
  <si>
    <t>Compute the value of the expected whole project, which is summarized in the three possibliities above.</t>
  </si>
  <si>
    <t>Do not use a Black-Scholes valuation.  Give the numbers asked for in BrainHoney.</t>
  </si>
  <si>
    <t>CHAIR BUSINESS</t>
  </si>
  <si>
    <t>Total Free Cash Flows</t>
  </si>
  <si>
    <t>Sale of Business</t>
  </si>
  <si>
    <t>OPTIONAL TABLE BUSINESS</t>
  </si>
  <si>
    <t>Good</t>
  </si>
  <si>
    <t>PV of Cash Flows</t>
  </si>
  <si>
    <t>Sum of PVs</t>
  </si>
  <si>
    <t>Medium</t>
  </si>
  <si>
    <t>Bad</t>
  </si>
  <si>
    <t>The new bakery would cost $50,000 to buy.</t>
  </si>
  <si>
    <t xml:space="preserve">A new bakery can be bought in year 5, with the cash flows shown below. </t>
  </si>
  <si>
    <t>1st Bakery</t>
  </si>
  <si>
    <t>2nd Bakery</t>
  </si>
  <si>
    <t>The 2nd bakery will be closed instead of being sold.</t>
  </si>
  <si>
    <t>If business is good, a new bakery can be bought in year 5, with the cash flows shown below. Both bakeries can be sold at the end of 10 years for a total of $1,080,000</t>
  </si>
  <si>
    <t>A second bakery will not be bought and the first will be sold for $900,000</t>
  </si>
  <si>
    <t>Of total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</si>
</sst>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₩&quot;* #,##0_-;\-&quot;₩&quot;* #,##0_-;_-&quot;₩&quot;* &quot;-&quot;_-;_-@_-"/>
    <numFmt numFmtId="165" formatCode="_-* #,##0.00_-;\-* #,##0.00_-;_-* &quot;-&quot;??_-;_-@_-"/>
    <numFmt numFmtId="166" formatCode="_(\$* #,##0.00_);_(\$* \(#,##0.00\);_(\$* \-??_);_(@_)"/>
    <numFmt numFmtId="167" formatCode="_(* #,##0.000000_);_(* \(#,##0.000000\);_(* \-??_);_(@_)"/>
    <numFmt numFmtId="168" formatCode="_(\$* #,##0_);_(\$* \(#,##0\);_(\$* \-??_);_(@_)"/>
    <numFmt numFmtId="169" formatCode="0.0"/>
    <numFmt numFmtId="170" formatCode="_-[$$-409]* #,##0.00_ ;_-[$$-409]* \-#,##0.00\ ;_-[$$-409]* &quot;-&quot;??_ ;_-@_ "/>
    <numFmt numFmtId="171" formatCode="_-[$$-409]* #,##0_ ;_-[$$-409]* \-#,##0\ ;_-[$$-409]* &quot;-&quot;??_ ;_-@_ "/>
    <numFmt numFmtId="172" formatCode="_(&quot;$&quot;* #,##0_);_(&quot;$&quot;* \(#,##0\);_(&quot;$&quot;* &quot;-&quot;??_);_(@_)"/>
    <numFmt numFmtId="173" formatCode="[$$-409]#,##0.00;[Red]\-[$$-409]#,##0.00"/>
    <numFmt numFmtId="174" formatCode="0.0%"/>
    <numFmt numFmtId="175" formatCode="&quot;$&quot;#,##0"/>
  </numFmts>
  <fonts count="19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u/>
      <sz val="11"/>
      <color indexed="8"/>
      <name val="Calibri"/>
      <family val="2"/>
      <charset val="1"/>
    </font>
    <font>
      <sz val="11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8"/>
      <name val="돋움"/>
      <family val="3"/>
      <charset val="129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166" fontId="1" fillId="0" borderId="0"/>
    <xf numFmtId="0" fontId="1" fillId="0" borderId="0"/>
    <xf numFmtId="9" fontId="1" fillId="0" borderId="0"/>
    <xf numFmtId="164" fontId="5" fillId="0" borderId="0" applyFont="0" applyFill="0" applyBorder="0" applyAlignment="0" applyProtection="0"/>
    <xf numFmtId="44" fontId="5" fillId="0" borderId="0" applyFill="0" applyBorder="0" applyAlignment="0" applyProtection="0"/>
  </cellStyleXfs>
  <cellXfs count="227">
    <xf numFmtId="0" fontId="0" fillId="0" borderId="0" xfId="0"/>
    <xf numFmtId="0" fontId="1" fillId="0" borderId="0" xfId="2"/>
    <xf numFmtId="0" fontId="2" fillId="0" borderId="1" xfId="2" applyFont="1" applyBorder="1"/>
    <xf numFmtId="0" fontId="1" fillId="0" borderId="1" xfId="2" applyBorder="1"/>
    <xf numFmtId="0" fontId="2" fillId="0" borderId="0" xfId="2" applyFont="1"/>
    <xf numFmtId="9" fontId="1" fillId="0" borderId="0" xfId="3"/>
    <xf numFmtId="168" fontId="1" fillId="0" borderId="0" xfId="1" applyNumberFormat="1"/>
    <xf numFmtId="168" fontId="1" fillId="0" borderId="0" xfId="1" applyNumberFormat="1" applyFont="1" applyFill="1" applyBorder="1" applyAlignment="1" applyProtection="1"/>
    <xf numFmtId="168" fontId="1" fillId="0" borderId="0" xfId="2" applyNumberFormat="1"/>
    <xf numFmtId="0" fontId="3" fillId="0" borderId="0" xfId="2" applyFont="1"/>
    <xf numFmtId="165" fontId="1" fillId="0" borderId="0" xfId="1" applyNumberFormat="1" applyFont="1" applyFill="1" applyBorder="1" applyAlignment="1" applyProtection="1"/>
    <xf numFmtId="0" fontId="1" fillId="2" borderId="0" xfId="2" applyFill="1"/>
    <xf numFmtId="170" fontId="1" fillId="0" borderId="0" xfId="4" applyNumberFormat="1" applyFont="1"/>
    <xf numFmtId="170" fontId="1" fillId="0" borderId="0" xfId="2" applyNumberFormat="1"/>
    <xf numFmtId="170" fontId="1" fillId="2" borderId="0" xfId="2" applyNumberFormat="1" applyFill="1"/>
    <xf numFmtId="0" fontId="1" fillId="0" borderId="0" xfId="2" applyFill="1"/>
    <xf numFmtId="0" fontId="1" fillId="0" borderId="4" xfId="2" applyBorder="1"/>
    <xf numFmtId="170" fontId="1" fillId="0" borderId="0" xfId="2" applyNumberFormat="1" applyBorder="1"/>
    <xf numFmtId="0" fontId="1" fillId="0" borderId="0" xfId="2" applyBorder="1"/>
    <xf numFmtId="170" fontId="1" fillId="0" borderId="7" xfId="2" applyNumberFormat="1" applyBorder="1"/>
    <xf numFmtId="0" fontId="1" fillId="0" borderId="7" xfId="2" applyBorder="1"/>
    <xf numFmtId="0" fontId="0" fillId="0" borderId="8" xfId="0" applyBorder="1"/>
    <xf numFmtId="0" fontId="1" fillId="0" borderId="9" xfId="2" applyBorder="1"/>
    <xf numFmtId="0" fontId="1" fillId="0" borderId="10" xfId="2" applyBorder="1"/>
    <xf numFmtId="0" fontId="1" fillId="0" borderId="2" xfId="2" applyBorder="1"/>
    <xf numFmtId="0" fontId="1" fillId="0" borderId="11" xfId="2" applyBorder="1"/>
    <xf numFmtId="0" fontId="0" fillId="0" borderId="7" xfId="0" applyBorder="1"/>
    <xf numFmtId="0" fontId="0" fillId="0" borderId="0" xfId="0" applyBorder="1"/>
    <xf numFmtId="0" fontId="1" fillId="0" borderId="13" xfId="2" applyBorder="1"/>
    <xf numFmtId="0" fontId="0" fillId="0" borderId="12" xfId="0" applyBorder="1"/>
    <xf numFmtId="170" fontId="1" fillId="0" borderId="3" xfId="2" applyNumberFormat="1" applyBorder="1"/>
    <xf numFmtId="170" fontId="1" fillId="0" borderId="4" xfId="2" applyNumberFormat="1" applyBorder="1"/>
    <xf numFmtId="0" fontId="0" fillId="0" borderId="5" xfId="0" applyBorder="1"/>
    <xf numFmtId="170" fontId="1" fillId="0" borderId="6" xfId="2" applyNumberFormat="1" applyBorder="1"/>
    <xf numFmtId="170" fontId="1" fillId="2" borderId="7" xfId="2" applyNumberFormat="1" applyFill="1" applyBorder="1"/>
    <xf numFmtId="0" fontId="0" fillId="0" borderId="2" xfId="0" applyBorder="1"/>
    <xf numFmtId="0" fontId="0" fillId="0" borderId="11" xfId="0" applyBorder="1"/>
    <xf numFmtId="0" fontId="2" fillId="0" borderId="0" xfId="2" applyFont="1" applyBorder="1"/>
    <xf numFmtId="170" fontId="1" fillId="2" borderId="0" xfId="2" applyNumberFormat="1" applyFill="1" applyBorder="1"/>
    <xf numFmtId="167" fontId="1" fillId="2" borderId="0" xfId="2" applyNumberFormat="1" applyFill="1"/>
    <xf numFmtId="0" fontId="7" fillId="2" borderId="0" xfId="2" applyFont="1" applyFill="1"/>
    <xf numFmtId="0" fontId="7" fillId="2" borderId="0" xfId="2" applyFont="1" applyFill="1" applyAlignment="1">
      <alignment horizontal="right"/>
    </xf>
    <xf numFmtId="0" fontId="1" fillId="2" borderId="1" xfId="2" applyFill="1" applyBorder="1" applyAlignment="1">
      <alignment horizontal="center"/>
    </xf>
    <xf numFmtId="0" fontId="1" fillId="0" borderId="1" xfId="2" applyBorder="1" applyAlignment="1">
      <alignment horizontal="center"/>
    </xf>
    <xf numFmtId="0" fontId="1" fillId="2" borderId="0" xfId="2" applyFill="1" applyBorder="1" applyAlignment="1">
      <alignment horizontal="center"/>
    </xf>
    <xf numFmtId="0" fontId="1" fillId="0" borderId="0" xfId="2" applyBorder="1" applyAlignment="1">
      <alignment horizontal="center"/>
    </xf>
    <xf numFmtId="0" fontId="7" fillId="2" borderId="0" xfId="2" applyFont="1" applyFill="1" applyAlignment="1">
      <alignment horizontal="center"/>
    </xf>
    <xf numFmtId="0" fontId="7" fillId="0" borderId="0" xfId="2" applyFont="1" applyAlignment="1">
      <alignment horizontal="center"/>
    </xf>
    <xf numFmtId="0" fontId="1" fillId="2" borderId="0" xfId="2" applyFill="1" applyAlignment="1">
      <alignment horizontal="center"/>
    </xf>
    <xf numFmtId="0" fontId="1" fillId="0" borderId="0" xfId="2" applyAlignment="1">
      <alignment horizontal="center"/>
    </xf>
    <xf numFmtId="0" fontId="7" fillId="2" borderId="0" xfId="2" applyFont="1" applyFill="1" applyAlignment="1">
      <alignment horizontal="centerContinuous"/>
    </xf>
    <xf numFmtId="0" fontId="7" fillId="0" borderId="0" xfId="2" applyFont="1" applyAlignment="1">
      <alignment horizontal="centerContinuous"/>
    </xf>
    <xf numFmtId="170" fontId="1" fillId="0" borderId="0" xfId="1" applyNumberFormat="1"/>
    <xf numFmtId="170" fontId="1" fillId="0" borderId="0" xfId="2" applyNumberFormat="1" applyAlignment="1">
      <alignment horizontal="center"/>
    </xf>
    <xf numFmtId="171" fontId="1" fillId="0" borderId="0" xfId="2" applyNumberFormat="1" applyAlignment="1">
      <alignment horizontal="center"/>
    </xf>
    <xf numFmtId="0" fontId="8" fillId="0" borderId="0" xfId="0" applyFont="1"/>
    <xf numFmtId="0" fontId="10" fillId="0" borderId="0" xfId="0" applyFont="1"/>
    <xf numFmtId="0" fontId="11" fillId="0" borderId="0" xfId="2" applyFont="1" applyFill="1"/>
    <xf numFmtId="0" fontId="11" fillId="0" borderId="14" xfId="2" applyFont="1" applyBorder="1"/>
    <xf numFmtId="168" fontId="11" fillId="0" borderId="0" xfId="2" applyNumberFormat="1" applyFont="1" applyBorder="1"/>
    <xf numFmtId="171" fontId="11" fillId="0" borderId="0" xfId="1" applyNumberFormat="1" applyFont="1" applyBorder="1"/>
    <xf numFmtId="0" fontId="10" fillId="0" borderId="0" xfId="0" applyFont="1" applyBorder="1"/>
    <xf numFmtId="172" fontId="10" fillId="0" borderId="0" xfId="0" applyNumberFormat="1" applyFont="1"/>
    <xf numFmtId="9" fontId="10" fillId="0" borderId="14" xfId="0" applyNumberFormat="1" applyFont="1" applyBorder="1"/>
    <xf numFmtId="172" fontId="11" fillId="0" borderId="0" xfId="1" applyNumberFormat="1" applyFont="1" applyBorder="1"/>
    <xf numFmtId="0" fontId="11" fillId="0" borderId="6" xfId="2" applyFont="1" applyBorder="1"/>
    <xf numFmtId="172" fontId="10" fillId="0" borderId="7" xfId="0" applyNumberFormat="1" applyFont="1" applyBorder="1"/>
    <xf numFmtId="0" fontId="11" fillId="0" borderId="0" xfId="2" applyFont="1" applyAlignment="1">
      <alignment horizontal="center"/>
    </xf>
    <xf numFmtId="0" fontId="11" fillId="0" borderId="11" xfId="2" applyFont="1" applyFill="1" applyBorder="1"/>
    <xf numFmtId="0" fontId="10" fillId="0" borderId="4" xfId="0" applyFont="1" applyBorder="1"/>
    <xf numFmtId="0" fontId="14" fillId="0" borderId="0" xfId="0" applyFont="1"/>
    <xf numFmtId="44" fontId="5" fillId="0" borderId="0" xfId="5" applyNumberFormat="1"/>
    <xf numFmtId="10" fontId="0" fillId="0" borderId="0" xfId="0" applyNumberFormat="1"/>
    <xf numFmtId="173" fontId="0" fillId="0" borderId="0" xfId="0" applyNumberFormat="1"/>
    <xf numFmtId="44" fontId="1" fillId="0" borderId="0" xfId="2" applyNumberFormat="1" applyAlignment="1">
      <alignment horizontal="center"/>
    </xf>
    <xf numFmtId="168" fontId="11" fillId="0" borderId="0" xfId="2" applyNumberFormat="1" applyFont="1" applyFill="1" applyBorder="1"/>
    <xf numFmtId="9" fontId="1" fillId="0" borderId="0" xfId="2" applyNumberFormat="1"/>
    <xf numFmtId="174" fontId="1" fillId="0" borderId="0" xfId="3" applyNumberFormat="1"/>
    <xf numFmtId="10" fontId="1" fillId="0" borderId="0" xfId="2" applyNumberFormat="1"/>
    <xf numFmtId="0" fontId="1" fillId="0" borderId="0" xfId="2" applyFill="1" applyAlignment="1">
      <alignment horizontal="center"/>
    </xf>
    <xf numFmtId="168" fontId="1" fillId="0" borderId="0" xfId="1" applyNumberFormat="1" applyFill="1"/>
    <xf numFmtId="9" fontId="1" fillId="0" borderId="0" xfId="3" applyFill="1"/>
    <xf numFmtId="169" fontId="1" fillId="0" borderId="0" xfId="2" applyNumberFormat="1" applyFill="1" applyAlignment="1">
      <alignment horizontal="center"/>
    </xf>
    <xf numFmtId="171" fontId="1" fillId="0" borderId="0" xfId="1" applyNumberFormat="1" applyFont="1" applyFill="1" applyBorder="1" applyAlignment="1" applyProtection="1"/>
    <xf numFmtId="9" fontId="1" fillId="0" borderId="0" xfId="2" applyNumberFormat="1" applyFill="1" applyAlignment="1">
      <alignment horizontal="center"/>
    </xf>
    <xf numFmtId="168" fontId="1" fillId="0" borderId="0" xfId="2" applyNumberFormat="1" applyFill="1" applyAlignment="1">
      <alignment horizontal="center"/>
    </xf>
    <xf numFmtId="170" fontId="1" fillId="0" borderId="0" xfId="1" applyNumberFormat="1" applyFill="1"/>
    <xf numFmtId="44" fontId="1" fillId="0" borderId="0" xfId="2" applyNumberFormat="1" applyFill="1" applyAlignment="1">
      <alignment horizontal="center"/>
    </xf>
    <xf numFmtId="10" fontId="1" fillId="0" borderId="0" xfId="3" applyNumberFormat="1" applyFill="1" applyAlignment="1">
      <alignment horizontal="center"/>
    </xf>
    <xf numFmtId="9" fontId="1" fillId="0" borderId="0" xfId="3" applyFill="1" applyAlignment="1">
      <alignment horizontal="center"/>
    </xf>
    <xf numFmtId="168" fontId="1" fillId="0" borderId="0" xfId="2" applyNumberFormat="1" applyFill="1"/>
    <xf numFmtId="0" fontId="1" fillId="2" borderId="7" xfId="2" applyFill="1" applyBorder="1" applyAlignment="1">
      <alignment horizontal="center"/>
    </xf>
    <xf numFmtId="172" fontId="10" fillId="0" borderId="4" xfId="0" applyNumberFormat="1" applyFont="1" applyBorder="1"/>
    <xf numFmtId="9" fontId="1" fillId="0" borderId="14" xfId="3" applyBorder="1"/>
    <xf numFmtId="0" fontId="2" fillId="0" borderId="11" xfId="2" applyFont="1" applyFill="1" applyBorder="1"/>
    <xf numFmtId="0" fontId="1" fillId="0" borderId="11" xfId="2" applyFill="1" applyBorder="1"/>
    <xf numFmtId="0" fontId="1" fillId="0" borderId="11" xfId="2" applyFill="1" applyBorder="1" applyAlignment="1">
      <alignment horizontal="center"/>
    </xf>
    <xf numFmtId="0" fontId="1" fillId="0" borderId="0" xfId="2" applyFont="1" applyFill="1"/>
    <xf numFmtId="168" fontId="1" fillId="0" borderId="0" xfId="1" applyNumberFormat="1" applyFill="1" applyAlignment="1">
      <alignment horizontal="center"/>
    </xf>
    <xf numFmtId="168" fontId="1" fillId="0" borderId="0" xfId="1" applyNumberFormat="1" applyFont="1" applyFill="1" applyBorder="1" applyAlignment="1" applyProtection="1">
      <alignment horizontal="center"/>
    </xf>
    <xf numFmtId="0" fontId="3" fillId="0" borderId="0" xfId="2" applyFont="1" applyFill="1"/>
    <xf numFmtId="0" fontId="4" fillId="0" borderId="0" xfId="2" applyFont="1" applyFill="1"/>
    <xf numFmtId="0" fontId="2" fillId="0" borderId="0" xfId="2" applyFont="1" applyFill="1"/>
    <xf numFmtId="171" fontId="1" fillId="0" borderId="0" xfId="1" applyNumberFormat="1" applyFill="1"/>
    <xf numFmtId="171" fontId="1" fillId="0" borderId="0" xfId="2" applyNumberFormat="1" applyFill="1" applyAlignment="1">
      <alignment horizontal="center"/>
    </xf>
    <xf numFmtId="170" fontId="1" fillId="0" borderId="0" xfId="2" applyNumberFormat="1" applyFill="1"/>
    <xf numFmtId="0" fontId="13" fillId="0" borderId="11" xfId="0" applyFont="1" applyFill="1" applyBorder="1"/>
    <xf numFmtId="0" fontId="10" fillId="0" borderId="11" xfId="0" applyFont="1" applyFill="1" applyBorder="1"/>
    <xf numFmtId="0" fontId="11" fillId="0" borderId="7" xfId="2" applyFont="1" applyFill="1" applyBorder="1"/>
    <xf numFmtId="0" fontId="0" fillId="0" borderId="11" xfId="0" applyFill="1" applyBorder="1"/>
    <xf numFmtId="0" fontId="10" fillId="0" borderId="0" xfId="0" applyFont="1" applyFill="1"/>
    <xf numFmtId="0" fontId="11" fillId="0" borderId="0" xfId="2" applyFont="1" applyFill="1" applyBorder="1"/>
    <xf numFmtId="0" fontId="0" fillId="0" borderId="0" xfId="0" applyFill="1"/>
    <xf numFmtId="171" fontId="11" fillId="0" borderId="7" xfId="1" applyNumberFormat="1" applyFont="1" applyFill="1" applyBorder="1"/>
    <xf numFmtId="0" fontId="12" fillId="0" borderId="0" xfId="2" applyFont="1" applyFill="1" applyAlignment="1">
      <alignment horizontal="right"/>
    </xf>
    <xf numFmtId="168" fontId="11" fillId="0" borderId="7" xfId="2" applyNumberFormat="1" applyFont="1" applyFill="1" applyBorder="1"/>
    <xf numFmtId="0" fontId="10" fillId="0" borderId="4" xfId="0" applyFont="1" applyFill="1" applyBorder="1"/>
    <xf numFmtId="0" fontId="10" fillId="0" borderId="0" xfId="0" applyFont="1" applyFill="1" applyBorder="1"/>
    <xf numFmtId="0" fontId="9" fillId="0" borderId="0" xfId="0" applyFont="1" applyFill="1"/>
    <xf numFmtId="172" fontId="10" fillId="0" borderId="0" xfId="0" applyNumberFormat="1" applyFont="1" applyFill="1"/>
    <xf numFmtId="172" fontId="10" fillId="0" borderId="14" xfId="0" applyNumberFormat="1" applyFont="1" applyFill="1" applyBorder="1"/>
    <xf numFmtId="0" fontId="10" fillId="0" borderId="14" xfId="0" applyFont="1" applyFill="1" applyBorder="1"/>
    <xf numFmtId="172" fontId="11" fillId="0" borderId="0" xfId="1" applyNumberFormat="1" applyFont="1" applyFill="1" applyBorder="1"/>
    <xf numFmtId="172" fontId="10" fillId="0" borderId="0" xfId="0" applyNumberFormat="1" applyFont="1" applyFill="1" applyBorder="1"/>
    <xf numFmtId="172" fontId="0" fillId="0" borderId="0" xfId="0" applyNumberFormat="1" applyFill="1"/>
    <xf numFmtId="0" fontId="10" fillId="0" borderId="7" xfId="0" applyFont="1" applyFill="1" applyBorder="1"/>
    <xf numFmtId="0" fontId="10" fillId="0" borderId="8" xfId="0" applyFont="1" applyFill="1" applyBorder="1"/>
    <xf numFmtId="0" fontId="10" fillId="0" borderId="6" xfId="0" applyFont="1" applyFill="1" applyBorder="1"/>
    <xf numFmtId="172" fontId="11" fillId="0" borderId="7" xfId="1" applyNumberFormat="1" applyFont="1" applyFill="1" applyBorder="1"/>
    <xf numFmtId="172" fontId="10" fillId="0" borderId="7" xfId="0" applyNumberFormat="1" applyFont="1" applyFill="1" applyBorder="1"/>
    <xf numFmtId="0" fontId="1" fillId="0" borderId="7" xfId="2" applyFill="1" applyBorder="1" applyAlignment="1">
      <alignment horizontal="center"/>
    </xf>
    <xf numFmtId="172" fontId="0" fillId="0" borderId="7" xfId="0" applyNumberFormat="1" applyFill="1" applyBorder="1"/>
    <xf numFmtId="172" fontId="11" fillId="0" borderId="11" xfId="1" applyNumberFormat="1" applyFont="1" applyFill="1" applyBorder="1"/>
    <xf numFmtId="0" fontId="11" fillId="0" borderId="0" xfId="2" applyFont="1" applyFill="1" applyAlignment="1">
      <alignment horizontal="center"/>
    </xf>
    <xf numFmtId="10" fontId="9" fillId="3" borderId="0" xfId="0" applyNumberFormat="1" applyFont="1" applyFill="1"/>
    <xf numFmtId="0" fontId="11" fillId="0" borderId="3" xfId="2" applyFont="1" applyFill="1" applyBorder="1"/>
    <xf numFmtId="0" fontId="11" fillId="0" borderId="4" xfId="2" applyFont="1" applyFill="1" applyBorder="1"/>
    <xf numFmtId="0" fontId="9" fillId="0" borderId="11" xfId="0" applyFont="1" applyFill="1" applyBorder="1"/>
    <xf numFmtId="0" fontId="6" fillId="4" borderId="0" xfId="2" applyFont="1" applyFill="1" applyBorder="1"/>
    <xf numFmtId="0" fontId="1" fillId="4" borderId="0" xfId="2" applyFill="1" applyBorder="1"/>
    <xf numFmtId="0" fontId="7" fillId="4" borderId="0" xfId="2" applyFont="1" applyFill="1"/>
    <xf numFmtId="0" fontId="1" fillId="4" borderId="0" xfId="2" applyFill="1"/>
    <xf numFmtId="0" fontId="0" fillId="4" borderId="0" xfId="0" applyFill="1"/>
    <xf numFmtId="1" fontId="1" fillId="4" borderId="0" xfId="2" applyNumberFormat="1" applyFill="1"/>
    <xf numFmtId="170" fontId="0" fillId="4" borderId="0" xfId="0" applyNumberFormat="1" applyFill="1"/>
    <xf numFmtId="170" fontId="1" fillId="4" borderId="0" xfId="2" applyNumberFormat="1" applyFill="1"/>
    <xf numFmtId="170" fontId="1" fillId="4" borderId="0" xfId="4" applyNumberFormat="1" applyFont="1" applyFill="1"/>
    <xf numFmtId="168" fontId="1" fillId="5" borderId="0" xfId="1" applyNumberFormat="1" applyFont="1" applyFill="1" applyBorder="1" applyAlignment="1" applyProtection="1"/>
    <xf numFmtId="0" fontId="1" fillId="0" borderId="7" xfId="2" applyBorder="1" applyAlignment="1">
      <alignment horizontal="center"/>
    </xf>
    <xf numFmtId="9" fontId="1" fillId="0" borderId="0" xfId="2" applyNumberFormat="1" applyAlignment="1">
      <alignment horizontal="center"/>
    </xf>
    <xf numFmtId="171" fontId="1" fillId="5" borderId="0" xfId="1" applyNumberFormat="1" applyFill="1"/>
    <xf numFmtId="171" fontId="1" fillId="5" borderId="0" xfId="1" applyNumberFormat="1" applyFill="1" applyAlignment="1">
      <alignment horizontal="center"/>
    </xf>
    <xf numFmtId="171" fontId="1" fillId="5" borderId="0" xfId="2" applyNumberFormat="1" applyFill="1" applyAlignment="1">
      <alignment horizontal="center"/>
    </xf>
    <xf numFmtId="0" fontId="1" fillId="0" borderId="0" xfId="2" applyFill="1" applyBorder="1" applyAlignment="1">
      <alignment horizontal="center"/>
    </xf>
    <xf numFmtId="168" fontId="1" fillId="0" borderId="7" xfId="2" applyNumberFormat="1" applyBorder="1"/>
    <xf numFmtId="166" fontId="1" fillId="0" borderId="0" xfId="1"/>
    <xf numFmtId="0" fontId="1" fillId="0" borderId="11" xfId="2" applyBorder="1" applyAlignment="1">
      <alignment horizontal="center"/>
    </xf>
    <xf numFmtId="168" fontId="1" fillId="0" borderId="3" xfId="2" applyNumberFormat="1" applyBorder="1"/>
    <xf numFmtId="9" fontId="1" fillId="0" borderId="4" xfId="3" applyBorder="1"/>
    <xf numFmtId="10" fontId="1" fillId="0" borderId="4" xfId="2" applyNumberFormat="1" applyBorder="1"/>
    <xf numFmtId="174" fontId="1" fillId="0" borderId="4" xfId="3" applyNumberFormat="1" applyBorder="1"/>
    <xf numFmtId="0" fontId="1" fillId="0" borderId="5" xfId="2" applyBorder="1"/>
    <xf numFmtId="168" fontId="1" fillId="0" borderId="14" xfId="2" applyNumberFormat="1" applyBorder="1"/>
    <xf numFmtId="44" fontId="1" fillId="0" borderId="0" xfId="2" applyNumberFormat="1" applyBorder="1"/>
    <xf numFmtId="10" fontId="1" fillId="0" borderId="0" xfId="3" applyNumberFormat="1" applyBorder="1"/>
    <xf numFmtId="43" fontId="1" fillId="0" borderId="0" xfId="2" applyNumberFormat="1" applyBorder="1"/>
    <xf numFmtId="166" fontId="1" fillId="0" borderId="15" xfId="1" applyBorder="1"/>
    <xf numFmtId="168" fontId="1" fillId="0" borderId="6" xfId="2" applyNumberFormat="1" applyBorder="1"/>
    <xf numFmtId="44" fontId="1" fillId="0" borderId="7" xfId="3" applyNumberFormat="1" applyBorder="1"/>
    <xf numFmtId="10" fontId="3" fillId="0" borderId="7" xfId="2" applyNumberFormat="1" applyFont="1" applyBorder="1"/>
    <xf numFmtId="0" fontId="3" fillId="0" borderId="8" xfId="2" applyFont="1" applyBorder="1"/>
    <xf numFmtId="0" fontId="1" fillId="0" borderId="14" xfId="2" applyBorder="1"/>
    <xf numFmtId="174" fontId="1" fillId="0" borderId="14" xfId="3" applyNumberFormat="1" applyBorder="1"/>
    <xf numFmtId="0" fontId="1" fillId="0" borderId="6" xfId="2" applyBorder="1"/>
    <xf numFmtId="0" fontId="1" fillId="0" borderId="3" xfId="2" applyBorder="1" applyAlignment="1">
      <alignment horizontal="center"/>
    </xf>
    <xf numFmtId="0" fontId="1" fillId="0" borderId="14" xfId="2" applyBorder="1" applyAlignment="1">
      <alignment horizontal="center"/>
    </xf>
    <xf numFmtId="9" fontId="1" fillId="0" borderId="14" xfId="2" applyNumberFormat="1" applyBorder="1" applyAlignment="1">
      <alignment horizontal="center"/>
    </xf>
    <xf numFmtId="9" fontId="1" fillId="0" borderId="6" xfId="2" applyNumberFormat="1" applyBorder="1"/>
    <xf numFmtId="168" fontId="1" fillId="0" borderId="14" xfId="1" applyNumberFormat="1" applyFont="1" applyFill="1" applyBorder="1" applyAlignment="1" applyProtection="1"/>
    <xf numFmtId="44" fontId="1" fillId="0" borderId="14" xfId="2" applyNumberFormat="1" applyBorder="1" applyAlignment="1">
      <alignment horizontal="left"/>
    </xf>
    <xf numFmtId="0" fontId="1" fillId="0" borderId="14" xfId="2" applyBorder="1" applyAlignment="1">
      <alignment horizontal="left"/>
    </xf>
    <xf numFmtId="43" fontId="1" fillId="0" borderId="0" xfId="2" applyNumberFormat="1" applyAlignment="1">
      <alignment horizontal="center"/>
    </xf>
    <xf numFmtId="168" fontId="1" fillId="0" borderId="3" xfId="1" applyNumberFormat="1" applyFont="1" applyFill="1" applyBorder="1" applyAlignment="1" applyProtection="1"/>
    <xf numFmtId="0" fontId="1" fillId="0" borderId="6" xfId="2" applyBorder="1" applyAlignment="1">
      <alignment horizontal="center"/>
    </xf>
    <xf numFmtId="10" fontId="1" fillId="3" borderId="0" xfId="2" applyNumberFormat="1" applyFill="1"/>
    <xf numFmtId="0" fontId="1" fillId="4" borderId="4" xfId="2" applyFill="1" applyBorder="1"/>
    <xf numFmtId="0" fontId="0" fillId="4" borderId="4" xfId="0" applyFill="1" applyBorder="1"/>
    <xf numFmtId="170" fontId="0" fillId="4" borderId="4" xfId="0" applyNumberFormat="1" applyFill="1" applyBorder="1"/>
    <xf numFmtId="171" fontId="1" fillId="6" borderId="0" xfId="2" applyNumberFormat="1" applyFill="1" applyAlignment="1">
      <alignment horizontal="center"/>
    </xf>
    <xf numFmtId="171" fontId="1" fillId="0" borderId="0" xfId="2" applyNumberFormat="1" applyFill="1"/>
    <xf numFmtId="168" fontId="1" fillId="6" borderId="0" xfId="1" applyNumberFormat="1" applyFont="1" applyFill="1" applyBorder="1" applyAlignment="1" applyProtection="1"/>
    <xf numFmtId="0" fontId="9" fillId="0" borderId="0" xfId="0" applyFont="1" applyFill="1" applyBorder="1"/>
    <xf numFmtId="0" fontId="1" fillId="0" borderId="0" xfId="2" applyFill="1" applyBorder="1"/>
    <xf numFmtId="10" fontId="10" fillId="0" borderId="0" xfId="0" applyNumberFormat="1" applyFont="1" applyFill="1"/>
    <xf numFmtId="2" fontId="1" fillId="3" borderId="0" xfId="2" applyNumberFormat="1" applyFill="1" applyBorder="1"/>
    <xf numFmtId="0" fontId="1" fillId="3" borderId="15" xfId="2" applyFill="1" applyBorder="1"/>
    <xf numFmtId="10" fontId="1" fillId="0" borderId="0" xfId="2" applyNumberFormat="1" applyBorder="1"/>
    <xf numFmtId="0" fontId="1" fillId="0" borderId="15" xfId="2" applyBorder="1"/>
    <xf numFmtId="9" fontId="1" fillId="0" borderId="0" xfId="2" applyNumberFormat="1" applyBorder="1"/>
    <xf numFmtId="9" fontId="1" fillId="0" borderId="0" xfId="3" applyBorder="1"/>
    <xf numFmtId="174" fontId="1" fillId="0" borderId="0" xfId="2" applyNumberFormat="1" applyBorder="1"/>
    <xf numFmtId="174" fontId="1" fillId="0" borderId="0" xfId="3" applyNumberFormat="1" applyBorder="1"/>
    <xf numFmtId="168" fontId="1" fillId="0" borderId="14" xfId="2" applyNumberFormat="1" applyBorder="1" applyAlignment="1">
      <alignment horizontal="center"/>
    </xf>
    <xf numFmtId="9" fontId="1" fillId="0" borderId="7" xfId="3" applyBorder="1"/>
    <xf numFmtId="0" fontId="3" fillId="0" borderId="3" xfId="2" applyFont="1" applyBorder="1"/>
    <xf numFmtId="44" fontId="9" fillId="3" borderId="0" xfId="0" applyNumberFormat="1" applyFont="1" applyFill="1"/>
    <xf numFmtId="0" fontId="16" fillId="0" borderId="0" xfId="0" applyFont="1"/>
    <xf numFmtId="10" fontId="16" fillId="0" borderId="0" xfId="0" applyNumberFormat="1" applyFont="1"/>
    <xf numFmtId="172" fontId="16" fillId="0" borderId="0" xfId="5" applyNumberFormat="1" applyFont="1"/>
    <xf numFmtId="172" fontId="5" fillId="0" borderId="0" xfId="5" applyNumberFormat="1"/>
    <xf numFmtId="0" fontId="17" fillId="0" borderId="4" xfId="0" applyFont="1" applyBorder="1"/>
    <xf numFmtId="172" fontId="18" fillId="0" borderId="4" xfId="5" applyNumberFormat="1" applyFont="1" applyBorder="1"/>
    <xf numFmtId="0" fontId="18" fillId="0" borderId="0" xfId="0" applyFont="1"/>
    <xf numFmtId="172" fontId="18" fillId="0" borderId="0" xfId="5" applyNumberFormat="1" applyFont="1"/>
    <xf numFmtId="0" fontId="17" fillId="0" borderId="0" xfId="0" applyFont="1"/>
    <xf numFmtId="172" fontId="17" fillId="0" borderId="0" xfId="0" applyNumberFormat="1" applyFont="1"/>
    <xf numFmtId="9" fontId="17" fillId="0" borderId="0" xfId="0" applyNumberFormat="1" applyFont="1"/>
    <xf numFmtId="0" fontId="18" fillId="0" borderId="0" xfId="0" applyFont="1" applyBorder="1"/>
    <xf numFmtId="172" fontId="18" fillId="0" borderId="0" xfId="5" applyNumberFormat="1" applyFont="1" applyBorder="1"/>
    <xf numFmtId="172" fontId="18" fillId="0" borderId="0" xfId="0" applyNumberFormat="1" applyFont="1"/>
    <xf numFmtId="44" fontId="18" fillId="0" borderId="0" xfId="0" applyNumberFormat="1" applyFont="1"/>
    <xf numFmtId="9" fontId="0" fillId="0" borderId="0" xfId="0" applyNumberFormat="1"/>
    <xf numFmtId="9" fontId="16" fillId="0" borderId="0" xfId="0" applyNumberFormat="1" applyFont="1"/>
    <xf numFmtId="172" fontId="0" fillId="0" borderId="0" xfId="0" applyNumberFormat="1"/>
    <xf numFmtId="175" fontId="0" fillId="0" borderId="0" xfId="0" applyNumberFormat="1"/>
    <xf numFmtId="172" fontId="0" fillId="0" borderId="11" xfId="0" applyNumberFormat="1" applyBorder="1"/>
    <xf numFmtId="172" fontId="18" fillId="3" borderId="0" xfId="0" applyNumberFormat="1" applyFont="1" applyFill="1"/>
  </cellXfs>
  <cellStyles count="6">
    <cellStyle name="Currency" xfId="1" builtinId="4"/>
    <cellStyle name="Currency [0]" xfId="4" builtinId="7"/>
    <cellStyle name="Currency 2" xfId="5"/>
    <cellStyle name="Excel Built-in Normal" xfId="2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ever/Downloads/B%20401/Week%2011/Consulting%20company%20projec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cannacer/Downloads/B401%20Whaleys%20Case%20Starting%20Spreadshee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ever/Downloads/Consulting%20compa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"/>
      <sheetName val="Answer"/>
      <sheetName val="Sheet1"/>
      <sheetName val="Mortgage"/>
      <sheetName val="Resources"/>
    </sheetNames>
    <sheetDataSet>
      <sheetData sheetId="0"/>
      <sheetData sheetId="1"/>
      <sheetData sheetId="2"/>
      <sheetData sheetId="3">
        <row r="15">
          <cell r="G15">
            <v>565220.9941478339</v>
          </cell>
        </row>
        <row r="16">
          <cell r="E16">
            <v>23963.179134067152</v>
          </cell>
        </row>
        <row r="29">
          <cell r="G29">
            <v>555023.27075269434</v>
          </cell>
        </row>
        <row r="30">
          <cell r="E30">
            <v>23544.461591093805</v>
          </cell>
        </row>
        <row r="43">
          <cell r="G43">
            <v>544388.90116381226</v>
          </cell>
        </row>
        <row r="44">
          <cell r="E44">
            <v>23107.815397351242</v>
          </cell>
        </row>
        <row r="57">
          <cell r="G57">
            <v>533299.18906132085</v>
          </cell>
        </row>
        <row r="58">
          <cell r="E58">
            <v>22652.472883741761</v>
          </cell>
        </row>
        <row r="71">
          <cell r="G71">
            <v>521734.63758619432</v>
          </cell>
        </row>
        <row r="72">
          <cell r="E72">
            <v>22177.63351110672</v>
          </cell>
        </row>
        <row r="85">
          <cell r="G85">
            <v>509674.91506275703</v>
          </cell>
        </row>
        <row r="86">
          <cell r="E86">
            <v>21682.462462796011</v>
          </cell>
        </row>
        <row r="99">
          <cell r="G99">
            <v>497098.81925349776</v>
          </cell>
        </row>
        <row r="100">
          <cell r="E100">
            <v>21166.089176974172</v>
          </cell>
        </row>
        <row r="113">
          <cell r="G113">
            <v>483984.24008334725</v>
          </cell>
        </row>
        <row r="114">
          <cell r="E114">
            <v>20627.605816082847</v>
          </cell>
        </row>
        <row r="127">
          <cell r="G127">
            <v>470308.1207678825</v>
          </cell>
        </row>
        <row r="128">
          <cell r="E128">
            <v>20066.065670768545</v>
          </cell>
        </row>
        <row r="141">
          <cell r="G141">
            <v>456046.41727711906</v>
          </cell>
        </row>
        <row r="142">
          <cell r="E142">
            <v>19480.481495469867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swer"/>
      <sheetName val="Mortgage"/>
      <sheetName val="Sheet3"/>
    </sheetNames>
    <sheetDataSet>
      <sheetData sheetId="0">
        <row r="26">
          <cell r="D26">
            <v>30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"/>
      <sheetName val="Answer"/>
      <sheetName val="Mortgage"/>
      <sheetName val="Resources"/>
    </sheetNames>
    <sheetDataSet>
      <sheetData sheetId="0" refreshError="1"/>
      <sheetData sheetId="1">
        <row r="69">
          <cell r="D69">
            <v>575000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5"/>
  <sheetViews>
    <sheetView showGridLines="0" tabSelected="1" zoomScale="85" zoomScaleNormal="85" workbookViewId="0">
      <selection activeCell="C126" sqref="C126"/>
    </sheetView>
  </sheetViews>
  <sheetFormatPr defaultColWidth="9.42578125" defaultRowHeight="15"/>
  <cols>
    <col min="1" max="1" width="4.85546875" style="1" customWidth="1"/>
    <col min="2" max="2" width="25.85546875" style="1" customWidth="1"/>
    <col min="3" max="3" width="24.85546875" style="1" customWidth="1"/>
    <col min="4" max="4" width="18" style="1" customWidth="1"/>
    <col min="5" max="6" width="15" style="1" customWidth="1"/>
    <col min="7" max="7" width="15" style="48" customWidth="1"/>
    <col min="8" max="14" width="15" style="49" customWidth="1"/>
    <col min="15" max="15" width="13.28515625" style="49" bestFit="1" customWidth="1"/>
    <col min="16" max="16" width="13.140625" style="1" customWidth="1"/>
    <col min="17" max="20" width="9.42578125" style="1"/>
    <col min="21" max="21" width="13" style="1" bestFit="1" customWidth="1"/>
    <col min="22" max="22" width="9.42578125" style="1"/>
    <col min="23" max="23" width="13" style="1" bestFit="1" customWidth="1"/>
    <col min="24" max="16384" width="9.42578125" style="1"/>
  </cols>
  <sheetData>
    <row r="1" spans="1:16" s="3" customFormat="1">
      <c r="A1" s="2" t="s">
        <v>37</v>
      </c>
      <c r="G1" s="42"/>
      <c r="H1" s="43"/>
      <c r="I1" s="43"/>
      <c r="J1" s="43"/>
      <c r="K1" s="43"/>
      <c r="L1" s="43"/>
      <c r="M1" s="43"/>
      <c r="N1" s="43"/>
      <c r="O1" s="43"/>
    </row>
    <row r="2" spans="1:16" s="18" customFormat="1">
      <c r="A2" s="37"/>
      <c r="G2" s="44"/>
      <c r="H2" s="45"/>
      <c r="I2" s="45"/>
      <c r="J2" s="45"/>
      <c r="K2" s="45"/>
      <c r="L2" s="45"/>
      <c r="M2" s="45"/>
      <c r="N2" s="45"/>
      <c r="O2" s="45"/>
    </row>
    <row r="3" spans="1:16" s="18" customFormat="1" ht="15.75">
      <c r="A3" s="37"/>
      <c r="B3" s="138" t="s">
        <v>57</v>
      </c>
      <c r="C3" s="139"/>
      <c r="D3" s="140"/>
      <c r="E3" s="139"/>
      <c r="F3" s="40"/>
      <c r="G3" s="41"/>
      <c r="H3" s="46"/>
      <c r="I3" s="46"/>
      <c r="J3" s="46"/>
      <c r="K3" s="47"/>
      <c r="L3" s="47"/>
      <c r="M3" s="46"/>
      <c r="N3" s="46"/>
      <c r="O3" s="47"/>
      <c r="P3" s="47"/>
    </row>
    <row r="4" spans="1:16" s="18" customFormat="1">
      <c r="A4" s="37"/>
      <c r="B4" s="141" t="s">
        <v>55</v>
      </c>
      <c r="C4" s="141"/>
      <c r="D4" s="141"/>
      <c r="E4" s="141"/>
      <c r="G4" s="44"/>
      <c r="H4" s="45"/>
      <c r="I4" s="45"/>
      <c r="J4" s="45"/>
      <c r="K4" s="45"/>
      <c r="L4" s="45"/>
      <c r="M4" s="45"/>
      <c r="N4" s="45"/>
      <c r="O4" s="45"/>
    </row>
    <row r="5" spans="1:16" s="18" customFormat="1">
      <c r="A5" s="37"/>
      <c r="B5" s="142"/>
      <c r="C5" s="141" t="s">
        <v>40</v>
      </c>
      <c r="D5" s="142">
        <v>80</v>
      </c>
      <c r="E5" s="142" t="s">
        <v>54</v>
      </c>
      <c r="G5" s="44"/>
      <c r="H5" s="45"/>
      <c r="I5" s="45"/>
      <c r="J5" s="45"/>
      <c r="K5" s="45"/>
      <c r="L5" s="45"/>
      <c r="M5" s="45"/>
      <c r="N5" s="45"/>
      <c r="O5" s="45"/>
    </row>
    <row r="6" spans="1:16" s="18" customFormat="1">
      <c r="A6" s="37"/>
      <c r="B6" s="142"/>
      <c r="C6" s="141" t="s">
        <v>43</v>
      </c>
      <c r="D6" s="143">
        <v>15</v>
      </c>
      <c r="E6" s="141" t="s">
        <v>54</v>
      </c>
      <c r="G6" s="44"/>
      <c r="H6" s="45"/>
      <c r="I6" s="45"/>
      <c r="J6" s="45"/>
      <c r="K6" s="45"/>
      <c r="L6" s="45"/>
      <c r="M6" s="45"/>
      <c r="N6" s="45"/>
      <c r="O6" s="45"/>
    </row>
    <row r="7" spans="1:16" s="18" customFormat="1">
      <c r="A7" s="37"/>
      <c r="B7" s="142"/>
      <c r="C7" s="141" t="s">
        <v>41</v>
      </c>
      <c r="D7" s="143">
        <v>200</v>
      </c>
      <c r="E7" s="141" t="s">
        <v>54</v>
      </c>
      <c r="G7" s="44"/>
      <c r="H7" s="45"/>
      <c r="I7" s="45"/>
      <c r="J7" s="45"/>
      <c r="K7" s="45"/>
      <c r="L7" s="45"/>
      <c r="M7" s="45"/>
      <c r="N7" s="45"/>
      <c r="O7" s="45"/>
    </row>
    <row r="8" spans="1:16" s="18" customFormat="1">
      <c r="A8" s="37"/>
      <c r="B8" s="185" t="s">
        <v>49</v>
      </c>
      <c r="C8" s="185"/>
      <c r="D8" s="186"/>
      <c r="E8" s="186"/>
      <c r="G8" s="44"/>
      <c r="H8" s="45"/>
      <c r="I8" s="45"/>
      <c r="J8" s="45"/>
      <c r="K8" s="45"/>
      <c r="L8" s="45"/>
      <c r="M8" s="45"/>
      <c r="N8" s="45"/>
      <c r="O8" s="45"/>
    </row>
    <row r="9" spans="1:16" s="18" customFormat="1">
      <c r="A9" s="37"/>
      <c r="B9" s="142"/>
      <c r="C9" s="141" t="s">
        <v>40</v>
      </c>
      <c r="D9" s="144">
        <v>0.75</v>
      </c>
      <c r="E9" s="142" t="s">
        <v>39</v>
      </c>
      <c r="G9" s="44"/>
      <c r="H9" s="45"/>
      <c r="I9" s="45"/>
      <c r="J9" s="45"/>
      <c r="K9" s="45"/>
      <c r="L9" s="45"/>
      <c r="M9" s="45"/>
      <c r="N9" s="45"/>
      <c r="O9" s="45"/>
    </row>
    <row r="10" spans="1:16" s="18" customFormat="1">
      <c r="A10" s="37"/>
      <c r="B10" s="142"/>
      <c r="C10" s="141"/>
      <c r="D10" s="144">
        <f>D5*D9</f>
        <v>60</v>
      </c>
      <c r="E10" s="142" t="s">
        <v>54</v>
      </c>
      <c r="G10" s="44"/>
      <c r="H10" s="45"/>
      <c r="I10" s="45"/>
      <c r="J10" s="45"/>
      <c r="K10" s="45"/>
      <c r="L10" s="45"/>
      <c r="M10" s="45"/>
      <c r="N10" s="45"/>
      <c r="O10" s="45"/>
    </row>
    <row r="11" spans="1:16" s="18" customFormat="1">
      <c r="A11" s="37"/>
      <c r="B11" s="142"/>
      <c r="C11" s="141" t="s">
        <v>43</v>
      </c>
      <c r="D11" s="145">
        <v>10</v>
      </c>
      <c r="E11" s="141" t="s">
        <v>39</v>
      </c>
      <c r="G11" s="44"/>
      <c r="H11" s="45"/>
      <c r="I11" s="45"/>
      <c r="J11" s="45"/>
      <c r="K11" s="45"/>
      <c r="L11" s="45"/>
      <c r="M11" s="45"/>
      <c r="N11" s="45"/>
      <c r="O11" s="45"/>
    </row>
    <row r="12" spans="1:16" s="18" customFormat="1">
      <c r="A12" s="37"/>
      <c r="B12" s="142"/>
      <c r="C12" s="141"/>
      <c r="D12" s="145">
        <f>D11*D6</f>
        <v>150</v>
      </c>
      <c r="E12" s="141" t="s">
        <v>54</v>
      </c>
      <c r="G12" s="44"/>
      <c r="H12" s="45"/>
      <c r="I12" s="45"/>
      <c r="J12" s="45"/>
      <c r="K12" s="45"/>
      <c r="L12" s="45"/>
      <c r="M12" s="45"/>
      <c r="N12" s="45"/>
      <c r="O12" s="45"/>
    </row>
    <row r="13" spans="1:16" s="18" customFormat="1">
      <c r="A13" s="37"/>
      <c r="B13" s="142"/>
      <c r="C13" s="141" t="s">
        <v>41</v>
      </c>
      <c r="D13" s="142"/>
      <c r="E13" s="142"/>
      <c r="G13" s="44"/>
      <c r="H13" s="45"/>
      <c r="I13" s="45"/>
      <c r="J13" s="45"/>
      <c r="K13" s="45"/>
      <c r="L13" s="45"/>
      <c r="M13" s="45"/>
      <c r="N13" s="45"/>
      <c r="O13" s="45"/>
    </row>
    <row r="14" spans="1:16" s="18" customFormat="1">
      <c r="A14" s="37"/>
      <c r="B14" s="141"/>
      <c r="C14" s="141"/>
      <c r="D14" s="145">
        <v>0.1</v>
      </c>
      <c r="E14" s="141" t="s">
        <v>39</v>
      </c>
      <c r="G14" s="44"/>
      <c r="H14" s="45"/>
      <c r="I14" s="45"/>
      <c r="J14" s="45"/>
      <c r="K14" s="45"/>
      <c r="L14" s="45"/>
      <c r="M14" s="45"/>
      <c r="N14" s="45"/>
      <c r="O14" s="45"/>
    </row>
    <row r="15" spans="1:16" s="18" customFormat="1">
      <c r="A15" s="37"/>
      <c r="B15" s="142"/>
      <c r="C15" s="142"/>
      <c r="D15" s="145">
        <f>D7*D14</f>
        <v>20</v>
      </c>
      <c r="E15" s="141" t="s">
        <v>54</v>
      </c>
      <c r="G15" s="44"/>
      <c r="H15" s="45"/>
      <c r="I15" s="45"/>
      <c r="J15" s="45"/>
      <c r="K15" s="45"/>
      <c r="L15" s="45"/>
      <c r="M15" s="45"/>
      <c r="N15" s="45"/>
      <c r="O15" s="45"/>
    </row>
    <row r="16" spans="1:16" s="18" customFormat="1">
      <c r="A16" s="37"/>
      <c r="B16" s="185" t="s">
        <v>51</v>
      </c>
      <c r="C16" s="185"/>
      <c r="D16" s="186"/>
      <c r="E16" s="186"/>
      <c r="G16" s="44"/>
      <c r="H16" s="45"/>
      <c r="I16" s="45"/>
      <c r="J16" s="45"/>
      <c r="K16" s="45"/>
      <c r="L16" s="45"/>
      <c r="M16" s="45"/>
      <c r="N16" s="45"/>
      <c r="O16" s="45"/>
    </row>
    <row r="17" spans="1:15" s="18" customFormat="1">
      <c r="A17" s="37"/>
      <c r="B17" s="141"/>
      <c r="C17" s="141" t="s">
        <v>40</v>
      </c>
      <c r="D17" s="144">
        <v>2.5</v>
      </c>
      <c r="E17" s="142" t="s">
        <v>39</v>
      </c>
      <c r="G17" s="44"/>
      <c r="H17" s="45"/>
      <c r="I17" s="45"/>
      <c r="J17" s="45"/>
      <c r="K17" s="45"/>
      <c r="L17" s="45"/>
      <c r="M17" s="45"/>
      <c r="N17" s="45"/>
      <c r="O17" s="45"/>
    </row>
    <row r="18" spans="1:15" s="18" customFormat="1">
      <c r="A18" s="37"/>
      <c r="B18" s="141"/>
      <c r="C18" s="141" t="s">
        <v>43</v>
      </c>
      <c r="D18" s="145">
        <v>35</v>
      </c>
      <c r="E18" s="141" t="s">
        <v>39</v>
      </c>
      <c r="G18" s="44"/>
      <c r="H18" s="45"/>
      <c r="I18" s="45"/>
      <c r="J18" s="45"/>
      <c r="K18" s="45"/>
      <c r="L18" s="45"/>
      <c r="M18" s="45"/>
      <c r="N18" s="45"/>
      <c r="O18" s="45"/>
    </row>
    <row r="19" spans="1:15" s="18" customFormat="1">
      <c r="A19" s="37"/>
      <c r="B19" s="141"/>
      <c r="C19" s="141" t="s">
        <v>41</v>
      </c>
      <c r="D19" s="145">
        <v>0.75</v>
      </c>
      <c r="E19" s="141" t="s">
        <v>39</v>
      </c>
      <c r="G19" s="44"/>
      <c r="H19" s="45"/>
      <c r="I19" s="45"/>
      <c r="J19" s="45"/>
      <c r="K19" s="45"/>
      <c r="L19" s="45"/>
      <c r="M19" s="45"/>
      <c r="N19" s="45"/>
      <c r="O19" s="45"/>
    </row>
    <row r="20" spans="1:15" s="18" customFormat="1">
      <c r="A20" s="37"/>
      <c r="B20" s="141"/>
      <c r="C20" s="141"/>
      <c r="D20" s="142"/>
      <c r="E20" s="142"/>
      <c r="G20" s="44"/>
      <c r="H20" s="45"/>
      <c r="I20" s="45"/>
      <c r="J20" s="45"/>
      <c r="K20" s="45"/>
      <c r="L20" s="45"/>
      <c r="M20" s="45"/>
      <c r="N20" s="45"/>
      <c r="O20" s="45"/>
    </row>
    <row r="21" spans="1:15" s="18" customFormat="1">
      <c r="A21" s="37"/>
      <c r="B21" s="141"/>
      <c r="C21" s="141"/>
      <c r="D21" s="142"/>
      <c r="E21" s="142"/>
      <c r="G21" s="44"/>
      <c r="H21" s="45"/>
      <c r="I21" s="45"/>
      <c r="J21" s="45"/>
      <c r="K21" s="45"/>
      <c r="L21" s="45"/>
      <c r="M21" s="45"/>
      <c r="N21" s="45"/>
      <c r="O21" s="45"/>
    </row>
    <row r="22" spans="1:15" s="18" customFormat="1">
      <c r="A22" s="37"/>
      <c r="B22" s="185" t="s">
        <v>56</v>
      </c>
      <c r="C22" s="185" t="s">
        <v>40</v>
      </c>
      <c r="D22" s="187">
        <f>D17*D5</f>
        <v>200</v>
      </c>
      <c r="E22" s="186" t="s">
        <v>54</v>
      </c>
      <c r="G22" s="44"/>
      <c r="H22" s="45"/>
      <c r="I22" s="45"/>
      <c r="J22" s="45"/>
      <c r="K22" s="45"/>
      <c r="L22" s="45"/>
      <c r="M22" s="45"/>
      <c r="N22" s="45"/>
      <c r="O22" s="45"/>
    </row>
    <row r="23" spans="1:15" s="18" customFormat="1">
      <c r="A23" s="37"/>
      <c r="B23" s="141"/>
      <c r="C23" s="141" t="s">
        <v>43</v>
      </c>
      <c r="D23" s="146">
        <f>D6*D18</f>
        <v>525</v>
      </c>
      <c r="E23" s="141" t="s">
        <v>54</v>
      </c>
      <c r="G23" s="44"/>
      <c r="H23" s="45"/>
      <c r="I23" s="45"/>
      <c r="J23" s="45"/>
      <c r="K23" s="45"/>
      <c r="L23" s="45"/>
      <c r="M23" s="45"/>
      <c r="N23" s="45"/>
      <c r="O23" s="45"/>
    </row>
    <row r="24" spans="1:15" s="18" customFormat="1">
      <c r="A24" s="37"/>
      <c r="B24" s="142"/>
      <c r="C24" s="141" t="s">
        <v>41</v>
      </c>
      <c r="D24" s="145">
        <f>D19*D7</f>
        <v>150</v>
      </c>
      <c r="E24" s="141" t="s">
        <v>54</v>
      </c>
      <c r="G24" s="44"/>
      <c r="H24" s="45"/>
      <c r="I24" s="45"/>
      <c r="J24" s="45"/>
      <c r="K24" s="45"/>
      <c r="L24" s="45"/>
      <c r="M24" s="45"/>
      <c r="N24" s="45"/>
      <c r="O24" s="45"/>
    </row>
    <row r="25" spans="1:15" s="18" customFormat="1">
      <c r="A25" s="37"/>
      <c r="B25" s="141"/>
      <c r="C25" s="141"/>
      <c r="D25" s="141"/>
      <c r="E25" s="141"/>
      <c r="G25" s="44"/>
      <c r="H25" s="45"/>
      <c r="I25" s="45"/>
      <c r="J25" s="45"/>
      <c r="K25" s="45"/>
      <c r="L25" s="45"/>
      <c r="M25" s="45"/>
      <c r="N25" s="45"/>
      <c r="O25" s="45"/>
    </row>
    <row r="26" spans="1:15" s="18" customFormat="1">
      <c r="A26" s="37"/>
      <c r="B26" s="141" t="s">
        <v>52</v>
      </c>
      <c r="C26" s="141"/>
      <c r="D26" s="144">
        <f>D22+D23+D24</f>
        <v>875</v>
      </c>
      <c r="E26" s="141" t="s">
        <v>54</v>
      </c>
      <c r="G26" s="44"/>
      <c r="H26" s="45"/>
      <c r="I26" s="45"/>
      <c r="J26" s="45"/>
      <c r="K26" s="45"/>
      <c r="L26" s="45"/>
      <c r="M26" s="45"/>
      <c r="N26" s="45"/>
      <c r="O26" s="45"/>
    </row>
    <row r="27" spans="1:15" s="18" customFormat="1">
      <c r="A27" s="37"/>
      <c r="B27" s="141" t="s">
        <v>53</v>
      </c>
      <c r="C27" s="141"/>
      <c r="D27" s="144">
        <f>D10+D12+D15</f>
        <v>230</v>
      </c>
      <c r="E27" s="141" t="s">
        <v>54</v>
      </c>
      <c r="G27" s="44"/>
      <c r="H27" s="45"/>
      <c r="I27" s="45"/>
      <c r="J27" s="45"/>
      <c r="K27" s="45"/>
      <c r="L27" s="45"/>
      <c r="M27" s="45"/>
      <c r="N27" s="45"/>
      <c r="O27" s="45"/>
    </row>
    <row r="28" spans="1:15" s="18" customFormat="1">
      <c r="A28" s="37"/>
      <c r="B28" s="139"/>
      <c r="C28" s="139"/>
      <c r="D28" s="139"/>
      <c r="E28" s="139"/>
      <c r="G28" s="44"/>
      <c r="H28" s="45"/>
      <c r="I28" s="45"/>
      <c r="J28" s="45"/>
      <c r="K28" s="45"/>
      <c r="L28" s="45"/>
      <c r="M28" s="45"/>
      <c r="N28" s="45"/>
      <c r="O28" s="45"/>
    </row>
    <row r="29" spans="1:15" s="18" customFormat="1">
      <c r="A29" s="37"/>
      <c r="B29" s="141"/>
      <c r="C29" s="139"/>
      <c r="D29" s="139"/>
      <c r="E29" s="139"/>
      <c r="G29" s="44"/>
      <c r="H29" s="45"/>
      <c r="I29" s="45"/>
      <c r="J29" s="45"/>
      <c r="K29" s="45"/>
      <c r="L29" s="45"/>
      <c r="M29" s="45"/>
      <c r="N29" s="45"/>
      <c r="O29" s="45"/>
    </row>
    <row r="30" spans="1:15" s="18" customFormat="1">
      <c r="A30" s="37"/>
      <c r="B30" s="139" t="s">
        <v>72</v>
      </c>
      <c r="C30" s="139">
        <v>3</v>
      </c>
      <c r="D30" s="139" t="s">
        <v>70</v>
      </c>
      <c r="E30" s="139"/>
      <c r="G30" s="44"/>
      <c r="H30" s="45"/>
      <c r="I30" s="45"/>
      <c r="J30" s="45"/>
      <c r="K30" s="45"/>
      <c r="L30" s="45"/>
      <c r="M30" s="45"/>
      <c r="N30" s="45"/>
      <c r="O30" s="45"/>
    </row>
    <row r="31" spans="1:15" s="18" customFormat="1">
      <c r="A31" s="37"/>
      <c r="B31" s="139" t="s">
        <v>71</v>
      </c>
      <c r="C31" s="139">
        <v>75</v>
      </c>
      <c r="D31" s="139" t="s">
        <v>70</v>
      </c>
      <c r="E31" s="139"/>
      <c r="G31" s="44"/>
      <c r="H31" s="45"/>
      <c r="I31" s="45"/>
      <c r="J31" s="45"/>
      <c r="K31" s="45"/>
      <c r="L31" s="45"/>
      <c r="M31" s="45"/>
      <c r="N31" s="45"/>
      <c r="O31" s="45"/>
    </row>
    <row r="32" spans="1:15" s="18" customFormat="1">
      <c r="A32" s="37"/>
      <c r="B32" s="139" t="s">
        <v>69</v>
      </c>
      <c r="C32" s="139">
        <v>30</v>
      </c>
      <c r="D32" s="139" t="s">
        <v>70</v>
      </c>
      <c r="E32" s="139"/>
      <c r="G32" s="44"/>
      <c r="H32" s="45"/>
      <c r="I32" s="45"/>
      <c r="J32" s="45"/>
      <c r="K32" s="45"/>
      <c r="L32" s="45"/>
      <c r="M32" s="45"/>
      <c r="N32" s="45"/>
      <c r="O32" s="45"/>
    </row>
    <row r="33" spans="1:17">
      <c r="A33" s="4" t="s">
        <v>0</v>
      </c>
      <c r="B33" s="18"/>
    </row>
    <row r="34" spans="1:17">
      <c r="A34" s="11"/>
      <c r="C34" s="40"/>
      <c r="D34" s="50" t="s">
        <v>27</v>
      </c>
      <c r="E34" s="50" t="s">
        <v>28</v>
      </c>
      <c r="F34" s="50" t="s">
        <v>29</v>
      </c>
      <c r="G34" s="50" t="s">
        <v>30</v>
      </c>
      <c r="H34" s="50" t="s">
        <v>31</v>
      </c>
      <c r="I34" s="51" t="s">
        <v>32</v>
      </c>
      <c r="J34" s="51" t="s">
        <v>33</v>
      </c>
      <c r="K34" s="50" t="s">
        <v>34</v>
      </c>
      <c r="L34" s="51" t="s">
        <v>35</v>
      </c>
      <c r="M34" s="47" t="s">
        <v>36</v>
      </c>
      <c r="N34" s="51"/>
    </row>
    <row r="35" spans="1:17">
      <c r="A35" s="11"/>
      <c r="B35" s="11"/>
      <c r="C35" s="11"/>
      <c r="D35" s="39"/>
      <c r="E35" s="11"/>
      <c r="F35" s="11"/>
      <c r="H35" s="48"/>
    </row>
    <row r="36" spans="1:17">
      <c r="A36" s="94" t="s">
        <v>1</v>
      </c>
      <c r="B36" s="95"/>
      <c r="C36" s="95"/>
      <c r="D36" s="95"/>
      <c r="E36" s="95"/>
      <c r="F36" s="95"/>
      <c r="G36" s="96"/>
      <c r="H36" s="96"/>
      <c r="I36" s="96"/>
      <c r="J36" s="96"/>
      <c r="K36" s="96"/>
      <c r="L36" s="96"/>
      <c r="M36" s="96"/>
      <c r="N36" s="79"/>
      <c r="O36" s="79"/>
      <c r="P36" s="15"/>
      <c r="Q36" s="15"/>
    </row>
    <row r="37" spans="1:17">
      <c r="A37" s="97" t="s">
        <v>2</v>
      </c>
      <c r="B37" s="15"/>
      <c r="C37" s="15" t="s">
        <v>40</v>
      </c>
      <c r="D37" s="80">
        <f>D22*365</f>
        <v>73000</v>
      </c>
      <c r="E37" s="80">
        <f t="shared" ref="E37:M39" si="0">D37+(D37*$O$37)</f>
        <v>74460</v>
      </c>
      <c r="F37" s="80">
        <f t="shared" si="0"/>
        <v>75949.2</v>
      </c>
      <c r="G37" s="80">
        <f t="shared" si="0"/>
        <v>77468.183999999994</v>
      </c>
      <c r="H37" s="80">
        <f t="shared" si="0"/>
        <v>79017.547679999989</v>
      </c>
      <c r="I37" s="80">
        <f t="shared" si="0"/>
        <v>80597.898633599994</v>
      </c>
      <c r="J37" s="80">
        <f t="shared" si="0"/>
        <v>82209.856606271991</v>
      </c>
      <c r="K37" s="80">
        <f t="shared" si="0"/>
        <v>83854.05373839743</v>
      </c>
      <c r="L37" s="80">
        <f t="shared" si="0"/>
        <v>85531.134813165379</v>
      </c>
      <c r="M37" s="80">
        <f t="shared" si="0"/>
        <v>87241.757509428688</v>
      </c>
      <c r="N37" s="80"/>
      <c r="O37" s="81">
        <v>0.02</v>
      </c>
      <c r="P37" s="15" t="s">
        <v>58</v>
      </c>
      <c r="Q37" s="15"/>
    </row>
    <row r="38" spans="1:17">
      <c r="A38" s="97"/>
      <c r="B38" s="15"/>
      <c r="C38" s="15" t="s">
        <v>43</v>
      </c>
      <c r="D38" s="80">
        <f>D23*365</f>
        <v>191625</v>
      </c>
      <c r="E38" s="80">
        <f t="shared" si="0"/>
        <v>195457.5</v>
      </c>
      <c r="F38" s="80">
        <f t="shared" si="0"/>
        <v>199366.65</v>
      </c>
      <c r="G38" s="80">
        <f t="shared" si="0"/>
        <v>203353.98300000001</v>
      </c>
      <c r="H38" s="80">
        <f t="shared" si="0"/>
        <v>207421.06266</v>
      </c>
      <c r="I38" s="80">
        <f t="shared" si="0"/>
        <v>211569.48391320001</v>
      </c>
      <c r="J38" s="80">
        <f t="shared" si="0"/>
        <v>215800.87359146401</v>
      </c>
      <c r="K38" s="80">
        <f t="shared" si="0"/>
        <v>220116.8910632933</v>
      </c>
      <c r="L38" s="80">
        <f t="shared" si="0"/>
        <v>224519.22888455915</v>
      </c>
      <c r="M38" s="80">
        <f t="shared" si="0"/>
        <v>229009.61346225033</v>
      </c>
      <c r="N38" s="80"/>
      <c r="O38" s="82"/>
      <c r="P38" s="15"/>
      <c r="Q38" s="15"/>
    </row>
    <row r="39" spans="1:17">
      <c r="A39" s="97"/>
      <c r="B39" s="15"/>
      <c r="C39" s="15" t="s">
        <v>41</v>
      </c>
      <c r="D39" s="80">
        <f>D24*365</f>
        <v>54750</v>
      </c>
      <c r="E39" s="80">
        <f t="shared" si="0"/>
        <v>55845</v>
      </c>
      <c r="F39" s="80">
        <f t="shared" si="0"/>
        <v>56961.9</v>
      </c>
      <c r="G39" s="80">
        <f t="shared" si="0"/>
        <v>58101.137999999999</v>
      </c>
      <c r="H39" s="80">
        <f t="shared" si="0"/>
        <v>59263.160759999999</v>
      </c>
      <c r="I39" s="80">
        <f t="shared" si="0"/>
        <v>60448.423975199999</v>
      </c>
      <c r="J39" s="80">
        <f t="shared" si="0"/>
        <v>61657.392454704001</v>
      </c>
      <c r="K39" s="80">
        <f t="shared" si="0"/>
        <v>62890.54030379808</v>
      </c>
      <c r="L39" s="80">
        <f t="shared" si="0"/>
        <v>64148.351109874042</v>
      </c>
      <c r="M39" s="80">
        <f t="shared" si="0"/>
        <v>65431.318132071523</v>
      </c>
      <c r="N39" s="80"/>
      <c r="O39" s="82"/>
      <c r="P39" s="15"/>
      <c r="Q39" s="15"/>
    </row>
    <row r="40" spans="1:17">
      <c r="A40" s="97"/>
      <c r="B40" s="80"/>
      <c r="C40" s="15"/>
      <c r="E40" s="80"/>
      <c r="F40" s="80"/>
      <c r="G40" s="98"/>
      <c r="H40" s="79"/>
      <c r="I40" s="79"/>
      <c r="J40" s="79"/>
      <c r="K40" s="79"/>
      <c r="L40" s="79"/>
      <c r="M40" s="79"/>
      <c r="N40" s="79"/>
      <c r="O40" s="82"/>
      <c r="P40" s="15"/>
      <c r="Q40" s="15"/>
    </row>
    <row r="41" spans="1:17">
      <c r="A41" s="97"/>
      <c r="B41" s="15"/>
      <c r="C41" s="15"/>
      <c r="D41" s="80"/>
      <c r="E41" s="80"/>
      <c r="F41" s="80"/>
      <c r="G41" s="98"/>
      <c r="H41" s="79"/>
      <c r="I41" s="79"/>
      <c r="J41" s="79"/>
      <c r="K41" s="79"/>
      <c r="L41" s="79"/>
      <c r="M41" s="79"/>
      <c r="N41" s="79"/>
      <c r="O41" s="82"/>
      <c r="P41" s="15"/>
      <c r="Q41" s="15"/>
    </row>
    <row r="42" spans="1:17">
      <c r="A42" s="15" t="s">
        <v>3</v>
      </c>
      <c r="B42" s="15"/>
      <c r="C42" s="15"/>
      <c r="D42" s="83">
        <f>$O$42*SUM(D37:D39)</f>
        <v>83037.5</v>
      </c>
      <c r="E42" s="83">
        <f t="shared" ref="E42:M42" si="1">$O$42*SUM(E37:E39)</f>
        <v>84698.25</v>
      </c>
      <c r="F42" s="83">
        <f t="shared" si="1"/>
        <v>86392.214999999997</v>
      </c>
      <c r="G42" s="83">
        <f t="shared" si="1"/>
        <v>88120.059300000008</v>
      </c>
      <c r="H42" s="83">
        <f t="shared" si="1"/>
        <v>89882.460486000011</v>
      </c>
      <c r="I42" s="83">
        <f t="shared" si="1"/>
        <v>91680.109695720006</v>
      </c>
      <c r="J42" s="83">
        <f t="shared" si="1"/>
        <v>93513.711889634404</v>
      </c>
      <c r="K42" s="83">
        <f t="shared" si="1"/>
        <v>95383.98612742711</v>
      </c>
      <c r="L42" s="83">
        <f t="shared" si="1"/>
        <v>97291.66584997563</v>
      </c>
      <c r="M42" s="83">
        <f t="shared" si="1"/>
        <v>99237.499166975133</v>
      </c>
      <c r="N42" s="83"/>
      <c r="O42" s="81">
        <v>0.26</v>
      </c>
      <c r="P42" s="15" t="s">
        <v>60</v>
      </c>
      <c r="Q42" s="15"/>
    </row>
    <row r="43" spans="1:17">
      <c r="A43" s="97"/>
      <c r="B43" s="15"/>
      <c r="C43" s="15"/>
      <c r="D43" s="7"/>
      <c r="E43" s="7"/>
      <c r="F43" s="7"/>
      <c r="G43" s="99"/>
      <c r="H43" s="79"/>
      <c r="I43" s="79"/>
      <c r="J43" s="79"/>
      <c r="K43" s="79"/>
      <c r="L43" s="79"/>
      <c r="M43" s="79"/>
      <c r="N43" s="79"/>
      <c r="O43" s="79"/>
      <c r="P43" s="15"/>
      <c r="Q43" s="15"/>
    </row>
    <row r="44" spans="1:17">
      <c r="A44" s="100" t="s">
        <v>4</v>
      </c>
      <c r="B44" s="15"/>
      <c r="C44" s="15"/>
      <c r="D44" s="7"/>
      <c r="E44" s="7"/>
      <c r="F44" s="7"/>
      <c r="G44" s="99"/>
      <c r="H44" s="79"/>
      <c r="I44" s="79"/>
      <c r="J44" s="79"/>
      <c r="K44" s="79"/>
      <c r="L44" s="79"/>
      <c r="M44" s="79"/>
      <c r="N44" s="79"/>
      <c r="O44" s="79"/>
      <c r="P44" s="15"/>
      <c r="Q44" s="15"/>
    </row>
    <row r="45" spans="1:17">
      <c r="A45" s="15"/>
      <c r="B45" s="15" t="s">
        <v>5</v>
      </c>
      <c r="C45" s="15"/>
      <c r="D45" s="6">
        <v>16000</v>
      </c>
      <c r="E45" s="6">
        <f t="shared" ref="E45:M45" si="2">$O$45*SUM(E37:E39)</f>
        <v>16288.125</v>
      </c>
      <c r="F45" s="6">
        <f t="shared" si="2"/>
        <v>16613.887500000001</v>
      </c>
      <c r="G45" s="6">
        <f t="shared" si="2"/>
        <v>16946.165250000002</v>
      </c>
      <c r="H45" s="6">
        <f t="shared" si="2"/>
        <v>17285.088555000002</v>
      </c>
      <c r="I45" s="6">
        <f t="shared" si="2"/>
        <v>17630.790326099999</v>
      </c>
      <c r="J45" s="6">
        <f t="shared" si="2"/>
        <v>17983.406132622</v>
      </c>
      <c r="K45" s="6">
        <f t="shared" si="2"/>
        <v>18343.074255274445</v>
      </c>
      <c r="L45" s="6">
        <f t="shared" si="2"/>
        <v>18709.935740379929</v>
      </c>
      <c r="M45" s="6">
        <f t="shared" si="2"/>
        <v>19084.134455187526</v>
      </c>
      <c r="N45" s="7"/>
      <c r="O45" s="84">
        <v>0.05</v>
      </c>
      <c r="P45" s="15" t="s">
        <v>188</v>
      </c>
      <c r="Q45" s="15"/>
    </row>
    <row r="46" spans="1:17">
      <c r="A46" s="15"/>
      <c r="B46" s="15" t="s">
        <v>154</v>
      </c>
      <c r="C46" s="15"/>
      <c r="D46" s="7">
        <v>120000</v>
      </c>
      <c r="E46" s="7">
        <f>D46*(1+$O$46)</f>
        <v>126000</v>
      </c>
      <c r="F46" s="7">
        <f t="shared" ref="F46:M46" si="3">E46*(1+$O$46)</f>
        <v>132300</v>
      </c>
      <c r="G46" s="7">
        <f t="shared" si="3"/>
        <v>138915</v>
      </c>
      <c r="H46" s="7">
        <f t="shared" si="3"/>
        <v>145860.75</v>
      </c>
      <c r="I46" s="7">
        <f t="shared" si="3"/>
        <v>153153.78750000001</v>
      </c>
      <c r="J46" s="7">
        <f t="shared" si="3"/>
        <v>160811.47687500002</v>
      </c>
      <c r="K46" s="7">
        <f t="shared" si="3"/>
        <v>168852.05071875002</v>
      </c>
      <c r="L46" s="7">
        <f t="shared" si="3"/>
        <v>177294.65325468752</v>
      </c>
      <c r="M46" s="7">
        <f t="shared" si="3"/>
        <v>186159.3859174219</v>
      </c>
      <c r="N46" s="85"/>
      <c r="O46" s="84">
        <v>0.05</v>
      </c>
      <c r="P46" s="15" t="s">
        <v>156</v>
      </c>
      <c r="Q46" s="15"/>
    </row>
    <row r="47" spans="1:17">
      <c r="A47" s="15"/>
      <c r="B47" s="15" t="s">
        <v>119</v>
      </c>
      <c r="C47" s="15"/>
      <c r="D47" s="7">
        <f>$O$47*12</f>
        <v>8400</v>
      </c>
      <c r="E47" s="7">
        <f t="shared" ref="E47:M47" si="4">$O$47*12</f>
        <v>8400</v>
      </c>
      <c r="F47" s="7">
        <f t="shared" si="4"/>
        <v>8400</v>
      </c>
      <c r="G47" s="7">
        <f t="shared" si="4"/>
        <v>8400</v>
      </c>
      <c r="H47" s="7">
        <f t="shared" si="4"/>
        <v>8400</v>
      </c>
      <c r="I47" s="7">
        <f t="shared" si="4"/>
        <v>8400</v>
      </c>
      <c r="J47" s="7">
        <f t="shared" si="4"/>
        <v>8400</v>
      </c>
      <c r="K47" s="7">
        <f t="shared" si="4"/>
        <v>8400</v>
      </c>
      <c r="L47" s="7">
        <f t="shared" si="4"/>
        <v>8400</v>
      </c>
      <c r="M47" s="7">
        <f t="shared" si="4"/>
        <v>8400</v>
      </c>
      <c r="N47" s="85"/>
      <c r="O47" s="80">
        <v>700</v>
      </c>
      <c r="P47" s="15" t="s">
        <v>120</v>
      </c>
      <c r="Q47" s="15"/>
    </row>
    <row r="48" spans="1:17">
      <c r="A48" s="15"/>
      <c r="B48" s="15" t="s">
        <v>155</v>
      </c>
      <c r="C48" s="15"/>
      <c r="D48" s="7">
        <v>12000</v>
      </c>
      <c r="E48" s="7">
        <v>12000</v>
      </c>
      <c r="F48" s="7">
        <v>12000</v>
      </c>
      <c r="G48" s="7">
        <v>12000</v>
      </c>
      <c r="H48" s="7">
        <v>12000</v>
      </c>
      <c r="I48" s="7">
        <v>12000</v>
      </c>
      <c r="J48" s="7">
        <v>12000</v>
      </c>
      <c r="K48" s="7">
        <v>12000</v>
      </c>
      <c r="L48" s="7">
        <v>12000</v>
      </c>
      <c r="M48" s="7">
        <v>12000</v>
      </c>
      <c r="N48" s="85"/>
      <c r="O48" s="80"/>
      <c r="P48" s="15"/>
      <c r="Q48" s="15"/>
    </row>
    <row r="49" spans="1:17">
      <c r="A49" s="15"/>
      <c r="B49" s="15"/>
      <c r="C49" s="15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9"/>
      <c r="P49" s="15"/>
      <c r="Q49" s="15"/>
    </row>
    <row r="50" spans="1:17">
      <c r="A50" s="100" t="s">
        <v>61</v>
      </c>
      <c r="B50" s="15"/>
      <c r="C50" s="15"/>
      <c r="D50" s="7">
        <f>SUM(D42:D48)</f>
        <v>239437.5</v>
      </c>
      <c r="E50" s="7">
        <f t="shared" ref="E50:L50" si="5">SUM(E42:E48)</f>
        <v>247386.375</v>
      </c>
      <c r="F50" s="7">
        <f t="shared" si="5"/>
        <v>255706.10249999998</v>
      </c>
      <c r="G50" s="7">
        <f t="shared" si="5"/>
        <v>264381.22455000004</v>
      </c>
      <c r="H50" s="7">
        <f t="shared" si="5"/>
        <v>273428.29904100002</v>
      </c>
      <c r="I50" s="7">
        <f t="shared" si="5"/>
        <v>282864.68752182001</v>
      </c>
      <c r="J50" s="7">
        <f t="shared" si="5"/>
        <v>292708.59489725641</v>
      </c>
      <c r="K50" s="7">
        <f t="shared" si="5"/>
        <v>302979.11110145156</v>
      </c>
      <c r="L50" s="7">
        <f t="shared" si="5"/>
        <v>313696.25484504306</v>
      </c>
      <c r="M50" s="7">
        <f>SUM(M42:M48)</f>
        <v>324881.01953958452</v>
      </c>
      <c r="N50" s="7"/>
      <c r="O50" s="79"/>
      <c r="P50" s="15"/>
      <c r="Q50" s="15"/>
    </row>
    <row r="51" spans="1:17">
      <c r="A51" s="15"/>
      <c r="B51" s="15"/>
      <c r="C51" s="15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9"/>
      <c r="P51" s="15"/>
      <c r="Q51" s="15"/>
    </row>
    <row r="52" spans="1:17">
      <c r="A52" s="15" t="s">
        <v>103</v>
      </c>
      <c r="B52" s="15"/>
      <c r="C52" s="15"/>
      <c r="D52" s="7">
        <f>D71/$O$52</f>
        <v>14375</v>
      </c>
      <c r="E52" s="7">
        <f t="shared" ref="E52:M52" si="6">E71/$O$52</f>
        <v>14375</v>
      </c>
      <c r="F52" s="7">
        <f t="shared" si="6"/>
        <v>14375</v>
      </c>
      <c r="G52" s="7">
        <f t="shared" si="6"/>
        <v>14375</v>
      </c>
      <c r="H52" s="7">
        <f t="shared" si="6"/>
        <v>14375</v>
      </c>
      <c r="I52" s="7">
        <f t="shared" si="6"/>
        <v>14375</v>
      </c>
      <c r="J52" s="7">
        <f t="shared" si="6"/>
        <v>14375</v>
      </c>
      <c r="K52" s="7">
        <f t="shared" si="6"/>
        <v>14375</v>
      </c>
      <c r="L52" s="7">
        <f t="shared" si="6"/>
        <v>14375</v>
      </c>
      <c r="M52" s="7">
        <f t="shared" si="6"/>
        <v>14375</v>
      </c>
      <c r="N52" s="7"/>
      <c r="O52" s="79">
        <v>40</v>
      </c>
      <c r="P52" s="15" t="s">
        <v>65</v>
      </c>
      <c r="Q52" s="15"/>
    </row>
    <row r="53" spans="1:17">
      <c r="A53" s="15" t="s">
        <v>102</v>
      </c>
      <c r="B53" s="15"/>
      <c r="C53" s="15"/>
      <c r="D53" s="86">
        <f>2310</f>
        <v>2310</v>
      </c>
      <c r="E53" s="86">
        <f>2310</f>
        <v>2310</v>
      </c>
      <c r="F53" s="86">
        <f>2310</f>
        <v>2310</v>
      </c>
      <c r="G53" s="86">
        <f>2310</f>
        <v>2310</v>
      </c>
      <c r="H53" s="86">
        <f>2310</f>
        <v>2310</v>
      </c>
      <c r="I53" s="86">
        <f>2310</f>
        <v>2310</v>
      </c>
      <c r="J53" s="86">
        <f>2310</f>
        <v>2310</v>
      </c>
      <c r="K53" s="86">
        <f>2310</f>
        <v>2310</v>
      </c>
      <c r="L53" s="86">
        <f>2310</f>
        <v>2310</v>
      </c>
      <c r="M53" s="86">
        <f>2310</f>
        <v>2310</v>
      </c>
      <c r="N53" s="86"/>
      <c r="O53" s="79">
        <v>20</v>
      </c>
      <c r="P53" s="15" t="s">
        <v>65</v>
      </c>
      <c r="Q53" s="15"/>
    </row>
    <row r="54" spans="1:17">
      <c r="A54" s="15"/>
      <c r="B54" s="15"/>
      <c r="C54" s="15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79"/>
      <c r="P54" s="15"/>
      <c r="Q54" s="15"/>
    </row>
    <row r="55" spans="1:17">
      <c r="A55" s="15" t="s">
        <v>118</v>
      </c>
      <c r="B55" s="15"/>
      <c r="C55" s="15"/>
      <c r="D55" s="7">
        <f>[1]Mortgage!E16</f>
        <v>23963.179134067152</v>
      </c>
      <c r="E55" s="7">
        <f>[1]Mortgage!E30</f>
        <v>23544.461591093805</v>
      </c>
      <c r="F55" s="7">
        <f>[1]Mortgage!E44</f>
        <v>23107.815397351242</v>
      </c>
      <c r="G55" s="99">
        <f>[1]Mortgage!E58</f>
        <v>22652.472883741761</v>
      </c>
      <c r="H55" s="87">
        <f>[1]Mortgage!E72</f>
        <v>22177.63351110672</v>
      </c>
      <c r="I55" s="87">
        <f>[1]Mortgage!E86</f>
        <v>21682.462462796011</v>
      </c>
      <c r="J55" s="87">
        <f>[1]Mortgage!E100</f>
        <v>21166.089176974172</v>
      </c>
      <c r="K55" s="87">
        <f>[1]Mortgage!E114</f>
        <v>20627.605816082847</v>
      </c>
      <c r="L55" s="87">
        <f>[1]Mortgage!E128</f>
        <v>20066.065670768545</v>
      </c>
      <c r="M55" s="87">
        <f>[1]Mortgage!E142</f>
        <v>19480.481495469867</v>
      </c>
      <c r="N55" s="87"/>
      <c r="O55" s="88"/>
      <c r="P55" s="15"/>
      <c r="Q55" s="15"/>
    </row>
    <row r="56" spans="1:17">
      <c r="A56" s="15" t="s">
        <v>23</v>
      </c>
      <c r="B56" s="15"/>
      <c r="C56" s="15"/>
      <c r="D56" s="10">
        <f t="shared" ref="D56:M56" si="7">D84*$O$56</f>
        <v>4090.9508683680929</v>
      </c>
      <c r="E56" s="10">
        <f t="shared" si="7"/>
        <v>1056.0555513451682</v>
      </c>
      <c r="F56" s="10">
        <f t="shared" si="7"/>
        <v>0</v>
      </c>
      <c r="G56" s="10">
        <f t="shared" si="7"/>
        <v>0</v>
      </c>
      <c r="H56" s="10">
        <f t="shared" si="7"/>
        <v>0</v>
      </c>
      <c r="I56" s="10">
        <f t="shared" si="7"/>
        <v>0</v>
      </c>
      <c r="J56" s="10">
        <f t="shared" si="7"/>
        <v>0</v>
      </c>
      <c r="K56" s="10">
        <f t="shared" si="7"/>
        <v>0</v>
      </c>
      <c r="L56" s="10">
        <f t="shared" si="7"/>
        <v>0</v>
      </c>
      <c r="M56" s="10">
        <f t="shared" si="7"/>
        <v>0</v>
      </c>
      <c r="N56" s="10"/>
      <c r="O56" s="89">
        <v>0.08</v>
      </c>
      <c r="P56" s="15" t="s">
        <v>133</v>
      </c>
      <c r="Q56" s="15"/>
    </row>
    <row r="57" spans="1:17">
      <c r="A57" s="15"/>
      <c r="B57" s="15"/>
      <c r="C57" s="15"/>
      <c r="D57" s="7"/>
      <c r="E57" s="7"/>
      <c r="F57" s="7"/>
      <c r="G57" s="99"/>
      <c r="H57" s="79"/>
      <c r="I57" s="79"/>
      <c r="J57" s="79"/>
      <c r="K57" s="79"/>
      <c r="L57" s="79"/>
      <c r="M57" s="79"/>
      <c r="N57" s="79"/>
      <c r="O57" s="79"/>
      <c r="P57" s="15"/>
      <c r="Q57" s="15"/>
    </row>
    <row r="58" spans="1:17">
      <c r="A58" s="15" t="s">
        <v>16</v>
      </c>
      <c r="B58" s="15"/>
      <c r="C58" s="15"/>
      <c r="D58" s="80">
        <f t="shared" ref="D58:M58" si="8">SUM(D37:D39)-SUM(D50:D56)</f>
        <v>35198.369997564761</v>
      </c>
      <c r="E58" s="80">
        <f t="shared" si="8"/>
        <v>37090.60785756103</v>
      </c>
      <c r="F58" s="80">
        <f t="shared" si="8"/>
        <v>36778.832102648797</v>
      </c>
      <c r="G58" s="80">
        <f t="shared" si="8"/>
        <v>35204.607566258172</v>
      </c>
      <c r="H58" s="80">
        <f t="shared" si="8"/>
        <v>33410.838547893276</v>
      </c>
      <c r="I58" s="80">
        <f t="shared" si="8"/>
        <v>31383.656537383969</v>
      </c>
      <c r="J58" s="80">
        <f t="shared" si="8"/>
        <v>29108.438578209374</v>
      </c>
      <c r="K58" s="80">
        <f t="shared" si="8"/>
        <v>26569.76818795444</v>
      </c>
      <c r="L58" s="80">
        <f t="shared" si="8"/>
        <v>23751.394291786943</v>
      </c>
      <c r="M58" s="80">
        <f t="shared" si="8"/>
        <v>20636.188068696123</v>
      </c>
      <c r="N58" s="80"/>
      <c r="O58" s="79"/>
      <c r="P58" s="15"/>
      <c r="Q58" s="15"/>
    </row>
    <row r="59" spans="1:17">
      <c r="A59" s="101" t="s">
        <v>17</v>
      </c>
      <c r="B59" s="15"/>
      <c r="C59" s="15"/>
      <c r="D59" s="7">
        <f>IF(D58&lt;0,0,D58*$O$59)</f>
        <v>5279.7554996347144</v>
      </c>
      <c r="E59" s="7">
        <f t="shared" ref="E59:M59" si="9">IF(E58&lt;0,0,E58*$O$59)</f>
        <v>5563.5911786341539</v>
      </c>
      <c r="F59" s="7">
        <f t="shared" si="9"/>
        <v>5516.8248153973191</v>
      </c>
      <c r="G59" s="7">
        <f t="shared" si="9"/>
        <v>5280.6911349387256</v>
      </c>
      <c r="H59" s="7">
        <f t="shared" si="9"/>
        <v>5011.6257821839909</v>
      </c>
      <c r="I59" s="7">
        <f t="shared" si="9"/>
        <v>4707.5484806075956</v>
      </c>
      <c r="J59" s="7">
        <f t="shared" si="9"/>
        <v>4366.2657867314056</v>
      </c>
      <c r="K59" s="7">
        <f t="shared" si="9"/>
        <v>3985.4652281931658</v>
      </c>
      <c r="L59" s="7">
        <f t="shared" si="9"/>
        <v>3562.7091437680415</v>
      </c>
      <c r="M59" s="7">
        <f t="shared" si="9"/>
        <v>3095.4282103044184</v>
      </c>
      <c r="N59" s="7"/>
      <c r="O59" s="84">
        <v>0.15</v>
      </c>
      <c r="P59" s="15" t="s">
        <v>68</v>
      </c>
      <c r="Q59" s="15"/>
    </row>
    <row r="60" spans="1:17">
      <c r="A60" s="15" t="s">
        <v>18</v>
      </c>
      <c r="B60" s="15"/>
      <c r="C60" s="15"/>
      <c r="D60" s="90">
        <f>D58-D59</f>
        <v>29918.614497930048</v>
      </c>
      <c r="E60" s="90">
        <f t="shared" ref="E60:M60" si="10">E58-E59</f>
        <v>31527.016678926877</v>
      </c>
      <c r="F60" s="90">
        <f t="shared" si="10"/>
        <v>31262.007287251479</v>
      </c>
      <c r="G60" s="90">
        <f t="shared" si="10"/>
        <v>29923.916431319445</v>
      </c>
      <c r="H60" s="90">
        <f t="shared" si="10"/>
        <v>28399.212765709286</v>
      </c>
      <c r="I60" s="90">
        <f t="shared" si="10"/>
        <v>26676.108056776375</v>
      </c>
      <c r="J60" s="90">
        <f t="shared" si="10"/>
        <v>24742.172791477969</v>
      </c>
      <c r="K60" s="90">
        <f t="shared" si="10"/>
        <v>22584.302959761273</v>
      </c>
      <c r="L60" s="90">
        <f t="shared" si="10"/>
        <v>20188.6851480189</v>
      </c>
      <c r="M60" s="90">
        <f t="shared" si="10"/>
        <v>17540.759858391706</v>
      </c>
      <c r="N60" s="90"/>
      <c r="O60" s="79"/>
      <c r="P60" s="15"/>
      <c r="Q60" s="15"/>
    </row>
    <row r="62" spans="1:17">
      <c r="A62" s="94" t="s">
        <v>6</v>
      </c>
      <c r="B62" s="95"/>
      <c r="C62" s="95"/>
      <c r="D62" s="95"/>
      <c r="E62" s="95"/>
      <c r="F62" s="95"/>
      <c r="G62" s="96"/>
      <c r="H62" s="96"/>
      <c r="I62" s="96"/>
      <c r="J62" s="96"/>
      <c r="K62" s="96"/>
      <c r="L62" s="96"/>
      <c r="M62" s="96"/>
    </row>
    <row r="63" spans="1:17">
      <c r="A63" s="102" t="s">
        <v>7</v>
      </c>
      <c r="B63" s="15"/>
      <c r="C63" s="15"/>
      <c r="D63" s="15"/>
      <c r="E63" s="15"/>
      <c r="F63" s="15"/>
      <c r="G63" s="79"/>
      <c r="H63" s="79"/>
      <c r="I63" s="79"/>
      <c r="J63" s="79"/>
      <c r="K63" s="79"/>
      <c r="L63" s="79"/>
      <c r="M63" s="79"/>
    </row>
    <row r="64" spans="1:17">
      <c r="A64" s="15"/>
      <c r="B64" s="15"/>
      <c r="C64" s="15"/>
      <c r="D64" s="7"/>
      <c r="E64" s="7"/>
      <c r="F64" s="7"/>
      <c r="G64" s="99"/>
      <c r="H64" s="98"/>
      <c r="I64" s="79"/>
      <c r="J64" s="79"/>
      <c r="K64" s="79"/>
      <c r="L64" s="79"/>
      <c r="M64" s="79"/>
    </row>
    <row r="65" spans="1:21">
      <c r="A65" s="15"/>
      <c r="B65" s="15" t="s">
        <v>20</v>
      </c>
      <c r="C65" s="15"/>
      <c r="D65" s="7">
        <v>5000</v>
      </c>
      <c r="E65" s="7">
        <v>5000</v>
      </c>
      <c r="F65" s="7">
        <v>5000</v>
      </c>
      <c r="G65" s="7">
        <v>5000</v>
      </c>
      <c r="H65" s="7">
        <v>5000</v>
      </c>
      <c r="I65" s="7">
        <v>5000</v>
      </c>
      <c r="J65" s="7">
        <v>5000</v>
      </c>
      <c r="K65" s="7">
        <v>5000</v>
      </c>
      <c r="L65" s="7">
        <v>5000</v>
      </c>
      <c r="M65" s="7">
        <v>5000</v>
      </c>
      <c r="N65" s="7"/>
    </row>
    <row r="66" spans="1:21">
      <c r="A66" s="15"/>
      <c r="B66" s="15" t="s">
        <v>21</v>
      </c>
      <c r="C66" s="15"/>
      <c r="D66" s="188">
        <v>0</v>
      </c>
      <c r="E66" s="188">
        <v>0</v>
      </c>
      <c r="F66" s="188">
        <v>23703</v>
      </c>
      <c r="G66" s="188">
        <v>58618</v>
      </c>
      <c r="H66" s="188">
        <v>91496</v>
      </c>
      <c r="I66" s="188">
        <v>122115</v>
      </c>
      <c r="J66" s="188">
        <v>150240</v>
      </c>
      <c r="K66" s="188">
        <v>175625</v>
      </c>
      <c r="L66" s="188">
        <v>198004</v>
      </c>
      <c r="M66" s="188">
        <v>217099</v>
      </c>
      <c r="N66" s="54"/>
    </row>
    <row r="67" spans="1:21">
      <c r="A67" s="15"/>
      <c r="B67" s="15" t="s">
        <v>8</v>
      </c>
      <c r="C67" s="15"/>
      <c r="D67" s="86">
        <f t="shared" ref="D67:M67" si="11">SUM(D37:D39)/365*$C$30</f>
        <v>2625</v>
      </c>
      <c r="E67" s="86">
        <f t="shared" si="11"/>
        <v>2677.5</v>
      </c>
      <c r="F67" s="86">
        <f t="shared" si="11"/>
        <v>2731.05</v>
      </c>
      <c r="G67" s="86">
        <f t="shared" si="11"/>
        <v>2785.6710000000003</v>
      </c>
      <c r="H67" s="86">
        <f t="shared" si="11"/>
        <v>2841.3844200000003</v>
      </c>
      <c r="I67" s="86">
        <f t="shared" si="11"/>
        <v>2898.2121084</v>
      </c>
      <c r="J67" s="86">
        <f t="shared" si="11"/>
        <v>2956.1763505679996</v>
      </c>
      <c r="K67" s="86">
        <f t="shared" si="11"/>
        <v>3015.2998775793603</v>
      </c>
      <c r="L67" s="86">
        <f t="shared" si="11"/>
        <v>3075.6058751309465</v>
      </c>
      <c r="M67" s="86">
        <f t="shared" si="11"/>
        <v>3137.1179926335662</v>
      </c>
      <c r="N67" s="52"/>
    </row>
    <row r="68" spans="1:21">
      <c r="A68" s="15"/>
      <c r="B68" s="15" t="s">
        <v>9</v>
      </c>
      <c r="C68" s="15"/>
      <c r="D68" s="105">
        <f t="shared" ref="D68:M68" si="12">D42/365*$C$31</f>
        <v>17062.5</v>
      </c>
      <c r="E68" s="105">
        <f t="shared" si="12"/>
        <v>17403.75</v>
      </c>
      <c r="F68" s="105">
        <f t="shared" si="12"/>
        <v>17751.825000000001</v>
      </c>
      <c r="G68" s="105">
        <f t="shared" si="12"/>
        <v>18106.861499999999</v>
      </c>
      <c r="H68" s="105">
        <f t="shared" si="12"/>
        <v>18468.998730000003</v>
      </c>
      <c r="I68" s="105">
        <f t="shared" si="12"/>
        <v>18838.378704600003</v>
      </c>
      <c r="J68" s="105">
        <f t="shared" si="12"/>
        <v>19215.146278692002</v>
      </c>
      <c r="K68" s="105">
        <f t="shared" si="12"/>
        <v>19599.449204265842</v>
      </c>
      <c r="L68" s="105">
        <f t="shared" si="12"/>
        <v>19991.43818835116</v>
      </c>
      <c r="M68" s="105">
        <f t="shared" si="12"/>
        <v>20391.266952118178</v>
      </c>
      <c r="N68" s="13"/>
    </row>
    <row r="69" spans="1:21">
      <c r="A69" s="15"/>
      <c r="B69" s="15"/>
      <c r="C69" s="15"/>
      <c r="D69" s="15"/>
      <c r="E69" s="15"/>
      <c r="F69" s="15"/>
      <c r="G69" s="79"/>
      <c r="H69" s="79"/>
      <c r="I69" s="79"/>
      <c r="J69" s="79"/>
      <c r="K69" s="79"/>
      <c r="L69" s="79"/>
      <c r="M69" s="79"/>
    </row>
    <row r="70" spans="1:21">
      <c r="A70" s="15"/>
      <c r="B70" s="15" t="s">
        <v>90</v>
      </c>
      <c r="C70" s="15"/>
      <c r="D70" s="80">
        <v>100000</v>
      </c>
      <c r="E70" s="80">
        <v>100000</v>
      </c>
      <c r="F70" s="80">
        <v>100000</v>
      </c>
      <c r="G70" s="80">
        <v>100000</v>
      </c>
      <c r="H70" s="80">
        <v>100000</v>
      </c>
      <c r="I70" s="80">
        <v>100000</v>
      </c>
      <c r="J70" s="80">
        <v>100000</v>
      </c>
      <c r="K70" s="80">
        <v>100000</v>
      </c>
      <c r="L70" s="80">
        <v>100000</v>
      </c>
      <c r="M70" s="80">
        <v>100000</v>
      </c>
      <c r="N70" s="6"/>
    </row>
    <row r="71" spans="1:21">
      <c r="A71" s="15"/>
      <c r="B71" s="15" t="s">
        <v>101</v>
      </c>
      <c r="C71" s="15"/>
      <c r="D71" s="80">
        <v>575000</v>
      </c>
      <c r="E71" s="80">
        <v>575000</v>
      </c>
      <c r="F71" s="80">
        <v>575000</v>
      </c>
      <c r="G71" s="80">
        <v>575000</v>
      </c>
      <c r="H71" s="80">
        <v>575000</v>
      </c>
      <c r="I71" s="80">
        <v>575000</v>
      </c>
      <c r="J71" s="80">
        <v>575000</v>
      </c>
      <c r="K71" s="80">
        <v>575000</v>
      </c>
      <c r="L71" s="80">
        <v>575000</v>
      </c>
      <c r="M71" s="80">
        <v>575000</v>
      </c>
      <c r="N71" s="6"/>
    </row>
    <row r="72" spans="1:21">
      <c r="A72" s="15"/>
      <c r="B72" s="15" t="s">
        <v>104</v>
      </c>
      <c r="C72" s="15"/>
      <c r="D72" s="80">
        <f>C72+D52</f>
        <v>14375</v>
      </c>
      <c r="E72" s="80">
        <f t="shared" ref="E72:M72" si="13">D72+E52</f>
        <v>28750</v>
      </c>
      <c r="F72" s="80">
        <f t="shared" si="13"/>
        <v>43125</v>
      </c>
      <c r="G72" s="80">
        <f t="shared" si="13"/>
        <v>57500</v>
      </c>
      <c r="H72" s="80">
        <f t="shared" si="13"/>
        <v>71875</v>
      </c>
      <c r="I72" s="80">
        <f t="shared" si="13"/>
        <v>86250</v>
      </c>
      <c r="J72" s="80">
        <f t="shared" si="13"/>
        <v>100625</v>
      </c>
      <c r="K72" s="80">
        <f t="shared" si="13"/>
        <v>115000</v>
      </c>
      <c r="L72" s="80">
        <f t="shared" si="13"/>
        <v>129375</v>
      </c>
      <c r="M72" s="80">
        <f t="shared" si="13"/>
        <v>143750</v>
      </c>
      <c r="N72" s="6"/>
    </row>
    <row r="73" spans="1:21">
      <c r="A73" s="15"/>
      <c r="B73" s="15" t="s">
        <v>66</v>
      </c>
      <c r="C73" s="15"/>
      <c r="D73" s="80">
        <f>46200</f>
        <v>46200</v>
      </c>
      <c r="E73" s="80">
        <f t="shared" ref="E73:M73" si="14">D73+$O$73</f>
        <v>46300</v>
      </c>
      <c r="F73" s="80">
        <f t="shared" si="14"/>
        <v>46400</v>
      </c>
      <c r="G73" s="80">
        <f t="shared" si="14"/>
        <v>46500</v>
      </c>
      <c r="H73" s="80">
        <f t="shared" si="14"/>
        <v>46600</v>
      </c>
      <c r="I73" s="80">
        <f t="shared" si="14"/>
        <v>46700</v>
      </c>
      <c r="J73" s="80">
        <f t="shared" si="14"/>
        <v>46800</v>
      </c>
      <c r="K73" s="80">
        <f t="shared" si="14"/>
        <v>46900</v>
      </c>
      <c r="L73" s="80">
        <f t="shared" si="14"/>
        <v>47000</v>
      </c>
      <c r="M73" s="80">
        <f t="shared" si="14"/>
        <v>47100</v>
      </c>
      <c r="N73" s="6"/>
      <c r="O73" s="54">
        <v>100</v>
      </c>
      <c r="P73" s="1" t="s">
        <v>67</v>
      </c>
    </row>
    <row r="74" spans="1:21">
      <c r="A74" s="15"/>
      <c r="B74" s="15" t="s">
        <v>10</v>
      </c>
      <c r="C74" s="15"/>
      <c r="D74" s="189">
        <f>20790+D53</f>
        <v>23100</v>
      </c>
      <c r="E74" s="189">
        <f t="shared" ref="E74:M74" si="15">D74+E53</f>
        <v>25410</v>
      </c>
      <c r="F74" s="189">
        <f t="shared" si="15"/>
        <v>27720</v>
      </c>
      <c r="G74" s="189">
        <f t="shared" si="15"/>
        <v>30030</v>
      </c>
      <c r="H74" s="189">
        <f t="shared" si="15"/>
        <v>32340</v>
      </c>
      <c r="I74" s="189">
        <f t="shared" si="15"/>
        <v>34650</v>
      </c>
      <c r="J74" s="189">
        <f t="shared" si="15"/>
        <v>36960</v>
      </c>
      <c r="K74" s="189">
        <f t="shared" si="15"/>
        <v>39270</v>
      </c>
      <c r="L74" s="189">
        <f t="shared" si="15"/>
        <v>41580</v>
      </c>
      <c r="M74" s="189">
        <f t="shared" si="15"/>
        <v>43890</v>
      </c>
      <c r="N74" s="13"/>
    </row>
    <row r="75" spans="1:21">
      <c r="A75" s="15"/>
      <c r="B75" s="15"/>
      <c r="C75" s="1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3"/>
    </row>
    <row r="76" spans="1:21">
      <c r="A76" s="102" t="s">
        <v>26</v>
      </c>
      <c r="B76" s="15"/>
      <c r="C76" s="15"/>
      <c r="D76" s="90">
        <f>SUM(D65:D71)+D73-D72-D74</f>
        <v>708412.5</v>
      </c>
      <c r="E76" s="90">
        <f t="shared" ref="E76:M76" si="16">SUM(E65:E71)+E73-E72-E74</f>
        <v>692221.25</v>
      </c>
      <c r="F76" s="90">
        <f t="shared" si="16"/>
        <v>699740.875</v>
      </c>
      <c r="G76" s="90">
        <f t="shared" si="16"/>
        <v>718480.53249999997</v>
      </c>
      <c r="H76" s="90">
        <f t="shared" si="16"/>
        <v>735191.38315000001</v>
      </c>
      <c r="I76" s="90">
        <f t="shared" si="16"/>
        <v>749651.59081299999</v>
      </c>
      <c r="J76" s="90">
        <f t="shared" si="16"/>
        <v>761626.32262926002</v>
      </c>
      <c r="K76" s="90">
        <f t="shared" si="16"/>
        <v>770869.74908184516</v>
      </c>
      <c r="L76" s="90">
        <f t="shared" si="16"/>
        <v>777116.04406348208</v>
      </c>
      <c r="M76" s="90">
        <f t="shared" si="16"/>
        <v>780087.38494475174</v>
      </c>
      <c r="N76" s="8"/>
      <c r="O76" s="204" t="s">
        <v>122</v>
      </c>
      <c r="P76" s="16"/>
      <c r="Q76" s="16"/>
      <c r="R76" s="16"/>
      <c r="S76" s="16"/>
      <c r="T76" s="161"/>
      <c r="U76" s="18"/>
    </row>
    <row r="77" spans="1:21">
      <c r="A77" s="102"/>
      <c r="B77" s="15"/>
      <c r="C77" s="15"/>
      <c r="D77" s="90"/>
      <c r="E77" s="90"/>
      <c r="F77" s="90"/>
      <c r="G77" s="85"/>
      <c r="H77" s="79"/>
      <c r="I77" s="79"/>
      <c r="J77" s="79"/>
      <c r="K77" s="79"/>
      <c r="L77" s="79"/>
      <c r="M77" s="79"/>
      <c r="O77" s="171"/>
      <c r="P77" s="18" t="s">
        <v>123</v>
      </c>
      <c r="Q77" s="194">
        <f>(1+(1-O59)*((P83+P84)/P86))*T77</f>
        <v>2.1630034873006387</v>
      </c>
      <c r="R77" s="18" t="s">
        <v>132</v>
      </c>
      <c r="S77" s="18"/>
      <c r="T77" s="195">
        <v>0.69</v>
      </c>
      <c r="U77" s="18"/>
    </row>
    <row r="78" spans="1:21">
      <c r="A78" s="102" t="s">
        <v>11</v>
      </c>
      <c r="B78" s="15"/>
      <c r="C78" s="15"/>
      <c r="D78" s="15"/>
      <c r="E78" s="15"/>
      <c r="F78" s="15"/>
      <c r="G78" s="79"/>
      <c r="H78" s="79"/>
      <c r="I78" s="79"/>
      <c r="J78" s="79"/>
      <c r="K78" s="79"/>
      <c r="L78" s="79"/>
      <c r="M78" s="79"/>
      <c r="O78" s="171"/>
      <c r="P78" s="18" t="s">
        <v>124</v>
      </c>
      <c r="Q78" s="196">
        <v>1.6400000000000001E-2</v>
      </c>
      <c r="R78" s="18"/>
      <c r="S78" s="18"/>
      <c r="T78" s="197"/>
      <c r="U78" s="18"/>
    </row>
    <row r="79" spans="1:21">
      <c r="A79" s="100" t="s">
        <v>14</v>
      </c>
      <c r="B79" s="15"/>
      <c r="C79" s="15"/>
      <c r="D79" s="7"/>
      <c r="E79" s="7"/>
      <c r="F79" s="7"/>
      <c r="G79" s="99"/>
      <c r="H79" s="79"/>
      <c r="I79" s="79"/>
      <c r="J79" s="79"/>
      <c r="K79" s="79"/>
      <c r="L79" s="79"/>
      <c r="M79" s="79"/>
      <c r="O79" s="171"/>
      <c r="P79" s="18" t="s">
        <v>125</v>
      </c>
      <c r="Q79" s="198">
        <v>0.11</v>
      </c>
      <c r="R79" s="18"/>
      <c r="S79" s="18"/>
      <c r="T79" s="197"/>
      <c r="U79" s="18"/>
    </row>
    <row r="80" spans="1:21">
      <c r="A80" s="15"/>
      <c r="B80" s="15" t="s">
        <v>19</v>
      </c>
      <c r="C80" s="15"/>
      <c r="D80" s="105">
        <f t="shared" ref="D80:M80" si="17">D42/365*$C$32</f>
        <v>6825</v>
      </c>
      <c r="E80" s="105">
        <f t="shared" si="17"/>
        <v>6961.5</v>
      </c>
      <c r="F80" s="105">
        <f t="shared" si="17"/>
        <v>7100.7300000000005</v>
      </c>
      <c r="G80" s="105">
        <f t="shared" si="17"/>
        <v>7242.7446</v>
      </c>
      <c r="H80" s="105">
        <f t="shared" si="17"/>
        <v>7387.5994920000003</v>
      </c>
      <c r="I80" s="105">
        <f t="shared" si="17"/>
        <v>7535.3514818400008</v>
      </c>
      <c r="J80" s="105">
        <f t="shared" si="17"/>
        <v>7686.058511476801</v>
      </c>
      <c r="K80" s="105">
        <f t="shared" si="17"/>
        <v>7839.7796817063372</v>
      </c>
      <c r="L80" s="105">
        <f t="shared" si="17"/>
        <v>7996.5752753404631</v>
      </c>
      <c r="M80" s="105">
        <f t="shared" si="17"/>
        <v>8156.5067808472704</v>
      </c>
      <c r="N80" s="13"/>
      <c r="O80" s="171" t="s">
        <v>126</v>
      </c>
      <c r="P80" s="18"/>
      <c r="Q80" s="164">
        <f>Q78+Q77*(Q79-Q78)</f>
        <v>0.21885712641133978</v>
      </c>
      <c r="R80" s="18"/>
      <c r="S80" s="18"/>
      <c r="T80" s="197"/>
      <c r="U80" s="18"/>
    </row>
    <row r="81" spans="1:21">
      <c r="A81" s="15"/>
      <c r="B81" s="15" t="s">
        <v>12</v>
      </c>
      <c r="C81" s="15"/>
      <c r="D81" s="7">
        <f>D59</f>
        <v>5279.7554996347144</v>
      </c>
      <c r="E81" s="7">
        <f t="shared" ref="E81:M81" si="18">E59</f>
        <v>5563.5911786341539</v>
      </c>
      <c r="F81" s="7">
        <f t="shared" si="18"/>
        <v>5516.8248153973191</v>
      </c>
      <c r="G81" s="7">
        <f t="shared" si="18"/>
        <v>5280.6911349387256</v>
      </c>
      <c r="H81" s="7">
        <f t="shared" si="18"/>
        <v>5011.6257821839909</v>
      </c>
      <c r="I81" s="7">
        <f t="shared" si="18"/>
        <v>4707.5484806075956</v>
      </c>
      <c r="J81" s="7">
        <f t="shared" si="18"/>
        <v>4366.2657867314056</v>
      </c>
      <c r="K81" s="7">
        <f t="shared" si="18"/>
        <v>3985.4652281931658</v>
      </c>
      <c r="L81" s="7">
        <f t="shared" si="18"/>
        <v>3562.7091437680415</v>
      </c>
      <c r="M81" s="7">
        <f t="shared" si="18"/>
        <v>3095.4282103044184</v>
      </c>
      <c r="N81" s="7"/>
      <c r="O81" s="171" t="s">
        <v>127</v>
      </c>
      <c r="P81" s="18"/>
      <c r="Q81" s="18"/>
      <c r="R81" s="18"/>
      <c r="S81" s="18"/>
      <c r="T81" s="197"/>
      <c r="U81" s="18"/>
    </row>
    <row r="82" spans="1:21">
      <c r="A82" s="15"/>
      <c r="B82" s="15"/>
      <c r="C82" s="15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173" t="s">
        <v>131</v>
      </c>
      <c r="P82" s="20" t="s">
        <v>128</v>
      </c>
      <c r="Q82" s="20" t="s">
        <v>113</v>
      </c>
      <c r="R82" s="20" t="s">
        <v>129</v>
      </c>
      <c r="S82" s="20" t="s">
        <v>130</v>
      </c>
      <c r="T82" s="197"/>
      <c r="U82" s="18"/>
    </row>
    <row r="83" spans="1:21">
      <c r="A83" s="15"/>
      <c r="B83" s="15" t="s">
        <v>117</v>
      </c>
      <c r="C83" s="15"/>
      <c r="D83" s="7">
        <f>[1]Mortgage!G15</f>
        <v>565220.9941478339</v>
      </c>
      <c r="E83" s="7">
        <f>[1]Mortgage!G29</f>
        <v>555023.27075269434</v>
      </c>
      <c r="F83" s="7">
        <f>[1]Mortgage!G43</f>
        <v>544388.90116381226</v>
      </c>
      <c r="G83" s="99">
        <f>[1]Mortgage!G57</f>
        <v>533299.18906132085</v>
      </c>
      <c r="H83" s="87">
        <f>[1]Mortgage!G71</f>
        <v>521734.63758619432</v>
      </c>
      <c r="I83" s="87">
        <f>[1]Mortgage!G85</f>
        <v>509674.91506275703</v>
      </c>
      <c r="J83" s="87">
        <f>[1]Mortgage!G99</f>
        <v>497098.81925349776</v>
      </c>
      <c r="K83" s="87">
        <f>[1]Mortgage!G113</f>
        <v>483984.24008334725</v>
      </c>
      <c r="L83" s="87">
        <f>[1]Mortgage!G127</f>
        <v>470308.1207678825</v>
      </c>
      <c r="M83" s="87">
        <f>[1]Mortgage!G141</f>
        <v>456046.41727711906</v>
      </c>
      <c r="N83" s="74"/>
      <c r="O83" s="162">
        <f>AVERAGE(D83:M83)</f>
        <v>513677.95051564591</v>
      </c>
      <c r="P83" s="199">
        <f>O83/O89</f>
        <v>0.70637535239213145</v>
      </c>
      <c r="Q83" s="200">
        <v>4.2000000000000003E-2</v>
      </c>
      <c r="R83" s="201">
        <f>Q83*(1-0.3)</f>
        <v>2.9399999999999999E-2</v>
      </c>
      <c r="S83" s="201">
        <f>P83*R83</f>
        <v>2.0767435360328663E-2</v>
      </c>
      <c r="T83" s="197"/>
      <c r="U83" s="18"/>
    </row>
    <row r="84" spans="1:21">
      <c r="A84" s="15"/>
      <c r="B84" s="15" t="s">
        <v>24</v>
      </c>
      <c r="C84" s="15"/>
      <c r="D84" s="190">
        <v>51136.885854601162</v>
      </c>
      <c r="E84" s="190">
        <v>13200.694391814603</v>
      </c>
      <c r="F84" s="190">
        <v>0</v>
      </c>
      <c r="G84" s="190">
        <v>0</v>
      </c>
      <c r="H84" s="190">
        <v>0</v>
      </c>
      <c r="I84" s="190">
        <v>0</v>
      </c>
      <c r="J84" s="190">
        <v>0</v>
      </c>
      <c r="K84" s="190">
        <v>0</v>
      </c>
      <c r="L84" s="190">
        <v>0</v>
      </c>
      <c r="M84" s="190">
        <v>0</v>
      </c>
      <c r="O84" s="162">
        <f>AVERAGE(D84:N84)</f>
        <v>6433.7580246415764</v>
      </c>
      <c r="P84" s="199">
        <f>O84/O89</f>
        <v>8.847271110819217E-3</v>
      </c>
      <c r="Q84" s="198">
        <v>0.08</v>
      </c>
      <c r="R84" s="201">
        <f>Q84*(1-0.3)</f>
        <v>5.5999999999999994E-2</v>
      </c>
      <c r="S84" s="201">
        <f>P84*R84</f>
        <v>4.9544718220587613E-4</v>
      </c>
      <c r="T84" s="197"/>
      <c r="U84" s="18"/>
    </row>
    <row r="85" spans="1:21">
      <c r="A85" s="100" t="s">
        <v>15</v>
      </c>
      <c r="B85" s="15"/>
      <c r="C85" s="15"/>
      <c r="D85" s="7"/>
      <c r="E85" s="7"/>
      <c r="F85" s="7"/>
      <c r="G85" s="99"/>
      <c r="H85" s="79"/>
      <c r="I85" s="79"/>
      <c r="J85" s="79"/>
      <c r="K85" s="79"/>
      <c r="L85" s="79"/>
      <c r="M85" s="79"/>
      <c r="O85" s="171"/>
      <c r="P85" s="18"/>
      <c r="Q85" s="18"/>
      <c r="R85" s="18"/>
      <c r="S85" s="18"/>
      <c r="T85" s="197"/>
      <c r="U85" s="18"/>
    </row>
    <row r="86" spans="1:21">
      <c r="A86" s="100"/>
      <c r="B86" s="15" t="s">
        <v>134</v>
      </c>
      <c r="C86" s="15"/>
      <c r="D86" s="7">
        <v>50000</v>
      </c>
      <c r="E86" s="7">
        <v>50000</v>
      </c>
      <c r="F86" s="7">
        <v>50000</v>
      </c>
      <c r="G86" s="7">
        <v>50000</v>
      </c>
      <c r="H86" s="7">
        <v>50000</v>
      </c>
      <c r="I86" s="7">
        <v>50000</v>
      </c>
      <c r="J86" s="7">
        <v>50000</v>
      </c>
      <c r="K86" s="7">
        <v>50000</v>
      </c>
      <c r="L86" s="7">
        <v>50000</v>
      </c>
      <c r="M86" s="7">
        <v>50000</v>
      </c>
      <c r="O86" s="202">
        <f>AVERAGE(D86:M86)</f>
        <v>50000</v>
      </c>
      <c r="P86" s="199">
        <f>SUM(O86:O87)/O89</f>
        <v>0.28477737649704926</v>
      </c>
      <c r="Q86" s="196">
        <f>Q80</f>
        <v>0.21885712641133978</v>
      </c>
      <c r="R86" s="196">
        <f>Q86</f>
        <v>0.21885712641133978</v>
      </c>
      <c r="S86" s="201">
        <f>P86*R86</f>
        <v>6.2325558287104413E-2</v>
      </c>
      <c r="T86" s="197"/>
      <c r="U86" s="18"/>
    </row>
    <row r="87" spans="1:21">
      <c r="A87" s="15"/>
      <c r="B87" s="15" t="s">
        <v>13</v>
      </c>
      <c r="C87" s="7"/>
      <c r="D87" s="7">
        <f>C87+D60</f>
        <v>29918.614497930048</v>
      </c>
      <c r="E87" s="7">
        <f t="shared" ref="E87:M87" si="19">D87+E60</f>
        <v>61445.631176856929</v>
      </c>
      <c r="F87" s="7">
        <f t="shared" si="19"/>
        <v>92707.638464108401</v>
      </c>
      <c r="G87" s="7">
        <f t="shared" si="19"/>
        <v>122631.55489542785</v>
      </c>
      <c r="H87" s="7">
        <f t="shared" si="19"/>
        <v>151030.76766113713</v>
      </c>
      <c r="I87" s="7">
        <f t="shared" si="19"/>
        <v>177706.8757179135</v>
      </c>
      <c r="J87" s="7">
        <f t="shared" si="19"/>
        <v>202449.04850939146</v>
      </c>
      <c r="K87" s="7">
        <f t="shared" si="19"/>
        <v>225033.35146915272</v>
      </c>
      <c r="L87" s="7">
        <f t="shared" si="19"/>
        <v>245222.03661717163</v>
      </c>
      <c r="M87" s="7">
        <f t="shared" si="19"/>
        <v>262762.79647556331</v>
      </c>
      <c r="N87" s="7"/>
      <c r="O87" s="162">
        <f>AVERAGE(D87:M87)</f>
        <v>157090.83154846533</v>
      </c>
      <c r="P87" s="18"/>
      <c r="Q87" s="18"/>
      <c r="R87" s="18"/>
      <c r="S87" s="18"/>
      <c r="T87" s="197"/>
      <c r="U87" s="18"/>
    </row>
    <row r="88" spans="1:21">
      <c r="A88" s="15"/>
      <c r="B88" s="15"/>
      <c r="C88" s="15"/>
      <c r="D88" s="7"/>
      <c r="E88" s="7"/>
      <c r="F88" s="7"/>
      <c r="G88" s="99"/>
      <c r="H88" s="79"/>
      <c r="I88" s="79"/>
      <c r="J88" s="79"/>
      <c r="K88" s="79"/>
      <c r="L88" s="79"/>
      <c r="M88" s="79"/>
      <c r="O88" s="171"/>
      <c r="P88" s="18"/>
      <c r="Q88" s="18"/>
      <c r="R88" s="18"/>
      <c r="S88" s="18"/>
      <c r="T88" s="197"/>
      <c r="U88" s="18"/>
    </row>
    <row r="89" spans="1:21">
      <c r="A89" s="102" t="s">
        <v>25</v>
      </c>
      <c r="B89" s="15"/>
      <c r="C89" s="15"/>
      <c r="D89" s="7">
        <f>SUM(D80:D87)</f>
        <v>708381.24999999977</v>
      </c>
      <c r="E89" s="7">
        <f t="shared" ref="E89:M89" si="20">SUM(E80:E87)</f>
        <v>692194.68750000012</v>
      </c>
      <c r="F89" s="7">
        <f t="shared" si="20"/>
        <v>699714.09444331797</v>
      </c>
      <c r="G89" s="7">
        <f t="shared" si="20"/>
        <v>718454.17969168746</v>
      </c>
      <c r="H89" s="7">
        <f t="shared" si="20"/>
        <v>735164.6305215155</v>
      </c>
      <c r="I89" s="7">
        <f t="shared" si="20"/>
        <v>749624.69074311806</v>
      </c>
      <c r="J89" s="7">
        <f t="shared" si="20"/>
        <v>761600.19206109748</v>
      </c>
      <c r="K89" s="7">
        <f t="shared" si="20"/>
        <v>770842.83646239946</v>
      </c>
      <c r="L89" s="7">
        <f t="shared" si="20"/>
        <v>777089.44180416258</v>
      </c>
      <c r="M89" s="7">
        <f t="shared" si="20"/>
        <v>780061.14874383411</v>
      </c>
      <c r="N89" s="7"/>
      <c r="O89" s="167">
        <f>SUM(O83:O87)</f>
        <v>727202.54008875287</v>
      </c>
      <c r="P89" s="203">
        <f>SUM(P83:P86)</f>
        <v>0.99999999999999989</v>
      </c>
      <c r="Q89" s="20"/>
      <c r="R89" s="20"/>
      <c r="S89" s="169">
        <f>SUM(S83:S86)</f>
        <v>8.3588440829638955E-2</v>
      </c>
      <c r="T89" s="170" t="s">
        <v>121</v>
      </c>
      <c r="U89" s="18"/>
    </row>
    <row r="90" spans="1:21">
      <c r="A90" s="15"/>
      <c r="B90" s="15"/>
      <c r="C90" s="15"/>
      <c r="D90" s="15"/>
      <c r="E90" s="15"/>
      <c r="F90" s="15"/>
      <c r="G90" s="79"/>
      <c r="H90" s="79"/>
      <c r="I90" s="79"/>
      <c r="J90" s="79"/>
      <c r="K90" s="79"/>
      <c r="L90" s="79"/>
      <c r="M90" s="79"/>
      <c r="O90" s="1"/>
      <c r="U90" s="18"/>
    </row>
    <row r="91" spans="1:21">
      <c r="A91" s="100" t="s">
        <v>22</v>
      </c>
      <c r="B91" s="15"/>
      <c r="C91" s="15"/>
      <c r="D91" s="90">
        <f>D76-D89</f>
        <v>31.250000000232831</v>
      </c>
      <c r="E91" s="90">
        <f t="shared" ref="E91:M91" si="21">E76-E89</f>
        <v>26.562499999883585</v>
      </c>
      <c r="F91" s="90">
        <f t="shared" si="21"/>
        <v>26.780556682031602</v>
      </c>
      <c r="G91" s="90">
        <f t="shared" si="21"/>
        <v>26.352808312512934</v>
      </c>
      <c r="H91" s="90">
        <f t="shared" si="21"/>
        <v>26.752628484508023</v>
      </c>
      <c r="I91" s="90">
        <f t="shared" si="21"/>
        <v>26.900069881929085</v>
      </c>
      <c r="J91" s="90">
        <f t="shared" si="21"/>
        <v>26.130568162538111</v>
      </c>
      <c r="K91" s="90">
        <f t="shared" si="21"/>
        <v>26.912619445705786</v>
      </c>
      <c r="L91" s="90">
        <f t="shared" si="21"/>
        <v>26.602259319508448</v>
      </c>
      <c r="M91" s="90">
        <f t="shared" si="21"/>
        <v>26.236200917628594</v>
      </c>
      <c r="N91" s="8"/>
    </row>
    <row r="92" spans="1:21">
      <c r="G92" s="91"/>
    </row>
    <row r="93" spans="1:21">
      <c r="A93" s="106" t="s">
        <v>78</v>
      </c>
      <c r="B93" s="107"/>
      <c r="C93" s="68">
        <v>0</v>
      </c>
      <c r="D93" s="135">
        <v>1</v>
      </c>
      <c r="E93" s="68">
        <v>2</v>
      </c>
      <c r="F93" s="68">
        <v>3</v>
      </c>
      <c r="G93" s="108">
        <v>4</v>
      </c>
      <c r="H93" s="68">
        <v>5</v>
      </c>
      <c r="I93" s="107">
        <v>6</v>
      </c>
      <c r="J93" s="96">
        <v>7</v>
      </c>
      <c r="K93" s="96">
        <v>8</v>
      </c>
      <c r="L93" s="96">
        <v>9</v>
      </c>
      <c r="M93" s="109">
        <v>10</v>
      </c>
      <c r="N93" s="27"/>
    </row>
    <row r="94" spans="1:21">
      <c r="A94" s="110" t="s">
        <v>79</v>
      </c>
      <c r="B94" s="110"/>
      <c r="C94" s="57"/>
      <c r="D94" s="136"/>
      <c r="E94" s="111"/>
      <c r="F94" s="111"/>
      <c r="G94" s="111"/>
      <c r="H94" s="110"/>
      <c r="I94" s="110"/>
      <c r="J94" s="79"/>
      <c r="K94" s="79"/>
      <c r="L94" s="79"/>
      <c r="M94" s="112"/>
      <c r="N94"/>
    </row>
    <row r="95" spans="1:21">
      <c r="A95" s="110"/>
      <c r="B95" s="57" t="s">
        <v>80</v>
      </c>
      <c r="C95" s="57"/>
      <c r="D95" s="75">
        <f>SUM(D37:D39)-D50</f>
        <v>79937.5</v>
      </c>
      <c r="E95" s="75">
        <f t="shared" ref="E95:M95" si="22">SUM(E37:E39)-E50</f>
        <v>78376.125</v>
      </c>
      <c r="F95" s="75">
        <f t="shared" si="22"/>
        <v>76571.647500000021</v>
      </c>
      <c r="G95" s="75">
        <f t="shared" si="22"/>
        <v>74542.08044999995</v>
      </c>
      <c r="H95" s="75">
        <f t="shared" si="22"/>
        <v>72273.472058999992</v>
      </c>
      <c r="I95" s="75">
        <f t="shared" si="22"/>
        <v>69751.119000179984</v>
      </c>
      <c r="J95" s="75">
        <f t="shared" si="22"/>
        <v>66959.527755183575</v>
      </c>
      <c r="K95" s="75">
        <f t="shared" si="22"/>
        <v>63882.374004037294</v>
      </c>
      <c r="L95" s="75">
        <f t="shared" si="22"/>
        <v>60502.459962555498</v>
      </c>
      <c r="M95" s="75">
        <f t="shared" si="22"/>
        <v>56801.66956416599</v>
      </c>
      <c r="N95" s="59"/>
    </row>
    <row r="96" spans="1:21">
      <c r="A96" s="110"/>
      <c r="B96" s="57" t="s">
        <v>98</v>
      </c>
      <c r="C96" s="57"/>
      <c r="D96" s="75">
        <f>D53+D52</f>
        <v>16685</v>
      </c>
      <c r="E96" s="75">
        <f t="shared" ref="E96:M96" si="23">E53+E52</f>
        <v>16685</v>
      </c>
      <c r="F96" s="75">
        <f t="shared" si="23"/>
        <v>16685</v>
      </c>
      <c r="G96" s="75">
        <f t="shared" si="23"/>
        <v>16685</v>
      </c>
      <c r="H96" s="75">
        <f t="shared" si="23"/>
        <v>16685</v>
      </c>
      <c r="I96" s="75">
        <f t="shared" si="23"/>
        <v>16685</v>
      </c>
      <c r="J96" s="75">
        <f t="shared" si="23"/>
        <v>16685</v>
      </c>
      <c r="K96" s="75">
        <f t="shared" si="23"/>
        <v>16685</v>
      </c>
      <c r="L96" s="75">
        <f t="shared" si="23"/>
        <v>16685</v>
      </c>
      <c r="M96" s="75">
        <f t="shared" si="23"/>
        <v>16685</v>
      </c>
      <c r="N96" s="59"/>
    </row>
    <row r="97" spans="1:17">
      <c r="A97" s="110"/>
      <c r="B97" s="57" t="s">
        <v>81</v>
      </c>
      <c r="C97" s="57"/>
      <c r="D97" s="75">
        <f>D95-D96</f>
        <v>63252.5</v>
      </c>
      <c r="E97" s="75">
        <f t="shared" ref="E97:M97" si="24">E95-E96</f>
        <v>61691.125</v>
      </c>
      <c r="F97" s="75">
        <f t="shared" si="24"/>
        <v>59886.647500000021</v>
      </c>
      <c r="G97" s="75">
        <f t="shared" si="24"/>
        <v>57857.08044999995</v>
      </c>
      <c r="H97" s="75">
        <f t="shared" si="24"/>
        <v>55588.472058999992</v>
      </c>
      <c r="I97" s="75">
        <f t="shared" si="24"/>
        <v>53066.119000179984</v>
      </c>
      <c r="J97" s="75">
        <f t="shared" si="24"/>
        <v>50274.527755183575</v>
      </c>
      <c r="K97" s="75">
        <f t="shared" si="24"/>
        <v>47197.374004037294</v>
      </c>
      <c r="L97" s="75">
        <f t="shared" si="24"/>
        <v>43817.459962555498</v>
      </c>
      <c r="M97" s="75">
        <f t="shared" si="24"/>
        <v>40116.66956416599</v>
      </c>
      <c r="N97" s="59"/>
    </row>
    <row r="98" spans="1:17">
      <c r="A98" s="110"/>
      <c r="B98" s="57" t="s">
        <v>99</v>
      </c>
      <c r="C98" s="57"/>
      <c r="D98" s="113">
        <f>IF(D97*$O$59&lt;=0,0,D97*$O$59)</f>
        <v>9487.875</v>
      </c>
      <c r="E98" s="113">
        <f t="shared" ref="E98:M98" si="25">IF(E97*$O$59&lt;=0,0,E97*$O$59)</f>
        <v>9253.6687499999989</v>
      </c>
      <c r="F98" s="113">
        <f t="shared" si="25"/>
        <v>8982.9971250000035</v>
      </c>
      <c r="G98" s="113">
        <f t="shared" si="25"/>
        <v>8678.5620674999918</v>
      </c>
      <c r="H98" s="113">
        <f t="shared" si="25"/>
        <v>8338.2708088499985</v>
      </c>
      <c r="I98" s="113">
        <f t="shared" si="25"/>
        <v>7959.9178500269973</v>
      </c>
      <c r="J98" s="113">
        <f t="shared" si="25"/>
        <v>7541.1791632775357</v>
      </c>
      <c r="K98" s="113">
        <f t="shared" si="25"/>
        <v>7079.6061006055943</v>
      </c>
      <c r="L98" s="113">
        <f t="shared" si="25"/>
        <v>6572.6189943833242</v>
      </c>
      <c r="M98" s="113">
        <f t="shared" si="25"/>
        <v>6017.5004346248979</v>
      </c>
      <c r="N98" s="60"/>
      <c r="O98"/>
    </row>
    <row r="99" spans="1:17">
      <c r="A99" s="110"/>
      <c r="B99" s="114" t="s">
        <v>79</v>
      </c>
      <c r="C99" s="111"/>
      <c r="D99" s="75">
        <f>D95-D98</f>
        <v>70449.625</v>
      </c>
      <c r="E99" s="115">
        <f t="shared" ref="E99:M99" si="26">E95-E98</f>
        <v>69122.456250000003</v>
      </c>
      <c r="F99" s="115">
        <f t="shared" si="26"/>
        <v>67588.650375000012</v>
      </c>
      <c r="G99" s="75">
        <f t="shared" si="26"/>
        <v>65863.518382499955</v>
      </c>
      <c r="H99" s="115">
        <f t="shared" si="26"/>
        <v>63935.201250149992</v>
      </c>
      <c r="I99" s="115">
        <f t="shared" si="26"/>
        <v>61791.201150152985</v>
      </c>
      <c r="J99" s="115">
        <f t="shared" si="26"/>
        <v>59418.34859190604</v>
      </c>
      <c r="K99" s="115">
        <f t="shared" si="26"/>
        <v>56802.767903431697</v>
      </c>
      <c r="L99" s="115">
        <f t="shared" si="26"/>
        <v>53929.840968172175</v>
      </c>
      <c r="M99" s="115">
        <f t="shared" si="26"/>
        <v>50784.169129541093</v>
      </c>
      <c r="N99" s="75"/>
      <c r="O99"/>
    </row>
    <row r="100" spans="1:17">
      <c r="A100" s="110"/>
      <c r="B100" s="110"/>
      <c r="C100" s="110"/>
      <c r="D100" s="116"/>
      <c r="E100" s="117"/>
      <c r="F100" s="117"/>
      <c r="G100" s="116"/>
      <c r="H100" s="110"/>
      <c r="I100" s="110"/>
      <c r="J100" s="79"/>
      <c r="K100" s="79"/>
      <c r="L100" s="79"/>
      <c r="M100" s="112"/>
      <c r="N100"/>
      <c r="O100"/>
    </row>
    <row r="101" spans="1:17">
      <c r="A101" s="118" t="s">
        <v>82</v>
      </c>
      <c r="B101" s="110"/>
      <c r="C101" s="110"/>
      <c r="D101" s="117"/>
      <c r="E101" s="117"/>
      <c r="F101" s="117"/>
      <c r="G101" s="117"/>
      <c r="H101" s="110"/>
      <c r="I101" s="110"/>
      <c r="J101" s="79"/>
      <c r="K101" s="79"/>
      <c r="L101" s="79"/>
      <c r="M101" s="112"/>
      <c r="N101"/>
      <c r="O101"/>
    </row>
    <row r="102" spans="1:17">
      <c r="A102" s="118" t="s">
        <v>83</v>
      </c>
      <c r="B102" s="110"/>
      <c r="C102" s="110"/>
      <c r="D102" s="117"/>
      <c r="E102" s="117"/>
      <c r="F102" s="117"/>
      <c r="G102" s="117"/>
      <c r="H102" s="110"/>
      <c r="I102" s="110"/>
      <c r="J102" s="79"/>
      <c r="K102" s="79"/>
      <c r="L102" s="79"/>
      <c r="M102" s="112"/>
      <c r="N102"/>
      <c r="O102"/>
    </row>
    <row r="103" spans="1:17">
      <c r="A103" s="57" t="s">
        <v>84</v>
      </c>
      <c r="B103" s="57" t="s">
        <v>85</v>
      </c>
      <c r="C103" s="119">
        <f>-(D65-C65)</f>
        <v>-5000</v>
      </c>
      <c r="D103" s="120">
        <f t="shared" ref="D103:L106" si="27">-(E65-D65)</f>
        <v>0</v>
      </c>
      <c r="E103" s="119">
        <f t="shared" si="27"/>
        <v>0</v>
      </c>
      <c r="F103" s="119">
        <f t="shared" si="27"/>
        <v>0</v>
      </c>
      <c r="G103" s="119">
        <f t="shared" si="27"/>
        <v>0</v>
      </c>
      <c r="H103" s="119">
        <f t="shared" si="27"/>
        <v>0</v>
      </c>
      <c r="I103" s="119">
        <f t="shared" si="27"/>
        <v>0</v>
      </c>
      <c r="J103" s="119">
        <f t="shared" si="27"/>
        <v>0</v>
      </c>
      <c r="K103" s="119">
        <f t="shared" si="27"/>
        <v>0</v>
      </c>
      <c r="L103" s="119">
        <f t="shared" si="27"/>
        <v>0</v>
      </c>
      <c r="M103" s="119">
        <f>-(O65-M65)</f>
        <v>5000</v>
      </c>
      <c r="N103" s="62"/>
      <c r="O103"/>
    </row>
    <row r="104" spans="1:17">
      <c r="A104" s="57" t="s">
        <v>84</v>
      </c>
      <c r="B104" s="57" t="s">
        <v>100</v>
      </c>
      <c r="C104" s="119">
        <f>-(D66-C66)</f>
        <v>0</v>
      </c>
      <c r="D104" s="120">
        <f t="shared" si="27"/>
        <v>0</v>
      </c>
      <c r="E104" s="119">
        <f t="shared" si="27"/>
        <v>-23703</v>
      </c>
      <c r="F104" s="119">
        <f t="shared" si="27"/>
        <v>-34915</v>
      </c>
      <c r="G104" s="119">
        <f t="shared" si="27"/>
        <v>-32878</v>
      </c>
      <c r="H104" s="119">
        <f t="shared" si="27"/>
        <v>-30619</v>
      </c>
      <c r="I104" s="119">
        <f t="shared" si="27"/>
        <v>-28125</v>
      </c>
      <c r="J104" s="119">
        <f t="shared" si="27"/>
        <v>-25385</v>
      </c>
      <c r="K104" s="119">
        <f t="shared" si="27"/>
        <v>-22379</v>
      </c>
      <c r="L104" s="119">
        <f t="shared" si="27"/>
        <v>-19095</v>
      </c>
      <c r="M104" s="119">
        <f>-(O66-M66)</f>
        <v>217099</v>
      </c>
      <c r="N104" s="62"/>
      <c r="O104"/>
    </row>
    <row r="105" spans="1:17">
      <c r="A105" s="57" t="s">
        <v>84</v>
      </c>
      <c r="B105" s="57" t="s">
        <v>8</v>
      </c>
      <c r="C105" s="119">
        <f>-(D67-C67)</f>
        <v>-2625</v>
      </c>
      <c r="D105" s="120">
        <f t="shared" si="27"/>
        <v>-52.5</v>
      </c>
      <c r="E105" s="119">
        <f t="shared" si="27"/>
        <v>-53.550000000000182</v>
      </c>
      <c r="F105" s="119">
        <f t="shared" si="27"/>
        <v>-54.621000000000095</v>
      </c>
      <c r="G105" s="119">
        <f t="shared" si="27"/>
        <v>-55.713420000000042</v>
      </c>
      <c r="H105" s="119">
        <f t="shared" si="27"/>
        <v>-56.827688399999715</v>
      </c>
      <c r="I105" s="119">
        <f t="shared" si="27"/>
        <v>-57.9642421679996</v>
      </c>
      <c r="J105" s="119">
        <f t="shared" si="27"/>
        <v>-59.123527011360693</v>
      </c>
      <c r="K105" s="119">
        <f t="shared" si="27"/>
        <v>-60.305997551586188</v>
      </c>
      <c r="L105" s="119">
        <f t="shared" si="27"/>
        <v>-61.512117502619731</v>
      </c>
      <c r="M105" s="119">
        <f>-(O67-M67)</f>
        <v>3137.1179926335662</v>
      </c>
      <c r="N105" s="62"/>
      <c r="O105"/>
    </row>
    <row r="106" spans="1:17">
      <c r="A106" s="15" t="s">
        <v>84</v>
      </c>
      <c r="B106" s="15" t="s">
        <v>9</v>
      </c>
      <c r="C106" s="119">
        <f>-(D68-C68)</f>
        <v>-17062.5</v>
      </c>
      <c r="D106" s="120">
        <f t="shared" si="27"/>
        <v>-341.25</v>
      </c>
      <c r="E106" s="119">
        <f t="shared" si="27"/>
        <v>-348.07500000000073</v>
      </c>
      <c r="F106" s="119">
        <f t="shared" si="27"/>
        <v>-355.03649999999834</v>
      </c>
      <c r="G106" s="119">
        <f t="shared" si="27"/>
        <v>-362.13723000000391</v>
      </c>
      <c r="H106" s="119">
        <f t="shared" si="27"/>
        <v>-369.37997460000042</v>
      </c>
      <c r="I106" s="119">
        <f t="shared" si="27"/>
        <v>-376.76757409199854</v>
      </c>
      <c r="J106" s="119">
        <f t="shared" si="27"/>
        <v>-384.30292557384018</v>
      </c>
      <c r="K106" s="119">
        <f t="shared" si="27"/>
        <v>-391.9889840853175</v>
      </c>
      <c r="L106" s="119">
        <f t="shared" si="27"/>
        <v>-399.82876376701824</v>
      </c>
      <c r="M106" s="119">
        <f>-(O68-M68)</f>
        <v>20391.266952118178</v>
      </c>
      <c r="N106" s="62"/>
      <c r="O106"/>
    </row>
    <row r="107" spans="1:17">
      <c r="A107" s="57" t="s">
        <v>86</v>
      </c>
      <c r="B107" s="57" t="s">
        <v>87</v>
      </c>
      <c r="C107" s="119">
        <f t="shared" ref="C107:M107" si="28">D80-C80</f>
        <v>6825</v>
      </c>
      <c r="D107" s="120">
        <f t="shared" si="28"/>
        <v>136.5</v>
      </c>
      <c r="E107" s="119">
        <f t="shared" si="28"/>
        <v>139.23000000000047</v>
      </c>
      <c r="F107" s="119">
        <f t="shared" si="28"/>
        <v>142.01459999999952</v>
      </c>
      <c r="G107" s="119">
        <f t="shared" si="28"/>
        <v>144.85489200000029</v>
      </c>
      <c r="H107" s="119">
        <f t="shared" si="28"/>
        <v>147.75198984000053</v>
      </c>
      <c r="I107" s="119">
        <f t="shared" si="28"/>
        <v>150.70702963680014</v>
      </c>
      <c r="J107" s="119">
        <f t="shared" si="28"/>
        <v>153.72117022953626</v>
      </c>
      <c r="K107" s="119">
        <f t="shared" si="28"/>
        <v>156.79559363412591</v>
      </c>
      <c r="L107" s="119">
        <f t="shared" si="28"/>
        <v>159.9315055068073</v>
      </c>
      <c r="M107" s="119">
        <f t="shared" si="28"/>
        <v>-8156.5067808472704</v>
      </c>
      <c r="N107" s="62"/>
      <c r="O107"/>
    </row>
    <row r="108" spans="1:17">
      <c r="A108" s="57" t="s">
        <v>86</v>
      </c>
      <c r="B108" s="57" t="s">
        <v>88</v>
      </c>
      <c r="C108" s="119">
        <f>D98-C98</f>
        <v>9487.875</v>
      </c>
      <c r="D108" s="120">
        <f t="shared" ref="D108:M108" si="29">E98-D98</f>
        <v>-234.20625000000109</v>
      </c>
      <c r="E108" s="119">
        <f t="shared" si="29"/>
        <v>-270.6716249999954</v>
      </c>
      <c r="F108" s="119">
        <f t="shared" si="29"/>
        <v>-304.43505750001168</v>
      </c>
      <c r="G108" s="119">
        <f t="shared" si="29"/>
        <v>-340.29125864999332</v>
      </c>
      <c r="H108" s="119">
        <f t="shared" si="29"/>
        <v>-378.35295882300125</v>
      </c>
      <c r="I108" s="119">
        <f t="shared" si="29"/>
        <v>-418.73868674946152</v>
      </c>
      <c r="J108" s="119">
        <f t="shared" si="29"/>
        <v>-461.57306267194144</v>
      </c>
      <c r="K108" s="119">
        <f t="shared" si="29"/>
        <v>-506.98710622227009</v>
      </c>
      <c r="L108" s="119">
        <f t="shared" si="29"/>
        <v>-555.11855975842627</v>
      </c>
      <c r="M108" s="119">
        <f t="shared" si="29"/>
        <v>-6017.5004346248979</v>
      </c>
      <c r="N108" s="62"/>
      <c r="O108"/>
    </row>
    <row r="109" spans="1:17">
      <c r="A109" s="110"/>
      <c r="B109" s="110"/>
      <c r="C109" s="110"/>
      <c r="D109" s="121"/>
      <c r="E109" s="117"/>
      <c r="F109" s="117"/>
      <c r="G109" s="79"/>
      <c r="H109" s="79"/>
      <c r="I109" s="79"/>
      <c r="J109" s="79"/>
      <c r="K109" s="79"/>
      <c r="L109" s="79"/>
      <c r="M109" s="112"/>
      <c r="N109"/>
      <c r="O109" s="61"/>
      <c r="P109" s="56"/>
      <c r="Q109" s="56"/>
    </row>
    <row r="110" spans="1:17">
      <c r="A110" s="118" t="s">
        <v>89</v>
      </c>
      <c r="B110" s="110"/>
      <c r="C110" s="110"/>
      <c r="D110" s="121"/>
      <c r="E110" s="117"/>
      <c r="F110" s="117"/>
      <c r="G110" s="79"/>
      <c r="H110" s="79"/>
      <c r="I110" s="79"/>
      <c r="J110" s="79"/>
      <c r="K110" s="79"/>
      <c r="L110" s="79"/>
      <c r="M110" s="112"/>
      <c r="N110"/>
      <c r="O110" s="61"/>
      <c r="P110" s="56"/>
      <c r="Q110" s="56"/>
    </row>
    <row r="111" spans="1:17">
      <c r="A111" s="110"/>
      <c r="B111" s="110" t="s">
        <v>90</v>
      </c>
      <c r="C111" s="119">
        <f>-(D70-C70)</f>
        <v>-100000</v>
      </c>
      <c r="D111" s="120">
        <f t="shared" ref="D111:M111" si="30">-(E70-D70)</f>
        <v>0</v>
      </c>
      <c r="E111" s="119">
        <f t="shared" si="30"/>
        <v>0</v>
      </c>
      <c r="F111" s="119">
        <f t="shared" si="30"/>
        <v>0</v>
      </c>
      <c r="G111" s="119">
        <f t="shared" si="30"/>
        <v>0</v>
      </c>
      <c r="H111" s="119">
        <f t="shared" si="30"/>
        <v>0</v>
      </c>
      <c r="I111" s="119">
        <f t="shared" si="30"/>
        <v>0</v>
      </c>
      <c r="J111" s="119">
        <f t="shared" si="30"/>
        <v>0</v>
      </c>
      <c r="K111" s="119">
        <f t="shared" si="30"/>
        <v>0</v>
      </c>
      <c r="L111" s="119">
        <f t="shared" si="30"/>
        <v>0</v>
      </c>
      <c r="M111" s="119">
        <f t="shared" si="30"/>
        <v>100000</v>
      </c>
      <c r="N111"/>
      <c r="O111" s="63" t="s">
        <v>91</v>
      </c>
      <c r="P111" s="62">
        <f>M70</f>
        <v>100000</v>
      </c>
      <c r="Q111" s="56"/>
    </row>
    <row r="112" spans="1:17">
      <c r="A112" s="110"/>
      <c r="B112" s="110" t="s">
        <v>92</v>
      </c>
      <c r="C112" s="119"/>
      <c r="D112" s="120"/>
      <c r="E112" s="122"/>
      <c r="F112" s="123"/>
      <c r="G112" s="79"/>
      <c r="H112" s="79"/>
      <c r="I112" s="79"/>
      <c r="J112" s="79"/>
      <c r="K112" s="79"/>
      <c r="L112" s="79"/>
      <c r="M112" s="124">
        <f>M111*O112</f>
        <v>28000.000000000004</v>
      </c>
      <c r="N112"/>
      <c r="O112" s="93">
        <v>0.28000000000000003</v>
      </c>
      <c r="P112" s="56" t="s">
        <v>44</v>
      </c>
      <c r="Q112" s="56"/>
    </row>
    <row r="113" spans="1:17">
      <c r="A113" s="125" t="s">
        <v>84</v>
      </c>
      <c r="B113" s="125" t="s">
        <v>93</v>
      </c>
      <c r="C113" s="126"/>
      <c r="D113" s="127"/>
      <c r="E113" s="128"/>
      <c r="F113" s="129"/>
      <c r="G113" s="130"/>
      <c r="H113" s="130"/>
      <c r="I113" s="130"/>
      <c r="J113" s="130"/>
      <c r="K113" s="130"/>
      <c r="L113" s="130"/>
      <c r="M113" s="131">
        <f>-P113*O59</f>
        <v>-4200</v>
      </c>
      <c r="N113"/>
      <c r="O113" s="58" t="s">
        <v>94</v>
      </c>
      <c r="P113" s="66">
        <f>SUM(M111:M112)-P111</f>
        <v>28000</v>
      </c>
      <c r="Q113" s="56"/>
    </row>
    <row r="114" spans="1:17">
      <c r="A114" s="110"/>
      <c r="B114" s="110"/>
      <c r="C114" s="110"/>
      <c r="D114" s="121"/>
      <c r="E114" s="117"/>
      <c r="F114" s="117"/>
      <c r="G114" s="79"/>
      <c r="H114" s="79"/>
      <c r="I114" s="79"/>
      <c r="J114" s="79"/>
      <c r="K114" s="79"/>
      <c r="L114" s="79"/>
      <c r="M114" s="112"/>
      <c r="N114"/>
      <c r="O114" s="92"/>
      <c r="P114" s="56"/>
      <c r="Q114" s="56"/>
    </row>
    <row r="115" spans="1:17">
      <c r="A115" s="110"/>
      <c r="B115" s="110" t="s">
        <v>66</v>
      </c>
      <c r="C115" s="119">
        <f>-(D73-C73)</f>
        <v>-46200</v>
      </c>
      <c r="D115" s="120">
        <f t="shared" ref="D115:M115" si="31">-(E73-D73)</f>
        <v>-100</v>
      </c>
      <c r="E115" s="119">
        <f t="shared" si="31"/>
        <v>-100</v>
      </c>
      <c r="F115" s="119">
        <f t="shared" si="31"/>
        <v>-100</v>
      </c>
      <c r="G115" s="119">
        <f t="shared" si="31"/>
        <v>-100</v>
      </c>
      <c r="H115" s="119">
        <f t="shared" si="31"/>
        <v>-100</v>
      </c>
      <c r="I115" s="119">
        <f t="shared" si="31"/>
        <v>-100</v>
      </c>
      <c r="J115" s="119">
        <f t="shared" si="31"/>
        <v>-100</v>
      </c>
      <c r="K115" s="119">
        <f t="shared" si="31"/>
        <v>-100</v>
      </c>
      <c r="L115" s="119">
        <f t="shared" si="31"/>
        <v>-100</v>
      </c>
      <c r="M115" s="119">
        <f t="shared" si="31"/>
        <v>47100</v>
      </c>
      <c r="N115" s="62"/>
      <c r="O115" s="63" t="s">
        <v>91</v>
      </c>
      <c r="P115" s="62">
        <f>M73-M74</f>
        <v>3210</v>
      </c>
      <c r="Q115" s="62"/>
    </row>
    <row r="116" spans="1:17">
      <c r="A116" s="110"/>
      <c r="B116" s="110" t="s">
        <v>92</v>
      </c>
      <c r="C116" s="110"/>
      <c r="D116" s="121"/>
      <c r="E116" s="117"/>
      <c r="F116" s="122"/>
      <c r="G116" s="79"/>
      <c r="H116" s="79"/>
      <c r="I116" s="79"/>
      <c r="J116" s="79"/>
      <c r="K116" s="79"/>
      <c r="L116" s="79"/>
      <c r="M116" s="124">
        <f>M115*O116</f>
        <v>4710</v>
      </c>
      <c r="N116"/>
      <c r="O116" s="93">
        <v>0.1</v>
      </c>
      <c r="P116" s="56" t="s">
        <v>44</v>
      </c>
      <c r="Q116" s="56"/>
    </row>
    <row r="117" spans="1:17">
      <c r="A117" s="125" t="s">
        <v>84</v>
      </c>
      <c r="B117" s="125" t="s">
        <v>93</v>
      </c>
      <c r="C117" s="126"/>
      <c r="D117" s="127"/>
      <c r="E117" s="125"/>
      <c r="F117" s="128"/>
      <c r="G117" s="130"/>
      <c r="H117" s="130"/>
      <c r="I117" s="130"/>
      <c r="J117" s="130"/>
      <c r="K117" s="130"/>
      <c r="L117" s="130"/>
      <c r="M117" s="131">
        <f>-P117*O59</f>
        <v>-7290</v>
      </c>
      <c r="N117"/>
      <c r="O117" s="58" t="s">
        <v>94</v>
      </c>
      <c r="P117" s="66">
        <f>SUM(M115:M116)-P115</f>
        <v>48600</v>
      </c>
      <c r="Q117" s="56"/>
    </row>
    <row r="118" spans="1:17">
      <c r="A118" s="110"/>
      <c r="B118" s="110"/>
      <c r="C118" s="110"/>
      <c r="D118" s="121"/>
      <c r="E118" s="117"/>
      <c r="F118" s="122"/>
      <c r="G118" s="79"/>
      <c r="H118" s="79"/>
      <c r="I118" s="79"/>
      <c r="J118" s="79"/>
      <c r="K118" s="79"/>
      <c r="L118" s="79"/>
      <c r="M118" s="112"/>
      <c r="N118"/>
      <c r="O118" s="69"/>
      <c r="P118" s="62"/>
      <c r="Q118" s="56"/>
    </row>
    <row r="119" spans="1:17">
      <c r="A119" s="110"/>
      <c r="B119" s="110" t="s">
        <v>95</v>
      </c>
      <c r="C119" s="119">
        <f>-(D71-C71)</f>
        <v>-575000</v>
      </c>
      <c r="D119" s="120">
        <f t="shared" ref="D119:L119" si="32">-(E71-D71)</f>
        <v>0</v>
      </c>
      <c r="E119" s="119">
        <f t="shared" si="32"/>
        <v>0</v>
      </c>
      <c r="F119" s="119">
        <f t="shared" si="32"/>
        <v>0</v>
      </c>
      <c r="G119" s="119">
        <f t="shared" si="32"/>
        <v>0</v>
      </c>
      <c r="H119" s="119">
        <f t="shared" si="32"/>
        <v>0</v>
      </c>
      <c r="I119" s="119">
        <f t="shared" si="32"/>
        <v>0</v>
      </c>
      <c r="J119" s="119">
        <f t="shared" si="32"/>
        <v>0</v>
      </c>
      <c r="K119" s="119">
        <f t="shared" si="32"/>
        <v>0</v>
      </c>
      <c r="L119" s="119">
        <f t="shared" si="32"/>
        <v>0</v>
      </c>
      <c r="M119" s="119">
        <f>-(O71-M71)</f>
        <v>575000</v>
      </c>
      <c r="N119" s="62"/>
      <c r="O119" s="63" t="s">
        <v>91</v>
      </c>
      <c r="P119" s="62">
        <f>M71-M72</f>
        <v>431250</v>
      </c>
      <c r="Q119" s="56"/>
    </row>
    <row r="120" spans="1:17">
      <c r="A120" s="110"/>
      <c r="B120" s="110" t="s">
        <v>92</v>
      </c>
      <c r="C120" s="110"/>
      <c r="D120" s="121"/>
      <c r="E120" s="117"/>
      <c r="F120" s="122"/>
      <c r="G120" s="79"/>
      <c r="H120" s="79"/>
      <c r="I120" s="79"/>
      <c r="J120" s="79"/>
      <c r="K120" s="79"/>
      <c r="L120" s="79"/>
      <c r="M120" s="124">
        <f>O120*M119</f>
        <v>86250</v>
      </c>
      <c r="N120"/>
      <c r="O120" s="93">
        <v>0.15</v>
      </c>
      <c r="P120" s="56" t="s">
        <v>44</v>
      </c>
      <c r="Q120" s="56"/>
    </row>
    <row r="121" spans="1:17">
      <c r="A121" s="110"/>
      <c r="B121" s="110" t="s">
        <v>93</v>
      </c>
      <c r="C121" s="110"/>
      <c r="D121" s="121"/>
      <c r="E121" s="117"/>
      <c r="F121" s="122"/>
      <c r="G121" s="79"/>
      <c r="H121" s="79"/>
      <c r="I121" s="79"/>
      <c r="J121" s="79"/>
      <c r="K121" s="79"/>
      <c r="L121" s="79"/>
      <c r="M121" s="80">
        <f>-P121*O59</f>
        <v>-34500</v>
      </c>
      <c r="N121"/>
      <c r="O121" s="65" t="s">
        <v>94</v>
      </c>
      <c r="P121" s="66">
        <f>SUM(M119:M120)-P119</f>
        <v>230000</v>
      </c>
      <c r="Q121" s="56"/>
    </row>
    <row r="122" spans="1:17">
      <c r="A122" s="110"/>
      <c r="B122" s="110"/>
      <c r="C122" s="110"/>
      <c r="D122" s="127"/>
      <c r="E122" s="117"/>
      <c r="F122" s="117"/>
      <c r="G122" s="79"/>
      <c r="H122" s="79"/>
      <c r="I122" s="79"/>
      <c r="J122" s="79"/>
      <c r="K122" s="79"/>
      <c r="L122" s="79"/>
      <c r="M122" s="112"/>
      <c r="N122" s="27"/>
      <c r="O122" s="61"/>
      <c r="P122" s="62"/>
      <c r="Q122" s="56"/>
    </row>
    <row r="123" spans="1:17">
      <c r="A123" s="137" t="s">
        <v>96</v>
      </c>
      <c r="B123" s="95"/>
      <c r="C123" s="132">
        <f>SUM(C99:C122)</f>
        <v>-729574.625</v>
      </c>
      <c r="D123" s="132">
        <f t="shared" ref="D123:M123" si="33">SUM(D99:D122)</f>
        <v>69858.168749999997</v>
      </c>
      <c r="E123" s="132">
        <f t="shared" si="33"/>
        <v>44786.389625000011</v>
      </c>
      <c r="F123" s="132">
        <f t="shared" si="33"/>
        <v>32001.5724175</v>
      </c>
      <c r="G123" s="132">
        <f t="shared" si="33"/>
        <v>32272.231365849955</v>
      </c>
      <c r="H123" s="132">
        <f t="shared" si="33"/>
        <v>32559.392618166989</v>
      </c>
      <c r="I123" s="132">
        <f t="shared" si="33"/>
        <v>32863.437676780333</v>
      </c>
      <c r="J123" s="132">
        <f t="shared" si="33"/>
        <v>33182.070246878444</v>
      </c>
      <c r="K123" s="132">
        <f t="shared" si="33"/>
        <v>33521.28140920664</v>
      </c>
      <c r="L123" s="132">
        <f t="shared" si="33"/>
        <v>33878.31303265092</v>
      </c>
      <c r="M123" s="132">
        <f t="shared" si="33"/>
        <v>1077307.5468588206</v>
      </c>
      <c r="N123" s="64"/>
      <c r="O123"/>
    </row>
    <row r="124" spans="1:17">
      <c r="A124" s="191" t="s">
        <v>157</v>
      </c>
      <c r="B124" s="192"/>
      <c r="C124" s="205">
        <f>SUM(C123:M123)</f>
        <v>692655.77900085389</v>
      </c>
      <c r="D124" s="122"/>
      <c r="E124" s="122"/>
      <c r="F124" s="122"/>
      <c r="G124" s="122"/>
      <c r="H124" s="122"/>
      <c r="I124" s="122"/>
      <c r="J124" s="122"/>
      <c r="K124" s="122"/>
      <c r="L124" s="122"/>
      <c r="M124" s="122"/>
      <c r="N124" s="64"/>
      <c r="O124"/>
    </row>
    <row r="125" spans="1:17">
      <c r="A125" s="118" t="s">
        <v>97</v>
      </c>
      <c r="B125" s="15"/>
      <c r="C125" s="134">
        <f>IRR(C123:M123)</f>
        <v>8.3479592236026523E-2</v>
      </c>
      <c r="D125" s="110"/>
      <c r="E125" s="193"/>
      <c r="F125" s="117"/>
      <c r="G125" s="117"/>
      <c r="H125" s="110"/>
      <c r="I125" s="110"/>
      <c r="J125" s="79"/>
      <c r="K125" s="79"/>
      <c r="L125" s="79"/>
      <c r="M125" s="112"/>
      <c r="N125"/>
      <c r="O125"/>
    </row>
    <row r="126" spans="1:17">
      <c r="A126" s="118" t="s">
        <v>121</v>
      </c>
      <c r="B126" s="15"/>
      <c r="C126" s="134">
        <f>S89</f>
        <v>8.3588440829638955E-2</v>
      </c>
      <c r="D126" s="57"/>
      <c r="E126" s="57"/>
      <c r="F126" s="57"/>
      <c r="G126" s="133"/>
      <c r="H126" s="133"/>
      <c r="I126" s="110"/>
      <c r="J126" s="79"/>
      <c r="K126" s="79"/>
      <c r="L126" s="79"/>
      <c r="M126" s="112"/>
      <c r="N126"/>
      <c r="O126"/>
    </row>
    <row r="127" spans="1:17">
      <c r="A127" s="9"/>
      <c r="I127" s="56"/>
      <c r="M127"/>
      <c r="N127"/>
      <c r="O127"/>
    </row>
    <row r="128" spans="1:17">
      <c r="O128"/>
    </row>
    <row r="129" spans="1:15">
      <c r="I129" s="56"/>
      <c r="M129"/>
      <c r="N129"/>
      <c r="O129"/>
    </row>
    <row r="130" spans="1:15">
      <c r="A130" s="206"/>
      <c r="B130" s="206"/>
      <c r="C130" s="206"/>
      <c r="D130" s="206"/>
      <c r="E130" s="206"/>
      <c r="F130" s="206"/>
      <c r="G130" s="206"/>
      <c r="H130" s="206"/>
      <c r="I130" s="206"/>
      <c r="J130" s="206"/>
      <c r="K130" s="67"/>
      <c r="L130" s="67"/>
    </row>
    <row r="131" spans="1:15">
      <c r="A131" s="206"/>
      <c r="B131" s="206"/>
      <c r="C131" s="206"/>
      <c r="D131" s="206"/>
      <c r="E131" s="206"/>
      <c r="F131" s="206"/>
      <c r="G131" s="206"/>
      <c r="H131" s="206"/>
      <c r="I131" s="206"/>
      <c r="J131" s="206"/>
    </row>
    <row r="132" spans="1:15">
      <c r="A132" s="206"/>
      <c r="B132" s="206"/>
      <c r="C132" s="206"/>
      <c r="D132" s="206"/>
      <c r="E132" s="206"/>
      <c r="F132" s="206"/>
      <c r="G132" s="206"/>
      <c r="H132" s="206"/>
      <c r="I132" s="206"/>
      <c r="J132" s="206"/>
    </row>
    <row r="133" spans="1:15">
      <c r="A133" s="206"/>
      <c r="B133" s="206"/>
      <c r="C133" s="206"/>
      <c r="D133" s="206"/>
      <c r="E133" s="206"/>
      <c r="F133" s="206"/>
      <c r="G133" s="206"/>
      <c r="H133" s="206"/>
      <c r="I133" s="206"/>
      <c r="J133" s="206"/>
    </row>
    <row r="134" spans="1:15">
      <c r="A134" s="206"/>
      <c r="B134" s="206"/>
      <c r="C134" s="206"/>
      <c r="D134" s="206"/>
      <c r="E134" s="206"/>
      <c r="F134" s="206"/>
      <c r="G134" s="206"/>
      <c r="H134" s="206"/>
      <c r="I134" s="206"/>
      <c r="J134" s="206"/>
    </row>
    <row r="135" spans="1:15">
      <c r="A135" s="206"/>
      <c r="B135" s="206"/>
      <c r="C135" s="206"/>
      <c r="D135" s="206"/>
      <c r="E135" s="206"/>
      <c r="F135" s="206"/>
      <c r="G135" s="206"/>
      <c r="H135" s="206"/>
      <c r="I135" s="206"/>
      <c r="J135" s="206"/>
    </row>
    <row r="136" spans="1:15">
      <c r="A136" s="206"/>
      <c r="B136" s="206"/>
      <c r="C136" s="206"/>
      <c r="D136" s="206"/>
      <c r="E136" s="206"/>
      <c r="F136" s="206"/>
      <c r="G136" s="206"/>
      <c r="H136" s="206"/>
      <c r="I136" s="206"/>
      <c r="J136" s="206"/>
    </row>
    <row r="137" spans="1:15">
      <c r="A137" s="206"/>
      <c r="B137" s="206"/>
      <c r="C137" s="206"/>
      <c r="D137" s="206"/>
      <c r="E137" s="206"/>
      <c r="F137" s="206"/>
      <c r="G137" s="206"/>
      <c r="H137" s="206"/>
      <c r="I137" s="206"/>
      <c r="J137" s="206"/>
    </row>
    <row r="138" spans="1:15">
      <c r="A138" s="206"/>
      <c r="B138" s="206"/>
      <c r="C138" s="206"/>
      <c r="D138" s="206"/>
      <c r="E138" s="206"/>
      <c r="F138" s="206"/>
      <c r="G138" s="206"/>
      <c r="H138" s="206"/>
      <c r="I138" s="206"/>
      <c r="J138" s="206"/>
    </row>
    <row r="139" spans="1:15">
      <c r="A139" s="206"/>
      <c r="B139" s="206"/>
      <c r="C139" s="206"/>
      <c r="D139" s="206"/>
      <c r="E139" s="206"/>
      <c r="F139" s="206"/>
      <c r="G139" s="206"/>
      <c r="H139" s="206"/>
      <c r="I139" s="206"/>
      <c r="J139" s="206"/>
    </row>
    <row r="140" spans="1:15">
      <c r="A140" s="206"/>
      <c r="B140" s="206"/>
      <c r="C140" s="206"/>
      <c r="D140" s="206"/>
      <c r="E140" s="206"/>
      <c r="F140" s="206"/>
      <c r="G140" s="206"/>
      <c r="H140" s="206"/>
      <c r="I140" s="206"/>
      <c r="J140" s="206"/>
    </row>
    <row r="141" spans="1:15">
      <c r="A141" s="206"/>
      <c r="B141" s="206"/>
      <c r="C141" s="206"/>
      <c r="D141" s="206"/>
      <c r="E141" s="206"/>
      <c r="F141" s="206"/>
      <c r="G141" s="206"/>
      <c r="H141" s="206"/>
      <c r="I141" s="206"/>
      <c r="J141" s="206"/>
    </row>
    <row r="142" spans="1:15">
      <c r="A142" s="206"/>
      <c r="B142" s="206"/>
      <c r="C142" s="206"/>
      <c r="D142" s="206"/>
      <c r="E142" s="206"/>
      <c r="F142" s="206"/>
      <c r="G142" s="206"/>
      <c r="H142" s="206"/>
      <c r="I142" s="206"/>
      <c r="J142" s="206"/>
    </row>
    <row r="143" spans="1:15">
      <c r="A143" s="206"/>
      <c r="B143" s="206"/>
      <c r="C143" s="206"/>
      <c r="D143" s="206"/>
      <c r="E143" s="206"/>
      <c r="F143" s="206"/>
      <c r="G143" s="206"/>
      <c r="H143" s="206"/>
      <c r="I143" s="206"/>
      <c r="J143" s="206"/>
    </row>
    <row r="144" spans="1:15">
      <c r="A144" s="206"/>
      <c r="B144" s="206"/>
      <c r="C144" s="206"/>
      <c r="D144" s="206"/>
      <c r="E144" s="206"/>
      <c r="F144" s="206"/>
      <c r="G144" s="206"/>
      <c r="H144" s="206"/>
      <c r="I144" s="206"/>
      <c r="J144" s="206"/>
    </row>
    <row r="145" spans="1:10">
      <c r="A145" s="206"/>
      <c r="B145" s="206"/>
      <c r="C145" s="206"/>
      <c r="D145" s="206"/>
      <c r="E145" s="206"/>
      <c r="F145" s="206"/>
      <c r="G145" s="206"/>
      <c r="H145" s="206"/>
      <c r="I145" s="206"/>
      <c r="J145" s="206"/>
    </row>
    <row r="146" spans="1:10">
      <c r="A146"/>
      <c r="B146" s="206"/>
      <c r="C146" s="206"/>
      <c r="D146" s="206"/>
      <c r="E146" s="206"/>
      <c r="F146" s="206"/>
      <c r="G146" s="206"/>
      <c r="H146" s="206"/>
      <c r="I146" s="206"/>
      <c r="J146" s="206"/>
    </row>
    <row r="147" spans="1:10">
      <c r="A147" s="206"/>
      <c r="B147" s="206"/>
      <c r="C147" s="206"/>
      <c r="D147" s="206"/>
      <c r="E147" s="206"/>
      <c r="F147" s="206"/>
      <c r="G147" s="206"/>
      <c r="H147" s="206"/>
      <c r="I147" s="206"/>
      <c r="J147" s="206"/>
    </row>
    <row r="148" spans="1:10">
      <c r="A148" s="206"/>
      <c r="B148" s="206"/>
      <c r="C148" s="206"/>
      <c r="D148" s="206"/>
      <c r="E148" s="206"/>
      <c r="F148" s="206"/>
      <c r="G148" s="206"/>
      <c r="H148" s="206"/>
      <c r="I148" s="206"/>
      <c r="J148" s="206"/>
    </row>
    <row r="149" spans="1:10">
      <c r="A149" s="206"/>
      <c r="B149" s="206"/>
      <c r="C149" s="206"/>
      <c r="D149" s="206"/>
      <c r="E149" s="206"/>
      <c r="F149" s="206"/>
      <c r="G149" s="206"/>
      <c r="H149" s="206"/>
      <c r="I149" s="206"/>
      <c r="J149" s="206"/>
    </row>
    <row r="150" spans="1:10">
      <c r="A150" s="206"/>
      <c r="B150" s="206"/>
      <c r="C150" s="206"/>
      <c r="D150" s="206"/>
      <c r="E150" s="206"/>
      <c r="F150" s="206"/>
      <c r="G150" s="206"/>
      <c r="H150" s="206"/>
      <c r="I150" s="206"/>
      <c r="J150" s="206"/>
    </row>
    <row r="151" spans="1:10">
      <c r="A151" s="206"/>
      <c r="B151" s="207"/>
      <c r="C151" s="206"/>
      <c r="D151" s="206"/>
      <c r="E151" s="206"/>
      <c r="F151" s="206"/>
      <c r="G151" s="206"/>
      <c r="H151" s="206"/>
      <c r="I151" s="206"/>
      <c r="J151" s="206"/>
    </row>
    <row r="152" spans="1:10">
      <c r="A152" s="206"/>
      <c r="B152" s="206"/>
      <c r="C152" s="206"/>
      <c r="D152" s="206"/>
      <c r="E152" s="206"/>
      <c r="F152" s="206"/>
      <c r="G152" s="206"/>
      <c r="H152" s="206"/>
      <c r="I152" s="206"/>
      <c r="J152" s="206"/>
    </row>
    <row r="153" spans="1:10">
      <c r="A153" s="206"/>
      <c r="B153" s="206"/>
      <c r="C153" s="206"/>
      <c r="D153" s="206"/>
      <c r="E153" s="206"/>
      <c r="F153" s="206"/>
      <c r="G153" s="206"/>
      <c r="H153" s="206"/>
      <c r="I153" s="206"/>
      <c r="J153" s="206"/>
    </row>
    <row r="154" spans="1:10">
      <c r="A154" s="206"/>
      <c r="B154" s="208"/>
      <c r="C154" s="208"/>
      <c r="D154" s="208"/>
      <c r="E154" s="208"/>
      <c r="F154" s="208"/>
      <c r="G154" s="208"/>
      <c r="H154" s="208"/>
      <c r="I154" s="208"/>
      <c r="J154" s="208"/>
    </row>
    <row r="155" spans="1:10">
      <c r="A155" s="206"/>
      <c r="B155" s="208"/>
      <c r="C155" s="208"/>
      <c r="D155" s="208"/>
      <c r="E155" s="208"/>
      <c r="F155" s="208"/>
      <c r="G155" s="208"/>
      <c r="H155" s="208"/>
      <c r="I155" s="208"/>
      <c r="J155" s="208"/>
    </row>
    <row r="156" spans="1:10">
      <c r="A156" s="206"/>
      <c r="B156" s="208"/>
      <c r="C156" s="208"/>
      <c r="D156" s="208"/>
      <c r="E156" s="208"/>
      <c r="F156" s="208"/>
      <c r="G156" s="208"/>
      <c r="H156" s="208"/>
      <c r="I156" s="208"/>
      <c r="J156" s="208"/>
    </row>
    <row r="157" spans="1:10">
      <c r="A157" s="206"/>
      <c r="B157" s="209"/>
      <c r="C157" s="208"/>
      <c r="D157" s="208"/>
      <c r="E157" s="208"/>
      <c r="F157" s="208"/>
      <c r="G157" s="208"/>
      <c r="H157" s="208"/>
      <c r="I157" s="208"/>
      <c r="J157" s="208"/>
    </row>
    <row r="158" spans="1:10">
      <c r="A158" s="206"/>
      <c r="B158" s="206"/>
      <c r="C158" s="206"/>
      <c r="D158" s="206"/>
      <c r="E158" s="206"/>
      <c r="F158" s="206"/>
      <c r="G158" s="206"/>
      <c r="H158" s="206"/>
      <c r="I158" s="206"/>
      <c r="J158" s="206"/>
    </row>
    <row r="159" spans="1:10">
      <c r="A159" s="206"/>
      <c r="B159" s="206"/>
      <c r="C159" s="206"/>
      <c r="D159" s="206"/>
      <c r="E159" s="206"/>
      <c r="F159" s="206"/>
      <c r="G159" s="206"/>
      <c r="H159" s="206"/>
      <c r="I159" s="206"/>
      <c r="J159" s="206"/>
    </row>
    <row r="160" spans="1:10">
      <c r="A160" s="206"/>
      <c r="B160" s="208"/>
      <c r="C160" s="208"/>
      <c r="D160" s="208"/>
      <c r="E160" s="208"/>
      <c r="F160" s="208"/>
      <c r="G160" s="208"/>
      <c r="H160" s="208"/>
      <c r="I160" s="208"/>
      <c r="J160" s="208"/>
    </row>
    <row r="161" spans="1:10">
      <c r="A161" s="206"/>
      <c r="B161" s="208"/>
      <c r="C161" s="208"/>
      <c r="D161" s="208"/>
      <c r="E161" s="208"/>
      <c r="F161" s="208"/>
      <c r="G161" s="208"/>
      <c r="H161" s="208"/>
      <c r="I161" s="208"/>
      <c r="J161" s="208"/>
    </row>
    <row r="162" spans="1:10">
      <c r="A162" s="206"/>
      <c r="B162" s="208"/>
      <c r="C162" s="208"/>
      <c r="D162" s="208"/>
      <c r="E162" s="208"/>
      <c r="F162" s="208"/>
      <c r="G162" s="208"/>
      <c r="H162" s="208"/>
      <c r="I162" s="208"/>
      <c r="J162" s="208"/>
    </row>
    <row r="163" spans="1:10" ht="15.75">
      <c r="A163" s="210"/>
      <c r="B163" s="211"/>
      <c r="C163" s="211"/>
      <c r="D163" s="211"/>
      <c r="E163" s="211"/>
      <c r="F163" s="211"/>
      <c r="G163" s="211"/>
      <c r="H163" s="211"/>
      <c r="I163" s="211"/>
      <c r="J163" s="211"/>
    </row>
    <row r="164" spans="1:10" ht="15.75">
      <c r="A164" s="212"/>
      <c r="B164" s="213"/>
      <c r="C164" s="213"/>
      <c r="D164" s="213"/>
      <c r="E164" s="213"/>
      <c r="F164" s="213"/>
      <c r="G164" s="213"/>
      <c r="H164" s="213"/>
      <c r="I164" s="213"/>
      <c r="J164" s="213"/>
    </row>
    <row r="165" spans="1:10" ht="15.75">
      <c r="A165" s="214"/>
      <c r="B165" s="215"/>
      <c r="C165" s="216"/>
      <c r="D165" s="212"/>
      <c r="E165" s="217"/>
      <c r="F165" s="212"/>
      <c r="G165" s="212"/>
      <c r="H165" s="212"/>
      <c r="I165" s="212"/>
      <c r="J165" s="212"/>
    </row>
    <row r="166" spans="1:10" ht="15.75">
      <c r="A166" s="212"/>
      <c r="B166" s="213"/>
      <c r="C166" s="213"/>
      <c r="D166" s="213"/>
      <c r="E166" s="218"/>
      <c r="F166" s="213"/>
      <c r="G166" s="212"/>
      <c r="H166" s="212"/>
      <c r="I166" s="212"/>
      <c r="J166" s="212"/>
    </row>
    <row r="167" spans="1:10" ht="15.75">
      <c r="A167" s="214"/>
      <c r="B167" s="219"/>
      <c r="C167" s="219"/>
      <c r="D167" s="219"/>
      <c r="E167" s="219"/>
      <c r="F167" s="219"/>
      <c r="G167" s="219"/>
      <c r="H167" s="219"/>
      <c r="I167" s="219"/>
      <c r="J167" s="219"/>
    </row>
    <row r="168" spans="1:10" ht="15.75">
      <c r="A168" s="212"/>
      <c r="B168" s="213"/>
      <c r="C168" s="213"/>
      <c r="D168" s="213"/>
      <c r="E168" s="213"/>
      <c r="F168" s="213"/>
      <c r="G168" s="213"/>
      <c r="H168" s="213"/>
      <c r="I168" s="213"/>
      <c r="J168" s="213"/>
    </row>
    <row r="169" spans="1:10" ht="15.75">
      <c r="A169" s="214"/>
      <c r="B169" s="215"/>
      <c r="C169" s="216"/>
      <c r="D169" s="212"/>
      <c r="E169" s="217"/>
      <c r="F169" s="212"/>
      <c r="G169" s="212"/>
      <c r="H169" s="212"/>
      <c r="I169" s="212"/>
      <c r="J169" s="212"/>
    </row>
    <row r="170" spans="1:10" ht="15.75">
      <c r="A170" s="212"/>
      <c r="B170" s="220"/>
      <c r="C170" s="212"/>
      <c r="D170" s="212"/>
      <c r="E170" s="212"/>
      <c r="F170" s="212"/>
      <c r="G170" s="212"/>
      <c r="H170" s="212"/>
      <c r="I170" s="212"/>
      <c r="J170" s="212"/>
    </row>
    <row r="171" spans="1:10" ht="15.75">
      <c r="A171" s="214"/>
      <c r="B171" s="219"/>
      <c r="C171" s="219"/>
      <c r="D171" s="219"/>
      <c r="E171" s="219"/>
      <c r="F171" s="219"/>
      <c r="G171" s="219"/>
      <c r="H171" s="219"/>
      <c r="I171" s="219"/>
      <c r="J171" s="219"/>
    </row>
    <row r="172" spans="1:10" ht="15.75">
      <c r="A172" s="212"/>
      <c r="B172" s="213"/>
      <c r="C172" s="213"/>
      <c r="D172" s="213"/>
      <c r="E172" s="213"/>
      <c r="F172" s="213"/>
      <c r="G172" s="213"/>
      <c r="H172" s="213"/>
      <c r="I172" s="213"/>
      <c r="J172" s="213"/>
    </row>
    <row r="173" spans="1:10" ht="15.75">
      <c r="A173" s="214"/>
      <c r="B173" s="215"/>
      <c r="C173" s="216"/>
      <c r="D173" s="212"/>
      <c r="E173" s="217"/>
      <c r="F173" s="212"/>
      <c r="G173" s="212"/>
      <c r="H173" s="212"/>
      <c r="I173" s="212"/>
      <c r="J173" s="212"/>
    </row>
    <row r="174" spans="1:10">
      <c r="A174"/>
      <c r="B174"/>
      <c r="C174"/>
      <c r="D174"/>
      <c r="E174"/>
      <c r="F174"/>
      <c r="G174"/>
      <c r="H174"/>
      <c r="I174"/>
      <c r="J174"/>
    </row>
    <row r="175" spans="1:10" ht="15.75">
      <c r="A175" s="212"/>
      <c r="B175" s="219"/>
      <c r="C175" s="221"/>
      <c r="D175"/>
      <c r="E175"/>
      <c r="F175"/>
      <c r="G175"/>
      <c r="H175"/>
      <c r="I175"/>
      <c r="J175"/>
    </row>
  </sheetData>
  <sheetProtection selectLockedCells="1" selectUnlockedCells="1"/>
  <pageMargins left="0.7" right="0.7" top="0.75" bottom="0.75" header="0.51180555555555551" footer="0.51180555555555551"/>
  <pageSetup scale="43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4" workbookViewId="0">
      <selection activeCell="B18" sqref="B18"/>
    </sheetView>
  </sheetViews>
  <sheetFormatPr defaultRowHeight="12.75"/>
  <cols>
    <col min="1" max="1" width="23.28515625" customWidth="1"/>
    <col min="2" max="2" width="11.7109375" bestFit="1" customWidth="1"/>
    <col min="3" max="4" width="9.85546875" bestFit="1" customWidth="1"/>
    <col min="5" max="5" width="11.7109375" bestFit="1" customWidth="1"/>
    <col min="6" max="9" width="9.85546875" bestFit="1" customWidth="1"/>
    <col min="10" max="10" width="12.7109375" bestFit="1" customWidth="1"/>
  </cols>
  <sheetData>
    <row r="1" spans="1:10" ht="14.25">
      <c r="A1" s="206" t="s">
        <v>158</v>
      </c>
      <c r="B1" s="206"/>
      <c r="C1" s="206"/>
      <c r="D1" s="206"/>
      <c r="E1" s="206"/>
      <c r="F1" s="206"/>
      <c r="G1" s="206"/>
      <c r="H1" s="206"/>
      <c r="I1" s="206"/>
      <c r="J1" s="206"/>
    </row>
    <row r="2" spans="1:10" ht="14.25">
      <c r="A2" s="206" t="s">
        <v>159</v>
      </c>
      <c r="B2" s="206"/>
      <c r="C2" s="206"/>
      <c r="D2" s="206"/>
      <c r="E2" s="206"/>
      <c r="F2" s="206"/>
      <c r="G2" s="206"/>
      <c r="H2" s="206"/>
      <c r="I2" s="206"/>
      <c r="J2" s="206"/>
    </row>
    <row r="3" spans="1:10" ht="14.25">
      <c r="A3" s="206"/>
      <c r="B3" s="206"/>
      <c r="C3" s="206"/>
      <c r="D3" s="206"/>
      <c r="E3" s="206"/>
      <c r="F3" s="206"/>
      <c r="G3" s="206"/>
      <c r="H3" s="206"/>
      <c r="I3" s="206"/>
      <c r="J3" s="206"/>
    </row>
    <row r="4" spans="1:10" ht="14.25">
      <c r="A4" s="206" t="s">
        <v>160</v>
      </c>
      <c r="B4" s="206"/>
      <c r="C4" s="206"/>
      <c r="D4" s="206"/>
      <c r="E4" s="206"/>
      <c r="F4" s="206"/>
      <c r="G4" s="206"/>
      <c r="H4" s="206"/>
      <c r="I4" s="206"/>
      <c r="J4" s="206"/>
    </row>
    <row r="5" spans="1:10" ht="14.25">
      <c r="A5" s="206"/>
      <c r="B5" s="206"/>
      <c r="C5" s="206"/>
      <c r="D5" s="206"/>
      <c r="E5" s="206"/>
      <c r="F5" s="206"/>
      <c r="G5" s="206"/>
      <c r="H5" s="206"/>
      <c r="I5" s="206"/>
      <c r="J5" s="206"/>
    </row>
    <row r="6" spans="1:10" ht="14.25">
      <c r="A6" s="206" t="s">
        <v>161</v>
      </c>
      <c r="B6" s="206"/>
      <c r="C6" s="206"/>
      <c r="D6" s="206"/>
      <c r="E6" s="206"/>
      <c r="F6" s="206"/>
      <c r="G6" s="206"/>
      <c r="H6" s="206"/>
      <c r="I6" s="206"/>
      <c r="J6" s="206"/>
    </row>
    <row r="7" spans="1:10" ht="14.25">
      <c r="A7" s="206" t="s">
        <v>162</v>
      </c>
      <c r="B7" s="206"/>
      <c r="C7" s="206"/>
      <c r="D7" s="206"/>
      <c r="E7" s="206"/>
      <c r="F7" s="206"/>
      <c r="G7" s="206"/>
      <c r="H7" s="206"/>
      <c r="I7" s="206"/>
      <c r="J7" s="206"/>
    </row>
    <row r="8" spans="1:10" ht="14.25">
      <c r="A8" s="206" t="s">
        <v>163</v>
      </c>
      <c r="B8" s="206"/>
      <c r="C8" s="206"/>
      <c r="D8" s="206"/>
      <c r="E8" s="206"/>
      <c r="F8" s="206"/>
      <c r="G8" s="206"/>
      <c r="H8" s="206"/>
      <c r="I8" s="206"/>
      <c r="J8" s="206"/>
    </row>
    <row r="9" spans="1:10" ht="14.25">
      <c r="A9" s="206"/>
      <c r="B9" s="206"/>
      <c r="C9" s="206"/>
      <c r="D9" s="206"/>
      <c r="E9" s="206"/>
      <c r="F9" s="206"/>
      <c r="G9" s="206"/>
      <c r="H9" s="206"/>
      <c r="I9" s="206"/>
      <c r="J9" s="206"/>
    </row>
    <row r="10" spans="1:10" ht="14.25">
      <c r="A10" s="206" t="s">
        <v>164</v>
      </c>
      <c r="B10" s="206"/>
      <c r="C10" s="206"/>
      <c r="D10" s="206"/>
      <c r="E10" s="206"/>
      <c r="F10" s="206"/>
      <c r="G10" s="206"/>
      <c r="H10" s="206"/>
      <c r="I10" s="206"/>
      <c r="J10" s="206"/>
    </row>
    <row r="11" spans="1:10" ht="14.25">
      <c r="A11" s="206" t="s">
        <v>162</v>
      </c>
      <c r="B11" s="206"/>
      <c r="C11" s="206"/>
      <c r="D11" s="206"/>
      <c r="E11" s="206"/>
      <c r="F11" s="206"/>
      <c r="G11" s="206"/>
      <c r="H11" s="206"/>
      <c r="I11" s="206"/>
      <c r="J11" s="206"/>
    </row>
    <row r="12" spans="1:10" ht="14.25">
      <c r="A12" s="206" t="s">
        <v>165</v>
      </c>
      <c r="B12" s="206"/>
      <c r="C12" s="206"/>
      <c r="D12" s="206"/>
      <c r="E12" s="206"/>
      <c r="F12" s="206"/>
      <c r="G12" s="206"/>
      <c r="H12" s="206"/>
      <c r="I12" s="206"/>
      <c r="J12" s="206"/>
    </row>
    <row r="13" spans="1:10" ht="14.25">
      <c r="A13" s="206"/>
      <c r="B13" s="206"/>
      <c r="C13" s="206"/>
      <c r="D13" s="206"/>
      <c r="E13" s="206"/>
      <c r="F13" s="206"/>
      <c r="G13" s="206"/>
      <c r="H13" s="206"/>
      <c r="I13" s="206"/>
      <c r="J13" s="206"/>
    </row>
    <row r="14" spans="1:10" ht="14.25">
      <c r="A14" s="206" t="s">
        <v>166</v>
      </c>
      <c r="B14" s="206"/>
      <c r="C14" s="206"/>
      <c r="D14" s="206"/>
      <c r="E14" s="206"/>
      <c r="F14" s="206"/>
      <c r="G14" s="206"/>
      <c r="H14" s="206"/>
      <c r="I14" s="206"/>
      <c r="J14" s="206"/>
    </row>
    <row r="15" spans="1:10" ht="14.25">
      <c r="A15" s="206" t="s">
        <v>167</v>
      </c>
      <c r="B15" s="206"/>
      <c r="C15" s="206"/>
      <c r="D15" s="206"/>
      <c r="E15" s="206"/>
      <c r="F15" s="206"/>
      <c r="G15" s="206"/>
      <c r="H15" s="206"/>
      <c r="I15" s="206"/>
      <c r="J15" s="206"/>
    </row>
    <row r="16" spans="1:10" ht="14.25">
      <c r="A16" s="206" t="s">
        <v>168</v>
      </c>
      <c r="B16" s="206"/>
      <c r="C16" s="206"/>
      <c r="D16" s="206"/>
      <c r="E16" s="206"/>
      <c r="F16" s="206"/>
      <c r="G16" s="206"/>
      <c r="H16" s="206"/>
      <c r="I16" s="206"/>
      <c r="J16" s="206"/>
    </row>
    <row r="17" spans="1:10" ht="15" customHeight="1">
      <c r="B17" s="206"/>
      <c r="C17" s="206"/>
      <c r="D17" s="206"/>
      <c r="E17" s="206"/>
      <c r="F17" s="206"/>
      <c r="G17" s="206"/>
      <c r="H17" s="206"/>
      <c r="I17" s="206"/>
      <c r="J17" s="206"/>
    </row>
    <row r="18" spans="1:10" ht="14.25">
      <c r="A18" s="206" t="s">
        <v>169</v>
      </c>
      <c r="B18" s="222"/>
      <c r="C18" s="206"/>
      <c r="D18" s="206"/>
      <c r="E18" s="206"/>
      <c r="F18" s="206"/>
      <c r="G18" s="206"/>
      <c r="H18" s="206"/>
      <c r="I18" s="206"/>
      <c r="J18" s="206"/>
    </row>
    <row r="19" spans="1:10" ht="14.25">
      <c r="A19" s="206" t="s">
        <v>170</v>
      </c>
      <c r="B19" s="206"/>
      <c r="C19" s="206"/>
      <c r="D19" s="206"/>
      <c r="E19" s="206"/>
      <c r="F19" s="206"/>
      <c r="G19" s="206"/>
      <c r="H19" s="206"/>
      <c r="I19" s="206"/>
      <c r="J19" s="206"/>
    </row>
    <row r="20" spans="1:10" ht="14.25">
      <c r="A20" s="206" t="s">
        <v>171</v>
      </c>
      <c r="B20" s="206"/>
      <c r="C20" s="206"/>
      <c r="D20" s="206"/>
      <c r="E20" s="206"/>
      <c r="F20" s="206"/>
      <c r="G20" s="206"/>
      <c r="H20" s="206"/>
      <c r="I20" s="206"/>
      <c r="J20" s="206"/>
    </row>
    <row r="21" spans="1:10" ht="14.25">
      <c r="A21" s="206"/>
      <c r="B21" s="206"/>
      <c r="C21" s="206"/>
      <c r="D21" s="206"/>
      <c r="E21" s="206"/>
      <c r="F21" s="206"/>
      <c r="G21" s="206"/>
      <c r="H21" s="206"/>
      <c r="I21" s="206"/>
      <c r="J21" s="206"/>
    </row>
    <row r="22" spans="1:10" ht="14.25">
      <c r="A22" s="206" t="s">
        <v>121</v>
      </c>
      <c r="B22" s="207">
        <v>0.06</v>
      </c>
      <c r="C22" s="206"/>
      <c r="D22" s="206"/>
      <c r="E22" s="206"/>
      <c r="F22" s="206"/>
      <c r="G22" s="206"/>
      <c r="H22" s="206"/>
      <c r="I22" s="206"/>
      <c r="J22" s="206"/>
    </row>
    <row r="23" spans="1:10" ht="14.25">
      <c r="A23" s="206"/>
      <c r="B23" s="206"/>
      <c r="C23" s="206"/>
      <c r="D23" s="206"/>
      <c r="E23" s="206"/>
      <c r="F23" s="206"/>
      <c r="G23" s="206"/>
      <c r="H23" s="206"/>
      <c r="I23" s="206"/>
      <c r="J23" s="206"/>
    </row>
    <row r="24" spans="1:10" ht="14.25">
      <c r="A24" s="206" t="s">
        <v>172</v>
      </c>
      <c r="B24" s="206">
        <v>0</v>
      </c>
      <c r="C24" s="206">
        <v>1</v>
      </c>
      <c r="D24" s="206">
        <v>2</v>
      </c>
      <c r="E24" s="206">
        <v>3</v>
      </c>
      <c r="F24" s="206">
        <v>4</v>
      </c>
      <c r="G24" s="206">
        <v>5</v>
      </c>
      <c r="H24" s="206">
        <v>6</v>
      </c>
      <c r="I24" s="206">
        <v>7</v>
      </c>
      <c r="J24" s="206">
        <v>8</v>
      </c>
    </row>
    <row r="25" spans="1:10" ht="14.25">
      <c r="A25" s="206" t="s">
        <v>173</v>
      </c>
      <c r="B25" s="208">
        <v>-500000</v>
      </c>
      <c r="C25" s="208">
        <v>34000</v>
      </c>
      <c r="D25" s="208">
        <f>C25</f>
        <v>34000</v>
      </c>
      <c r="E25" s="208">
        <f t="shared" ref="E25:J25" si="0">D25</f>
        <v>34000</v>
      </c>
      <c r="F25" s="208">
        <f t="shared" si="0"/>
        <v>34000</v>
      </c>
      <c r="G25" s="208">
        <f t="shared" si="0"/>
        <v>34000</v>
      </c>
      <c r="H25" s="208">
        <f t="shared" si="0"/>
        <v>34000</v>
      </c>
      <c r="I25" s="208">
        <f t="shared" si="0"/>
        <v>34000</v>
      </c>
      <c r="J25" s="208">
        <f t="shared" si="0"/>
        <v>34000</v>
      </c>
    </row>
    <row r="26" spans="1:10" ht="14.25">
      <c r="A26" s="206" t="s">
        <v>174</v>
      </c>
      <c r="B26" s="208"/>
      <c r="C26" s="208"/>
      <c r="D26" s="208"/>
      <c r="E26" s="208"/>
      <c r="F26" s="208"/>
      <c r="G26" s="208"/>
      <c r="H26" s="208"/>
      <c r="I26" s="208"/>
      <c r="J26" s="208">
        <v>300000</v>
      </c>
    </row>
    <row r="27" spans="1:10" ht="14.25">
      <c r="A27" s="206"/>
      <c r="B27" s="208"/>
      <c r="C27" s="208"/>
      <c r="D27" s="208"/>
      <c r="E27" s="208"/>
      <c r="F27" s="208"/>
      <c r="G27" s="208"/>
      <c r="H27" s="208"/>
      <c r="I27" s="208"/>
      <c r="J27" s="208"/>
    </row>
    <row r="28" spans="1:10" ht="14.25">
      <c r="A28" s="206"/>
      <c r="B28" s="209"/>
      <c r="C28" s="208"/>
      <c r="D28" s="208"/>
      <c r="E28" s="208"/>
      <c r="F28" s="208"/>
      <c r="G28" s="208"/>
      <c r="H28" s="208"/>
      <c r="I28" s="208"/>
      <c r="J28" s="208"/>
    </row>
    <row r="29" spans="1:10" ht="14.25">
      <c r="A29" s="206"/>
      <c r="B29" s="206"/>
      <c r="C29" s="206"/>
      <c r="D29" s="206"/>
      <c r="E29" s="206"/>
      <c r="F29" s="206"/>
      <c r="G29" s="206"/>
      <c r="H29" s="206"/>
      <c r="I29" s="206"/>
      <c r="J29" s="206"/>
    </row>
    <row r="30" spans="1:10" ht="14.25">
      <c r="A30" s="206" t="s">
        <v>175</v>
      </c>
      <c r="B30" s="206"/>
      <c r="C30" s="206"/>
      <c r="D30" s="206"/>
      <c r="E30" s="206"/>
      <c r="F30" s="206"/>
      <c r="G30" s="206"/>
      <c r="H30" s="206"/>
      <c r="I30" s="206"/>
      <c r="J30" s="206"/>
    </row>
    <row r="31" spans="1:10" ht="14.25">
      <c r="A31" s="206" t="s">
        <v>173</v>
      </c>
      <c r="B31" s="208"/>
      <c r="C31" s="208"/>
      <c r="D31" s="208"/>
      <c r="E31" s="208">
        <v>-750000</v>
      </c>
      <c r="F31" s="208">
        <v>42000</v>
      </c>
      <c r="G31" s="208">
        <f>F31</f>
        <v>42000</v>
      </c>
      <c r="H31" s="208">
        <f>G31</f>
        <v>42000</v>
      </c>
      <c r="I31" s="208">
        <f>H31</f>
        <v>42000</v>
      </c>
      <c r="J31" s="208">
        <f>I31</f>
        <v>42000</v>
      </c>
    </row>
    <row r="32" spans="1:10" ht="14.25">
      <c r="A32" s="206" t="s">
        <v>174</v>
      </c>
      <c r="B32" s="208"/>
      <c r="C32" s="208"/>
      <c r="D32" s="208"/>
      <c r="E32" s="208"/>
      <c r="F32" s="208"/>
      <c r="G32" s="208"/>
      <c r="H32" s="208"/>
      <c r="I32" s="208"/>
      <c r="J32" s="208">
        <v>800000</v>
      </c>
    </row>
    <row r="33" spans="1:10" ht="14.25">
      <c r="A33" s="206"/>
      <c r="B33" s="208"/>
      <c r="C33" s="208"/>
      <c r="D33" s="208"/>
      <c r="E33" s="208"/>
      <c r="F33" s="208"/>
      <c r="G33" s="208"/>
      <c r="H33" s="208"/>
      <c r="I33" s="208"/>
      <c r="J33" s="208"/>
    </row>
    <row r="34" spans="1:10" ht="15.75">
      <c r="A34" s="210" t="s">
        <v>176</v>
      </c>
      <c r="B34" s="211">
        <f>B25</f>
        <v>-500000</v>
      </c>
      <c r="C34" s="211">
        <f>C25</f>
        <v>34000</v>
      </c>
      <c r="D34" s="211">
        <f>D25</f>
        <v>34000</v>
      </c>
      <c r="E34" s="211">
        <f>E25+E31</f>
        <v>-716000</v>
      </c>
      <c r="F34" s="211">
        <f>F25+F31</f>
        <v>76000</v>
      </c>
      <c r="G34" s="211">
        <f>G25+G31</f>
        <v>76000</v>
      </c>
      <c r="H34" s="211">
        <f>H25+H31</f>
        <v>76000</v>
      </c>
      <c r="I34" s="211">
        <f>I25+I31</f>
        <v>76000</v>
      </c>
      <c r="J34" s="211">
        <f>J25+700000+J31+900000</f>
        <v>1676000</v>
      </c>
    </row>
    <row r="35" spans="1:10" ht="15.75">
      <c r="A35" s="212" t="s">
        <v>177</v>
      </c>
      <c r="B35" s="213">
        <f>-PV($B$26,B$28,,B34)</f>
        <v>-500000</v>
      </c>
      <c r="C35" s="213">
        <f t="shared" ref="C35:J35" si="1">-PV($B$26,C$28,,C34)</f>
        <v>34000</v>
      </c>
      <c r="D35" s="213">
        <f t="shared" si="1"/>
        <v>34000</v>
      </c>
      <c r="E35" s="213">
        <f t="shared" si="1"/>
        <v>-716000</v>
      </c>
      <c r="F35" s="213">
        <f t="shared" si="1"/>
        <v>76000</v>
      </c>
      <c r="G35" s="213">
        <f t="shared" si="1"/>
        <v>76000</v>
      </c>
      <c r="H35" s="213">
        <f t="shared" si="1"/>
        <v>76000</v>
      </c>
      <c r="I35" s="213">
        <f t="shared" si="1"/>
        <v>76000</v>
      </c>
      <c r="J35" s="213">
        <f t="shared" si="1"/>
        <v>1676000</v>
      </c>
    </row>
    <row r="36" spans="1:10" ht="15.75">
      <c r="A36" s="214" t="s">
        <v>178</v>
      </c>
      <c r="B36" s="215">
        <f>SUM(B35:J35)</f>
        <v>832000</v>
      </c>
      <c r="C36" s="216">
        <v>0.6</v>
      </c>
      <c r="D36" s="212"/>
      <c r="E36" s="217"/>
      <c r="F36" s="212"/>
      <c r="G36" s="212"/>
      <c r="H36" s="212"/>
      <c r="I36" s="212"/>
      <c r="J36" s="212"/>
    </row>
    <row r="37" spans="1:10" ht="15.75">
      <c r="A37" s="212"/>
      <c r="B37" s="213"/>
      <c r="C37" s="213"/>
      <c r="D37" s="213"/>
      <c r="E37" s="218"/>
      <c r="F37" s="213"/>
      <c r="G37" s="212"/>
      <c r="H37" s="212"/>
      <c r="I37" s="212"/>
      <c r="J37" s="212"/>
    </row>
    <row r="38" spans="1:10" ht="15.75">
      <c r="A38" s="214" t="s">
        <v>179</v>
      </c>
      <c r="B38" s="219">
        <f>B25</f>
        <v>-500000</v>
      </c>
      <c r="C38" s="219">
        <f t="shared" ref="C38:D38" si="2">C25</f>
        <v>34000</v>
      </c>
      <c r="D38" s="219">
        <f t="shared" si="2"/>
        <v>34000</v>
      </c>
      <c r="E38" s="219">
        <f>E25+E31</f>
        <v>-716000</v>
      </c>
      <c r="F38" s="219">
        <f t="shared" ref="F38:I38" si="3">F25+F31</f>
        <v>76000</v>
      </c>
      <c r="G38" s="219">
        <f t="shared" si="3"/>
        <v>76000</v>
      </c>
      <c r="H38" s="219">
        <f t="shared" si="3"/>
        <v>76000</v>
      </c>
      <c r="I38" s="219">
        <f t="shared" si="3"/>
        <v>76000</v>
      </c>
      <c r="J38" s="219">
        <f>J25+J26+J31+J32</f>
        <v>1176000</v>
      </c>
    </row>
    <row r="39" spans="1:10" ht="15.75">
      <c r="A39" s="212" t="s">
        <v>177</v>
      </c>
      <c r="B39" s="213">
        <f t="shared" ref="B39:J39" si="4">-PV($B$26,B$28,,B38)</f>
        <v>-500000</v>
      </c>
      <c r="C39" s="213">
        <f t="shared" si="4"/>
        <v>34000</v>
      </c>
      <c r="D39" s="213">
        <f t="shared" si="4"/>
        <v>34000</v>
      </c>
      <c r="E39" s="213">
        <f t="shared" si="4"/>
        <v>-716000</v>
      </c>
      <c r="F39" s="213">
        <f t="shared" si="4"/>
        <v>76000</v>
      </c>
      <c r="G39" s="213">
        <f t="shared" si="4"/>
        <v>76000</v>
      </c>
      <c r="H39" s="213">
        <f t="shared" si="4"/>
        <v>76000</v>
      </c>
      <c r="I39" s="213">
        <f t="shared" si="4"/>
        <v>76000</v>
      </c>
      <c r="J39" s="213">
        <f t="shared" si="4"/>
        <v>1176000</v>
      </c>
    </row>
    <row r="40" spans="1:10" ht="15.75">
      <c r="A40" s="214" t="s">
        <v>178</v>
      </c>
      <c r="B40" s="215">
        <f>SUM(B39:J39)</f>
        <v>332000</v>
      </c>
      <c r="C40" s="216">
        <v>0.2</v>
      </c>
      <c r="D40" s="212"/>
      <c r="E40" s="217"/>
      <c r="F40" s="212"/>
      <c r="G40" s="212"/>
      <c r="H40" s="212"/>
      <c r="I40" s="212"/>
      <c r="J40" s="212"/>
    </row>
    <row r="41" spans="1:10" ht="15.75">
      <c r="A41" s="212"/>
      <c r="B41" s="220"/>
      <c r="C41" s="212"/>
      <c r="D41" s="212"/>
      <c r="E41" s="212"/>
      <c r="F41" s="212"/>
      <c r="G41" s="212"/>
      <c r="H41" s="212"/>
      <c r="I41" s="212"/>
      <c r="J41" s="212"/>
    </row>
    <row r="42" spans="1:10" ht="15.75">
      <c r="A42" s="214" t="s">
        <v>180</v>
      </c>
      <c r="B42" s="219">
        <f>B25</f>
        <v>-500000</v>
      </c>
      <c r="C42" s="219">
        <f t="shared" ref="C42:I42" si="5">C25</f>
        <v>34000</v>
      </c>
      <c r="D42" s="219">
        <f t="shared" si="5"/>
        <v>34000</v>
      </c>
      <c r="E42" s="219">
        <f t="shared" si="5"/>
        <v>34000</v>
      </c>
      <c r="F42" s="219">
        <f t="shared" si="5"/>
        <v>34000</v>
      </c>
      <c r="G42" s="219">
        <f t="shared" si="5"/>
        <v>34000</v>
      </c>
      <c r="H42" s="219">
        <f t="shared" si="5"/>
        <v>34000</v>
      </c>
      <c r="I42" s="219">
        <f t="shared" si="5"/>
        <v>34000</v>
      </c>
      <c r="J42" s="219">
        <f>J25+250000</f>
        <v>284000</v>
      </c>
    </row>
    <row r="43" spans="1:10" ht="15.75">
      <c r="A43" s="212" t="s">
        <v>177</v>
      </c>
      <c r="B43" s="213">
        <f t="shared" ref="B43:J43" si="6">-PV($B$26,B$28,,B42)</f>
        <v>-500000</v>
      </c>
      <c r="C43" s="213">
        <f t="shared" si="6"/>
        <v>34000</v>
      </c>
      <c r="D43" s="213">
        <f t="shared" si="6"/>
        <v>34000</v>
      </c>
      <c r="E43" s="213">
        <f t="shared" si="6"/>
        <v>34000</v>
      </c>
      <c r="F43" s="213">
        <f t="shared" si="6"/>
        <v>34000</v>
      </c>
      <c r="G43" s="213">
        <f t="shared" si="6"/>
        <v>34000</v>
      </c>
      <c r="H43" s="213">
        <f t="shared" si="6"/>
        <v>34000</v>
      </c>
      <c r="I43" s="213">
        <f t="shared" si="6"/>
        <v>34000</v>
      </c>
      <c r="J43" s="213">
        <f t="shared" si="6"/>
        <v>284000</v>
      </c>
    </row>
    <row r="44" spans="1:10" ht="15.75">
      <c r="A44" s="214" t="s">
        <v>178</v>
      </c>
      <c r="B44" s="215">
        <f>SUM(B43:J43)</f>
        <v>22000</v>
      </c>
      <c r="C44" s="216">
        <v>0.2</v>
      </c>
      <c r="D44" s="212"/>
      <c r="E44" s="217"/>
      <c r="F44" s="212"/>
      <c r="G44" s="212"/>
      <c r="H44" s="212"/>
      <c r="I44" s="212"/>
      <c r="J44" s="212"/>
    </row>
    <row r="46" spans="1:10" ht="15.75">
      <c r="A46" s="212" t="s">
        <v>142</v>
      </c>
      <c r="B46" s="219">
        <f>C36*B36+C44*B44+C40*B40</f>
        <v>570000</v>
      </c>
      <c r="C46" s="22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"/>
  <sheetViews>
    <sheetView showGridLines="0" workbookViewId="0">
      <selection activeCell="H14" sqref="H14:J18"/>
    </sheetView>
  </sheetViews>
  <sheetFormatPr defaultColWidth="11.5703125" defaultRowHeight="12.75"/>
  <cols>
    <col min="3" max="3" width="13.7109375" customWidth="1"/>
    <col min="4" max="4" width="14.42578125" customWidth="1"/>
    <col min="5" max="5" width="12.140625" customWidth="1"/>
    <col min="6" max="6" width="13.140625" customWidth="1"/>
    <col min="7" max="7" width="16.28515625" customWidth="1"/>
    <col min="9" max="9" width="13.85546875" customWidth="1"/>
    <col min="10" max="10" width="16.42578125" customWidth="1"/>
  </cols>
  <sheetData>
    <row r="1" spans="1:10">
      <c r="A1" s="70" t="s">
        <v>105</v>
      </c>
      <c r="I1" s="70" t="s">
        <v>106</v>
      </c>
    </row>
    <row r="2" spans="1:10">
      <c r="A2" s="70" t="s">
        <v>27</v>
      </c>
      <c r="I2" s="70"/>
    </row>
    <row r="3" spans="1:10">
      <c r="C3" s="70" t="s">
        <v>107</v>
      </c>
      <c r="D3" s="70" t="s">
        <v>108</v>
      </c>
      <c r="E3" s="70" t="s">
        <v>109</v>
      </c>
      <c r="F3" s="70" t="s">
        <v>110</v>
      </c>
      <c r="G3" s="70" t="s">
        <v>111</v>
      </c>
      <c r="I3" s="70" t="s">
        <v>112</v>
      </c>
      <c r="J3">
        <f>[2]Answer!D26</f>
        <v>30</v>
      </c>
    </row>
    <row r="4" spans="1:10">
      <c r="B4">
        <v>1</v>
      </c>
      <c r="C4" s="71">
        <f>J5</f>
        <v>575000</v>
      </c>
      <c r="D4" s="71">
        <f t="shared" ref="D4:D15" si="0">$J$8</f>
        <v>2811.8487488527753</v>
      </c>
      <c r="E4" s="71">
        <f t="shared" ref="E4:E15" si="1">C4*$J$7</f>
        <v>2012.5</v>
      </c>
      <c r="F4" s="71">
        <f t="shared" ref="F4:F15" si="2">D4-E4</f>
        <v>799.34874885277532</v>
      </c>
      <c r="G4" s="71">
        <f t="shared" ref="G4:G15" si="3">C4-F4</f>
        <v>574200.65125114727</v>
      </c>
      <c r="I4" s="70" t="s">
        <v>113</v>
      </c>
      <c r="J4" s="72">
        <v>4.2000000000000003E-2</v>
      </c>
    </row>
    <row r="5" spans="1:10">
      <c r="B5">
        <v>2</v>
      </c>
      <c r="C5" s="71">
        <f t="shared" ref="C5:C15" si="4">G4</f>
        <v>574200.65125114727</v>
      </c>
      <c r="D5" s="71">
        <f t="shared" si="0"/>
        <v>2811.8487488527753</v>
      </c>
      <c r="E5" s="71">
        <f t="shared" si="1"/>
        <v>2009.7022793790154</v>
      </c>
      <c r="F5" s="71">
        <f t="shared" si="2"/>
        <v>802.14646947375991</v>
      </c>
      <c r="G5" s="71">
        <f t="shared" si="3"/>
        <v>573398.50478167355</v>
      </c>
      <c r="I5" s="70" t="s">
        <v>114</v>
      </c>
      <c r="J5" s="71">
        <f>+[3]Answer!D69</f>
        <v>575000</v>
      </c>
    </row>
    <row r="6" spans="1:10">
      <c r="B6">
        <v>3</v>
      </c>
      <c r="C6" s="71">
        <f t="shared" si="4"/>
        <v>573398.50478167355</v>
      </c>
      <c r="D6" s="71">
        <f t="shared" si="0"/>
        <v>2811.8487488527753</v>
      </c>
      <c r="E6" s="71">
        <f t="shared" si="1"/>
        <v>2006.8947667358575</v>
      </c>
      <c r="F6" s="71">
        <f t="shared" si="2"/>
        <v>804.95398211691781</v>
      </c>
      <c r="G6" s="71">
        <f t="shared" si="3"/>
        <v>572593.55079955666</v>
      </c>
      <c r="I6" s="70" t="s">
        <v>115</v>
      </c>
      <c r="J6">
        <f>30*12</f>
        <v>360</v>
      </c>
    </row>
    <row r="7" spans="1:10">
      <c r="B7">
        <v>4</v>
      </c>
      <c r="C7" s="71">
        <f t="shared" si="4"/>
        <v>572593.55079955666</v>
      </c>
      <c r="D7" s="71">
        <f t="shared" si="0"/>
        <v>2811.8487488527753</v>
      </c>
      <c r="E7" s="71">
        <f t="shared" si="1"/>
        <v>2004.0774277984483</v>
      </c>
      <c r="F7" s="71">
        <f t="shared" si="2"/>
        <v>807.77132105432702</v>
      </c>
      <c r="G7" s="71">
        <f t="shared" si="3"/>
        <v>571785.77947850234</v>
      </c>
      <c r="I7" s="70" t="s">
        <v>116</v>
      </c>
      <c r="J7" s="72">
        <f>J4/12</f>
        <v>3.5000000000000001E-3</v>
      </c>
    </row>
    <row r="8" spans="1:10">
      <c r="B8">
        <v>5</v>
      </c>
      <c r="C8" s="71">
        <f t="shared" si="4"/>
        <v>571785.77947850234</v>
      </c>
      <c r="D8" s="71">
        <f t="shared" si="0"/>
        <v>2811.8487488527753</v>
      </c>
      <c r="E8" s="71">
        <f t="shared" si="1"/>
        <v>2001.2502281747581</v>
      </c>
      <c r="F8" s="71">
        <f t="shared" si="2"/>
        <v>810.59852067801717</v>
      </c>
      <c r="G8" s="71">
        <f t="shared" si="3"/>
        <v>570975.18095782434</v>
      </c>
      <c r="I8" s="70" t="s">
        <v>108</v>
      </c>
      <c r="J8" s="73">
        <f>-PMT(J7,J6,J5)</f>
        <v>2811.8487488527753</v>
      </c>
    </row>
    <row r="9" spans="1:10">
      <c r="B9">
        <v>6</v>
      </c>
      <c r="C9" s="71">
        <f t="shared" si="4"/>
        <v>570975.18095782434</v>
      </c>
      <c r="D9" s="71">
        <f t="shared" si="0"/>
        <v>2811.8487488527753</v>
      </c>
      <c r="E9" s="71">
        <f t="shared" si="1"/>
        <v>1998.4131333523853</v>
      </c>
      <c r="F9" s="71">
        <f t="shared" si="2"/>
        <v>813.43561550038999</v>
      </c>
      <c r="G9" s="71">
        <f t="shared" si="3"/>
        <v>570161.74534232391</v>
      </c>
    </row>
    <row r="10" spans="1:10">
      <c r="B10">
        <v>7</v>
      </c>
      <c r="C10" s="71">
        <f t="shared" si="4"/>
        <v>570161.74534232391</v>
      </c>
      <c r="D10" s="71">
        <f t="shared" si="0"/>
        <v>2811.8487488527753</v>
      </c>
      <c r="E10" s="71">
        <f t="shared" si="1"/>
        <v>1995.5661086981338</v>
      </c>
      <c r="F10" s="71">
        <f t="shared" si="2"/>
        <v>816.28264015464151</v>
      </c>
      <c r="G10" s="71">
        <f t="shared" si="3"/>
        <v>569345.46270216932</v>
      </c>
    </row>
    <row r="11" spans="1:10">
      <c r="B11">
        <v>8</v>
      </c>
      <c r="C11" s="71">
        <f t="shared" si="4"/>
        <v>569345.46270216932</v>
      </c>
      <c r="D11" s="71">
        <f t="shared" si="0"/>
        <v>2811.8487488527753</v>
      </c>
      <c r="E11" s="71">
        <f t="shared" si="1"/>
        <v>1992.7091194575926</v>
      </c>
      <c r="F11" s="71">
        <f t="shared" si="2"/>
        <v>819.13962939518274</v>
      </c>
      <c r="G11" s="71">
        <f t="shared" si="3"/>
        <v>568526.3230727741</v>
      </c>
    </row>
    <row r="12" spans="1:10">
      <c r="B12">
        <v>9</v>
      </c>
      <c r="C12" s="71">
        <f t="shared" si="4"/>
        <v>568526.3230727741</v>
      </c>
      <c r="D12" s="71">
        <f t="shared" si="0"/>
        <v>2811.8487488527753</v>
      </c>
      <c r="E12" s="71">
        <f t="shared" si="1"/>
        <v>1989.8421307547094</v>
      </c>
      <c r="F12" s="71">
        <f t="shared" si="2"/>
        <v>822.00661809806593</v>
      </c>
      <c r="G12" s="71">
        <f t="shared" si="3"/>
        <v>567704.31645467598</v>
      </c>
    </row>
    <row r="13" spans="1:10">
      <c r="B13">
        <v>10</v>
      </c>
      <c r="C13" s="71">
        <f t="shared" si="4"/>
        <v>567704.31645467598</v>
      </c>
      <c r="D13" s="71">
        <f t="shared" si="0"/>
        <v>2811.8487488527753</v>
      </c>
      <c r="E13" s="71">
        <f t="shared" si="1"/>
        <v>1986.9651075913659</v>
      </c>
      <c r="F13" s="71">
        <f t="shared" si="2"/>
        <v>824.88364126140937</v>
      </c>
      <c r="G13" s="71">
        <f t="shared" si="3"/>
        <v>566879.43281341461</v>
      </c>
    </row>
    <row r="14" spans="1:10">
      <c r="B14">
        <v>11</v>
      </c>
      <c r="C14" s="71">
        <f t="shared" si="4"/>
        <v>566879.43281341461</v>
      </c>
      <c r="D14" s="71">
        <f t="shared" si="0"/>
        <v>2811.8487488527753</v>
      </c>
      <c r="E14" s="71">
        <f t="shared" si="1"/>
        <v>1984.0780148469512</v>
      </c>
      <c r="F14" s="71">
        <f t="shared" si="2"/>
        <v>827.77073400582412</v>
      </c>
      <c r="G14" s="71">
        <f t="shared" si="3"/>
        <v>566051.66207940876</v>
      </c>
    </row>
    <row r="15" spans="1:10">
      <c r="B15">
        <v>12</v>
      </c>
      <c r="C15" s="71">
        <f t="shared" si="4"/>
        <v>566051.66207940876</v>
      </c>
      <c r="D15" s="71">
        <f t="shared" si="0"/>
        <v>2811.8487488527753</v>
      </c>
      <c r="E15" s="71">
        <f t="shared" si="1"/>
        <v>1981.1808172779308</v>
      </c>
      <c r="F15" s="71">
        <f t="shared" si="2"/>
        <v>830.66793157484449</v>
      </c>
      <c r="G15" s="71">
        <f t="shared" si="3"/>
        <v>565220.9941478339</v>
      </c>
    </row>
    <row r="16" spans="1:10">
      <c r="C16" s="71"/>
      <c r="D16" s="71">
        <f>SUM(D4:D15)</f>
        <v>33742.184986233304</v>
      </c>
      <c r="E16" s="71">
        <f>SUM(E4:E15)</f>
        <v>23963.179134067152</v>
      </c>
      <c r="F16" s="71"/>
      <c r="G16" s="71"/>
    </row>
    <row r="17" spans="1:7">
      <c r="A17" s="70" t="s">
        <v>28</v>
      </c>
      <c r="C17" s="71"/>
      <c r="D17" s="71"/>
      <c r="E17" s="71"/>
      <c r="F17" s="71"/>
      <c r="G17" s="71"/>
    </row>
    <row r="18" spans="1:7">
      <c r="B18">
        <v>1</v>
      </c>
      <c r="C18" s="71">
        <f>G15</f>
        <v>565220.9941478339</v>
      </c>
      <c r="D18" s="71">
        <f t="shared" ref="D18:D29" si="5">$J$8</f>
        <v>2811.8487488527753</v>
      </c>
      <c r="E18" s="71">
        <f t="shared" ref="E18:E29" si="6">C18*$J$7</f>
        <v>1978.2734795174188</v>
      </c>
      <c r="F18" s="71">
        <f t="shared" ref="F18:F29" si="7">D18-E18</f>
        <v>833.57526933535655</v>
      </c>
      <c r="G18" s="71">
        <f t="shared" ref="G18:G29" si="8">C18-F18</f>
        <v>564387.4188784986</v>
      </c>
    </row>
    <row r="19" spans="1:7">
      <c r="B19">
        <v>2</v>
      </c>
      <c r="C19" s="71">
        <f t="shared" ref="C19:C29" si="9">G18</f>
        <v>564387.4188784986</v>
      </c>
      <c r="D19" s="71">
        <f t="shared" si="5"/>
        <v>2811.8487488527753</v>
      </c>
      <c r="E19" s="71">
        <f t="shared" si="6"/>
        <v>1975.3559660747451</v>
      </c>
      <c r="F19" s="71">
        <f t="shared" si="7"/>
        <v>836.49278277803023</v>
      </c>
      <c r="G19" s="71">
        <f t="shared" si="8"/>
        <v>563550.92609572061</v>
      </c>
    </row>
    <row r="20" spans="1:7">
      <c r="B20">
        <v>3</v>
      </c>
      <c r="C20" s="71">
        <f t="shared" si="9"/>
        <v>563550.92609572061</v>
      </c>
      <c r="D20" s="71">
        <f t="shared" si="5"/>
        <v>2811.8487488527753</v>
      </c>
      <c r="E20" s="71">
        <f t="shared" si="6"/>
        <v>1972.4282413350222</v>
      </c>
      <c r="F20" s="71">
        <f t="shared" si="7"/>
        <v>839.42050751775309</v>
      </c>
      <c r="G20" s="71">
        <f t="shared" si="8"/>
        <v>562711.50558820285</v>
      </c>
    </row>
    <row r="21" spans="1:7">
      <c r="B21">
        <v>4</v>
      </c>
      <c r="C21" s="71">
        <f t="shared" si="9"/>
        <v>562711.50558820285</v>
      </c>
      <c r="D21" s="71">
        <f t="shared" si="5"/>
        <v>2811.8487488527753</v>
      </c>
      <c r="E21" s="71">
        <f t="shared" si="6"/>
        <v>1969.49026955871</v>
      </c>
      <c r="F21" s="71">
        <f t="shared" si="7"/>
        <v>842.35847929406532</v>
      </c>
      <c r="G21" s="71">
        <f t="shared" si="8"/>
        <v>561869.14710890874</v>
      </c>
    </row>
    <row r="22" spans="1:7">
      <c r="B22">
        <v>5</v>
      </c>
      <c r="C22" s="71">
        <f t="shared" si="9"/>
        <v>561869.14710890874</v>
      </c>
      <c r="D22" s="71">
        <f t="shared" si="5"/>
        <v>2811.8487488527753</v>
      </c>
      <c r="E22" s="71">
        <f t="shared" si="6"/>
        <v>1966.5420148811806</v>
      </c>
      <c r="F22" s="71">
        <f t="shared" si="7"/>
        <v>845.30673397159467</v>
      </c>
      <c r="G22" s="71">
        <f t="shared" si="8"/>
        <v>561023.84037493716</v>
      </c>
    </row>
    <row r="23" spans="1:7">
      <c r="B23">
        <v>6</v>
      </c>
      <c r="C23" s="71">
        <f t="shared" si="9"/>
        <v>561023.84037493716</v>
      </c>
      <c r="D23" s="71">
        <f t="shared" si="5"/>
        <v>2811.8487488527753</v>
      </c>
      <c r="E23" s="71">
        <f t="shared" si="6"/>
        <v>1963.5834413122802</v>
      </c>
      <c r="F23" s="71">
        <f t="shared" si="7"/>
        <v>848.26530754049509</v>
      </c>
      <c r="G23" s="71">
        <f t="shared" si="8"/>
        <v>560175.57506739662</v>
      </c>
    </row>
    <row r="24" spans="1:7">
      <c r="B24">
        <v>7</v>
      </c>
      <c r="C24" s="71">
        <f t="shared" si="9"/>
        <v>560175.57506739662</v>
      </c>
      <c r="D24" s="71">
        <f t="shared" si="5"/>
        <v>2811.8487488527753</v>
      </c>
      <c r="E24" s="71">
        <f t="shared" si="6"/>
        <v>1960.6145127358882</v>
      </c>
      <c r="F24" s="71">
        <f t="shared" si="7"/>
        <v>851.23423611688713</v>
      </c>
      <c r="G24" s="71">
        <f t="shared" si="8"/>
        <v>559324.34083127975</v>
      </c>
    </row>
    <row r="25" spans="1:7">
      <c r="B25">
        <v>8</v>
      </c>
      <c r="C25" s="71">
        <f t="shared" si="9"/>
        <v>559324.34083127975</v>
      </c>
      <c r="D25" s="71">
        <f t="shared" si="5"/>
        <v>2811.8487488527753</v>
      </c>
      <c r="E25" s="71">
        <f t="shared" si="6"/>
        <v>1957.6351929094792</v>
      </c>
      <c r="F25" s="71">
        <f t="shared" si="7"/>
        <v>854.21355594329611</v>
      </c>
      <c r="G25" s="71">
        <f t="shared" si="8"/>
        <v>558470.12727533642</v>
      </c>
    </row>
    <row r="26" spans="1:7">
      <c r="B26">
        <v>9</v>
      </c>
      <c r="C26" s="71">
        <f t="shared" si="9"/>
        <v>558470.12727533642</v>
      </c>
      <c r="D26" s="71">
        <f t="shared" si="5"/>
        <v>2811.8487488527753</v>
      </c>
      <c r="E26" s="71">
        <f t="shared" si="6"/>
        <v>1954.6454454636776</v>
      </c>
      <c r="F26" s="71">
        <f t="shared" si="7"/>
        <v>857.20330338909775</v>
      </c>
      <c r="G26" s="71">
        <f t="shared" si="8"/>
        <v>557612.92397194728</v>
      </c>
    </row>
    <row r="27" spans="1:7">
      <c r="B27">
        <v>10</v>
      </c>
      <c r="C27" s="71">
        <f t="shared" si="9"/>
        <v>557612.92397194728</v>
      </c>
      <c r="D27" s="71">
        <f t="shared" si="5"/>
        <v>2811.8487488527753</v>
      </c>
      <c r="E27" s="71">
        <f t="shared" si="6"/>
        <v>1951.6452339018156</v>
      </c>
      <c r="F27" s="71">
        <f t="shared" si="7"/>
        <v>860.20351495095974</v>
      </c>
      <c r="G27" s="71">
        <f t="shared" si="8"/>
        <v>556752.72045699635</v>
      </c>
    </row>
    <row r="28" spans="1:7">
      <c r="B28">
        <v>11</v>
      </c>
      <c r="C28" s="71">
        <f t="shared" si="9"/>
        <v>556752.72045699635</v>
      </c>
      <c r="D28" s="71">
        <f t="shared" si="5"/>
        <v>2811.8487488527753</v>
      </c>
      <c r="E28" s="71">
        <f t="shared" si="6"/>
        <v>1948.6345215994872</v>
      </c>
      <c r="F28" s="71">
        <f t="shared" si="7"/>
        <v>863.21422725328807</v>
      </c>
      <c r="G28" s="71">
        <f t="shared" si="8"/>
        <v>555889.50622974301</v>
      </c>
    </row>
    <row r="29" spans="1:7">
      <c r="B29">
        <v>12</v>
      </c>
      <c r="C29" s="71">
        <f t="shared" si="9"/>
        <v>555889.50622974301</v>
      </c>
      <c r="D29" s="71">
        <f t="shared" si="5"/>
        <v>2811.8487488527753</v>
      </c>
      <c r="E29" s="71">
        <f t="shared" si="6"/>
        <v>1945.6132718041006</v>
      </c>
      <c r="F29" s="71">
        <f t="shared" si="7"/>
        <v>866.23547704867474</v>
      </c>
      <c r="G29" s="71">
        <f t="shared" si="8"/>
        <v>555023.27075269434</v>
      </c>
    </row>
    <row r="30" spans="1:7">
      <c r="C30" s="71"/>
      <c r="D30" s="71"/>
      <c r="E30" s="71">
        <f>SUM(E18:E29)</f>
        <v>23544.461591093805</v>
      </c>
      <c r="F30" s="71"/>
      <c r="G30" s="71"/>
    </row>
    <row r="31" spans="1:7">
      <c r="A31" s="70" t="s">
        <v>29</v>
      </c>
      <c r="C31" s="71"/>
      <c r="D31" s="71"/>
      <c r="E31" s="71"/>
      <c r="F31" s="71"/>
      <c r="G31" s="71"/>
    </row>
    <row r="32" spans="1:7">
      <c r="B32">
        <v>1</v>
      </c>
      <c r="C32" s="71">
        <f>G29</f>
        <v>555023.27075269434</v>
      </c>
      <c r="D32" s="71">
        <f t="shared" ref="D32:D43" si="10">$J$8</f>
        <v>2811.8487488527753</v>
      </c>
      <c r="E32" s="71">
        <f t="shared" ref="E32:E43" si="11">C32*$J$7</f>
        <v>1942.5814476344303</v>
      </c>
      <c r="F32" s="71">
        <f t="shared" ref="F32:F43" si="12">D32-E32</f>
        <v>869.26730121834498</v>
      </c>
      <c r="G32" s="71">
        <f t="shared" ref="G32:G43" si="13">C32-F32</f>
        <v>554154.00345147599</v>
      </c>
    </row>
    <row r="33" spans="1:7">
      <c r="B33">
        <v>2</v>
      </c>
      <c r="C33" s="71">
        <f t="shared" ref="C33:C43" si="14">G32</f>
        <v>554154.00345147599</v>
      </c>
      <c r="D33" s="71">
        <f t="shared" si="10"/>
        <v>2811.8487488527753</v>
      </c>
      <c r="E33" s="71">
        <f t="shared" si="11"/>
        <v>1939.539012080166</v>
      </c>
      <c r="F33" s="71">
        <f t="shared" si="12"/>
        <v>872.30973677260931</v>
      </c>
      <c r="G33" s="71">
        <f t="shared" si="13"/>
        <v>553281.69371470343</v>
      </c>
    </row>
    <row r="34" spans="1:7">
      <c r="B34">
        <v>3</v>
      </c>
      <c r="C34" s="71">
        <f t="shared" si="14"/>
        <v>553281.69371470343</v>
      </c>
      <c r="D34" s="71">
        <f t="shared" si="10"/>
        <v>2811.8487488527753</v>
      </c>
      <c r="E34" s="71">
        <f t="shared" si="11"/>
        <v>1936.4859280014621</v>
      </c>
      <c r="F34" s="71">
        <f t="shared" si="12"/>
        <v>875.36282085131324</v>
      </c>
      <c r="G34" s="71">
        <f t="shared" si="13"/>
        <v>552406.33089385217</v>
      </c>
    </row>
    <row r="35" spans="1:7">
      <c r="B35">
        <v>4</v>
      </c>
      <c r="C35" s="71">
        <f t="shared" si="14"/>
        <v>552406.33089385217</v>
      </c>
      <c r="D35" s="71">
        <f t="shared" si="10"/>
        <v>2811.8487488527753</v>
      </c>
      <c r="E35" s="71">
        <f t="shared" si="11"/>
        <v>1933.4221581284826</v>
      </c>
      <c r="F35" s="71">
        <f t="shared" si="12"/>
        <v>878.42659072429274</v>
      </c>
      <c r="G35" s="71">
        <f t="shared" si="13"/>
        <v>551527.9043031279</v>
      </c>
    </row>
    <row r="36" spans="1:7">
      <c r="B36">
        <v>5</v>
      </c>
      <c r="C36" s="71">
        <f t="shared" si="14"/>
        <v>551527.9043031279</v>
      </c>
      <c r="D36" s="71">
        <f t="shared" si="10"/>
        <v>2811.8487488527753</v>
      </c>
      <c r="E36" s="71">
        <f t="shared" si="11"/>
        <v>1930.3476650609477</v>
      </c>
      <c r="F36" s="71">
        <f t="shared" si="12"/>
        <v>881.50108379182757</v>
      </c>
      <c r="G36" s="71">
        <f t="shared" si="13"/>
        <v>550646.40321933606</v>
      </c>
    </row>
    <row r="37" spans="1:7">
      <c r="B37">
        <v>6</v>
      </c>
      <c r="C37" s="71">
        <f t="shared" si="14"/>
        <v>550646.40321933606</v>
      </c>
      <c r="D37" s="71">
        <f t="shared" si="10"/>
        <v>2811.8487488527753</v>
      </c>
      <c r="E37" s="71">
        <f t="shared" si="11"/>
        <v>1927.2624112676763</v>
      </c>
      <c r="F37" s="71">
        <f t="shared" si="12"/>
        <v>884.58633758509905</v>
      </c>
      <c r="G37" s="71">
        <f t="shared" si="13"/>
        <v>549761.81688175094</v>
      </c>
    </row>
    <row r="38" spans="1:7">
      <c r="B38">
        <v>7</v>
      </c>
      <c r="C38" s="71">
        <f t="shared" si="14"/>
        <v>549761.81688175094</v>
      </c>
      <c r="D38" s="71">
        <f t="shared" si="10"/>
        <v>2811.8487488527753</v>
      </c>
      <c r="E38" s="71">
        <f t="shared" si="11"/>
        <v>1924.1663590861283</v>
      </c>
      <c r="F38" s="71">
        <f t="shared" si="12"/>
        <v>887.68238976664702</v>
      </c>
      <c r="G38" s="71">
        <f t="shared" si="13"/>
        <v>548874.13449198427</v>
      </c>
    </row>
    <row r="39" spans="1:7">
      <c r="B39">
        <v>8</v>
      </c>
      <c r="C39" s="71">
        <f t="shared" si="14"/>
        <v>548874.13449198427</v>
      </c>
      <c r="D39" s="71">
        <f t="shared" si="10"/>
        <v>2811.8487488527753</v>
      </c>
      <c r="E39" s="71">
        <f t="shared" si="11"/>
        <v>1921.059470721945</v>
      </c>
      <c r="F39" s="71">
        <f t="shared" si="12"/>
        <v>890.78927813083033</v>
      </c>
      <c r="G39" s="71">
        <f t="shared" si="13"/>
        <v>547983.3452138534</v>
      </c>
    </row>
    <row r="40" spans="1:7">
      <c r="B40">
        <v>9</v>
      </c>
      <c r="C40" s="71">
        <f t="shared" si="14"/>
        <v>547983.3452138534</v>
      </c>
      <c r="D40" s="71">
        <f t="shared" si="10"/>
        <v>2811.8487488527753</v>
      </c>
      <c r="E40" s="71">
        <f t="shared" si="11"/>
        <v>1917.941708248487</v>
      </c>
      <c r="F40" s="71">
        <f t="shared" si="12"/>
        <v>893.90704060428834</v>
      </c>
      <c r="G40" s="71">
        <f t="shared" si="13"/>
        <v>547089.43817324913</v>
      </c>
    </row>
    <row r="41" spans="1:7">
      <c r="B41">
        <v>10</v>
      </c>
      <c r="C41" s="71">
        <f t="shared" si="14"/>
        <v>547089.43817324913</v>
      </c>
      <c r="D41" s="71">
        <f t="shared" si="10"/>
        <v>2811.8487488527753</v>
      </c>
      <c r="E41" s="71">
        <f t="shared" si="11"/>
        <v>1914.8130336063721</v>
      </c>
      <c r="F41" s="71">
        <f t="shared" si="12"/>
        <v>897.03571524640324</v>
      </c>
      <c r="G41" s="71">
        <f t="shared" si="13"/>
        <v>546192.40245800267</v>
      </c>
    </row>
    <row r="42" spans="1:7">
      <c r="B42">
        <v>11</v>
      </c>
      <c r="C42" s="71">
        <f t="shared" si="14"/>
        <v>546192.40245800267</v>
      </c>
      <c r="D42" s="71">
        <f t="shared" si="10"/>
        <v>2811.8487488527753</v>
      </c>
      <c r="E42" s="71">
        <f t="shared" si="11"/>
        <v>1911.6734086030094</v>
      </c>
      <c r="F42" s="71">
        <f t="shared" si="12"/>
        <v>900.1753402497659</v>
      </c>
      <c r="G42" s="71">
        <f t="shared" si="13"/>
        <v>545292.22711775289</v>
      </c>
    </row>
    <row r="43" spans="1:7">
      <c r="B43">
        <v>12</v>
      </c>
      <c r="C43" s="71">
        <f t="shared" si="14"/>
        <v>545292.22711775289</v>
      </c>
      <c r="D43" s="71">
        <f t="shared" si="10"/>
        <v>2811.8487488527753</v>
      </c>
      <c r="E43" s="71">
        <f t="shared" si="11"/>
        <v>1908.5227949121352</v>
      </c>
      <c r="F43" s="71">
        <f t="shared" si="12"/>
        <v>903.32595394064015</v>
      </c>
      <c r="G43" s="71">
        <f t="shared" si="13"/>
        <v>544388.90116381226</v>
      </c>
    </row>
    <row r="44" spans="1:7">
      <c r="C44" s="71"/>
      <c r="D44" s="71"/>
      <c r="E44" s="71">
        <f>SUM(E32:E43)</f>
        <v>23107.815397351242</v>
      </c>
      <c r="F44" s="71"/>
      <c r="G44" s="71"/>
    </row>
    <row r="45" spans="1:7">
      <c r="A45" s="70" t="s">
        <v>30</v>
      </c>
      <c r="C45" s="71"/>
      <c r="D45" s="71"/>
      <c r="E45" s="71"/>
      <c r="F45" s="71"/>
      <c r="G45" s="71"/>
    </row>
    <row r="46" spans="1:7">
      <c r="B46">
        <v>1</v>
      </c>
      <c r="C46" s="71">
        <f>G43</f>
        <v>544388.90116381226</v>
      </c>
      <c r="D46" s="71">
        <f t="shared" ref="D46:D57" si="15">$J$8</f>
        <v>2811.8487488527753</v>
      </c>
      <c r="E46" s="71">
        <f t="shared" ref="E46:E57" si="16">C46*$J$7</f>
        <v>1905.361154073343</v>
      </c>
      <c r="F46" s="71">
        <f t="shared" ref="F46:F57" si="17">D46-E46</f>
        <v>906.48759477943236</v>
      </c>
      <c r="G46" s="71">
        <f t="shared" ref="G46:G57" si="18">C46-F46</f>
        <v>543482.4135690328</v>
      </c>
    </row>
    <row r="47" spans="1:7">
      <c r="B47">
        <v>2</v>
      </c>
      <c r="C47" s="71">
        <f t="shared" ref="C47:C57" si="19">G46</f>
        <v>543482.4135690328</v>
      </c>
      <c r="D47" s="71">
        <f t="shared" si="15"/>
        <v>2811.8487488527753</v>
      </c>
      <c r="E47" s="71">
        <f t="shared" si="16"/>
        <v>1902.1884474916149</v>
      </c>
      <c r="F47" s="71">
        <f t="shared" si="17"/>
        <v>909.66030136116046</v>
      </c>
      <c r="G47" s="71">
        <f t="shared" si="18"/>
        <v>542572.75326767168</v>
      </c>
    </row>
    <row r="48" spans="1:7">
      <c r="B48">
        <v>3</v>
      </c>
      <c r="C48" s="71">
        <f t="shared" si="19"/>
        <v>542572.75326767168</v>
      </c>
      <c r="D48" s="71">
        <f t="shared" si="15"/>
        <v>2811.8487488527753</v>
      </c>
      <c r="E48" s="71">
        <f t="shared" si="16"/>
        <v>1899.0046364368509</v>
      </c>
      <c r="F48" s="71">
        <f t="shared" si="17"/>
        <v>912.84411241592443</v>
      </c>
      <c r="G48" s="71">
        <f t="shared" si="18"/>
        <v>541659.90915525577</v>
      </c>
    </row>
    <row r="49" spans="1:7">
      <c r="B49">
        <v>4</v>
      </c>
      <c r="C49" s="71">
        <f t="shared" si="19"/>
        <v>541659.90915525577</v>
      </c>
      <c r="D49" s="71">
        <f t="shared" si="15"/>
        <v>2811.8487488527753</v>
      </c>
      <c r="E49" s="71">
        <f t="shared" si="16"/>
        <v>1895.8096820433952</v>
      </c>
      <c r="F49" s="71">
        <f t="shared" si="17"/>
        <v>916.03906680938007</v>
      </c>
      <c r="G49" s="71">
        <f t="shared" si="18"/>
        <v>540743.87008844642</v>
      </c>
    </row>
    <row r="50" spans="1:7">
      <c r="B50">
        <v>5</v>
      </c>
      <c r="C50" s="71">
        <f t="shared" si="19"/>
        <v>540743.87008844642</v>
      </c>
      <c r="D50" s="71">
        <f t="shared" si="15"/>
        <v>2811.8487488527753</v>
      </c>
      <c r="E50" s="71">
        <f t="shared" si="16"/>
        <v>1892.6035453095626</v>
      </c>
      <c r="F50" s="71">
        <f t="shared" si="17"/>
        <v>919.24520354321271</v>
      </c>
      <c r="G50" s="71">
        <f t="shared" si="18"/>
        <v>539824.6248849032</v>
      </c>
    </row>
    <row r="51" spans="1:7">
      <c r="B51">
        <v>6</v>
      </c>
      <c r="C51" s="71">
        <f t="shared" si="19"/>
        <v>539824.6248849032</v>
      </c>
      <c r="D51" s="71">
        <f t="shared" si="15"/>
        <v>2811.8487488527753</v>
      </c>
      <c r="E51" s="71">
        <f t="shared" si="16"/>
        <v>1889.3861870971612</v>
      </c>
      <c r="F51" s="71">
        <f t="shared" si="17"/>
        <v>922.46256175561416</v>
      </c>
      <c r="G51" s="71">
        <f t="shared" si="18"/>
        <v>538902.16232314764</v>
      </c>
    </row>
    <row r="52" spans="1:7">
      <c r="B52">
        <v>7</v>
      </c>
      <c r="C52" s="71">
        <f t="shared" si="19"/>
        <v>538902.16232314764</v>
      </c>
      <c r="D52" s="71">
        <f t="shared" si="15"/>
        <v>2811.8487488527753</v>
      </c>
      <c r="E52" s="71">
        <f t="shared" si="16"/>
        <v>1886.1575681310169</v>
      </c>
      <c r="F52" s="71">
        <f t="shared" si="17"/>
        <v>925.69118072175843</v>
      </c>
      <c r="G52" s="71">
        <f t="shared" si="18"/>
        <v>537976.4711424259</v>
      </c>
    </row>
    <row r="53" spans="1:7">
      <c r="B53">
        <v>8</v>
      </c>
      <c r="C53" s="71">
        <f t="shared" si="19"/>
        <v>537976.4711424259</v>
      </c>
      <c r="D53" s="71">
        <f t="shared" si="15"/>
        <v>2811.8487488527753</v>
      </c>
      <c r="E53" s="71">
        <f t="shared" si="16"/>
        <v>1882.9176489984907</v>
      </c>
      <c r="F53" s="71">
        <f t="shared" si="17"/>
        <v>928.93109985428464</v>
      </c>
      <c r="G53" s="71">
        <f t="shared" si="18"/>
        <v>537047.54004257161</v>
      </c>
    </row>
    <row r="54" spans="1:7">
      <c r="B54">
        <v>9</v>
      </c>
      <c r="C54" s="71">
        <f t="shared" si="19"/>
        <v>537047.54004257161</v>
      </c>
      <c r="D54" s="71">
        <f t="shared" si="15"/>
        <v>2811.8487488527753</v>
      </c>
      <c r="E54" s="71">
        <f t="shared" si="16"/>
        <v>1879.6663901490006</v>
      </c>
      <c r="F54" s="71">
        <f t="shared" si="17"/>
        <v>932.18235870377475</v>
      </c>
      <c r="G54" s="71">
        <f t="shared" si="18"/>
        <v>536115.3576838678</v>
      </c>
    </row>
    <row r="55" spans="1:7">
      <c r="B55">
        <v>10</v>
      </c>
      <c r="C55" s="71">
        <f t="shared" si="19"/>
        <v>536115.3576838678</v>
      </c>
      <c r="D55" s="71">
        <f t="shared" si="15"/>
        <v>2811.8487488527753</v>
      </c>
      <c r="E55" s="71">
        <f t="shared" si="16"/>
        <v>1876.4037518935374</v>
      </c>
      <c r="F55" s="71">
        <f t="shared" si="17"/>
        <v>935.44499695923787</v>
      </c>
      <c r="G55" s="71">
        <f t="shared" si="18"/>
        <v>535179.91268690862</v>
      </c>
    </row>
    <row r="56" spans="1:7">
      <c r="B56">
        <v>11</v>
      </c>
      <c r="C56" s="71">
        <f t="shared" si="19"/>
        <v>535179.91268690862</v>
      </c>
      <c r="D56" s="71">
        <f t="shared" si="15"/>
        <v>2811.8487488527753</v>
      </c>
      <c r="E56" s="71">
        <f t="shared" si="16"/>
        <v>1873.1296944041801</v>
      </c>
      <c r="F56" s="71">
        <f t="shared" si="17"/>
        <v>938.71905444859522</v>
      </c>
      <c r="G56" s="71">
        <f t="shared" si="18"/>
        <v>534241.19363245997</v>
      </c>
    </row>
    <row r="57" spans="1:7">
      <c r="B57">
        <v>12</v>
      </c>
      <c r="C57" s="71">
        <f t="shared" si="19"/>
        <v>534241.19363245997</v>
      </c>
      <c r="D57" s="71">
        <f t="shared" si="15"/>
        <v>2811.8487488527753</v>
      </c>
      <c r="E57" s="71">
        <f t="shared" si="16"/>
        <v>1869.84417771361</v>
      </c>
      <c r="F57" s="71">
        <f t="shared" si="17"/>
        <v>942.00457113916536</v>
      </c>
      <c r="G57" s="71">
        <f t="shared" si="18"/>
        <v>533299.18906132085</v>
      </c>
    </row>
    <row r="58" spans="1:7">
      <c r="C58" s="71"/>
      <c r="D58" s="71"/>
      <c r="E58" s="71">
        <f>SUM(E46:E57)</f>
        <v>22652.472883741761</v>
      </c>
      <c r="F58" s="71"/>
      <c r="G58" s="71"/>
    </row>
    <row r="59" spans="1:7">
      <c r="A59" s="70" t="s">
        <v>31</v>
      </c>
      <c r="C59" s="71"/>
      <c r="D59" s="71"/>
      <c r="E59" s="71"/>
      <c r="F59" s="71"/>
      <c r="G59" s="71"/>
    </row>
    <row r="60" spans="1:7">
      <c r="B60">
        <v>1</v>
      </c>
      <c r="C60" s="71">
        <f>G57</f>
        <v>533299.18906132085</v>
      </c>
      <c r="D60" s="71">
        <f t="shared" ref="D60:D71" si="20">$J$8</f>
        <v>2811.8487488527753</v>
      </c>
      <c r="E60" s="71">
        <f t="shared" ref="E60:E71" si="21">C60*$J$7</f>
        <v>1866.5471617146229</v>
      </c>
      <c r="F60" s="71">
        <f t="shared" ref="F60:F71" si="22">D60-E60</f>
        <v>945.3015871381524</v>
      </c>
      <c r="G60" s="71">
        <f t="shared" ref="G60:G71" si="23">C60-F60</f>
        <v>532353.88747418264</v>
      </c>
    </row>
    <row r="61" spans="1:7">
      <c r="B61">
        <v>2</v>
      </c>
      <c r="C61" s="71">
        <f t="shared" ref="C61:C71" si="24">G60</f>
        <v>532353.88747418264</v>
      </c>
      <c r="D61" s="71">
        <f t="shared" si="20"/>
        <v>2811.8487488527753</v>
      </c>
      <c r="E61" s="71">
        <f t="shared" si="21"/>
        <v>1863.2386061596394</v>
      </c>
      <c r="F61" s="71">
        <f t="shared" si="22"/>
        <v>948.61014269313591</v>
      </c>
      <c r="G61" s="71">
        <f t="shared" si="23"/>
        <v>531405.27733148949</v>
      </c>
    </row>
    <row r="62" spans="1:7">
      <c r="B62">
        <v>3</v>
      </c>
      <c r="C62" s="71">
        <f t="shared" si="24"/>
        <v>531405.27733148949</v>
      </c>
      <c r="D62" s="71">
        <f t="shared" si="20"/>
        <v>2811.8487488527753</v>
      </c>
      <c r="E62" s="71">
        <f t="shared" si="21"/>
        <v>1859.9184706602132</v>
      </c>
      <c r="F62" s="71">
        <f t="shared" si="22"/>
        <v>951.93027819256213</v>
      </c>
      <c r="G62" s="71">
        <f t="shared" si="23"/>
        <v>530453.34705329698</v>
      </c>
    </row>
    <row r="63" spans="1:7">
      <c r="B63">
        <v>4</v>
      </c>
      <c r="C63" s="71">
        <f t="shared" si="24"/>
        <v>530453.34705329698</v>
      </c>
      <c r="D63" s="71">
        <f t="shared" si="20"/>
        <v>2811.8487488527753</v>
      </c>
      <c r="E63" s="71">
        <f t="shared" si="21"/>
        <v>1856.5867146865394</v>
      </c>
      <c r="F63" s="71">
        <f t="shared" si="22"/>
        <v>955.26203416623594</v>
      </c>
      <c r="G63" s="71">
        <f t="shared" si="23"/>
        <v>529498.08501913073</v>
      </c>
    </row>
    <row r="64" spans="1:7">
      <c r="B64">
        <v>5</v>
      </c>
      <c r="C64" s="71">
        <f t="shared" si="24"/>
        <v>529498.08501913073</v>
      </c>
      <c r="D64" s="71">
        <f t="shared" si="20"/>
        <v>2811.8487488527753</v>
      </c>
      <c r="E64" s="71">
        <f t="shared" si="21"/>
        <v>1853.2432975669576</v>
      </c>
      <c r="F64" s="71">
        <f t="shared" si="22"/>
        <v>958.60545128581771</v>
      </c>
      <c r="G64" s="71">
        <f t="shared" si="23"/>
        <v>528539.47956784489</v>
      </c>
    </row>
    <row r="65" spans="1:7">
      <c r="B65">
        <v>6</v>
      </c>
      <c r="C65" s="71">
        <f t="shared" si="24"/>
        <v>528539.47956784489</v>
      </c>
      <c r="D65" s="71">
        <f t="shared" si="20"/>
        <v>2811.8487488527753</v>
      </c>
      <c r="E65" s="71">
        <f t="shared" si="21"/>
        <v>1849.8881784874573</v>
      </c>
      <c r="F65" s="71">
        <f t="shared" si="22"/>
        <v>961.96057036531806</v>
      </c>
      <c r="G65" s="71">
        <f t="shared" si="23"/>
        <v>527577.51899747958</v>
      </c>
    </row>
    <row r="66" spans="1:7">
      <c r="B66">
        <v>7</v>
      </c>
      <c r="C66" s="71">
        <f t="shared" si="24"/>
        <v>527577.51899747958</v>
      </c>
      <c r="D66" s="71">
        <f t="shared" si="20"/>
        <v>2811.8487488527753</v>
      </c>
      <c r="E66" s="71">
        <f t="shared" si="21"/>
        <v>1846.5213164911786</v>
      </c>
      <c r="F66" s="71">
        <f t="shared" si="22"/>
        <v>965.32743236159672</v>
      </c>
      <c r="G66" s="71">
        <f t="shared" si="23"/>
        <v>526612.19156511803</v>
      </c>
    </row>
    <row r="67" spans="1:7">
      <c r="B67">
        <v>8</v>
      </c>
      <c r="C67" s="71">
        <f t="shared" si="24"/>
        <v>526612.19156511803</v>
      </c>
      <c r="D67" s="71">
        <f t="shared" si="20"/>
        <v>2811.8487488527753</v>
      </c>
      <c r="E67" s="71">
        <f t="shared" si="21"/>
        <v>1843.142670477913</v>
      </c>
      <c r="F67" s="71">
        <f t="shared" si="22"/>
        <v>968.70607837486227</v>
      </c>
      <c r="G67" s="71">
        <f t="shared" si="23"/>
        <v>525643.48548674316</v>
      </c>
    </row>
    <row r="68" spans="1:7">
      <c r="B68">
        <v>9</v>
      </c>
      <c r="C68" s="71">
        <f t="shared" si="24"/>
        <v>525643.48548674316</v>
      </c>
      <c r="D68" s="71">
        <f t="shared" si="20"/>
        <v>2811.8487488527753</v>
      </c>
      <c r="E68" s="71">
        <f t="shared" si="21"/>
        <v>1839.7521992036011</v>
      </c>
      <c r="F68" s="71">
        <f t="shared" si="22"/>
        <v>972.09654964917422</v>
      </c>
      <c r="G68" s="71">
        <f t="shared" si="23"/>
        <v>524671.38893709402</v>
      </c>
    </row>
    <row r="69" spans="1:7">
      <c r="B69">
        <v>10</v>
      </c>
      <c r="C69" s="71">
        <f t="shared" si="24"/>
        <v>524671.38893709402</v>
      </c>
      <c r="D69" s="71">
        <f t="shared" si="20"/>
        <v>2811.8487488527753</v>
      </c>
      <c r="E69" s="71">
        <f t="shared" si="21"/>
        <v>1836.3498612798292</v>
      </c>
      <c r="F69" s="71">
        <f t="shared" si="22"/>
        <v>975.49888757294616</v>
      </c>
      <c r="G69" s="71">
        <f t="shared" si="23"/>
        <v>523695.89004952105</v>
      </c>
    </row>
    <row r="70" spans="1:7">
      <c r="B70">
        <v>11</v>
      </c>
      <c r="C70" s="71">
        <f t="shared" si="24"/>
        <v>523695.89004952105</v>
      </c>
      <c r="D70" s="71">
        <f t="shared" si="20"/>
        <v>2811.8487488527753</v>
      </c>
      <c r="E70" s="71">
        <f t="shared" si="21"/>
        <v>1832.9356151733236</v>
      </c>
      <c r="F70" s="71">
        <f t="shared" si="22"/>
        <v>978.91313367945168</v>
      </c>
      <c r="G70" s="71">
        <f t="shared" si="23"/>
        <v>522716.97691584163</v>
      </c>
    </row>
    <row r="71" spans="1:7">
      <c r="B71">
        <v>12</v>
      </c>
      <c r="C71" s="71">
        <f t="shared" si="24"/>
        <v>522716.97691584163</v>
      </c>
      <c r="D71" s="71">
        <f t="shared" si="20"/>
        <v>2811.8487488527753</v>
      </c>
      <c r="E71" s="71">
        <f t="shared" si="21"/>
        <v>1829.5094192054457</v>
      </c>
      <c r="F71" s="71">
        <f t="shared" si="22"/>
        <v>982.33932964732958</v>
      </c>
      <c r="G71" s="71">
        <f t="shared" si="23"/>
        <v>521734.63758619432</v>
      </c>
    </row>
    <row r="72" spans="1:7">
      <c r="C72" s="71"/>
      <c r="D72" s="71"/>
      <c r="E72" s="71">
        <f>SUM(E60:E71)</f>
        <v>22177.63351110672</v>
      </c>
      <c r="F72" s="71"/>
      <c r="G72" s="71"/>
    </row>
    <row r="73" spans="1:7">
      <c r="A73" s="70" t="s">
        <v>32</v>
      </c>
      <c r="C73" s="71"/>
      <c r="D73" s="71"/>
      <c r="E73" s="71"/>
      <c r="F73" s="71"/>
      <c r="G73" s="71"/>
    </row>
    <row r="74" spans="1:7">
      <c r="B74">
        <v>1</v>
      </c>
      <c r="C74" s="71">
        <f>G71</f>
        <v>521734.63758619432</v>
      </c>
      <c r="D74" s="71">
        <f t="shared" ref="D74:D85" si="25">$J$8</f>
        <v>2811.8487488527753</v>
      </c>
      <c r="E74" s="71">
        <f t="shared" ref="E74:E85" si="26">C74*$J$7</f>
        <v>1826.0712315516801</v>
      </c>
      <c r="F74" s="71">
        <f t="shared" ref="F74:F85" si="27">D74-E74</f>
        <v>985.77751730109526</v>
      </c>
      <c r="G74" s="71">
        <f t="shared" ref="G74:G85" si="28">C74-F74</f>
        <v>520748.86006889323</v>
      </c>
    </row>
    <row r="75" spans="1:7">
      <c r="B75">
        <v>2</v>
      </c>
      <c r="C75" s="71">
        <f t="shared" ref="C75:C85" si="29">G74</f>
        <v>520748.86006889323</v>
      </c>
      <c r="D75" s="71">
        <f t="shared" si="25"/>
        <v>2811.8487488527753</v>
      </c>
      <c r="E75" s="71">
        <f t="shared" si="26"/>
        <v>1822.6210102411264</v>
      </c>
      <c r="F75" s="71">
        <f t="shared" si="27"/>
        <v>989.22773861164887</v>
      </c>
      <c r="G75" s="71">
        <f t="shared" si="28"/>
        <v>519759.6323302816</v>
      </c>
    </row>
    <row r="76" spans="1:7">
      <c r="B76">
        <v>3</v>
      </c>
      <c r="C76" s="71">
        <f t="shared" si="29"/>
        <v>519759.6323302816</v>
      </c>
      <c r="D76" s="71">
        <f t="shared" si="25"/>
        <v>2811.8487488527753</v>
      </c>
      <c r="E76" s="71">
        <f t="shared" si="26"/>
        <v>1819.1587131559857</v>
      </c>
      <c r="F76" s="71">
        <f t="shared" si="27"/>
        <v>992.69003569678966</v>
      </c>
      <c r="G76" s="71">
        <f t="shared" si="28"/>
        <v>518766.94229458482</v>
      </c>
    </row>
    <row r="77" spans="1:7">
      <c r="B77">
        <v>4</v>
      </c>
      <c r="C77" s="71">
        <f t="shared" si="29"/>
        <v>518766.94229458482</v>
      </c>
      <c r="D77" s="71">
        <f t="shared" si="25"/>
        <v>2811.8487488527753</v>
      </c>
      <c r="E77" s="71">
        <f t="shared" si="26"/>
        <v>1815.6842980310469</v>
      </c>
      <c r="F77" s="71">
        <f t="shared" si="27"/>
        <v>996.16445082172845</v>
      </c>
      <c r="G77" s="71">
        <f t="shared" si="28"/>
        <v>517770.77784376312</v>
      </c>
    </row>
    <row r="78" spans="1:7">
      <c r="B78">
        <v>5</v>
      </c>
      <c r="C78" s="71">
        <f t="shared" si="29"/>
        <v>517770.77784376312</v>
      </c>
      <c r="D78" s="71">
        <f t="shared" si="25"/>
        <v>2811.8487488527753</v>
      </c>
      <c r="E78" s="71">
        <f t="shared" si="26"/>
        <v>1812.1977224531709</v>
      </c>
      <c r="F78" s="71">
        <f t="shared" si="27"/>
        <v>999.65102639960446</v>
      </c>
      <c r="G78" s="71">
        <f t="shared" si="28"/>
        <v>516771.12681736349</v>
      </c>
    </row>
    <row r="79" spans="1:7">
      <c r="B79">
        <v>6</v>
      </c>
      <c r="C79" s="71">
        <f t="shared" si="29"/>
        <v>516771.12681736349</v>
      </c>
      <c r="D79" s="71">
        <f t="shared" si="25"/>
        <v>2811.8487488527753</v>
      </c>
      <c r="E79" s="71">
        <f t="shared" si="26"/>
        <v>1808.6989438607723</v>
      </c>
      <c r="F79" s="71">
        <f t="shared" si="27"/>
        <v>1003.1498049920031</v>
      </c>
      <c r="G79" s="71">
        <f t="shared" si="28"/>
        <v>515767.97701237147</v>
      </c>
    </row>
    <row r="80" spans="1:7">
      <c r="B80">
        <v>7</v>
      </c>
      <c r="C80" s="71">
        <f t="shared" si="29"/>
        <v>515767.97701237147</v>
      </c>
      <c r="D80" s="71">
        <f t="shared" si="25"/>
        <v>2811.8487488527753</v>
      </c>
      <c r="E80" s="71">
        <f t="shared" si="26"/>
        <v>1805.1879195433003</v>
      </c>
      <c r="F80" s="71">
        <f t="shared" si="27"/>
        <v>1006.660829309475</v>
      </c>
      <c r="G80" s="71">
        <f t="shared" si="28"/>
        <v>514761.31618306198</v>
      </c>
    </row>
    <row r="81" spans="1:7">
      <c r="B81">
        <v>8</v>
      </c>
      <c r="C81" s="71">
        <f t="shared" si="29"/>
        <v>514761.31618306198</v>
      </c>
      <c r="D81" s="71">
        <f t="shared" si="25"/>
        <v>2811.8487488527753</v>
      </c>
      <c r="E81" s="71">
        <f t="shared" si="26"/>
        <v>1801.664606640717</v>
      </c>
      <c r="F81" s="71">
        <f t="shared" si="27"/>
        <v>1010.1841422120583</v>
      </c>
      <c r="G81" s="71">
        <f t="shared" si="28"/>
        <v>513751.13204084995</v>
      </c>
    </row>
    <row r="82" spans="1:7">
      <c r="B82">
        <v>9</v>
      </c>
      <c r="C82" s="71">
        <f t="shared" si="29"/>
        <v>513751.13204084995</v>
      </c>
      <c r="D82" s="71">
        <f t="shared" si="25"/>
        <v>2811.8487488527753</v>
      </c>
      <c r="E82" s="71">
        <f t="shared" si="26"/>
        <v>1798.1289621429748</v>
      </c>
      <c r="F82" s="71">
        <f t="shared" si="27"/>
        <v>1013.7197867098005</v>
      </c>
      <c r="G82" s="71">
        <f t="shared" si="28"/>
        <v>512737.41225414013</v>
      </c>
    </row>
    <row r="83" spans="1:7">
      <c r="B83">
        <v>10</v>
      </c>
      <c r="C83" s="71">
        <f t="shared" si="29"/>
        <v>512737.41225414013</v>
      </c>
      <c r="D83" s="71">
        <f t="shared" si="25"/>
        <v>2811.8487488527753</v>
      </c>
      <c r="E83" s="71">
        <f t="shared" si="26"/>
        <v>1794.5809428894904</v>
      </c>
      <c r="F83" s="71">
        <f t="shared" si="27"/>
        <v>1017.2678059632849</v>
      </c>
      <c r="G83" s="71">
        <f t="shared" si="28"/>
        <v>511720.14444817684</v>
      </c>
    </row>
    <row r="84" spans="1:7">
      <c r="B84">
        <v>11</v>
      </c>
      <c r="C84" s="71">
        <f t="shared" si="29"/>
        <v>511720.14444817684</v>
      </c>
      <c r="D84" s="71">
        <f t="shared" si="25"/>
        <v>2811.8487488527753</v>
      </c>
      <c r="E84" s="71">
        <f t="shared" si="26"/>
        <v>1791.020505568619</v>
      </c>
      <c r="F84" s="71">
        <f t="shared" si="27"/>
        <v>1020.8282432841563</v>
      </c>
      <c r="G84" s="71">
        <f t="shared" si="28"/>
        <v>510699.3162048927</v>
      </c>
    </row>
    <row r="85" spans="1:7">
      <c r="B85">
        <v>12</v>
      </c>
      <c r="C85" s="71">
        <f t="shared" si="29"/>
        <v>510699.3162048927</v>
      </c>
      <c r="D85" s="71">
        <f t="shared" si="25"/>
        <v>2811.8487488527753</v>
      </c>
      <c r="E85" s="71">
        <f t="shared" si="26"/>
        <v>1787.4476067171245</v>
      </c>
      <c r="F85" s="71">
        <f t="shared" si="27"/>
        <v>1024.4011421356508</v>
      </c>
      <c r="G85" s="71">
        <f t="shared" si="28"/>
        <v>509674.91506275703</v>
      </c>
    </row>
    <row r="86" spans="1:7">
      <c r="C86" s="71"/>
      <c r="D86" s="71"/>
      <c r="E86" s="71">
        <f>SUM(E74:E85)</f>
        <v>21682.462462796011</v>
      </c>
      <c r="F86" s="71"/>
      <c r="G86" s="71"/>
    </row>
    <row r="87" spans="1:7">
      <c r="A87" s="70" t="s">
        <v>33</v>
      </c>
      <c r="C87" s="71"/>
      <c r="D87" s="71"/>
      <c r="E87" s="71"/>
      <c r="F87" s="71"/>
      <c r="G87" s="71"/>
    </row>
    <row r="88" spans="1:7">
      <c r="B88">
        <v>1</v>
      </c>
      <c r="C88" s="71">
        <f>G85</f>
        <v>509674.91506275703</v>
      </c>
      <c r="D88" s="71">
        <f t="shared" ref="D88:D99" si="30">$J$8</f>
        <v>2811.8487488527753</v>
      </c>
      <c r="E88" s="71">
        <f t="shared" ref="E88:E99" si="31">C88*$J$7</f>
        <v>1783.8622027196498</v>
      </c>
      <c r="F88" s="71">
        <f t="shared" ref="F88:F99" si="32">D88-E88</f>
        <v>1027.9865461331256</v>
      </c>
      <c r="G88" s="71">
        <f t="shared" ref="G88:G99" si="33">C88-F88</f>
        <v>508646.92851662391</v>
      </c>
    </row>
    <row r="89" spans="1:7">
      <c r="B89">
        <v>2</v>
      </c>
      <c r="C89" s="71">
        <f t="shared" ref="C89:C99" si="34">G88</f>
        <v>508646.92851662391</v>
      </c>
      <c r="D89" s="71">
        <f t="shared" si="30"/>
        <v>2811.8487488527753</v>
      </c>
      <c r="E89" s="71">
        <f t="shared" si="31"/>
        <v>1780.2642498081836</v>
      </c>
      <c r="F89" s="71">
        <f t="shared" si="32"/>
        <v>1031.5844990445917</v>
      </c>
      <c r="G89" s="71">
        <f t="shared" si="33"/>
        <v>507615.34401757934</v>
      </c>
    </row>
    <row r="90" spans="1:7">
      <c r="B90">
        <v>3</v>
      </c>
      <c r="C90" s="71">
        <f t="shared" si="34"/>
        <v>507615.34401757934</v>
      </c>
      <c r="D90" s="71">
        <f t="shared" si="30"/>
        <v>2811.8487488527753</v>
      </c>
      <c r="E90" s="71">
        <f t="shared" si="31"/>
        <v>1776.6537040615276</v>
      </c>
      <c r="F90" s="71">
        <f t="shared" si="32"/>
        <v>1035.1950447912477</v>
      </c>
      <c r="G90" s="71">
        <f t="shared" si="33"/>
        <v>506580.14897278807</v>
      </c>
    </row>
    <row r="91" spans="1:7">
      <c r="B91">
        <v>4</v>
      </c>
      <c r="C91" s="71">
        <f t="shared" si="34"/>
        <v>506580.14897278807</v>
      </c>
      <c r="D91" s="71">
        <f t="shared" si="30"/>
        <v>2811.8487488527753</v>
      </c>
      <c r="E91" s="71">
        <f t="shared" si="31"/>
        <v>1773.0305214047582</v>
      </c>
      <c r="F91" s="71">
        <f t="shared" si="32"/>
        <v>1038.8182274480171</v>
      </c>
      <c r="G91" s="71">
        <f t="shared" si="33"/>
        <v>505541.33074534003</v>
      </c>
    </row>
    <row r="92" spans="1:7">
      <c r="B92">
        <v>5</v>
      </c>
      <c r="C92" s="71">
        <f t="shared" si="34"/>
        <v>505541.33074534003</v>
      </c>
      <c r="D92" s="71">
        <f t="shared" si="30"/>
        <v>2811.8487488527753</v>
      </c>
      <c r="E92" s="71">
        <f t="shared" si="31"/>
        <v>1769.3946576086901</v>
      </c>
      <c r="F92" s="71">
        <f t="shared" si="32"/>
        <v>1042.4540912440852</v>
      </c>
      <c r="G92" s="71">
        <f t="shared" si="33"/>
        <v>504498.87665409595</v>
      </c>
    </row>
    <row r="93" spans="1:7">
      <c r="B93">
        <v>6</v>
      </c>
      <c r="C93" s="71">
        <f t="shared" si="34"/>
        <v>504498.87665409595</v>
      </c>
      <c r="D93" s="71">
        <f t="shared" si="30"/>
        <v>2811.8487488527753</v>
      </c>
      <c r="E93" s="71">
        <f t="shared" si="31"/>
        <v>1765.7460682893359</v>
      </c>
      <c r="F93" s="71">
        <f t="shared" si="32"/>
        <v>1046.1026805634394</v>
      </c>
      <c r="G93" s="71">
        <f t="shared" si="33"/>
        <v>503452.77397353249</v>
      </c>
    </row>
    <row r="94" spans="1:7">
      <c r="B94">
        <v>7</v>
      </c>
      <c r="C94" s="71">
        <f t="shared" si="34"/>
        <v>503452.77397353249</v>
      </c>
      <c r="D94" s="71">
        <f t="shared" si="30"/>
        <v>2811.8487488527753</v>
      </c>
      <c r="E94" s="71">
        <f t="shared" si="31"/>
        <v>1762.0847089073638</v>
      </c>
      <c r="F94" s="71">
        <f t="shared" si="32"/>
        <v>1049.7640399454115</v>
      </c>
      <c r="G94" s="71">
        <f t="shared" si="33"/>
        <v>502403.00993358705</v>
      </c>
    </row>
    <row r="95" spans="1:7">
      <c r="B95">
        <v>8</v>
      </c>
      <c r="C95" s="71">
        <f t="shared" si="34"/>
        <v>502403.00993358705</v>
      </c>
      <c r="D95" s="71">
        <f t="shared" si="30"/>
        <v>2811.8487488527753</v>
      </c>
      <c r="E95" s="71">
        <f t="shared" si="31"/>
        <v>1758.4105347675547</v>
      </c>
      <c r="F95" s="71">
        <f t="shared" si="32"/>
        <v>1053.4382140852206</v>
      </c>
      <c r="G95" s="71">
        <f t="shared" si="33"/>
        <v>501349.57171950181</v>
      </c>
    </row>
    <row r="96" spans="1:7">
      <c r="B96">
        <v>9</v>
      </c>
      <c r="C96" s="71">
        <f t="shared" si="34"/>
        <v>501349.57171950181</v>
      </c>
      <c r="D96" s="71">
        <f t="shared" si="30"/>
        <v>2811.8487488527753</v>
      </c>
      <c r="E96" s="71">
        <f t="shared" si="31"/>
        <v>1754.7235010182565</v>
      </c>
      <c r="F96" s="71">
        <f t="shared" si="32"/>
        <v>1057.1252478345189</v>
      </c>
      <c r="G96" s="71">
        <f t="shared" si="33"/>
        <v>500292.44647166727</v>
      </c>
    </row>
    <row r="97" spans="1:7">
      <c r="B97">
        <v>10</v>
      </c>
      <c r="C97" s="71">
        <f t="shared" si="34"/>
        <v>500292.44647166727</v>
      </c>
      <c r="D97" s="71">
        <f t="shared" si="30"/>
        <v>2811.8487488527753</v>
      </c>
      <c r="E97" s="71">
        <f t="shared" si="31"/>
        <v>1751.0235626508354</v>
      </c>
      <c r="F97" s="71">
        <f t="shared" si="32"/>
        <v>1060.8251862019399</v>
      </c>
      <c r="G97" s="71">
        <f t="shared" si="33"/>
        <v>499231.62128546531</v>
      </c>
    </row>
    <row r="98" spans="1:7">
      <c r="B98">
        <v>11</v>
      </c>
      <c r="C98" s="71">
        <f t="shared" si="34"/>
        <v>499231.62128546531</v>
      </c>
      <c r="D98" s="71">
        <f t="shared" si="30"/>
        <v>2811.8487488527753</v>
      </c>
      <c r="E98" s="71">
        <f t="shared" si="31"/>
        <v>1747.3106744991287</v>
      </c>
      <c r="F98" s="71">
        <f t="shared" si="32"/>
        <v>1064.5380743536466</v>
      </c>
      <c r="G98" s="71">
        <f t="shared" si="33"/>
        <v>498167.08321111166</v>
      </c>
    </row>
    <row r="99" spans="1:7">
      <c r="B99">
        <v>12</v>
      </c>
      <c r="C99" s="71">
        <f t="shared" si="34"/>
        <v>498167.08321111166</v>
      </c>
      <c r="D99" s="71">
        <f t="shared" si="30"/>
        <v>2811.8487488527753</v>
      </c>
      <c r="E99" s="71">
        <f t="shared" si="31"/>
        <v>1743.5847912388908</v>
      </c>
      <c r="F99" s="71">
        <f t="shared" si="32"/>
        <v>1068.2639576138845</v>
      </c>
      <c r="G99" s="71">
        <f t="shared" si="33"/>
        <v>497098.81925349776</v>
      </c>
    </row>
    <row r="100" spans="1:7">
      <c r="C100" s="71"/>
      <c r="D100" s="71"/>
      <c r="E100" s="71">
        <f>SUM(E88:E99)</f>
        <v>21166.089176974172</v>
      </c>
      <c r="F100" s="71"/>
      <c r="G100" s="71"/>
    </row>
    <row r="101" spans="1:7">
      <c r="A101" s="70" t="s">
        <v>34</v>
      </c>
      <c r="C101" s="71"/>
      <c r="D101" s="71"/>
      <c r="E101" s="71"/>
      <c r="F101" s="71"/>
      <c r="G101" s="71"/>
    </row>
    <row r="102" spans="1:7">
      <c r="B102">
        <v>1</v>
      </c>
      <c r="C102" s="71">
        <f>G99</f>
        <v>497098.81925349776</v>
      </c>
      <c r="D102" s="71">
        <f t="shared" ref="D102:D113" si="35">$J$8</f>
        <v>2811.8487488527753</v>
      </c>
      <c r="E102" s="71">
        <f t="shared" ref="E102:E113" si="36">C102*$J$7</f>
        <v>1739.8458673872422</v>
      </c>
      <c r="F102" s="71">
        <f t="shared" ref="F102:F113" si="37">D102-E102</f>
        <v>1072.0028814655332</v>
      </c>
      <c r="G102" s="71">
        <f t="shared" ref="G102:G113" si="38">C102-F102</f>
        <v>496026.81637203222</v>
      </c>
    </row>
    <row r="103" spans="1:7">
      <c r="B103">
        <v>2</v>
      </c>
      <c r="C103" s="71">
        <f t="shared" ref="C103:C113" si="39">G102</f>
        <v>496026.81637203222</v>
      </c>
      <c r="D103" s="71">
        <f t="shared" si="35"/>
        <v>2811.8487488527753</v>
      </c>
      <c r="E103" s="71">
        <f t="shared" si="36"/>
        <v>1736.0938573021128</v>
      </c>
      <c r="F103" s="71">
        <f t="shared" si="37"/>
        <v>1075.7548915506625</v>
      </c>
      <c r="G103" s="71">
        <f t="shared" si="38"/>
        <v>494951.06148048159</v>
      </c>
    </row>
    <row r="104" spans="1:7">
      <c r="B104">
        <v>3</v>
      </c>
      <c r="C104" s="71">
        <f t="shared" si="39"/>
        <v>494951.06148048159</v>
      </c>
      <c r="D104" s="71">
        <f t="shared" si="35"/>
        <v>2811.8487488527753</v>
      </c>
      <c r="E104" s="71">
        <f t="shared" si="36"/>
        <v>1732.3287151816855</v>
      </c>
      <c r="F104" s="71">
        <f t="shared" si="37"/>
        <v>1079.5200336710898</v>
      </c>
      <c r="G104" s="71">
        <f t="shared" si="38"/>
        <v>493871.54144681047</v>
      </c>
    </row>
    <row r="105" spans="1:7">
      <c r="B105">
        <v>4</v>
      </c>
      <c r="C105" s="71">
        <f t="shared" si="39"/>
        <v>493871.54144681047</v>
      </c>
      <c r="D105" s="71">
        <f t="shared" si="35"/>
        <v>2811.8487488527753</v>
      </c>
      <c r="E105" s="71">
        <f t="shared" si="36"/>
        <v>1728.5503950638367</v>
      </c>
      <c r="F105" s="71">
        <f t="shared" si="37"/>
        <v>1083.2983537889386</v>
      </c>
      <c r="G105" s="71">
        <f t="shared" si="38"/>
        <v>492788.24309302151</v>
      </c>
    </row>
    <row r="106" spans="1:7">
      <c r="B106">
        <v>5</v>
      </c>
      <c r="C106" s="71">
        <f t="shared" si="39"/>
        <v>492788.24309302151</v>
      </c>
      <c r="D106" s="71">
        <f t="shared" si="35"/>
        <v>2811.8487488527753</v>
      </c>
      <c r="E106" s="71">
        <f t="shared" si="36"/>
        <v>1724.7588508255753</v>
      </c>
      <c r="F106" s="71">
        <f t="shared" si="37"/>
        <v>1087.0898980272</v>
      </c>
      <c r="G106" s="71">
        <f t="shared" si="38"/>
        <v>491701.15319499432</v>
      </c>
    </row>
    <row r="107" spans="1:7">
      <c r="B107">
        <v>6</v>
      </c>
      <c r="C107" s="71">
        <f t="shared" si="39"/>
        <v>491701.15319499432</v>
      </c>
      <c r="D107" s="71">
        <f t="shared" si="35"/>
        <v>2811.8487488527753</v>
      </c>
      <c r="E107" s="71">
        <f t="shared" si="36"/>
        <v>1720.9540361824802</v>
      </c>
      <c r="F107" s="71">
        <f t="shared" si="37"/>
        <v>1090.8947126702951</v>
      </c>
      <c r="G107" s="71">
        <f t="shared" si="38"/>
        <v>490610.25848232402</v>
      </c>
    </row>
    <row r="108" spans="1:7">
      <c r="B108">
        <v>7</v>
      </c>
      <c r="C108" s="71">
        <f t="shared" si="39"/>
        <v>490610.25848232402</v>
      </c>
      <c r="D108" s="71">
        <f t="shared" si="35"/>
        <v>2811.8487488527753</v>
      </c>
      <c r="E108" s="71">
        <f t="shared" si="36"/>
        <v>1717.1359046881341</v>
      </c>
      <c r="F108" s="71">
        <f t="shared" si="37"/>
        <v>1094.7128441646412</v>
      </c>
      <c r="G108" s="71">
        <f t="shared" si="38"/>
        <v>489515.54563815938</v>
      </c>
    </row>
    <row r="109" spans="1:7">
      <c r="B109">
        <v>8</v>
      </c>
      <c r="C109" s="71">
        <f t="shared" si="39"/>
        <v>489515.54563815938</v>
      </c>
      <c r="D109" s="71">
        <f t="shared" si="35"/>
        <v>2811.8487488527753</v>
      </c>
      <c r="E109" s="71">
        <f t="shared" si="36"/>
        <v>1713.3044097335578</v>
      </c>
      <c r="F109" s="71">
        <f t="shared" si="37"/>
        <v>1098.5443391192175</v>
      </c>
      <c r="G109" s="71">
        <f t="shared" si="38"/>
        <v>488417.00129904016</v>
      </c>
    </row>
    <row r="110" spans="1:7">
      <c r="B110">
        <v>9</v>
      </c>
      <c r="C110" s="71">
        <f t="shared" si="39"/>
        <v>488417.00129904016</v>
      </c>
      <c r="D110" s="71">
        <f t="shared" si="35"/>
        <v>2811.8487488527753</v>
      </c>
      <c r="E110" s="71">
        <f t="shared" si="36"/>
        <v>1709.4595045466406</v>
      </c>
      <c r="F110" s="71">
        <f t="shared" si="37"/>
        <v>1102.3892443061347</v>
      </c>
      <c r="G110" s="71">
        <f t="shared" si="38"/>
        <v>487314.61205473403</v>
      </c>
    </row>
    <row r="111" spans="1:7">
      <c r="B111">
        <v>10</v>
      </c>
      <c r="C111" s="71">
        <f t="shared" si="39"/>
        <v>487314.61205473403</v>
      </c>
      <c r="D111" s="71">
        <f t="shared" si="35"/>
        <v>2811.8487488527753</v>
      </c>
      <c r="E111" s="71">
        <f t="shared" si="36"/>
        <v>1705.6011421915691</v>
      </c>
      <c r="F111" s="71">
        <f t="shared" si="37"/>
        <v>1106.2476066612062</v>
      </c>
      <c r="G111" s="71">
        <f t="shared" si="38"/>
        <v>486208.3644480728</v>
      </c>
    </row>
    <row r="112" spans="1:7">
      <c r="B112">
        <v>11</v>
      </c>
      <c r="C112" s="71">
        <f t="shared" si="39"/>
        <v>486208.3644480728</v>
      </c>
      <c r="D112" s="71">
        <f t="shared" si="35"/>
        <v>2811.8487488527753</v>
      </c>
      <c r="E112" s="71">
        <f t="shared" si="36"/>
        <v>1701.7292755682549</v>
      </c>
      <c r="F112" s="71">
        <f t="shared" si="37"/>
        <v>1110.1194732845204</v>
      </c>
      <c r="G112" s="71">
        <f t="shared" si="38"/>
        <v>485098.24497478828</v>
      </c>
    </row>
    <row r="113" spans="1:7">
      <c r="B113">
        <v>12</v>
      </c>
      <c r="C113" s="71">
        <f t="shared" si="39"/>
        <v>485098.24497478828</v>
      </c>
      <c r="D113" s="71">
        <f t="shared" si="35"/>
        <v>2811.8487488527753</v>
      </c>
      <c r="E113" s="71">
        <f t="shared" si="36"/>
        <v>1697.843857411759</v>
      </c>
      <c r="F113" s="71">
        <f t="shared" si="37"/>
        <v>1114.0048914410163</v>
      </c>
      <c r="G113" s="71">
        <f t="shared" si="38"/>
        <v>483984.24008334725</v>
      </c>
    </row>
    <row r="114" spans="1:7">
      <c r="C114" s="71"/>
      <c r="D114" s="71"/>
      <c r="E114" s="71">
        <f>SUM(E102:E113)</f>
        <v>20627.605816082847</v>
      </c>
      <c r="F114" s="71"/>
      <c r="G114" s="71"/>
    </row>
    <row r="115" spans="1:7">
      <c r="A115" s="70" t="s">
        <v>35</v>
      </c>
      <c r="C115" s="71"/>
      <c r="D115" s="71"/>
      <c r="E115" s="71"/>
      <c r="F115" s="71"/>
      <c r="G115" s="71"/>
    </row>
    <row r="116" spans="1:7">
      <c r="B116">
        <v>1</v>
      </c>
      <c r="C116" s="71">
        <f>G113</f>
        <v>483984.24008334725</v>
      </c>
      <c r="D116" s="71">
        <f t="shared" ref="D116:D127" si="40">$J$8</f>
        <v>2811.8487488527753</v>
      </c>
      <c r="E116" s="71">
        <f t="shared" ref="E116:E127" si="41">C116*$J$7</f>
        <v>1693.9448402917153</v>
      </c>
      <c r="F116" s="71">
        <f t="shared" ref="F116:F127" si="42">D116-E116</f>
        <v>1117.90390856106</v>
      </c>
      <c r="G116" s="71">
        <f t="shared" ref="G116:G127" si="43">C116-F116</f>
        <v>482866.33617478621</v>
      </c>
    </row>
    <row r="117" spans="1:7">
      <c r="B117">
        <v>2</v>
      </c>
      <c r="C117" s="71">
        <f t="shared" ref="C117:C127" si="44">G116</f>
        <v>482866.33617478621</v>
      </c>
      <c r="D117" s="71">
        <f t="shared" si="40"/>
        <v>2811.8487488527753</v>
      </c>
      <c r="E117" s="71">
        <f t="shared" si="41"/>
        <v>1690.0321766117518</v>
      </c>
      <c r="F117" s="71">
        <f t="shared" si="42"/>
        <v>1121.8165722410236</v>
      </c>
      <c r="G117" s="71">
        <f t="shared" si="43"/>
        <v>481744.51960254519</v>
      </c>
    </row>
    <row r="118" spans="1:7">
      <c r="B118">
        <v>3</v>
      </c>
      <c r="C118" s="71">
        <f t="shared" si="44"/>
        <v>481744.51960254519</v>
      </c>
      <c r="D118" s="71">
        <f t="shared" si="40"/>
        <v>2811.8487488527753</v>
      </c>
      <c r="E118" s="71">
        <f t="shared" si="41"/>
        <v>1686.1058186089083</v>
      </c>
      <c r="F118" s="71">
        <f t="shared" si="42"/>
        <v>1125.742930243867</v>
      </c>
      <c r="G118" s="71">
        <f t="shared" si="43"/>
        <v>480618.77667230135</v>
      </c>
    </row>
    <row r="119" spans="1:7">
      <c r="B119">
        <v>4</v>
      </c>
      <c r="C119" s="71">
        <f t="shared" si="44"/>
        <v>480618.77667230135</v>
      </c>
      <c r="D119" s="71">
        <f t="shared" si="40"/>
        <v>2811.8487488527753</v>
      </c>
      <c r="E119" s="71">
        <f t="shared" si="41"/>
        <v>1682.1657183530547</v>
      </c>
      <c r="F119" s="71">
        <f t="shared" si="42"/>
        <v>1129.6830304997206</v>
      </c>
      <c r="G119" s="71">
        <f t="shared" si="43"/>
        <v>479489.09364180162</v>
      </c>
    </row>
    <row r="120" spans="1:7">
      <c r="B120">
        <v>5</v>
      </c>
      <c r="C120" s="71">
        <f t="shared" si="44"/>
        <v>479489.09364180162</v>
      </c>
      <c r="D120" s="71">
        <f t="shared" si="40"/>
        <v>2811.8487488527753</v>
      </c>
      <c r="E120" s="71">
        <f t="shared" si="41"/>
        <v>1678.2118277463057</v>
      </c>
      <c r="F120" s="71">
        <f t="shared" si="42"/>
        <v>1133.6369211064696</v>
      </c>
      <c r="G120" s="71">
        <f t="shared" si="43"/>
        <v>478355.45672069513</v>
      </c>
    </row>
    <row r="121" spans="1:7">
      <c r="B121">
        <v>6</v>
      </c>
      <c r="C121" s="71">
        <f t="shared" si="44"/>
        <v>478355.45672069513</v>
      </c>
      <c r="D121" s="71">
        <f t="shared" si="40"/>
        <v>2811.8487488527753</v>
      </c>
      <c r="E121" s="71">
        <f t="shared" si="41"/>
        <v>1674.244098522433</v>
      </c>
      <c r="F121" s="71">
        <f t="shared" si="42"/>
        <v>1137.6046503303423</v>
      </c>
      <c r="G121" s="71">
        <f t="shared" si="43"/>
        <v>477217.85207036481</v>
      </c>
    </row>
    <row r="122" spans="1:7">
      <c r="B122">
        <v>7</v>
      </c>
      <c r="C122" s="71">
        <f t="shared" si="44"/>
        <v>477217.85207036481</v>
      </c>
      <c r="D122" s="71">
        <f t="shared" si="40"/>
        <v>2811.8487488527753</v>
      </c>
      <c r="E122" s="71">
        <f t="shared" si="41"/>
        <v>1670.2624822462769</v>
      </c>
      <c r="F122" s="71">
        <f t="shared" si="42"/>
        <v>1141.5862666064984</v>
      </c>
      <c r="G122" s="71">
        <f t="shared" si="43"/>
        <v>476076.26580375829</v>
      </c>
    </row>
    <row r="123" spans="1:7">
      <c r="B123">
        <v>8</v>
      </c>
      <c r="C123" s="71">
        <f t="shared" si="44"/>
        <v>476076.26580375829</v>
      </c>
      <c r="D123" s="71">
        <f t="shared" si="40"/>
        <v>2811.8487488527753</v>
      </c>
      <c r="E123" s="71">
        <f t="shared" si="41"/>
        <v>1666.266930313154</v>
      </c>
      <c r="F123" s="71">
        <f t="shared" si="42"/>
        <v>1145.5818185396213</v>
      </c>
      <c r="G123" s="71">
        <f t="shared" si="43"/>
        <v>474930.68398521864</v>
      </c>
    </row>
    <row r="124" spans="1:7">
      <c r="B124">
        <v>9</v>
      </c>
      <c r="C124" s="71">
        <f t="shared" si="44"/>
        <v>474930.68398521864</v>
      </c>
      <c r="D124" s="71">
        <f t="shared" si="40"/>
        <v>2811.8487488527753</v>
      </c>
      <c r="E124" s="71">
        <f t="shared" si="41"/>
        <v>1662.2573939482652</v>
      </c>
      <c r="F124" s="71">
        <f t="shared" si="42"/>
        <v>1149.5913549045101</v>
      </c>
      <c r="G124" s="71">
        <f t="shared" si="43"/>
        <v>473781.09263031412</v>
      </c>
    </row>
    <row r="125" spans="1:7">
      <c r="B125">
        <v>10</v>
      </c>
      <c r="C125" s="71">
        <f t="shared" si="44"/>
        <v>473781.09263031412</v>
      </c>
      <c r="D125" s="71">
        <f t="shared" si="40"/>
        <v>2811.8487488527753</v>
      </c>
      <c r="E125" s="71">
        <f t="shared" si="41"/>
        <v>1658.2338242060994</v>
      </c>
      <c r="F125" s="71">
        <f t="shared" si="42"/>
        <v>1153.6149246466759</v>
      </c>
      <c r="G125" s="71">
        <f t="shared" si="43"/>
        <v>472627.47770566744</v>
      </c>
    </row>
    <row r="126" spans="1:7">
      <c r="B126">
        <v>11</v>
      </c>
      <c r="C126" s="71">
        <f t="shared" si="44"/>
        <v>472627.47770566744</v>
      </c>
      <c r="D126" s="71">
        <f t="shared" si="40"/>
        <v>2811.8487488527753</v>
      </c>
      <c r="E126" s="71">
        <f t="shared" si="41"/>
        <v>1654.1961719698361</v>
      </c>
      <c r="F126" s="71">
        <f t="shared" si="42"/>
        <v>1157.6525768829392</v>
      </c>
      <c r="G126" s="71">
        <f t="shared" si="43"/>
        <v>471469.82512878452</v>
      </c>
    </row>
    <row r="127" spans="1:7">
      <c r="B127">
        <v>12</v>
      </c>
      <c r="C127" s="71">
        <f t="shared" si="44"/>
        <v>471469.82512878452</v>
      </c>
      <c r="D127" s="71">
        <f t="shared" si="40"/>
        <v>2811.8487488527753</v>
      </c>
      <c r="E127" s="71">
        <f t="shared" si="41"/>
        <v>1650.1443879507458</v>
      </c>
      <c r="F127" s="71">
        <f t="shared" si="42"/>
        <v>1161.7043609020295</v>
      </c>
      <c r="G127" s="71">
        <f t="shared" si="43"/>
        <v>470308.1207678825</v>
      </c>
    </row>
    <row r="128" spans="1:7">
      <c r="C128" s="71"/>
      <c r="D128" s="71"/>
      <c r="E128" s="71">
        <f>SUM(E116:E127)</f>
        <v>20066.065670768545</v>
      </c>
      <c r="F128" s="71"/>
      <c r="G128" s="71"/>
    </row>
    <row r="129" spans="1:7">
      <c r="A129" s="70" t="s">
        <v>36</v>
      </c>
      <c r="C129" s="71"/>
      <c r="D129" s="71"/>
      <c r="E129" s="71"/>
      <c r="F129" s="71"/>
      <c r="G129" s="71"/>
    </row>
    <row r="130" spans="1:7">
      <c r="B130">
        <v>1</v>
      </c>
      <c r="C130" s="71">
        <f>G127</f>
        <v>470308.1207678825</v>
      </c>
      <c r="D130" s="71">
        <f t="shared" ref="D130:D141" si="45">$J$8</f>
        <v>2811.8487488527753</v>
      </c>
      <c r="E130" s="71">
        <f t="shared" ref="E130:E141" si="46">C130*$J$7</f>
        <v>1646.0784226875887</v>
      </c>
      <c r="F130" s="71">
        <f t="shared" ref="F130:F141" si="47">D130-E130</f>
        <v>1165.7703261651866</v>
      </c>
      <c r="G130" s="71">
        <f t="shared" ref="G130:G141" si="48">C130-F130</f>
        <v>469142.35044171731</v>
      </c>
    </row>
    <row r="131" spans="1:7">
      <c r="B131">
        <v>2</v>
      </c>
      <c r="C131" s="71">
        <f t="shared" ref="C131:C141" si="49">G130</f>
        <v>469142.35044171731</v>
      </c>
      <c r="D131" s="71">
        <f t="shared" si="45"/>
        <v>2811.8487488527753</v>
      </c>
      <c r="E131" s="71">
        <f t="shared" si="46"/>
        <v>1641.9982265460105</v>
      </c>
      <c r="F131" s="71">
        <f t="shared" si="47"/>
        <v>1169.8505223067648</v>
      </c>
      <c r="G131" s="71">
        <f t="shared" si="48"/>
        <v>467972.49991941056</v>
      </c>
    </row>
    <row r="132" spans="1:7">
      <c r="B132">
        <v>3</v>
      </c>
      <c r="C132" s="71">
        <f t="shared" si="49"/>
        <v>467972.49991941056</v>
      </c>
      <c r="D132" s="71">
        <f t="shared" si="45"/>
        <v>2811.8487488527753</v>
      </c>
      <c r="E132" s="71">
        <f t="shared" si="46"/>
        <v>1637.903749717937</v>
      </c>
      <c r="F132" s="71">
        <f t="shared" si="47"/>
        <v>1173.9449991348383</v>
      </c>
      <c r="G132" s="71">
        <f t="shared" si="48"/>
        <v>466798.5549202757</v>
      </c>
    </row>
    <row r="133" spans="1:7">
      <c r="B133">
        <v>4</v>
      </c>
      <c r="C133" s="71">
        <f t="shared" si="49"/>
        <v>466798.5549202757</v>
      </c>
      <c r="D133" s="71">
        <f t="shared" si="45"/>
        <v>2811.8487488527753</v>
      </c>
      <c r="E133" s="71">
        <f t="shared" si="46"/>
        <v>1633.7949422209649</v>
      </c>
      <c r="F133" s="71">
        <f t="shared" si="47"/>
        <v>1178.0538066318104</v>
      </c>
      <c r="G133" s="71">
        <f t="shared" si="48"/>
        <v>465620.50111364387</v>
      </c>
    </row>
    <row r="134" spans="1:7">
      <c r="B134">
        <v>5</v>
      </c>
      <c r="C134" s="71">
        <f t="shared" si="49"/>
        <v>465620.50111364387</v>
      </c>
      <c r="D134" s="71">
        <f t="shared" si="45"/>
        <v>2811.8487488527753</v>
      </c>
      <c r="E134" s="71">
        <f t="shared" si="46"/>
        <v>1629.6717538977537</v>
      </c>
      <c r="F134" s="71">
        <f t="shared" si="47"/>
        <v>1182.1769949550217</v>
      </c>
      <c r="G134" s="71">
        <f t="shared" si="48"/>
        <v>464438.32411868882</v>
      </c>
    </row>
    <row r="135" spans="1:7">
      <c r="B135">
        <v>6</v>
      </c>
      <c r="C135" s="71">
        <f t="shared" si="49"/>
        <v>464438.32411868882</v>
      </c>
      <c r="D135" s="71">
        <f t="shared" si="45"/>
        <v>2811.8487488527753</v>
      </c>
      <c r="E135" s="71">
        <f t="shared" si="46"/>
        <v>1625.5341344154108</v>
      </c>
      <c r="F135" s="71">
        <f t="shared" si="47"/>
        <v>1186.3146144373645</v>
      </c>
      <c r="G135" s="71">
        <f t="shared" si="48"/>
        <v>463252.00950425147</v>
      </c>
    </row>
    <row r="136" spans="1:7">
      <c r="B136">
        <v>7</v>
      </c>
      <c r="C136" s="71">
        <f t="shared" si="49"/>
        <v>463252.00950425147</v>
      </c>
      <c r="D136" s="71">
        <f t="shared" si="45"/>
        <v>2811.8487488527753</v>
      </c>
      <c r="E136" s="71">
        <f t="shared" si="46"/>
        <v>1621.3820332648802</v>
      </c>
      <c r="F136" s="71">
        <f t="shared" si="47"/>
        <v>1190.4667155878951</v>
      </c>
      <c r="G136" s="71">
        <f t="shared" si="48"/>
        <v>462061.54278866359</v>
      </c>
    </row>
    <row r="137" spans="1:7">
      <c r="B137">
        <v>8</v>
      </c>
      <c r="C137" s="71">
        <f t="shared" si="49"/>
        <v>462061.54278866359</v>
      </c>
      <c r="D137" s="71">
        <f t="shared" si="45"/>
        <v>2811.8487488527753</v>
      </c>
      <c r="E137" s="71">
        <f t="shared" si="46"/>
        <v>1617.2153997603225</v>
      </c>
      <c r="F137" s="71">
        <f t="shared" si="47"/>
        <v>1194.6333490924528</v>
      </c>
      <c r="G137" s="71">
        <f t="shared" si="48"/>
        <v>460866.90943957114</v>
      </c>
    </row>
    <row r="138" spans="1:7">
      <c r="B138">
        <v>9</v>
      </c>
      <c r="C138" s="71">
        <f t="shared" si="49"/>
        <v>460866.90943957114</v>
      </c>
      <c r="D138" s="71">
        <f t="shared" si="45"/>
        <v>2811.8487488527753</v>
      </c>
      <c r="E138" s="71">
        <f t="shared" si="46"/>
        <v>1613.0341830384991</v>
      </c>
      <c r="F138" s="71">
        <f t="shared" si="47"/>
        <v>1198.8145658142762</v>
      </c>
      <c r="G138" s="71">
        <f t="shared" si="48"/>
        <v>459668.09487375687</v>
      </c>
    </row>
    <row r="139" spans="1:7">
      <c r="B139">
        <v>10</v>
      </c>
      <c r="C139" s="71">
        <f t="shared" si="49"/>
        <v>459668.09487375687</v>
      </c>
      <c r="D139" s="71">
        <f t="shared" si="45"/>
        <v>2811.8487488527753</v>
      </c>
      <c r="E139" s="71">
        <f t="shared" si="46"/>
        <v>1608.838332058149</v>
      </c>
      <c r="F139" s="71">
        <f t="shared" si="47"/>
        <v>1203.0104167946263</v>
      </c>
      <c r="G139" s="71">
        <f t="shared" si="48"/>
        <v>458465.08445696224</v>
      </c>
    </row>
    <row r="140" spans="1:7">
      <c r="B140">
        <v>11</v>
      </c>
      <c r="C140" s="71">
        <f t="shared" si="49"/>
        <v>458465.08445696224</v>
      </c>
      <c r="D140" s="71">
        <f t="shared" si="45"/>
        <v>2811.8487488527753</v>
      </c>
      <c r="E140" s="71">
        <f t="shared" si="46"/>
        <v>1604.6277955993678</v>
      </c>
      <c r="F140" s="71">
        <f t="shared" si="47"/>
        <v>1207.2209532534075</v>
      </c>
      <c r="G140" s="71">
        <f t="shared" si="48"/>
        <v>457257.86350370885</v>
      </c>
    </row>
    <row r="141" spans="1:7">
      <c r="B141">
        <v>12</v>
      </c>
      <c r="C141" s="71">
        <f t="shared" si="49"/>
        <v>457257.86350370885</v>
      </c>
      <c r="D141" s="71">
        <f t="shared" si="45"/>
        <v>2811.8487488527753</v>
      </c>
      <c r="E141" s="71">
        <f t="shared" si="46"/>
        <v>1600.4025222629809</v>
      </c>
      <c r="F141" s="71">
        <f t="shared" si="47"/>
        <v>1211.4462265897944</v>
      </c>
      <c r="G141" s="71">
        <f t="shared" si="48"/>
        <v>456046.41727711906</v>
      </c>
    </row>
    <row r="142" spans="1:7">
      <c r="C142" s="71"/>
      <c r="D142" s="71"/>
      <c r="E142" s="71">
        <f>SUM(E130:E141)</f>
        <v>19480.481495469867</v>
      </c>
      <c r="F142" s="71"/>
      <c r="G142" s="71"/>
    </row>
  </sheetData>
  <sheetProtection selectLockedCells="1" selectUnlockedCells="1"/>
  <phoneticPr fontId="15" type="noConversion"/>
  <pageMargins left="0.78749999999999998" right="0.78749999999999998" top="1.0527777777777778" bottom="1.0527777777777778" header="0.78749999999999998" footer="0.78749999999999998"/>
  <pageSetup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0"/>
  <sheetViews>
    <sheetView showGridLines="0" topLeftCell="A58" zoomScale="75" zoomScaleNormal="75" workbookViewId="0">
      <selection activeCell="C108" sqref="C108"/>
    </sheetView>
  </sheetViews>
  <sheetFormatPr defaultColWidth="9.42578125" defaultRowHeight="15"/>
  <cols>
    <col min="1" max="1" width="4.85546875" style="1" customWidth="1"/>
    <col min="2" max="2" width="25.85546875" style="1" customWidth="1"/>
    <col min="3" max="3" width="24.85546875" style="1" customWidth="1"/>
    <col min="4" max="4" width="18" style="1" customWidth="1"/>
    <col min="5" max="6" width="15" style="1" customWidth="1"/>
    <col min="7" max="7" width="15" style="48" customWidth="1"/>
    <col min="8" max="13" width="15" style="49" customWidth="1"/>
    <col min="14" max="14" width="12.7109375" style="49" bestFit="1" customWidth="1"/>
    <col min="15" max="15" width="21.7109375" style="1" bestFit="1" customWidth="1"/>
    <col min="16" max="16" width="16.7109375" style="1" customWidth="1"/>
    <col min="17" max="17" width="12.28515625" style="1" customWidth="1"/>
    <col min="18" max="18" width="13.42578125" style="1" customWidth="1"/>
    <col min="19" max="19" width="11.85546875" style="1" customWidth="1"/>
    <col min="20" max="20" width="13" style="1" bestFit="1" customWidth="1"/>
    <col min="21" max="21" width="9.42578125" style="1"/>
    <col min="22" max="22" width="13" style="1" bestFit="1" customWidth="1"/>
    <col min="23" max="16384" width="9.42578125" style="1"/>
  </cols>
  <sheetData>
    <row r="1" spans="1:15" s="3" customFormat="1">
      <c r="A1" s="2" t="s">
        <v>37</v>
      </c>
      <c r="G1" s="42"/>
      <c r="H1" s="43"/>
      <c r="I1" s="43"/>
      <c r="J1" s="43"/>
      <c r="K1" s="43"/>
      <c r="L1" s="43"/>
      <c r="M1" s="43"/>
      <c r="N1" s="43"/>
    </row>
    <row r="2" spans="1:15" s="18" customFormat="1">
      <c r="A2" s="37"/>
      <c r="G2" s="44"/>
      <c r="H2" s="45"/>
      <c r="I2" s="45"/>
      <c r="J2" s="45"/>
      <c r="K2" s="45"/>
      <c r="L2" s="45"/>
      <c r="M2" s="45"/>
      <c r="N2" s="45"/>
    </row>
    <row r="3" spans="1:15" s="18" customFormat="1" ht="15.75">
      <c r="A3" s="37"/>
      <c r="B3" s="138" t="s">
        <v>57</v>
      </c>
      <c r="C3" s="139"/>
      <c r="D3" s="140"/>
      <c r="E3" s="139"/>
      <c r="F3" s="40"/>
      <c r="G3" s="41"/>
      <c r="H3" s="46"/>
      <c r="I3" s="46"/>
      <c r="J3" s="46"/>
      <c r="K3" s="47"/>
      <c r="L3" s="47"/>
      <c r="M3" s="46"/>
      <c r="N3" s="47"/>
      <c r="O3" s="47"/>
    </row>
    <row r="4" spans="1:15" s="18" customFormat="1">
      <c r="A4" s="37"/>
      <c r="B4" s="141" t="s">
        <v>55</v>
      </c>
      <c r="C4" s="141"/>
      <c r="D4" s="141"/>
      <c r="E4" s="141"/>
      <c r="G4" s="44"/>
      <c r="H4" s="45"/>
      <c r="I4" s="45"/>
      <c r="J4" s="45"/>
      <c r="K4" s="45"/>
      <c r="L4" s="45"/>
      <c r="M4" s="45"/>
      <c r="N4" s="45"/>
    </row>
    <row r="5" spans="1:15" s="18" customFormat="1">
      <c r="A5" s="37"/>
      <c r="B5" s="142"/>
      <c r="C5" s="141" t="s">
        <v>40</v>
      </c>
      <c r="D5" s="142">
        <v>150</v>
      </c>
      <c r="E5" s="142" t="s">
        <v>54</v>
      </c>
      <c r="G5" s="44"/>
      <c r="H5" s="45"/>
      <c r="I5" s="45"/>
      <c r="J5" s="45"/>
      <c r="K5" s="45"/>
      <c r="L5" s="45"/>
      <c r="M5" s="45"/>
      <c r="N5" s="45"/>
    </row>
    <row r="6" spans="1:15" s="18" customFormat="1">
      <c r="A6" s="37"/>
      <c r="B6" s="142"/>
      <c r="C6" s="141" t="s">
        <v>43</v>
      </c>
      <c r="D6" s="143">
        <v>20</v>
      </c>
      <c r="E6" s="141" t="s">
        <v>54</v>
      </c>
      <c r="G6" s="44"/>
      <c r="H6" s="45"/>
      <c r="I6" s="45"/>
      <c r="J6" s="45"/>
      <c r="K6" s="45"/>
      <c r="L6" s="45"/>
      <c r="M6" s="45"/>
      <c r="N6" s="45"/>
    </row>
    <row r="7" spans="1:15" s="18" customFormat="1">
      <c r="A7" s="37"/>
      <c r="B7" s="142"/>
      <c r="C7" s="141" t="s">
        <v>41</v>
      </c>
      <c r="D7" s="143">
        <v>250</v>
      </c>
      <c r="E7" s="141" t="s">
        <v>54</v>
      </c>
      <c r="G7" s="44"/>
      <c r="H7" s="45"/>
      <c r="I7" s="45"/>
      <c r="J7" s="45"/>
      <c r="K7" s="45"/>
      <c r="L7" s="45"/>
      <c r="M7" s="45"/>
      <c r="N7" s="45"/>
    </row>
    <row r="8" spans="1:15" s="18" customFormat="1">
      <c r="A8" s="37"/>
      <c r="B8" s="141" t="s">
        <v>49</v>
      </c>
      <c r="C8" s="141"/>
      <c r="D8" s="142"/>
      <c r="E8" s="142"/>
      <c r="G8" s="44"/>
      <c r="H8" s="45"/>
      <c r="I8" s="45"/>
      <c r="J8" s="45"/>
      <c r="K8" s="45"/>
      <c r="L8" s="45"/>
      <c r="M8" s="45"/>
      <c r="N8" s="45"/>
    </row>
    <row r="9" spans="1:15" s="18" customFormat="1">
      <c r="A9" s="37"/>
      <c r="B9" s="142"/>
      <c r="C9" s="141" t="s">
        <v>40</v>
      </c>
      <c r="D9" s="144">
        <v>0.5</v>
      </c>
      <c r="E9" s="142" t="s">
        <v>39</v>
      </c>
      <c r="G9" s="44"/>
      <c r="H9" s="45"/>
      <c r="I9" s="45"/>
      <c r="J9" s="45"/>
      <c r="K9" s="45"/>
      <c r="L9" s="45"/>
      <c r="M9" s="45"/>
      <c r="N9" s="45"/>
    </row>
    <row r="10" spans="1:15" s="18" customFormat="1">
      <c r="A10" s="37"/>
      <c r="B10" s="142"/>
      <c r="C10" s="141"/>
      <c r="D10" s="144">
        <f>D5*D9</f>
        <v>75</v>
      </c>
      <c r="E10" s="142" t="s">
        <v>54</v>
      </c>
      <c r="G10" s="44"/>
      <c r="H10" s="45"/>
      <c r="I10" s="45"/>
      <c r="J10" s="45"/>
      <c r="K10" s="45"/>
      <c r="L10" s="45"/>
      <c r="M10" s="45"/>
      <c r="N10" s="45"/>
    </row>
    <row r="11" spans="1:15" s="18" customFormat="1">
      <c r="A11" s="37"/>
      <c r="B11" s="142"/>
      <c r="C11" s="141" t="s">
        <v>43</v>
      </c>
      <c r="D11" s="145">
        <v>15</v>
      </c>
      <c r="E11" s="141" t="s">
        <v>39</v>
      </c>
      <c r="G11" s="44"/>
      <c r="H11" s="45"/>
      <c r="I11" s="45"/>
      <c r="J11" s="45"/>
      <c r="K11" s="45"/>
      <c r="L11" s="45"/>
      <c r="M11" s="45"/>
      <c r="N11" s="45"/>
    </row>
    <row r="12" spans="1:15" s="18" customFormat="1">
      <c r="A12" s="37"/>
      <c r="B12" s="142"/>
      <c r="C12" s="141"/>
      <c r="D12" s="145">
        <f>D11*D6</f>
        <v>300</v>
      </c>
      <c r="E12" s="141" t="s">
        <v>54</v>
      </c>
      <c r="G12" s="44"/>
      <c r="H12" s="45"/>
      <c r="I12" s="45"/>
      <c r="J12" s="45"/>
      <c r="K12" s="45"/>
      <c r="L12" s="45"/>
      <c r="M12" s="45"/>
      <c r="N12" s="45"/>
    </row>
    <row r="13" spans="1:15" s="18" customFormat="1">
      <c r="A13" s="37"/>
      <c r="B13" s="142"/>
      <c r="C13" s="141" t="s">
        <v>41</v>
      </c>
      <c r="D13" s="142"/>
      <c r="E13" s="142"/>
      <c r="G13" s="44"/>
      <c r="H13" s="45"/>
      <c r="I13" s="45"/>
      <c r="J13" s="45"/>
      <c r="K13" s="45"/>
      <c r="L13" s="45"/>
      <c r="M13" s="45"/>
      <c r="N13" s="45"/>
    </row>
    <row r="14" spans="1:15" s="18" customFormat="1">
      <c r="A14" s="37"/>
      <c r="B14" s="141"/>
      <c r="C14" s="141"/>
      <c r="D14" s="145">
        <v>0.1</v>
      </c>
      <c r="E14" s="141" t="s">
        <v>39</v>
      </c>
      <c r="G14" s="44"/>
      <c r="H14" s="45"/>
      <c r="I14" s="45"/>
      <c r="J14" s="45"/>
      <c r="K14" s="45"/>
      <c r="L14" s="45"/>
      <c r="M14" s="45"/>
      <c r="N14" s="45"/>
    </row>
    <row r="15" spans="1:15" s="18" customFormat="1">
      <c r="A15" s="37"/>
      <c r="B15" s="142"/>
      <c r="C15" s="142"/>
      <c r="D15" s="145">
        <f>D7*D14</f>
        <v>25</v>
      </c>
      <c r="E15" s="141" t="s">
        <v>54</v>
      </c>
      <c r="G15" s="44"/>
      <c r="H15" s="45"/>
      <c r="I15" s="45"/>
      <c r="J15" s="45"/>
      <c r="K15" s="45"/>
      <c r="L15" s="45"/>
      <c r="M15" s="45"/>
      <c r="N15" s="45"/>
    </row>
    <row r="16" spans="1:15" s="18" customFormat="1">
      <c r="A16" s="37"/>
      <c r="B16" s="141" t="s">
        <v>51</v>
      </c>
      <c r="C16" s="141"/>
      <c r="D16" s="142"/>
      <c r="E16" s="142"/>
      <c r="G16" s="44"/>
      <c r="H16" s="45"/>
      <c r="I16" s="45"/>
      <c r="J16" s="45"/>
      <c r="K16" s="45"/>
      <c r="L16" s="45"/>
      <c r="M16" s="45"/>
      <c r="N16" s="45"/>
    </row>
    <row r="17" spans="1:14" s="18" customFormat="1">
      <c r="A17" s="37"/>
      <c r="B17" s="141"/>
      <c r="C17" s="141" t="s">
        <v>40</v>
      </c>
      <c r="D17" s="144">
        <v>2</v>
      </c>
      <c r="E17" s="142" t="s">
        <v>39</v>
      </c>
      <c r="G17" s="44"/>
      <c r="H17" s="45"/>
      <c r="I17" s="45"/>
      <c r="J17" s="45"/>
      <c r="K17" s="45"/>
      <c r="L17" s="45"/>
      <c r="M17" s="45"/>
      <c r="N17" s="45"/>
    </row>
    <row r="18" spans="1:14" s="18" customFormat="1">
      <c r="A18" s="37"/>
      <c r="B18" s="141"/>
      <c r="C18" s="141" t="s">
        <v>43</v>
      </c>
      <c r="D18" s="145">
        <f>AVERAGE(Reference!C7,Reference!E7)</f>
        <v>36.5</v>
      </c>
      <c r="E18" s="141" t="s">
        <v>39</v>
      </c>
      <c r="G18" s="44"/>
      <c r="H18" s="45"/>
      <c r="I18" s="45"/>
      <c r="J18" s="45"/>
      <c r="K18" s="45"/>
      <c r="L18" s="45"/>
      <c r="M18" s="45"/>
      <c r="N18" s="45"/>
    </row>
    <row r="19" spans="1:14" s="18" customFormat="1">
      <c r="A19" s="37"/>
      <c r="B19" s="141"/>
      <c r="C19" s="141" t="s">
        <v>41</v>
      </c>
      <c r="D19" s="145">
        <v>1</v>
      </c>
      <c r="E19" s="141" t="s">
        <v>39</v>
      </c>
      <c r="G19" s="44"/>
      <c r="H19" s="45"/>
      <c r="I19" s="45"/>
      <c r="J19" s="45"/>
      <c r="K19" s="45"/>
      <c r="L19" s="45"/>
      <c r="M19" s="45"/>
      <c r="N19" s="45"/>
    </row>
    <row r="20" spans="1:14" s="18" customFormat="1">
      <c r="A20" s="37"/>
      <c r="B20" s="141"/>
      <c r="C20" s="141"/>
      <c r="D20" s="142"/>
      <c r="E20" s="142"/>
      <c r="G20" s="44"/>
      <c r="H20" s="45"/>
      <c r="I20" s="45"/>
      <c r="J20" s="45"/>
      <c r="K20" s="45"/>
      <c r="L20" s="45"/>
      <c r="M20" s="45"/>
      <c r="N20" s="45"/>
    </row>
    <row r="21" spans="1:14" s="18" customFormat="1">
      <c r="A21" s="37"/>
      <c r="B21" s="141"/>
      <c r="C21" s="141"/>
      <c r="D21" s="142"/>
      <c r="E21" s="142"/>
      <c r="G21" s="44"/>
      <c r="H21" s="45"/>
      <c r="I21" s="45"/>
      <c r="J21" s="45"/>
      <c r="K21" s="45"/>
      <c r="L21" s="45"/>
      <c r="M21" s="45"/>
      <c r="N21" s="45"/>
    </row>
    <row r="22" spans="1:14" s="18" customFormat="1">
      <c r="A22" s="37"/>
      <c r="B22" s="141" t="s">
        <v>56</v>
      </c>
      <c r="C22" s="141" t="s">
        <v>40</v>
      </c>
      <c r="D22" s="144">
        <f>D17*D5</f>
        <v>300</v>
      </c>
      <c r="E22" s="142" t="s">
        <v>54</v>
      </c>
      <c r="G22" s="44"/>
      <c r="H22" s="45"/>
      <c r="I22" s="45"/>
      <c r="J22" s="45"/>
      <c r="K22" s="45"/>
      <c r="L22" s="45"/>
      <c r="M22" s="45"/>
      <c r="N22" s="45"/>
    </row>
    <row r="23" spans="1:14" s="18" customFormat="1">
      <c r="A23" s="37"/>
      <c r="B23" s="141"/>
      <c r="C23" s="141" t="s">
        <v>43</v>
      </c>
      <c r="D23" s="146">
        <f>D6*D18</f>
        <v>730</v>
      </c>
      <c r="E23" s="141" t="s">
        <v>54</v>
      </c>
      <c r="G23" s="44"/>
      <c r="H23" s="45"/>
      <c r="I23" s="45"/>
      <c r="J23" s="45"/>
      <c r="K23" s="45"/>
      <c r="L23" s="45"/>
      <c r="M23" s="45"/>
      <c r="N23" s="45"/>
    </row>
    <row r="24" spans="1:14" s="18" customFormat="1">
      <c r="A24" s="37"/>
      <c r="B24" s="142"/>
      <c r="C24" s="141" t="s">
        <v>41</v>
      </c>
      <c r="D24" s="145">
        <f>D19*D7</f>
        <v>250</v>
      </c>
      <c r="E24" s="141" t="s">
        <v>54</v>
      </c>
      <c r="G24" s="44"/>
      <c r="H24" s="45"/>
      <c r="I24" s="45"/>
      <c r="J24" s="45"/>
      <c r="K24" s="45"/>
      <c r="L24" s="45"/>
      <c r="M24" s="45"/>
      <c r="N24" s="45"/>
    </row>
    <row r="25" spans="1:14" s="18" customFormat="1">
      <c r="A25" s="37"/>
      <c r="B25" s="141"/>
      <c r="C25" s="141"/>
      <c r="D25" s="141"/>
      <c r="E25" s="141"/>
      <c r="G25" s="44"/>
      <c r="H25" s="45"/>
      <c r="I25" s="45"/>
      <c r="J25" s="45"/>
      <c r="K25" s="45"/>
      <c r="L25" s="45"/>
      <c r="M25" s="45"/>
      <c r="N25" s="45"/>
    </row>
    <row r="26" spans="1:14" s="18" customFormat="1">
      <c r="A26" s="37"/>
      <c r="B26" s="141" t="s">
        <v>52</v>
      </c>
      <c r="C26" s="141"/>
      <c r="D26" s="144">
        <f>D22+D23+D24</f>
        <v>1280</v>
      </c>
      <c r="E26" s="141" t="s">
        <v>54</v>
      </c>
      <c r="G26" s="44"/>
      <c r="H26" s="45"/>
      <c r="I26" s="45"/>
      <c r="J26" s="45"/>
      <c r="K26" s="45"/>
      <c r="L26" s="45"/>
      <c r="M26" s="45"/>
      <c r="N26" s="45"/>
    </row>
    <row r="27" spans="1:14" s="18" customFormat="1">
      <c r="A27" s="37"/>
      <c r="B27" s="141" t="s">
        <v>53</v>
      </c>
      <c r="C27" s="141"/>
      <c r="D27" s="144">
        <f>D10+D12+D15</f>
        <v>400</v>
      </c>
      <c r="E27" s="141" t="s">
        <v>54</v>
      </c>
      <c r="G27" s="44"/>
      <c r="H27" s="45"/>
      <c r="I27" s="45"/>
      <c r="J27" s="45"/>
      <c r="K27" s="45"/>
      <c r="L27" s="45"/>
      <c r="M27" s="45"/>
      <c r="N27" s="45"/>
    </row>
    <row r="28" spans="1:14" s="18" customFormat="1">
      <c r="A28" s="37"/>
      <c r="B28" s="139"/>
      <c r="C28" s="139"/>
      <c r="D28" s="139"/>
      <c r="E28" s="139"/>
      <c r="G28" s="44"/>
      <c r="H28" s="45"/>
      <c r="I28" s="45"/>
      <c r="J28" s="45"/>
      <c r="K28" s="45"/>
      <c r="L28" s="45"/>
      <c r="M28" s="45"/>
      <c r="N28" s="45"/>
    </row>
    <row r="29" spans="1:14" s="18" customFormat="1">
      <c r="A29" s="37"/>
      <c r="B29" s="141"/>
      <c r="C29" s="139"/>
      <c r="D29" s="139"/>
      <c r="E29" s="139"/>
      <c r="G29" s="44"/>
      <c r="H29" s="45"/>
      <c r="I29" s="45"/>
      <c r="J29" s="45"/>
      <c r="K29" s="45"/>
      <c r="L29" s="45"/>
      <c r="M29" s="45"/>
      <c r="N29" s="45"/>
    </row>
    <row r="30" spans="1:14" s="18" customFormat="1">
      <c r="A30" s="37"/>
      <c r="B30" s="139" t="s">
        <v>72</v>
      </c>
      <c r="C30" s="139">
        <v>3</v>
      </c>
      <c r="D30" s="139" t="s">
        <v>70</v>
      </c>
      <c r="E30" s="139"/>
      <c r="G30" s="44"/>
      <c r="H30" s="45"/>
      <c r="I30" s="45"/>
      <c r="J30" s="45"/>
      <c r="K30" s="45"/>
      <c r="L30" s="45"/>
      <c r="M30" s="45"/>
      <c r="N30" s="45"/>
    </row>
    <row r="31" spans="1:14" s="18" customFormat="1">
      <c r="A31" s="37"/>
      <c r="B31" s="139" t="s">
        <v>71</v>
      </c>
      <c r="C31" s="139">
        <v>75</v>
      </c>
      <c r="D31" s="139" t="s">
        <v>70</v>
      </c>
      <c r="E31" s="139"/>
      <c r="G31" s="44"/>
      <c r="H31" s="45"/>
      <c r="I31" s="45"/>
      <c r="J31" s="45"/>
      <c r="K31" s="45"/>
      <c r="L31" s="45"/>
      <c r="M31" s="45"/>
      <c r="N31" s="45"/>
    </row>
    <row r="32" spans="1:14" s="18" customFormat="1">
      <c r="A32" s="37"/>
      <c r="B32" s="139" t="s">
        <v>69</v>
      </c>
      <c r="C32" s="139">
        <v>75</v>
      </c>
      <c r="D32" s="139" t="s">
        <v>70</v>
      </c>
      <c r="E32" s="139"/>
      <c r="G32" s="44"/>
      <c r="H32" s="45"/>
      <c r="I32" s="45"/>
      <c r="J32" s="45"/>
      <c r="K32" s="45"/>
      <c r="L32" s="45"/>
      <c r="M32" s="45"/>
      <c r="N32" s="45"/>
    </row>
    <row r="33" spans="1:16">
      <c r="A33" s="4" t="s">
        <v>0</v>
      </c>
      <c r="B33" s="18"/>
    </row>
    <row r="34" spans="1:16">
      <c r="A34" s="11"/>
      <c r="C34" s="40"/>
      <c r="D34" s="50" t="s">
        <v>27</v>
      </c>
      <c r="E34" s="50" t="s">
        <v>28</v>
      </c>
      <c r="F34" s="50" t="s">
        <v>29</v>
      </c>
      <c r="G34" s="50" t="s">
        <v>30</v>
      </c>
      <c r="H34" s="50" t="s">
        <v>31</v>
      </c>
      <c r="I34" s="51" t="s">
        <v>32</v>
      </c>
      <c r="J34" s="51" t="s">
        <v>33</v>
      </c>
      <c r="K34" s="50" t="s">
        <v>34</v>
      </c>
      <c r="L34" s="50"/>
      <c r="M34" s="51"/>
    </row>
    <row r="35" spans="1:16">
      <c r="A35" s="11"/>
      <c r="B35" s="11"/>
      <c r="C35" s="11"/>
      <c r="D35" s="39"/>
      <c r="E35" s="11"/>
      <c r="F35" s="11"/>
      <c r="H35" s="48"/>
    </row>
    <row r="36" spans="1:16">
      <c r="A36" s="94" t="s">
        <v>1</v>
      </c>
      <c r="B36" s="95"/>
      <c r="C36" s="95"/>
      <c r="D36" s="95"/>
      <c r="E36" s="95"/>
      <c r="F36" s="95"/>
      <c r="G36" s="96"/>
      <c r="H36" s="96"/>
      <c r="I36" s="96"/>
      <c r="J36" s="96"/>
      <c r="K36" s="96"/>
      <c r="L36" s="153"/>
      <c r="M36" s="79"/>
      <c r="N36" s="79"/>
      <c r="O36" s="15"/>
      <c r="P36" s="15"/>
    </row>
    <row r="37" spans="1:16">
      <c r="A37" s="97" t="s">
        <v>2</v>
      </c>
      <c r="B37" s="15"/>
      <c r="C37" s="15" t="s">
        <v>40</v>
      </c>
      <c r="D37" s="80">
        <f>D22*365</f>
        <v>109500</v>
      </c>
      <c r="E37" s="80">
        <f t="shared" ref="E37:K39" si="0">D37+(D37*$N$37)</f>
        <v>110595</v>
      </c>
      <c r="F37" s="80">
        <f t="shared" si="0"/>
        <v>111700.95</v>
      </c>
      <c r="G37" s="80">
        <f t="shared" si="0"/>
        <v>112817.9595</v>
      </c>
      <c r="H37" s="80">
        <f t="shared" si="0"/>
        <v>113946.13909499999</v>
      </c>
      <c r="I37" s="80">
        <f t="shared" si="0"/>
        <v>115085.60048595</v>
      </c>
      <c r="J37" s="80">
        <f t="shared" si="0"/>
        <v>116236.45649080949</v>
      </c>
      <c r="K37" s="80">
        <f t="shared" si="0"/>
        <v>117398.82105571759</v>
      </c>
      <c r="L37" s="80"/>
      <c r="M37" s="80"/>
      <c r="N37" s="81">
        <v>0.01</v>
      </c>
      <c r="O37" s="15" t="s">
        <v>58</v>
      </c>
      <c r="P37" s="15"/>
    </row>
    <row r="38" spans="1:16">
      <c r="A38" s="97"/>
      <c r="B38" s="15"/>
      <c r="C38" s="15" t="s">
        <v>43</v>
      </c>
      <c r="D38" s="80">
        <f>D23*365</f>
        <v>266450</v>
      </c>
      <c r="E38" s="80">
        <f t="shared" si="0"/>
        <v>269114.5</v>
      </c>
      <c r="F38" s="80">
        <f t="shared" si="0"/>
        <v>271805.64500000002</v>
      </c>
      <c r="G38" s="80">
        <f t="shared" si="0"/>
        <v>274523.70144999999</v>
      </c>
      <c r="H38" s="80">
        <f t="shared" si="0"/>
        <v>277268.93846450001</v>
      </c>
      <c r="I38" s="80">
        <f t="shared" si="0"/>
        <v>280041.62784914504</v>
      </c>
      <c r="J38" s="80">
        <f t="shared" si="0"/>
        <v>282842.04412763647</v>
      </c>
      <c r="K38" s="80">
        <f t="shared" si="0"/>
        <v>285670.46456891287</v>
      </c>
      <c r="L38" s="80"/>
      <c r="M38" s="80"/>
      <c r="N38" s="82"/>
      <c r="O38" s="15"/>
      <c r="P38" s="15"/>
    </row>
    <row r="39" spans="1:16">
      <c r="A39" s="97"/>
      <c r="B39" s="15"/>
      <c r="C39" s="15" t="s">
        <v>41</v>
      </c>
      <c r="D39" s="80">
        <f>D24*365</f>
        <v>91250</v>
      </c>
      <c r="E39" s="80">
        <f t="shared" si="0"/>
        <v>92162.5</v>
      </c>
      <c r="F39" s="80">
        <f t="shared" si="0"/>
        <v>93084.125</v>
      </c>
      <c r="G39" s="80">
        <f t="shared" si="0"/>
        <v>94014.966249999998</v>
      </c>
      <c r="H39" s="80">
        <f t="shared" si="0"/>
        <v>94955.115912499998</v>
      </c>
      <c r="I39" s="80">
        <f t="shared" si="0"/>
        <v>95904.667071624994</v>
      </c>
      <c r="J39" s="80">
        <f t="shared" si="0"/>
        <v>96863.71374234125</v>
      </c>
      <c r="K39" s="80">
        <f t="shared" si="0"/>
        <v>97832.350879764665</v>
      </c>
      <c r="L39" s="80"/>
      <c r="M39" s="80"/>
      <c r="N39" s="82"/>
      <c r="O39" s="15"/>
      <c r="P39" s="15"/>
    </row>
    <row r="40" spans="1:16">
      <c r="A40" s="97"/>
      <c r="B40" s="15"/>
      <c r="C40" s="15"/>
      <c r="D40" s="80"/>
      <c r="E40" s="80"/>
      <c r="F40" s="80"/>
      <c r="G40" s="98"/>
      <c r="H40" s="79"/>
      <c r="I40" s="79"/>
      <c r="J40" s="79"/>
      <c r="K40" s="79"/>
      <c r="L40" s="79"/>
      <c r="M40" s="79"/>
      <c r="N40" s="82"/>
      <c r="O40" s="15"/>
      <c r="P40" s="15"/>
    </row>
    <row r="41" spans="1:16">
      <c r="A41" s="97"/>
      <c r="B41" s="15"/>
      <c r="C41" s="15"/>
      <c r="D41" s="80"/>
      <c r="E41" s="80"/>
      <c r="F41" s="80"/>
      <c r="G41" s="98"/>
      <c r="H41" s="79"/>
      <c r="I41" s="79"/>
      <c r="J41" s="79"/>
      <c r="K41" s="79"/>
      <c r="L41" s="79"/>
      <c r="M41" s="79"/>
      <c r="N41" s="82"/>
      <c r="O41" s="15"/>
      <c r="P41" s="15"/>
    </row>
    <row r="42" spans="1:16">
      <c r="A42" s="15" t="s">
        <v>3</v>
      </c>
      <c r="B42" s="15"/>
      <c r="C42" s="15"/>
      <c r="D42" s="83">
        <f>D27*365</f>
        <v>146000</v>
      </c>
      <c r="E42" s="83">
        <f t="shared" ref="E42:K42" si="1">SUM(E37:E39)*$N$42</f>
        <v>147460</v>
      </c>
      <c r="F42" s="83">
        <f t="shared" si="1"/>
        <v>148934.6</v>
      </c>
      <c r="G42" s="83">
        <f t="shared" si="1"/>
        <v>150423.946</v>
      </c>
      <c r="H42" s="83">
        <f t="shared" si="1"/>
        <v>151928.18546000001</v>
      </c>
      <c r="I42" s="83">
        <f t="shared" si="1"/>
        <v>153447.46731460001</v>
      </c>
      <c r="J42" s="83">
        <f t="shared" si="1"/>
        <v>154981.94198774602</v>
      </c>
      <c r="K42" s="83">
        <f t="shared" si="1"/>
        <v>156531.76140762347</v>
      </c>
      <c r="L42" s="83"/>
      <c r="M42" s="83"/>
      <c r="N42" s="81">
        <f>D42/SUM(D37:D39)</f>
        <v>0.3125</v>
      </c>
      <c r="O42" s="15" t="s">
        <v>60</v>
      </c>
      <c r="P42" s="15"/>
    </row>
    <row r="43" spans="1:16">
      <c r="A43" s="97"/>
      <c r="B43" s="15"/>
      <c r="C43" s="15"/>
      <c r="D43" s="7"/>
      <c r="E43" s="7"/>
      <c r="F43" s="7"/>
      <c r="G43" s="99"/>
      <c r="H43" s="79"/>
      <c r="I43" s="79"/>
      <c r="J43" s="79"/>
      <c r="K43" s="79"/>
      <c r="L43" s="79"/>
      <c r="M43" s="79"/>
      <c r="N43" s="79"/>
      <c r="O43" s="15"/>
      <c r="P43" s="15"/>
    </row>
    <row r="44" spans="1:16">
      <c r="A44" s="100" t="s">
        <v>4</v>
      </c>
      <c r="B44" s="15"/>
      <c r="C44" s="15"/>
      <c r="D44" s="7"/>
      <c r="E44" s="7"/>
      <c r="F44" s="7"/>
      <c r="G44" s="99"/>
      <c r="H44" s="79"/>
      <c r="I44" s="79"/>
      <c r="J44" s="79"/>
      <c r="K44" s="79"/>
      <c r="L44" s="79"/>
      <c r="M44" s="79"/>
      <c r="N44" s="79"/>
      <c r="O44" s="15"/>
      <c r="P44" s="15"/>
    </row>
    <row r="45" spans="1:16">
      <c r="A45" s="15"/>
      <c r="B45" s="15" t="s">
        <v>5</v>
      </c>
      <c r="C45" s="15"/>
      <c r="D45" s="7">
        <v>13536.400000000023</v>
      </c>
      <c r="E45" s="7">
        <v>13536.400000000023</v>
      </c>
      <c r="F45" s="7">
        <v>13536.400000000023</v>
      </c>
      <c r="G45" s="7">
        <v>13536.400000000023</v>
      </c>
      <c r="H45" s="7">
        <v>13536.400000000023</v>
      </c>
      <c r="I45" s="7">
        <v>18536.400000000023</v>
      </c>
      <c r="J45" s="7">
        <v>18536.400000000023</v>
      </c>
      <c r="K45" s="7">
        <v>18536.400000000023</v>
      </c>
      <c r="L45" s="7"/>
      <c r="M45" s="7"/>
      <c r="N45" s="84">
        <v>0.1</v>
      </c>
      <c r="O45" s="15" t="s">
        <v>62</v>
      </c>
      <c r="P45" s="15"/>
    </row>
    <row r="46" spans="1:16">
      <c r="A46" s="15"/>
      <c r="B46" s="15" t="s">
        <v>59</v>
      </c>
      <c r="C46" s="15"/>
      <c r="D46" s="7">
        <f>120364</f>
        <v>120364</v>
      </c>
      <c r="E46" s="7">
        <f t="shared" ref="E46:H46" si="2">120364</f>
        <v>120364</v>
      </c>
      <c r="F46" s="7">
        <f>120364</f>
        <v>120364</v>
      </c>
      <c r="G46" s="7">
        <f t="shared" si="2"/>
        <v>120364</v>
      </c>
      <c r="H46" s="7">
        <f t="shared" si="2"/>
        <v>120364</v>
      </c>
      <c r="I46" s="85">
        <f>H46+50000</f>
        <v>170364</v>
      </c>
      <c r="J46" s="85">
        <f>I46</f>
        <v>170364</v>
      </c>
      <c r="K46" s="85">
        <f t="shared" ref="K46" si="3">J46</f>
        <v>170364</v>
      </c>
      <c r="L46" s="85"/>
      <c r="M46" s="85"/>
      <c r="N46" s="79" t="s">
        <v>63</v>
      </c>
      <c r="O46" s="15" t="s">
        <v>64</v>
      </c>
      <c r="P46" s="15"/>
    </row>
    <row r="47" spans="1:16">
      <c r="A47" s="15"/>
      <c r="B47" s="15" t="s">
        <v>119</v>
      </c>
      <c r="C47" s="15"/>
      <c r="D47" s="7">
        <f t="shared" ref="D47:K47" si="4">$N$47*12</f>
        <v>6780</v>
      </c>
      <c r="E47" s="7">
        <f t="shared" si="4"/>
        <v>6780</v>
      </c>
      <c r="F47" s="7">
        <f t="shared" si="4"/>
        <v>6780</v>
      </c>
      <c r="G47" s="7">
        <f t="shared" si="4"/>
        <v>6780</v>
      </c>
      <c r="H47" s="7">
        <f t="shared" si="4"/>
        <v>6780</v>
      </c>
      <c r="I47" s="7">
        <f t="shared" si="4"/>
        <v>6780</v>
      </c>
      <c r="J47" s="7">
        <f t="shared" si="4"/>
        <v>6780</v>
      </c>
      <c r="K47" s="7">
        <f t="shared" si="4"/>
        <v>6780</v>
      </c>
      <c r="L47" s="7"/>
      <c r="M47" s="85"/>
      <c r="N47" s="80">
        <v>565</v>
      </c>
      <c r="O47" s="15" t="s">
        <v>120</v>
      </c>
      <c r="P47" s="15"/>
    </row>
    <row r="48" spans="1:16">
      <c r="A48" s="15"/>
      <c r="B48" s="15"/>
      <c r="C48" s="15"/>
      <c r="D48" s="7"/>
      <c r="E48" s="7"/>
      <c r="F48" s="7"/>
      <c r="G48" s="7"/>
      <c r="H48" s="7"/>
      <c r="I48" s="7"/>
      <c r="J48" s="7"/>
      <c r="K48" s="7"/>
      <c r="L48" s="7"/>
      <c r="M48" s="7"/>
      <c r="N48" s="79"/>
      <c r="O48" s="15"/>
      <c r="P48" s="15"/>
    </row>
    <row r="49" spans="1:17">
      <c r="A49" s="100" t="s">
        <v>61</v>
      </c>
      <c r="B49" s="15"/>
      <c r="C49" s="15"/>
      <c r="D49" s="7">
        <f t="shared" ref="D49:K49" si="5">SUM(D45:D46)</f>
        <v>133900.40000000002</v>
      </c>
      <c r="E49" s="7">
        <f t="shared" si="5"/>
        <v>133900.40000000002</v>
      </c>
      <c r="F49" s="7">
        <f t="shared" si="5"/>
        <v>133900.40000000002</v>
      </c>
      <c r="G49" s="7">
        <f t="shared" si="5"/>
        <v>133900.40000000002</v>
      </c>
      <c r="H49" s="7">
        <f t="shared" si="5"/>
        <v>133900.40000000002</v>
      </c>
      <c r="I49" s="7">
        <f t="shared" si="5"/>
        <v>188900.40000000002</v>
      </c>
      <c r="J49" s="7">
        <f t="shared" si="5"/>
        <v>188900.40000000002</v>
      </c>
      <c r="K49" s="7">
        <f t="shared" si="5"/>
        <v>188900.40000000002</v>
      </c>
      <c r="L49" s="7"/>
      <c r="M49" s="7"/>
      <c r="N49" s="79"/>
      <c r="O49" s="15"/>
      <c r="P49" s="15"/>
    </row>
    <row r="50" spans="1:17">
      <c r="A50" s="15"/>
      <c r="B50" s="15"/>
      <c r="C50" s="15"/>
      <c r="D50" s="7"/>
      <c r="E50" s="7"/>
      <c r="F50" s="7"/>
      <c r="G50" s="7"/>
      <c r="H50" s="7"/>
      <c r="I50" s="7"/>
      <c r="J50" s="7"/>
      <c r="K50" s="7"/>
      <c r="L50" s="7"/>
      <c r="M50" s="7"/>
      <c r="N50" s="79"/>
      <c r="O50" s="15"/>
      <c r="P50" s="15"/>
    </row>
    <row r="51" spans="1:17">
      <c r="A51" s="15" t="s">
        <v>103</v>
      </c>
      <c r="B51" s="15"/>
      <c r="C51" s="15"/>
      <c r="D51" s="7">
        <f t="shared" ref="D51:K51" si="6">D70/$N$51</f>
        <v>14375</v>
      </c>
      <c r="E51" s="7">
        <f t="shared" si="6"/>
        <v>14375</v>
      </c>
      <c r="F51" s="7">
        <f t="shared" si="6"/>
        <v>14375</v>
      </c>
      <c r="G51" s="7">
        <f t="shared" si="6"/>
        <v>14375</v>
      </c>
      <c r="H51" s="7">
        <f t="shared" si="6"/>
        <v>14375</v>
      </c>
      <c r="I51" s="7">
        <f t="shared" si="6"/>
        <v>14375</v>
      </c>
      <c r="J51" s="7">
        <f t="shared" si="6"/>
        <v>14375</v>
      </c>
      <c r="K51" s="7">
        <f t="shared" si="6"/>
        <v>14375</v>
      </c>
      <c r="L51" s="7"/>
      <c r="M51" s="7"/>
      <c r="N51" s="79">
        <v>40</v>
      </c>
      <c r="O51" s="15" t="s">
        <v>65</v>
      </c>
      <c r="P51" s="15"/>
    </row>
    <row r="52" spans="1:17">
      <c r="A52" s="15" t="s">
        <v>102</v>
      </c>
      <c r="B52" s="15"/>
      <c r="C52" s="15"/>
      <c r="D52" s="86">
        <f>2310</f>
        <v>2310</v>
      </c>
      <c r="E52" s="86">
        <f>2310</f>
        <v>2310</v>
      </c>
      <c r="F52" s="86">
        <f>2310</f>
        <v>2310</v>
      </c>
      <c r="G52" s="86">
        <f>2310</f>
        <v>2310</v>
      </c>
      <c r="H52" s="86">
        <f>2310</f>
        <v>2310</v>
      </c>
      <c r="I52" s="86">
        <f>2310</f>
        <v>2310</v>
      </c>
      <c r="J52" s="86">
        <f>2310</f>
        <v>2310</v>
      </c>
      <c r="K52" s="86">
        <f>2310</f>
        <v>2310</v>
      </c>
      <c r="L52" s="86"/>
      <c r="M52" s="86"/>
      <c r="N52" s="79">
        <v>20</v>
      </c>
      <c r="O52" s="15" t="s">
        <v>65</v>
      </c>
      <c r="P52" s="15"/>
    </row>
    <row r="53" spans="1:17">
      <c r="A53" s="15"/>
      <c r="B53" s="15"/>
      <c r="C53" s="15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79"/>
      <c r="O53" s="15"/>
      <c r="P53" s="15"/>
    </row>
    <row r="54" spans="1:17">
      <c r="A54" s="15" t="s">
        <v>118</v>
      </c>
      <c r="B54" s="15"/>
      <c r="C54" s="15"/>
      <c r="D54" s="7">
        <f>Mortgage!E16</f>
        <v>23963.179134067152</v>
      </c>
      <c r="E54" s="7">
        <f>Mortgage!E30</f>
        <v>23544.461591093805</v>
      </c>
      <c r="F54" s="7">
        <f>Mortgage!E44</f>
        <v>23107.815397351242</v>
      </c>
      <c r="G54" s="99">
        <f>Mortgage!E58</f>
        <v>22652.472883741761</v>
      </c>
      <c r="H54" s="87">
        <f>Mortgage!E72</f>
        <v>22177.63351110672</v>
      </c>
      <c r="I54" s="87">
        <f>Mortgage!E86</f>
        <v>21682.462462796011</v>
      </c>
      <c r="J54" s="87">
        <f>Mortgage!E100</f>
        <v>21166.089176974172</v>
      </c>
      <c r="K54" s="87">
        <f>Mortgage!E114</f>
        <v>20627.605816082847</v>
      </c>
      <c r="L54" s="87"/>
      <c r="M54" s="87"/>
      <c r="N54" s="88"/>
      <c r="O54" s="15"/>
      <c r="P54" s="15"/>
    </row>
    <row r="55" spans="1:17">
      <c r="A55" s="15" t="s">
        <v>23</v>
      </c>
      <c r="B55" s="15"/>
      <c r="C55" s="15"/>
      <c r="D55" s="10">
        <f t="shared" ref="D55:K55" si="7">D83*$N$55</f>
        <v>2240.9805852166187</v>
      </c>
      <c r="E55" s="10">
        <f t="shared" si="7"/>
        <v>0</v>
      </c>
      <c r="F55" s="10">
        <f t="shared" si="7"/>
        <v>0</v>
      </c>
      <c r="G55" s="10">
        <f t="shared" si="7"/>
        <v>0</v>
      </c>
      <c r="H55" s="10">
        <f t="shared" si="7"/>
        <v>0</v>
      </c>
      <c r="I55" s="10">
        <f t="shared" si="7"/>
        <v>0</v>
      </c>
      <c r="J55" s="10">
        <f t="shared" si="7"/>
        <v>1709.9651211249093</v>
      </c>
      <c r="K55" s="10">
        <f t="shared" si="7"/>
        <v>7046.5917658410926</v>
      </c>
      <c r="L55" s="10"/>
      <c r="M55" s="10"/>
      <c r="N55" s="89">
        <v>0.1</v>
      </c>
      <c r="O55" s="15" t="s">
        <v>133</v>
      </c>
      <c r="P55" s="15"/>
    </row>
    <row r="56" spans="1:17">
      <c r="A56" s="15"/>
      <c r="B56" s="15"/>
      <c r="C56" s="15"/>
      <c r="D56" s="7"/>
      <c r="E56" s="7"/>
      <c r="F56" s="7"/>
      <c r="G56" s="99"/>
      <c r="H56" s="79"/>
      <c r="I56" s="79"/>
      <c r="J56" s="79"/>
      <c r="K56" s="79"/>
      <c r="L56" s="79"/>
      <c r="M56" s="79"/>
      <c r="N56" s="79"/>
      <c r="O56" s="15"/>
      <c r="P56" s="15"/>
    </row>
    <row r="57" spans="1:17">
      <c r="A57" s="15" t="s">
        <v>16</v>
      </c>
      <c r="B57" s="15"/>
      <c r="C57" s="15"/>
      <c r="D57" s="80">
        <f t="shared" ref="D57:K57" si="8">SUM(D37:D39)-SUM(D42:D52)</f>
        <v>29934.199999999953</v>
      </c>
      <c r="E57" s="80">
        <f t="shared" si="8"/>
        <v>33146.199999999953</v>
      </c>
      <c r="F57" s="80">
        <f t="shared" si="8"/>
        <v>36390.320000000007</v>
      </c>
      <c r="G57" s="80">
        <f t="shared" si="8"/>
        <v>39666.881199999945</v>
      </c>
      <c r="H57" s="80">
        <f t="shared" si="8"/>
        <v>42976.208011999959</v>
      </c>
      <c r="I57" s="80">
        <f t="shared" si="8"/>
        <v>-63681.371907880006</v>
      </c>
      <c r="J57" s="80">
        <f t="shared" si="8"/>
        <v>-60305.52762695885</v>
      </c>
      <c r="K57" s="80">
        <f t="shared" si="8"/>
        <v>-56895.924903228472</v>
      </c>
      <c r="L57" s="80"/>
      <c r="M57" s="80"/>
      <c r="N57" s="79"/>
      <c r="O57" s="15"/>
      <c r="P57" s="15"/>
    </row>
    <row r="58" spans="1:17">
      <c r="A58" s="101" t="s">
        <v>17</v>
      </c>
      <c r="B58" s="15"/>
      <c r="C58" s="15"/>
      <c r="D58" s="7">
        <f>IF(D57&lt;0,0,D57*0.3)</f>
        <v>8980.2599999999857</v>
      </c>
      <c r="E58" s="7">
        <f t="shared" ref="E58:K58" si="9">IF(E57&lt;0,0,E57*0.3)</f>
        <v>9943.859999999986</v>
      </c>
      <c r="F58" s="7">
        <f t="shared" si="9"/>
        <v>10917.096000000001</v>
      </c>
      <c r="G58" s="7">
        <f t="shared" si="9"/>
        <v>11900.064359999984</v>
      </c>
      <c r="H58" s="7">
        <f t="shared" si="9"/>
        <v>12892.862403599987</v>
      </c>
      <c r="I58" s="7">
        <f t="shared" si="9"/>
        <v>0</v>
      </c>
      <c r="J58" s="7">
        <f t="shared" si="9"/>
        <v>0</v>
      </c>
      <c r="K58" s="7">
        <f t="shared" si="9"/>
        <v>0</v>
      </c>
      <c r="L58" s="7"/>
      <c r="M58" s="7"/>
      <c r="N58" s="84">
        <v>0.3</v>
      </c>
      <c r="O58" s="15" t="s">
        <v>68</v>
      </c>
      <c r="P58" s="15"/>
    </row>
    <row r="59" spans="1:17">
      <c r="A59" s="15" t="s">
        <v>18</v>
      </c>
      <c r="B59" s="15"/>
      <c r="C59" s="15"/>
      <c r="D59" s="90">
        <f>D57-D58</f>
        <v>20953.939999999966</v>
      </c>
      <c r="E59" s="90">
        <f t="shared" ref="E59:K59" si="10">E57-E58</f>
        <v>23202.339999999967</v>
      </c>
      <c r="F59" s="90">
        <f t="shared" si="10"/>
        <v>25473.224000000006</v>
      </c>
      <c r="G59" s="90">
        <f t="shared" si="10"/>
        <v>27766.816839999963</v>
      </c>
      <c r="H59" s="90">
        <f t="shared" si="10"/>
        <v>30083.34560839997</v>
      </c>
      <c r="I59" s="90">
        <f t="shared" si="10"/>
        <v>-63681.371907880006</v>
      </c>
      <c r="J59" s="90">
        <f t="shared" si="10"/>
        <v>-60305.52762695885</v>
      </c>
      <c r="K59" s="90">
        <f t="shared" si="10"/>
        <v>-56895.924903228472</v>
      </c>
      <c r="L59" s="90"/>
      <c r="M59" s="90"/>
      <c r="N59" s="79"/>
      <c r="O59" s="15"/>
      <c r="P59" s="15"/>
    </row>
    <row r="61" spans="1:17">
      <c r="A61" s="94" t="s">
        <v>6</v>
      </c>
      <c r="B61" s="95"/>
      <c r="C61" s="95"/>
      <c r="D61" s="95"/>
      <c r="E61" s="95"/>
      <c r="F61" s="95"/>
      <c r="G61" s="96"/>
      <c r="H61" s="96"/>
      <c r="I61" s="96"/>
      <c r="J61" s="96"/>
      <c r="K61" s="96"/>
      <c r="L61" s="153"/>
      <c r="N61" s="156"/>
      <c r="O61" s="25"/>
      <c r="P61" s="25"/>
    </row>
    <row r="62" spans="1:17">
      <c r="A62" s="102" t="s">
        <v>7</v>
      </c>
      <c r="B62" s="15"/>
      <c r="C62" s="15"/>
      <c r="D62" s="15"/>
      <c r="E62" s="15"/>
      <c r="F62" s="15"/>
      <c r="G62" s="79"/>
      <c r="H62" s="79"/>
      <c r="I62" s="79"/>
      <c r="J62" s="79"/>
      <c r="K62" s="79"/>
      <c r="L62" s="79"/>
      <c r="N62" s="174" t="s">
        <v>135</v>
      </c>
      <c r="O62" s="1" t="s">
        <v>136</v>
      </c>
      <c r="P62" s="1" t="s">
        <v>137</v>
      </c>
      <c r="Q62" s="171"/>
    </row>
    <row r="63" spans="1:17">
      <c r="A63" s="15"/>
      <c r="B63" s="15"/>
      <c r="C63" s="15"/>
      <c r="D63" s="7"/>
      <c r="E63" s="7"/>
      <c r="F63" s="7"/>
      <c r="G63" s="99"/>
      <c r="H63" s="98"/>
      <c r="I63" s="79"/>
      <c r="J63" s="79"/>
      <c r="K63" s="79"/>
      <c r="L63" s="79"/>
      <c r="N63" s="175"/>
      <c r="Q63" s="171"/>
    </row>
    <row r="64" spans="1:17">
      <c r="A64" s="15"/>
      <c r="B64" s="15" t="s">
        <v>20</v>
      </c>
      <c r="C64" s="15"/>
      <c r="D64" s="7">
        <v>5000</v>
      </c>
      <c r="E64" s="7">
        <v>5000</v>
      </c>
      <c r="F64" s="7">
        <v>5000</v>
      </c>
      <c r="G64" s="7">
        <v>5000</v>
      </c>
      <c r="H64" s="7">
        <v>5000</v>
      </c>
      <c r="I64" s="7">
        <v>5000</v>
      </c>
      <c r="J64" s="7">
        <v>5000</v>
      </c>
      <c r="K64" s="7">
        <v>5000</v>
      </c>
      <c r="L64" s="7"/>
      <c r="M64" s="7"/>
      <c r="N64" s="176">
        <v>1</v>
      </c>
      <c r="P64" s="8">
        <f>K64*N64</f>
        <v>5000</v>
      </c>
      <c r="Q64" s="171"/>
    </row>
    <row r="65" spans="1:17">
      <c r="A65" s="15"/>
      <c r="B65" s="15" t="s">
        <v>21</v>
      </c>
      <c r="C65" s="15"/>
      <c r="D65" s="103"/>
      <c r="E65" s="150">
        <v>8205</v>
      </c>
      <c r="F65" s="150">
        <v>40663</v>
      </c>
      <c r="G65" s="151">
        <v>74969</v>
      </c>
      <c r="H65" s="152">
        <v>111126</v>
      </c>
      <c r="I65" s="152">
        <v>39137</v>
      </c>
      <c r="J65" s="104">
        <v>0</v>
      </c>
      <c r="K65" s="104">
        <v>0</v>
      </c>
      <c r="L65" s="104"/>
      <c r="M65" s="54"/>
      <c r="N65" s="175"/>
      <c r="Q65" s="171"/>
    </row>
    <row r="66" spans="1:17">
      <c r="A66" s="15"/>
      <c r="B66" s="15" t="s">
        <v>8</v>
      </c>
      <c r="C66" s="15"/>
      <c r="D66" s="86">
        <f t="shared" ref="D66:K66" si="11">SUM(D37:D39)/365*$C$30</f>
        <v>3840</v>
      </c>
      <c r="E66" s="86">
        <f t="shared" si="11"/>
        <v>3878.3999999999996</v>
      </c>
      <c r="F66" s="86">
        <f t="shared" si="11"/>
        <v>3917.1840000000002</v>
      </c>
      <c r="G66" s="86">
        <f t="shared" si="11"/>
        <v>3956.3558400000002</v>
      </c>
      <c r="H66" s="86">
        <f t="shared" si="11"/>
        <v>3995.9193984000003</v>
      </c>
      <c r="I66" s="86">
        <f t="shared" si="11"/>
        <v>4035.8785923840005</v>
      </c>
      <c r="J66" s="86">
        <f t="shared" si="11"/>
        <v>4076.2373783078401</v>
      </c>
      <c r="K66" s="86">
        <f t="shared" si="11"/>
        <v>4116.9997520909192</v>
      </c>
      <c r="L66" s="86"/>
      <c r="M66" s="52"/>
      <c r="N66" s="176">
        <v>0.98</v>
      </c>
      <c r="P66" s="8">
        <f>K66*N66</f>
        <v>4034.6597570491008</v>
      </c>
      <c r="Q66" s="171"/>
    </row>
    <row r="67" spans="1:17">
      <c r="A67" s="15"/>
      <c r="B67" s="15" t="s">
        <v>9</v>
      </c>
      <c r="C67" s="15"/>
      <c r="D67" s="105">
        <f t="shared" ref="D67:K67" si="12">D42/365*$C$31</f>
        <v>30000</v>
      </c>
      <c r="E67" s="105">
        <f t="shared" si="12"/>
        <v>30300</v>
      </c>
      <c r="F67" s="105">
        <f t="shared" si="12"/>
        <v>30603</v>
      </c>
      <c r="G67" s="105">
        <f t="shared" si="12"/>
        <v>30909.030000000002</v>
      </c>
      <c r="H67" s="105">
        <f t="shared" si="12"/>
        <v>31218.120299999999</v>
      </c>
      <c r="I67" s="105">
        <f t="shared" si="12"/>
        <v>31530.301503000002</v>
      </c>
      <c r="J67" s="105">
        <f t="shared" si="12"/>
        <v>31845.604518030003</v>
      </c>
      <c r="K67" s="105">
        <f t="shared" si="12"/>
        <v>32164.060563210303</v>
      </c>
      <c r="L67" s="105"/>
      <c r="M67" s="13"/>
      <c r="N67" s="176">
        <v>0.75</v>
      </c>
      <c r="P67" s="8">
        <f>K67*N67</f>
        <v>24123.045422407726</v>
      </c>
      <c r="Q67" s="171"/>
    </row>
    <row r="68" spans="1:17">
      <c r="A68" s="15"/>
      <c r="B68" s="15"/>
      <c r="C68" s="15"/>
      <c r="D68" s="15"/>
      <c r="E68" s="15"/>
      <c r="F68" s="15"/>
      <c r="G68" s="79"/>
      <c r="H68" s="79"/>
      <c r="I68" s="79"/>
      <c r="J68" s="79"/>
      <c r="K68" s="79"/>
      <c r="L68" s="79"/>
      <c r="N68" s="175"/>
      <c r="Q68" s="171"/>
    </row>
    <row r="69" spans="1:17">
      <c r="A69" s="15"/>
      <c r="B69" s="15" t="s">
        <v>90</v>
      </c>
      <c r="C69" s="15"/>
      <c r="D69" s="80">
        <v>100000</v>
      </c>
      <c r="E69" s="80">
        <v>100000</v>
      </c>
      <c r="F69" s="80">
        <v>100000</v>
      </c>
      <c r="G69" s="80">
        <v>100000</v>
      </c>
      <c r="H69" s="80">
        <v>100000</v>
      </c>
      <c r="I69" s="80">
        <v>100000</v>
      </c>
      <c r="J69" s="80">
        <v>100000</v>
      </c>
      <c r="K69" s="80">
        <v>100000</v>
      </c>
      <c r="L69" s="80"/>
      <c r="M69" s="6"/>
      <c r="N69" s="176">
        <v>0.6</v>
      </c>
      <c r="O69" s="8">
        <f>K69*N69</f>
        <v>60000</v>
      </c>
      <c r="Q69" s="171"/>
    </row>
    <row r="70" spans="1:17">
      <c r="A70" s="15"/>
      <c r="B70" s="15" t="s">
        <v>101</v>
      </c>
      <c r="C70" s="15"/>
      <c r="D70" s="80">
        <v>575000</v>
      </c>
      <c r="E70" s="80">
        <v>575000</v>
      </c>
      <c r="F70" s="80">
        <v>575000</v>
      </c>
      <c r="G70" s="80">
        <v>575000</v>
      </c>
      <c r="H70" s="80">
        <v>575000</v>
      </c>
      <c r="I70" s="80">
        <v>575000</v>
      </c>
      <c r="J70" s="80">
        <v>575000</v>
      </c>
      <c r="K70" s="80">
        <v>575000</v>
      </c>
      <c r="L70" s="80"/>
      <c r="M70" s="6"/>
      <c r="N70" s="176">
        <v>0.6</v>
      </c>
      <c r="O70" s="8">
        <f>K70*N70</f>
        <v>345000</v>
      </c>
      <c r="Q70" s="171"/>
    </row>
    <row r="71" spans="1:17">
      <c r="A71" s="15"/>
      <c r="B71" s="15" t="s">
        <v>104</v>
      </c>
      <c r="C71" s="15"/>
      <c r="D71" s="80">
        <f>C71+D51</f>
        <v>14375</v>
      </c>
      <c r="E71" s="80">
        <f t="shared" ref="E71:K71" si="13">D71+E51</f>
        <v>28750</v>
      </c>
      <c r="F71" s="80">
        <f t="shared" si="13"/>
        <v>43125</v>
      </c>
      <c r="G71" s="80">
        <f t="shared" si="13"/>
        <v>57500</v>
      </c>
      <c r="H71" s="80">
        <f t="shared" si="13"/>
        <v>71875</v>
      </c>
      <c r="I71" s="80">
        <f t="shared" si="13"/>
        <v>86250</v>
      </c>
      <c r="J71" s="80">
        <f t="shared" si="13"/>
        <v>100625</v>
      </c>
      <c r="K71" s="80">
        <f t="shared" si="13"/>
        <v>115000</v>
      </c>
      <c r="L71" s="80"/>
      <c r="M71" s="6"/>
      <c r="N71" s="175"/>
      <c r="Q71" s="171"/>
    </row>
    <row r="72" spans="1:17">
      <c r="A72" s="15"/>
      <c r="B72" s="15" t="s">
        <v>66</v>
      </c>
      <c r="C72" s="15"/>
      <c r="D72" s="80">
        <f>46200</f>
        <v>46200</v>
      </c>
      <c r="E72" s="80">
        <f t="shared" ref="E72:K72" si="14">D72+$O$72</f>
        <v>46200</v>
      </c>
      <c r="F72" s="80">
        <f t="shared" si="14"/>
        <v>46200</v>
      </c>
      <c r="G72" s="80">
        <f t="shared" si="14"/>
        <v>46200</v>
      </c>
      <c r="H72" s="80">
        <f t="shared" si="14"/>
        <v>46200</v>
      </c>
      <c r="I72" s="80">
        <f t="shared" si="14"/>
        <v>46200</v>
      </c>
      <c r="J72" s="80">
        <f t="shared" si="14"/>
        <v>46200</v>
      </c>
      <c r="K72" s="80">
        <f t="shared" si="14"/>
        <v>46200</v>
      </c>
      <c r="L72" s="80"/>
      <c r="M72" s="6"/>
      <c r="N72" s="176">
        <v>0.5</v>
      </c>
      <c r="O72" s="53"/>
      <c r="P72" s="8">
        <f>K72*N72</f>
        <v>23100</v>
      </c>
      <c r="Q72" s="171"/>
    </row>
    <row r="73" spans="1:17">
      <c r="A73" s="15"/>
      <c r="B73" s="15" t="s">
        <v>10</v>
      </c>
      <c r="C73" s="15"/>
      <c r="D73" s="105">
        <f>20790+D52</f>
        <v>23100</v>
      </c>
      <c r="E73" s="105">
        <f t="shared" ref="E73:K73" si="15">D73+E52</f>
        <v>25410</v>
      </c>
      <c r="F73" s="105">
        <f t="shared" si="15"/>
        <v>27720</v>
      </c>
      <c r="G73" s="105">
        <f t="shared" si="15"/>
        <v>30030</v>
      </c>
      <c r="H73" s="105">
        <f t="shared" si="15"/>
        <v>32340</v>
      </c>
      <c r="I73" s="105">
        <f t="shared" si="15"/>
        <v>34650</v>
      </c>
      <c r="J73" s="105">
        <f t="shared" si="15"/>
        <v>36960</v>
      </c>
      <c r="K73" s="105">
        <f t="shared" si="15"/>
        <v>39270</v>
      </c>
      <c r="L73" s="105"/>
      <c r="M73" s="13"/>
      <c r="N73" s="175"/>
      <c r="Q73" s="171"/>
    </row>
    <row r="74" spans="1:17">
      <c r="A74" s="15"/>
      <c r="B74" s="15"/>
      <c r="C74" s="15"/>
      <c r="D74" s="105"/>
      <c r="E74" s="105"/>
      <c r="F74" s="105"/>
      <c r="G74" s="105"/>
      <c r="H74" s="105"/>
      <c r="I74" s="105"/>
      <c r="J74" s="105"/>
      <c r="K74" s="105"/>
      <c r="L74" s="105"/>
      <c r="M74" s="13"/>
      <c r="N74" s="175"/>
      <c r="Q74" s="171"/>
    </row>
    <row r="75" spans="1:17">
      <c r="A75" s="102" t="s">
        <v>26</v>
      </c>
      <c r="B75" s="15"/>
      <c r="C75" s="15"/>
      <c r="D75" s="90">
        <f>SUM(D64:D70)+D72-D71-D73</f>
        <v>722565</v>
      </c>
      <c r="E75" s="90">
        <f t="shared" ref="E75:K75" si="16">SUM(E64:E70)+E72-E71-E73</f>
        <v>714423.4</v>
      </c>
      <c r="F75" s="90">
        <f t="shared" si="16"/>
        <v>730538.18400000001</v>
      </c>
      <c r="G75" s="90">
        <f t="shared" si="16"/>
        <v>748504.38584</v>
      </c>
      <c r="H75" s="90">
        <f t="shared" si="16"/>
        <v>768325.03969840007</v>
      </c>
      <c r="I75" s="90">
        <f t="shared" si="16"/>
        <v>680003.18009538401</v>
      </c>
      <c r="J75" s="90">
        <f t="shared" si="16"/>
        <v>624536.84189633781</v>
      </c>
      <c r="K75" s="90">
        <f t="shared" si="16"/>
        <v>608211.06031530118</v>
      </c>
      <c r="L75" s="90"/>
      <c r="M75" s="8"/>
      <c r="N75" s="171"/>
      <c r="Q75" s="171"/>
    </row>
    <row r="76" spans="1:17">
      <c r="A76" s="102"/>
      <c r="B76" s="15"/>
      <c r="C76" s="15"/>
      <c r="D76" s="90"/>
      <c r="E76" s="90"/>
      <c r="F76" s="90"/>
      <c r="G76" s="85"/>
      <c r="H76" s="79"/>
      <c r="I76" s="79"/>
      <c r="J76" s="79"/>
      <c r="K76" s="79"/>
      <c r="L76" s="79"/>
      <c r="N76" s="171"/>
      <c r="Q76" s="171"/>
    </row>
    <row r="77" spans="1:17">
      <c r="A77" s="102" t="s">
        <v>11</v>
      </c>
      <c r="B77" s="15"/>
      <c r="C77" s="15"/>
      <c r="D77" s="15"/>
      <c r="E77" s="15"/>
      <c r="F77" s="15"/>
      <c r="G77" s="79"/>
      <c r="H77" s="79"/>
      <c r="I77" s="79"/>
      <c r="J77" s="79"/>
      <c r="K77" s="79"/>
      <c r="L77" s="79"/>
      <c r="N77" s="171"/>
      <c r="P77" s="78"/>
      <c r="Q77" s="171"/>
    </row>
    <row r="78" spans="1:17">
      <c r="A78" s="100" t="s">
        <v>14</v>
      </c>
      <c r="B78" s="15"/>
      <c r="C78" s="15"/>
      <c r="D78" s="7"/>
      <c r="E78" s="7"/>
      <c r="F78" s="7"/>
      <c r="G78" s="99"/>
      <c r="H78" s="79"/>
      <c r="I78" s="79"/>
      <c r="J78" s="79"/>
      <c r="K78" s="79"/>
      <c r="L78" s="79"/>
      <c r="N78" s="171"/>
      <c r="P78" s="76"/>
      <c r="Q78" s="171"/>
    </row>
    <row r="79" spans="1:17">
      <c r="A79" s="15"/>
      <c r="B79" s="15" t="s">
        <v>19</v>
      </c>
      <c r="C79" s="15"/>
      <c r="D79" s="105">
        <f t="shared" ref="D79:K79" si="17">D42/365*$C$32</f>
        <v>30000</v>
      </c>
      <c r="E79" s="105">
        <f t="shared" si="17"/>
        <v>30300</v>
      </c>
      <c r="F79" s="105">
        <f t="shared" si="17"/>
        <v>30603</v>
      </c>
      <c r="G79" s="105">
        <f t="shared" si="17"/>
        <v>30909.030000000002</v>
      </c>
      <c r="H79" s="105">
        <f t="shared" si="17"/>
        <v>31218.120299999999</v>
      </c>
      <c r="I79" s="105">
        <f t="shared" si="17"/>
        <v>31530.301503000002</v>
      </c>
      <c r="J79" s="105">
        <f t="shared" si="17"/>
        <v>31845.604518030003</v>
      </c>
      <c r="K79" s="105">
        <f t="shared" si="17"/>
        <v>32164.060563210303</v>
      </c>
      <c r="L79" s="105"/>
      <c r="M79" s="13"/>
      <c r="N79" s="177">
        <v>-1</v>
      </c>
      <c r="O79" s="20"/>
      <c r="P79" s="154">
        <f>K79*N79</f>
        <v>-32164.060563210303</v>
      </c>
      <c r="Q79" s="171"/>
    </row>
    <row r="80" spans="1:17">
      <c r="A80" s="15"/>
      <c r="B80" s="15" t="s">
        <v>12</v>
      </c>
      <c r="C80" s="15"/>
      <c r="D80" s="7">
        <f>D58</f>
        <v>8980.2599999999857</v>
      </c>
      <c r="E80" s="7">
        <f t="shared" ref="E80:K80" si="18">E58</f>
        <v>9943.859999999986</v>
      </c>
      <c r="F80" s="7">
        <f t="shared" si="18"/>
        <v>10917.096000000001</v>
      </c>
      <c r="G80" s="7">
        <f t="shared" si="18"/>
        <v>11900.064359999984</v>
      </c>
      <c r="H80" s="7">
        <f t="shared" si="18"/>
        <v>12892.862403599987</v>
      </c>
      <c r="I80" s="7">
        <f t="shared" si="18"/>
        <v>0</v>
      </c>
      <c r="J80" s="7">
        <f t="shared" si="18"/>
        <v>0</v>
      </c>
      <c r="K80" s="7">
        <f t="shared" si="18"/>
        <v>0</v>
      </c>
      <c r="L80" s="7"/>
      <c r="M80" s="182" t="s">
        <v>138</v>
      </c>
      <c r="N80" s="1"/>
      <c r="O80" s="8">
        <f>SUM(O69:O70)</f>
        <v>405000</v>
      </c>
      <c r="P80" s="8">
        <f>SUM(P64:P79)</f>
        <v>24093.644616246522</v>
      </c>
      <c r="Q80" s="171"/>
    </row>
    <row r="81" spans="1:19">
      <c r="A81" s="15"/>
      <c r="B81" s="15"/>
      <c r="C81" s="15"/>
      <c r="D81" s="7"/>
      <c r="E81" s="7"/>
      <c r="F81" s="7"/>
      <c r="G81" s="7"/>
      <c r="H81" s="7"/>
      <c r="I81" s="7"/>
      <c r="J81" s="7"/>
      <c r="K81" s="7"/>
      <c r="L81" s="7"/>
      <c r="M81" s="178" t="s">
        <v>139</v>
      </c>
      <c r="N81" s="1"/>
      <c r="P81" s="155">
        <v>0</v>
      </c>
      <c r="Q81" s="171"/>
    </row>
    <row r="82" spans="1:19">
      <c r="A82" s="15"/>
      <c r="B82" s="15" t="s">
        <v>117</v>
      </c>
      <c r="C82" s="15"/>
      <c r="D82" s="7">
        <f>Mortgage!G15</f>
        <v>565220.9941478339</v>
      </c>
      <c r="E82" s="7">
        <f>Mortgage!G29</f>
        <v>555023.27075269434</v>
      </c>
      <c r="F82" s="7">
        <f>Mortgage!G43</f>
        <v>544388.90116381226</v>
      </c>
      <c r="G82" s="99">
        <f>Mortgage!G57</f>
        <v>533299.18906132085</v>
      </c>
      <c r="H82" s="87">
        <f>Mortgage!G71</f>
        <v>521734.63758619432</v>
      </c>
      <c r="I82" s="87">
        <f>Mortgage!G85</f>
        <v>509674.91506275703</v>
      </c>
      <c r="J82" s="87">
        <f>Mortgage!G99</f>
        <v>497098.81925349776</v>
      </c>
      <c r="K82" s="87">
        <f>Mortgage!G113</f>
        <v>483984.24008334725</v>
      </c>
      <c r="L82" s="87"/>
      <c r="M82" s="179" t="s">
        <v>140</v>
      </c>
      <c r="N82" s="8"/>
      <c r="O82" s="5"/>
      <c r="P82" s="155">
        <v>2000</v>
      </c>
      <c r="Q82" s="172"/>
      <c r="R82" s="77"/>
    </row>
    <row r="83" spans="1:19">
      <c r="A83" s="15"/>
      <c r="B83" s="15" t="s">
        <v>24</v>
      </c>
      <c r="C83" s="15"/>
      <c r="D83" s="147">
        <v>22409.805852166188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147">
        <v>17099.651211249093</v>
      </c>
      <c r="K83" s="147">
        <v>70465.917658410923</v>
      </c>
      <c r="L83" s="7"/>
      <c r="M83" s="180" t="s">
        <v>138</v>
      </c>
      <c r="N83" s="8"/>
      <c r="O83" s="5"/>
      <c r="P83" s="155">
        <f>P80-P82</f>
        <v>22093.644616246522</v>
      </c>
      <c r="Q83" s="172"/>
      <c r="R83" s="77"/>
    </row>
    <row r="84" spans="1:19">
      <c r="A84" s="100" t="s">
        <v>15</v>
      </c>
      <c r="B84" s="15"/>
      <c r="C84" s="15"/>
      <c r="D84" s="7"/>
      <c r="E84" s="7"/>
      <c r="F84" s="7"/>
      <c r="G84" s="99"/>
      <c r="H84" s="79"/>
      <c r="I84" s="79"/>
      <c r="J84" s="79"/>
      <c r="K84" s="79"/>
      <c r="L84" s="79"/>
      <c r="M84" s="183"/>
      <c r="N84" s="1"/>
      <c r="Q84" s="173"/>
    </row>
    <row r="85" spans="1:19">
      <c r="A85" s="100"/>
      <c r="B85" s="15" t="s">
        <v>134</v>
      </c>
      <c r="C85" s="15"/>
      <c r="D85" s="7">
        <v>75000</v>
      </c>
      <c r="E85" s="7">
        <v>75000</v>
      </c>
      <c r="F85" s="7">
        <v>75000</v>
      </c>
      <c r="G85" s="7">
        <v>75000</v>
      </c>
      <c r="H85" s="7">
        <v>75000</v>
      </c>
      <c r="I85" s="7">
        <v>75000</v>
      </c>
      <c r="J85" s="7">
        <v>75000</v>
      </c>
      <c r="K85" s="7">
        <v>75000</v>
      </c>
      <c r="L85" s="7"/>
      <c r="N85" s="157" t="s">
        <v>136</v>
      </c>
      <c r="O85" s="158" t="s">
        <v>141</v>
      </c>
      <c r="P85" s="159" t="s">
        <v>128</v>
      </c>
      <c r="Q85" s="159" t="s">
        <v>137</v>
      </c>
      <c r="R85" s="160" t="s">
        <v>142</v>
      </c>
      <c r="S85" s="161" t="s">
        <v>143</v>
      </c>
    </row>
    <row r="86" spans="1:19">
      <c r="A86" s="15"/>
      <c r="B86" s="15" t="s">
        <v>13</v>
      </c>
      <c r="C86" s="7"/>
      <c r="D86" s="7">
        <f>C86+D59</f>
        <v>20953.939999999966</v>
      </c>
      <c r="E86" s="7">
        <f t="shared" ref="E86:K86" si="19">D86+E59</f>
        <v>44156.279999999933</v>
      </c>
      <c r="F86" s="7">
        <f t="shared" si="19"/>
        <v>69629.503999999943</v>
      </c>
      <c r="G86" s="7">
        <f t="shared" si="19"/>
        <v>97396.320839999913</v>
      </c>
      <c r="H86" s="7">
        <f t="shared" si="19"/>
        <v>127479.66644839989</v>
      </c>
      <c r="I86" s="7">
        <f t="shared" si="19"/>
        <v>63798.294540519884</v>
      </c>
      <c r="J86" s="7">
        <f t="shared" si="19"/>
        <v>3492.766913561034</v>
      </c>
      <c r="K86" s="7">
        <f t="shared" si="19"/>
        <v>-53403.157989667438</v>
      </c>
      <c r="L86" s="7"/>
      <c r="M86" s="7"/>
      <c r="N86" s="162">
        <f>O80</f>
        <v>405000</v>
      </c>
      <c r="O86" s="163">
        <f>K82-N86</f>
        <v>78984.240083347249</v>
      </c>
      <c r="P86" s="164">
        <f>O86/O88</f>
        <v>0.52849887398464823</v>
      </c>
      <c r="Q86" s="165">
        <f>P83*P86</f>
        <v>11676.466301903272</v>
      </c>
      <c r="R86" s="165">
        <f>N86+Q86</f>
        <v>416676.46630190325</v>
      </c>
      <c r="S86" s="166">
        <f>R86/K82</f>
        <v>0.86092982331438539</v>
      </c>
    </row>
    <row r="87" spans="1:19">
      <c r="A87" s="15"/>
      <c r="B87" s="15"/>
      <c r="C87" s="15"/>
      <c r="D87" s="7"/>
      <c r="E87" s="7"/>
      <c r="F87" s="7"/>
      <c r="G87" s="99"/>
      <c r="H87" s="79"/>
      <c r="I87" s="79"/>
      <c r="J87" s="79"/>
      <c r="K87" s="79"/>
      <c r="L87" s="79"/>
      <c r="N87" s="162"/>
      <c r="O87" s="154">
        <f>K83</f>
        <v>70465.917658410923</v>
      </c>
      <c r="P87" s="164">
        <f>O87/O88</f>
        <v>0.47150112601535182</v>
      </c>
      <c r="Q87" s="165">
        <f>P83*P87</f>
        <v>10417.178314343251</v>
      </c>
      <c r="R87" s="165">
        <f>N87+Q87</f>
        <v>10417.178314343251</v>
      </c>
      <c r="S87" s="166">
        <f>R87/K83</f>
        <v>0.1478328624746128</v>
      </c>
    </row>
    <row r="88" spans="1:19">
      <c r="A88" s="102" t="s">
        <v>25</v>
      </c>
      <c r="B88" s="15"/>
      <c r="C88" s="15"/>
      <c r="D88" s="7">
        <f>SUM(D79:D86)</f>
        <v>722565</v>
      </c>
      <c r="E88" s="7">
        <f t="shared" ref="E88:K88" si="20">SUM(E79:E86)</f>
        <v>714423.41075269424</v>
      </c>
      <c r="F88" s="7">
        <f t="shared" si="20"/>
        <v>730538.50116381224</v>
      </c>
      <c r="G88" s="7">
        <f t="shared" si="20"/>
        <v>748504.60426132078</v>
      </c>
      <c r="H88" s="7">
        <f t="shared" si="20"/>
        <v>768325.28673819418</v>
      </c>
      <c r="I88" s="7">
        <f t="shared" si="20"/>
        <v>680003.51110627688</v>
      </c>
      <c r="J88" s="7">
        <f t="shared" si="20"/>
        <v>624536.84189633781</v>
      </c>
      <c r="K88" s="7">
        <f t="shared" si="20"/>
        <v>608211.06031530094</v>
      </c>
      <c r="L88" s="7"/>
      <c r="M88" s="7"/>
      <c r="N88" s="167"/>
      <c r="O88" s="168">
        <f>O86+O87</f>
        <v>149450.15774175816</v>
      </c>
      <c r="P88" s="20"/>
      <c r="Q88" s="20"/>
      <c r="R88" s="169"/>
      <c r="S88" s="170"/>
    </row>
    <row r="89" spans="1:19">
      <c r="A89" s="15"/>
      <c r="B89" s="15"/>
      <c r="C89" s="15"/>
      <c r="D89" s="15"/>
      <c r="E89" s="15"/>
      <c r="F89" s="15"/>
      <c r="G89" s="79"/>
      <c r="H89" s="79"/>
      <c r="I89" s="79"/>
      <c r="J89" s="79"/>
      <c r="K89" s="79"/>
      <c r="L89" s="79"/>
      <c r="N89" s="1"/>
    </row>
    <row r="90" spans="1:19">
      <c r="A90" s="100" t="s">
        <v>22</v>
      </c>
      <c r="B90" s="15"/>
      <c r="C90" s="15"/>
      <c r="D90" s="90">
        <f>D75-D88</f>
        <v>0</v>
      </c>
      <c r="E90" s="90">
        <f t="shared" ref="E90:K90" si="21">E75-E88</f>
        <v>-1.0752694215625525E-2</v>
      </c>
      <c r="F90" s="90">
        <f t="shared" si="21"/>
        <v>-0.31716381222940981</v>
      </c>
      <c r="G90" s="90">
        <f t="shared" si="21"/>
        <v>-0.21842132078018039</v>
      </c>
      <c r="H90" s="90">
        <f t="shared" si="21"/>
        <v>-0.24703979410696775</v>
      </c>
      <c r="I90" s="90">
        <f t="shared" si="21"/>
        <v>-0.33101089287083596</v>
      </c>
      <c r="J90" s="90">
        <f t="shared" si="21"/>
        <v>0</v>
      </c>
      <c r="K90" s="90">
        <f t="shared" si="21"/>
        <v>0</v>
      </c>
      <c r="L90" s="90"/>
      <c r="M90" s="8"/>
    </row>
    <row r="91" spans="1:19">
      <c r="A91" s="20"/>
      <c r="B91" s="20"/>
      <c r="C91" s="20"/>
      <c r="D91" s="20"/>
      <c r="E91" s="20"/>
      <c r="F91" s="20"/>
      <c r="G91" s="91"/>
      <c r="H91" s="148"/>
      <c r="I91" s="148"/>
      <c r="J91" s="148"/>
      <c r="K91" s="148"/>
      <c r="L91" s="45"/>
    </row>
    <row r="92" spans="1:19">
      <c r="A92" s="1" t="s">
        <v>144</v>
      </c>
    </row>
    <row r="94" spans="1:19">
      <c r="A94" s="1" t="s">
        <v>145</v>
      </c>
    </row>
    <row r="95" spans="1:19">
      <c r="B95" s="1" t="s">
        <v>146</v>
      </c>
      <c r="C95" s="8">
        <f>-(D82-C82)</f>
        <v>-565220.9941478339</v>
      </c>
      <c r="D95" s="8">
        <f t="shared" ref="D95:J95" si="22">-(E82-D82)</f>
        <v>10197.723395139561</v>
      </c>
      <c r="E95" s="8">
        <f t="shared" si="22"/>
        <v>10634.36958888208</v>
      </c>
      <c r="F95" s="8">
        <f t="shared" si="22"/>
        <v>11089.712102491409</v>
      </c>
      <c r="G95" s="8">
        <f t="shared" si="22"/>
        <v>11564.551475126529</v>
      </c>
      <c r="H95" s="8">
        <f t="shared" si="22"/>
        <v>12059.722523437289</v>
      </c>
      <c r="I95" s="8">
        <f t="shared" si="22"/>
        <v>12576.095809259277</v>
      </c>
      <c r="J95" s="8">
        <f t="shared" si="22"/>
        <v>13114.579170150508</v>
      </c>
      <c r="K95" s="8"/>
    </row>
    <row r="96" spans="1:19">
      <c r="B96" s="1" t="s">
        <v>147</v>
      </c>
      <c r="K96" s="181">
        <f>R86</f>
        <v>416676.46630190325</v>
      </c>
    </row>
    <row r="97" spans="1:12">
      <c r="B97" s="1" t="s">
        <v>148</v>
      </c>
      <c r="D97" s="8">
        <f>D54</f>
        <v>23963.179134067152</v>
      </c>
      <c r="E97" s="8">
        <f t="shared" ref="E97:K97" si="23">E54</f>
        <v>23544.461591093805</v>
      </c>
      <c r="F97" s="8">
        <f t="shared" si="23"/>
        <v>23107.815397351242</v>
      </c>
      <c r="G97" s="8">
        <f t="shared" si="23"/>
        <v>22652.472883741761</v>
      </c>
      <c r="H97" s="8">
        <f t="shared" si="23"/>
        <v>22177.63351110672</v>
      </c>
      <c r="I97" s="8">
        <f t="shared" si="23"/>
        <v>21682.462462796011</v>
      </c>
      <c r="J97" s="8">
        <f t="shared" si="23"/>
        <v>21166.089176974172</v>
      </c>
      <c r="K97" s="8">
        <f t="shared" si="23"/>
        <v>20627.605816082847</v>
      </c>
    </row>
    <row r="98" spans="1:12">
      <c r="A98" s="1" t="s">
        <v>149</v>
      </c>
      <c r="C98" s="8">
        <f>SUM(C95:C97)</f>
        <v>-565220.9941478339</v>
      </c>
      <c r="D98" s="8">
        <f t="shared" ref="D98:K98" si="24">SUM(D95:D97)</f>
        <v>34160.902529206709</v>
      </c>
      <c r="E98" s="8">
        <f t="shared" si="24"/>
        <v>34178.831179975881</v>
      </c>
      <c r="F98" s="8">
        <f t="shared" si="24"/>
        <v>34197.527499842647</v>
      </c>
      <c r="G98" s="8">
        <f t="shared" si="24"/>
        <v>34217.024358868293</v>
      </c>
      <c r="H98" s="8">
        <f t="shared" si="24"/>
        <v>34237.356034544006</v>
      </c>
      <c r="I98" s="8">
        <f t="shared" si="24"/>
        <v>34258.558272055292</v>
      </c>
      <c r="J98" s="8">
        <f t="shared" si="24"/>
        <v>34280.66834712468</v>
      </c>
      <c r="K98" s="8">
        <f t="shared" si="24"/>
        <v>437304.0721179861</v>
      </c>
      <c r="L98" s="49" t="s">
        <v>152</v>
      </c>
    </row>
    <row r="99" spans="1:12">
      <c r="A99" s="9" t="s">
        <v>97</v>
      </c>
      <c r="C99" s="184">
        <f>IRR(C98:K98)</f>
        <v>2.8055101772712199E-2</v>
      </c>
      <c r="L99" s="149">
        <v>0.1</v>
      </c>
    </row>
    <row r="100" spans="1:12">
      <c r="A100" s="9" t="s">
        <v>150</v>
      </c>
      <c r="C100" s="184">
        <f>Mortgage!J4</f>
        <v>4.2000000000000003E-2</v>
      </c>
      <c r="L100" s="149">
        <v>0.9</v>
      </c>
    </row>
    <row r="101" spans="1:12">
      <c r="A101" s="9" t="s">
        <v>151</v>
      </c>
      <c r="C101" s="184">
        <f>C99*L99+C100*L100</f>
        <v>4.0605510177271223E-2</v>
      </c>
    </row>
    <row r="103" spans="1:12">
      <c r="A103" s="1" t="s">
        <v>153</v>
      </c>
    </row>
    <row r="104" spans="1:12">
      <c r="B104" s="1" t="s">
        <v>146</v>
      </c>
      <c r="C104" s="8">
        <f>-(D83-C83)</f>
        <v>-22409.805852166188</v>
      </c>
      <c r="D104" s="8">
        <f t="shared" ref="D104:J104" si="25">-(E83-D83)</f>
        <v>22409.805852166188</v>
      </c>
      <c r="E104" s="8">
        <f t="shared" si="25"/>
        <v>0</v>
      </c>
      <c r="F104" s="8">
        <f t="shared" si="25"/>
        <v>0</v>
      </c>
      <c r="G104" s="8">
        <f t="shared" si="25"/>
        <v>0</v>
      </c>
      <c r="H104" s="8">
        <f t="shared" si="25"/>
        <v>0</v>
      </c>
      <c r="I104" s="8">
        <f t="shared" si="25"/>
        <v>-17099.651211249093</v>
      </c>
      <c r="J104" s="8">
        <f t="shared" si="25"/>
        <v>-53366.266447161834</v>
      </c>
      <c r="K104" s="8"/>
    </row>
    <row r="105" spans="1:12">
      <c r="B105" s="1" t="s">
        <v>147</v>
      </c>
      <c r="K105" s="181">
        <f>R87</f>
        <v>10417.178314343251</v>
      </c>
    </row>
    <row r="106" spans="1:12">
      <c r="B106" s="1" t="s">
        <v>148</v>
      </c>
      <c r="D106" s="8">
        <f>D55</f>
        <v>2240.9805852166187</v>
      </c>
      <c r="E106" s="8">
        <f t="shared" ref="E106:K106" si="26">E55</f>
        <v>0</v>
      </c>
      <c r="F106" s="8">
        <f t="shared" si="26"/>
        <v>0</v>
      </c>
      <c r="G106" s="8">
        <f t="shared" si="26"/>
        <v>0</v>
      </c>
      <c r="H106" s="8">
        <f t="shared" si="26"/>
        <v>0</v>
      </c>
      <c r="I106" s="8">
        <f t="shared" si="26"/>
        <v>0</v>
      </c>
      <c r="J106" s="8">
        <f t="shared" si="26"/>
        <v>1709.9651211249093</v>
      </c>
      <c r="K106" s="8">
        <f t="shared" si="26"/>
        <v>7046.5917658410926</v>
      </c>
    </row>
    <row r="107" spans="1:12">
      <c r="A107" s="1" t="s">
        <v>149</v>
      </c>
      <c r="C107" s="8">
        <f>SUM(C104:C106)</f>
        <v>-22409.805852166188</v>
      </c>
      <c r="D107" s="8">
        <f t="shared" ref="D107:K107" si="27">SUM(D104:D106)</f>
        <v>24650.786437382805</v>
      </c>
      <c r="E107" s="8">
        <f t="shared" si="27"/>
        <v>0</v>
      </c>
      <c r="F107" s="8">
        <f t="shared" si="27"/>
        <v>0</v>
      </c>
      <c r="G107" s="8">
        <f t="shared" si="27"/>
        <v>0</v>
      </c>
      <c r="H107" s="8">
        <f t="shared" si="27"/>
        <v>0</v>
      </c>
      <c r="I107" s="8">
        <f t="shared" si="27"/>
        <v>-17099.651211249093</v>
      </c>
      <c r="J107" s="8">
        <f t="shared" si="27"/>
        <v>-51656.301326036926</v>
      </c>
      <c r="K107" s="8">
        <f t="shared" si="27"/>
        <v>17463.770080184346</v>
      </c>
      <c r="L107" s="49" t="s">
        <v>152</v>
      </c>
    </row>
    <row r="108" spans="1:12">
      <c r="A108" s="9" t="s">
        <v>97</v>
      </c>
      <c r="C108" s="184">
        <f>IRR(C107:K107,-0.9)</f>
        <v>-0.69302855358777982</v>
      </c>
      <c r="L108" s="149">
        <v>0.1</v>
      </c>
    </row>
    <row r="109" spans="1:12">
      <c r="A109" s="9" t="s">
        <v>150</v>
      </c>
      <c r="C109" s="184">
        <f>N55</f>
        <v>0.1</v>
      </c>
      <c r="L109" s="149">
        <v>0.9</v>
      </c>
    </row>
    <row r="110" spans="1:12">
      <c r="A110" s="9" t="s">
        <v>151</v>
      </c>
      <c r="C110" s="184">
        <f>C108*L108+C109*L109</f>
        <v>2.0697144641222021E-2</v>
      </c>
    </row>
  </sheetData>
  <sheetProtection selectLockedCells="1" selectUnlockedCells="1"/>
  <phoneticPr fontId="15" type="noConversion"/>
  <pageMargins left="0.7" right="0.7" top="0.75" bottom="0.75" header="0.51180555555555551" footer="0.51180555555555551"/>
  <pageSetup firstPageNumber="0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8"/>
  <sheetViews>
    <sheetView showGridLines="0" workbookViewId="0">
      <selection activeCell="D23" sqref="D23"/>
    </sheetView>
  </sheetViews>
  <sheetFormatPr defaultRowHeight="12.75"/>
  <cols>
    <col min="1" max="1" width="4.7109375" customWidth="1"/>
    <col min="2" max="2" width="12.28515625" customWidth="1"/>
    <col min="3" max="3" width="21.28515625" customWidth="1"/>
    <col min="4" max="4" width="14" customWidth="1"/>
    <col min="6" max="6" width="16" customWidth="1"/>
    <col min="8" max="8" width="14" customWidth="1"/>
    <col min="9" max="9" width="10" bestFit="1" customWidth="1"/>
    <col min="10" max="10" width="8.140625" customWidth="1"/>
    <col min="11" max="11" width="9" customWidth="1"/>
    <col min="12" max="12" width="9.85546875" customWidth="1"/>
  </cols>
  <sheetData>
    <row r="2" spans="2:13" ht="15">
      <c r="B2" s="24"/>
      <c r="C2" s="28">
        <v>1</v>
      </c>
      <c r="D2" s="25"/>
      <c r="E2" s="25">
        <v>2</v>
      </c>
      <c r="F2" s="29"/>
      <c r="G2" s="1"/>
      <c r="H2" s="1"/>
    </row>
    <row r="3" spans="2:13" ht="15">
      <c r="B3" s="22" t="s">
        <v>49</v>
      </c>
      <c r="C3" s="30">
        <f>2.1</f>
        <v>2.1</v>
      </c>
      <c r="D3" s="16" t="s">
        <v>39</v>
      </c>
      <c r="E3" s="31">
        <v>1.25</v>
      </c>
      <c r="F3" s="32" t="s">
        <v>39</v>
      </c>
      <c r="G3" s="1"/>
      <c r="H3" s="1"/>
    </row>
    <row r="4" spans="2:13" ht="15">
      <c r="B4" s="23" t="s">
        <v>50</v>
      </c>
      <c r="C4" s="33">
        <f>6.35</f>
        <v>6.35</v>
      </c>
      <c r="D4" s="20" t="s">
        <v>39</v>
      </c>
      <c r="E4" s="26">
        <v>2.75</v>
      </c>
      <c r="F4" s="21" t="s">
        <v>39</v>
      </c>
      <c r="G4" s="1"/>
      <c r="H4" s="1"/>
    </row>
    <row r="5" spans="2:13" ht="15">
      <c r="B5" s="1"/>
      <c r="C5" s="1"/>
    </row>
    <row r="6" spans="2:13" ht="15">
      <c r="B6" s="35"/>
      <c r="C6" s="36">
        <v>1</v>
      </c>
      <c r="D6" s="36"/>
      <c r="E6" s="25">
        <v>2</v>
      </c>
      <c r="F6" s="29"/>
    </row>
    <row r="7" spans="2:13" ht="15">
      <c r="B7" s="23" t="s">
        <v>44</v>
      </c>
      <c r="C7" s="19">
        <v>38</v>
      </c>
      <c r="D7" s="26" t="s">
        <v>39</v>
      </c>
      <c r="E7" s="34">
        <v>35</v>
      </c>
      <c r="F7" s="21" t="s">
        <v>39</v>
      </c>
    </row>
    <row r="8" spans="2:13" ht="15">
      <c r="F8" s="1"/>
    </row>
    <row r="9" spans="2:13" ht="15">
      <c r="F9" s="1"/>
    </row>
    <row r="10" spans="2:13" ht="15">
      <c r="F10" s="1"/>
    </row>
    <row r="11" spans="2:13" ht="15">
      <c r="F11" s="1"/>
      <c r="G11" s="1"/>
      <c r="H11" s="1"/>
    </row>
    <row r="12" spans="2:13" ht="15">
      <c r="F12" s="1"/>
      <c r="G12" s="1"/>
      <c r="H12" s="1"/>
    </row>
    <row r="16" spans="2:13" ht="15">
      <c r="I16" s="18"/>
      <c r="J16" s="17"/>
      <c r="K16" s="18"/>
      <c r="L16" s="17"/>
      <c r="M16" s="27"/>
    </row>
    <row r="17" spans="2:13" ht="15">
      <c r="I17" s="18"/>
      <c r="J17" s="17"/>
      <c r="K17" s="18"/>
      <c r="L17" s="17"/>
      <c r="M17" s="27"/>
    </row>
    <row r="18" spans="2:13" ht="15">
      <c r="I18" s="18"/>
      <c r="J18" s="17"/>
      <c r="K18" s="18"/>
      <c r="L18" s="17"/>
      <c r="M18" s="27"/>
    </row>
    <row r="19" spans="2:13" ht="15">
      <c r="I19" s="18"/>
      <c r="J19" s="17"/>
      <c r="K19" s="18"/>
      <c r="L19" s="17"/>
      <c r="M19" s="27"/>
    </row>
    <row r="20" spans="2:13" ht="15">
      <c r="I20" s="18"/>
      <c r="J20" s="17"/>
      <c r="K20" s="18"/>
      <c r="L20" s="17"/>
      <c r="M20" s="27"/>
    </row>
    <row r="21" spans="2:13" ht="15">
      <c r="I21" s="18"/>
      <c r="J21" s="17"/>
      <c r="K21" s="18"/>
      <c r="L21" s="17"/>
      <c r="M21" s="27"/>
    </row>
    <row r="23" spans="2:13" ht="15">
      <c r="J23" s="13"/>
    </row>
    <row r="24" spans="2:13" ht="15">
      <c r="F24" s="1"/>
      <c r="G24" s="1"/>
      <c r="H24" s="1"/>
    </row>
    <row r="25" spans="2:13" ht="15">
      <c r="F25" s="1"/>
      <c r="G25" s="1"/>
      <c r="H25" s="1"/>
    </row>
    <row r="26" spans="2:13" ht="15">
      <c r="G26" s="1"/>
      <c r="H26" s="1"/>
    </row>
    <row r="27" spans="2:13" ht="15">
      <c r="B27" s="1"/>
      <c r="C27" s="1"/>
      <c r="F27" s="14"/>
      <c r="G27" s="1"/>
      <c r="H27" s="1"/>
    </row>
    <row r="28" spans="2:13" ht="15">
      <c r="B28" s="1"/>
      <c r="C28" s="1"/>
      <c r="F28" s="14"/>
      <c r="G28" s="1"/>
      <c r="H28" s="1"/>
      <c r="I28" s="18"/>
      <c r="J28" s="17"/>
      <c r="K28" s="27"/>
      <c r="L28" s="38"/>
      <c r="M28" s="27"/>
    </row>
    <row r="29" spans="2:13" ht="15">
      <c r="B29" s="1"/>
      <c r="C29" s="1"/>
      <c r="G29" s="1"/>
      <c r="H29" s="1"/>
      <c r="I29" s="1"/>
      <c r="K29" s="1"/>
      <c r="M29" s="1"/>
    </row>
    <row r="30" spans="2:13" ht="15">
      <c r="B30" s="1"/>
      <c r="C30" s="1"/>
      <c r="G30" s="1"/>
      <c r="H30" s="1"/>
      <c r="I30" s="1"/>
      <c r="M30" s="1"/>
    </row>
    <row r="31" spans="2:13" ht="15">
      <c r="B31" s="1"/>
      <c r="C31" s="1"/>
      <c r="D31" s="12"/>
      <c r="E31" s="1"/>
      <c r="G31" s="1"/>
      <c r="H31" s="1"/>
      <c r="I31" s="1"/>
      <c r="M31" s="1"/>
    </row>
    <row r="32" spans="2:13" ht="15">
      <c r="C32" s="1"/>
      <c r="D32" s="1"/>
      <c r="E32" s="1"/>
      <c r="F32" s="1"/>
      <c r="G32" s="1"/>
      <c r="H32" s="1"/>
    </row>
    <row r="33" spans="2:10" ht="15">
      <c r="B33" s="1"/>
      <c r="C33" s="1"/>
      <c r="F33" s="1"/>
      <c r="G33" s="1"/>
      <c r="H33" s="1"/>
      <c r="I33" s="1"/>
      <c r="J33" s="1"/>
    </row>
    <row r="34" spans="2:10" ht="15">
      <c r="B34" s="1"/>
      <c r="C34" s="1"/>
      <c r="G34" s="1"/>
    </row>
    <row r="35" spans="2:10" ht="15">
      <c r="B35" s="1"/>
      <c r="C35" s="1"/>
      <c r="G35" s="1"/>
    </row>
    <row r="36" spans="2:10" ht="15">
      <c r="B36" s="1"/>
      <c r="C36" s="1"/>
      <c r="F36" s="1"/>
      <c r="G36" s="1"/>
    </row>
    <row r="37" spans="2:10" ht="15">
      <c r="B37" s="1"/>
      <c r="C37" s="1"/>
      <c r="F37" s="1"/>
      <c r="G37" s="1"/>
    </row>
    <row r="38" spans="2:10" ht="15">
      <c r="B38" s="1"/>
      <c r="C38" s="1"/>
      <c r="D38" s="14"/>
      <c r="E38" s="1"/>
      <c r="F38" s="1"/>
      <c r="G38" s="1"/>
    </row>
  </sheetData>
  <phoneticPr fontId="15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17"/>
  <sheetViews>
    <sheetView showGridLines="0" topLeftCell="A4" workbookViewId="0">
      <selection activeCell="B15" sqref="B15"/>
    </sheetView>
  </sheetViews>
  <sheetFormatPr defaultRowHeight="12.75"/>
  <cols>
    <col min="1" max="1" width="3" customWidth="1"/>
  </cols>
  <sheetData>
    <row r="5" spans="2:2" ht="15">
      <c r="B5" s="1" t="s">
        <v>46</v>
      </c>
    </row>
    <row r="6" spans="2:2" ht="15">
      <c r="B6" s="1" t="s">
        <v>38</v>
      </c>
    </row>
    <row r="7" spans="2:2">
      <c r="B7" t="s">
        <v>48</v>
      </c>
    </row>
    <row r="8" spans="2:2" ht="15">
      <c r="B8" s="1" t="s">
        <v>42</v>
      </c>
    </row>
    <row r="9" spans="2:2" ht="15">
      <c r="B9" s="1" t="s">
        <v>45</v>
      </c>
    </row>
    <row r="10" spans="2:2" ht="15">
      <c r="B10" s="1" t="s">
        <v>47</v>
      </c>
    </row>
    <row r="12" spans="2:2">
      <c r="B12" t="s">
        <v>73</v>
      </c>
    </row>
    <row r="13" spans="2:2">
      <c r="B13" t="s">
        <v>74</v>
      </c>
    </row>
    <row r="14" spans="2:2">
      <c r="B14" t="s">
        <v>75</v>
      </c>
    </row>
    <row r="15" spans="2:2" ht="15">
      <c r="B15" s="55" t="s">
        <v>76</v>
      </c>
    </row>
    <row r="17" spans="2:2">
      <c r="B17" t="s">
        <v>77</v>
      </c>
    </row>
  </sheetData>
  <phoneticPr fontId="15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C34" sqref="C34"/>
    </sheetView>
  </sheetViews>
  <sheetFormatPr defaultColWidth="11.5703125" defaultRowHeight="12.75"/>
  <cols>
    <col min="1" max="1" width="22" customWidth="1"/>
    <col min="2" max="2" width="14" bestFit="1" customWidth="1"/>
    <col min="3" max="4" width="11.7109375" bestFit="1" customWidth="1"/>
    <col min="6" max="6" width="13.140625" customWidth="1"/>
    <col min="10" max="10" width="12.85546875" bestFit="1" customWidth="1"/>
    <col min="11" max="12" width="12.7109375" bestFit="1" customWidth="1"/>
  </cols>
  <sheetData>
    <row r="1" spans="1:14" ht="14.25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</row>
    <row r="2" spans="1:14" ht="14.25">
      <c r="A2" s="206" t="s">
        <v>161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</row>
    <row r="3" spans="1:14" ht="14.25">
      <c r="A3" s="206" t="s">
        <v>186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</row>
    <row r="4" spans="1:14" ht="14.25">
      <c r="A4" s="206" t="s">
        <v>181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</row>
    <row r="5" spans="1:14" ht="14.25">
      <c r="A5" s="206"/>
      <c r="B5" s="206"/>
      <c r="C5" s="206"/>
      <c r="D5" s="206"/>
      <c r="E5" s="206"/>
      <c r="F5" s="206"/>
      <c r="G5" s="206"/>
      <c r="H5" s="206"/>
      <c r="I5" s="206"/>
      <c r="J5" s="206"/>
      <c r="K5" s="206"/>
    </row>
    <row r="6" spans="1:14" ht="14.25">
      <c r="A6" s="206" t="s">
        <v>164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</row>
    <row r="7" spans="1:14" ht="14.25">
      <c r="A7" s="206" t="s">
        <v>182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</row>
    <row r="8" spans="1:14" ht="14.25">
      <c r="A8" s="206" t="s">
        <v>185</v>
      </c>
      <c r="B8" s="206"/>
      <c r="C8" s="206"/>
      <c r="D8" s="206"/>
      <c r="E8" s="206"/>
      <c r="F8" s="206"/>
      <c r="G8" s="206"/>
      <c r="H8" s="206"/>
      <c r="I8" s="206"/>
      <c r="J8" s="206"/>
      <c r="K8" s="206"/>
    </row>
    <row r="9" spans="1:14" ht="14.25">
      <c r="A9" s="206"/>
      <c r="B9" s="206"/>
      <c r="C9" s="206"/>
      <c r="D9" s="206"/>
      <c r="E9" s="206"/>
      <c r="F9" s="206"/>
      <c r="G9" s="206"/>
      <c r="H9" s="206"/>
      <c r="I9" s="206"/>
      <c r="J9" s="206"/>
      <c r="K9" s="206"/>
    </row>
    <row r="10" spans="1:14" ht="14.25">
      <c r="A10" s="206" t="s">
        <v>166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6"/>
    </row>
    <row r="11" spans="1:14" ht="14.25">
      <c r="A11" s="206" t="s">
        <v>187</v>
      </c>
      <c r="B11" s="206"/>
      <c r="C11" s="206"/>
      <c r="D11" s="206"/>
      <c r="E11" s="206"/>
      <c r="F11" s="206"/>
      <c r="G11" s="206"/>
      <c r="H11" s="206"/>
      <c r="I11" s="206"/>
      <c r="J11" s="206"/>
      <c r="K11" s="206"/>
    </row>
    <row r="12" spans="1:14" ht="14.25">
      <c r="A12" s="206"/>
      <c r="B12" s="206"/>
      <c r="C12" s="206"/>
      <c r="D12" s="206"/>
      <c r="E12" s="206"/>
      <c r="F12" s="206"/>
      <c r="G12" s="206"/>
      <c r="H12" s="206"/>
      <c r="I12" s="206"/>
      <c r="J12" s="206"/>
      <c r="K12" s="206"/>
    </row>
    <row r="13" spans="1:14" ht="14.25">
      <c r="A13" s="206" t="s">
        <v>121</v>
      </c>
      <c r="B13" s="207">
        <f>Forecast!C126</f>
        <v>8.3588440829638955E-2</v>
      </c>
      <c r="C13" s="206"/>
      <c r="D13" s="206"/>
      <c r="E13" s="206"/>
      <c r="F13" s="206"/>
      <c r="G13" s="206"/>
      <c r="H13" s="206"/>
      <c r="I13" s="206"/>
      <c r="J13" s="206"/>
      <c r="K13" s="206"/>
    </row>
    <row r="14" spans="1:14" ht="14.25">
      <c r="A14" s="206"/>
      <c r="B14" s="206"/>
      <c r="C14" s="206"/>
      <c r="D14" s="206"/>
      <c r="E14" s="206"/>
      <c r="F14" s="206"/>
      <c r="G14" s="206"/>
      <c r="H14" s="206"/>
      <c r="I14" s="206"/>
      <c r="J14" s="206"/>
      <c r="K14" s="206"/>
    </row>
    <row r="15" spans="1:14" ht="14.25">
      <c r="A15" s="206" t="s">
        <v>183</v>
      </c>
      <c r="B15" s="206">
        <v>0</v>
      </c>
      <c r="C15" s="206">
        <v>1</v>
      </c>
      <c r="D15" s="206">
        <v>2</v>
      </c>
      <c r="E15" s="206">
        <v>3</v>
      </c>
      <c r="F15" s="206">
        <v>4</v>
      </c>
      <c r="G15" s="206">
        <v>5</v>
      </c>
      <c r="H15" s="206">
        <v>6</v>
      </c>
      <c r="I15" s="206">
        <v>7</v>
      </c>
      <c r="J15" s="206">
        <v>8</v>
      </c>
      <c r="K15" s="206">
        <v>9</v>
      </c>
      <c r="L15" s="206">
        <v>10</v>
      </c>
    </row>
    <row r="16" spans="1:14" ht="15">
      <c r="A16" s="206" t="s">
        <v>173</v>
      </c>
      <c r="B16" s="132">
        <v>-729569.9375</v>
      </c>
      <c r="C16" s="132">
        <v>69880.043749999997</v>
      </c>
      <c r="D16" s="132">
        <v>44786.389625000011</v>
      </c>
      <c r="E16" s="132">
        <v>32001.5724175</v>
      </c>
      <c r="F16" s="132">
        <v>32272.231365849955</v>
      </c>
      <c r="G16" s="132">
        <v>32559.392618166989</v>
      </c>
      <c r="H16" s="132">
        <v>32863.437676780333</v>
      </c>
      <c r="I16" s="132">
        <v>33182.070246878444</v>
      </c>
      <c r="J16" s="132">
        <v>33521.28140920664</v>
      </c>
      <c r="K16" s="132">
        <v>33878.31303265092</v>
      </c>
      <c r="L16" s="225">
        <f>K16</f>
        <v>33878.31303265092</v>
      </c>
      <c r="N16" s="122"/>
    </row>
    <row r="17" spans="1:14" ht="14.25">
      <c r="A17" s="206" t="s">
        <v>174</v>
      </c>
      <c r="B17" s="208"/>
      <c r="C17" s="208"/>
      <c r="D17" s="208"/>
      <c r="E17" s="208"/>
      <c r="F17" s="208"/>
      <c r="G17" s="208"/>
      <c r="H17" s="208"/>
      <c r="I17" s="208"/>
      <c r="J17" s="208"/>
      <c r="K17" s="208"/>
      <c r="L17" s="224">
        <v>1000000</v>
      </c>
      <c r="M17" s="223"/>
    </row>
    <row r="18" spans="1:14" ht="14.25">
      <c r="A18" s="206"/>
      <c r="B18" s="208"/>
      <c r="C18" s="208"/>
      <c r="D18" s="208"/>
      <c r="E18" s="208"/>
      <c r="F18" s="208"/>
      <c r="G18" s="208"/>
      <c r="H18" s="208"/>
      <c r="I18" s="208"/>
      <c r="J18" s="208"/>
      <c r="K18" s="206"/>
      <c r="N18" s="208"/>
    </row>
    <row r="19" spans="1:14" ht="14.25">
      <c r="A19" s="206" t="s">
        <v>184</v>
      </c>
      <c r="B19" s="206"/>
      <c r="C19" s="206"/>
      <c r="D19" s="206"/>
      <c r="E19" s="206"/>
      <c r="F19" s="206"/>
      <c r="G19" s="206"/>
      <c r="H19" s="206"/>
      <c r="I19" s="206"/>
      <c r="J19" s="206"/>
      <c r="K19" s="206"/>
    </row>
    <row r="20" spans="1:14" ht="14.25">
      <c r="A20" s="206" t="s">
        <v>173</v>
      </c>
      <c r="B20" s="208"/>
      <c r="C20" s="208"/>
      <c r="D20" s="208"/>
      <c r="E20" s="208"/>
      <c r="F20" s="208"/>
      <c r="G20" s="208">
        <f>-50000</f>
        <v>-50000</v>
      </c>
      <c r="H20" s="208">
        <v>30000</v>
      </c>
      <c r="I20" s="208">
        <f>H20</f>
        <v>30000</v>
      </c>
      <c r="J20" s="208">
        <f>I20</f>
        <v>30000</v>
      </c>
      <c r="K20" s="208">
        <f t="shared" ref="K20:L20" si="0">J20</f>
        <v>30000</v>
      </c>
      <c r="L20" s="208">
        <f t="shared" si="0"/>
        <v>30000</v>
      </c>
    </row>
    <row r="21" spans="1:14" ht="14.25">
      <c r="A21" s="206" t="s">
        <v>174</v>
      </c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>
        <v>80000</v>
      </c>
    </row>
    <row r="24" spans="1:14" ht="14.25">
      <c r="A24" s="206"/>
      <c r="B24" s="208"/>
      <c r="C24" s="208"/>
      <c r="D24" s="208"/>
      <c r="E24" s="208"/>
      <c r="F24" s="208"/>
      <c r="G24" s="208"/>
      <c r="H24" s="208"/>
      <c r="I24" s="208"/>
      <c r="J24" s="208"/>
      <c r="K24" s="206"/>
    </row>
    <row r="25" spans="1:14" ht="15.75">
      <c r="A25" s="210" t="s">
        <v>176</v>
      </c>
      <c r="B25" s="211">
        <f>B16</f>
        <v>-729569.9375</v>
      </c>
      <c r="C25" s="211">
        <f>C16</f>
        <v>69880.043749999997</v>
      </c>
      <c r="D25" s="211">
        <f>D16</f>
        <v>44786.389625000011</v>
      </c>
      <c r="E25" s="211">
        <f t="shared" ref="E25:K25" si="1">E16+E20</f>
        <v>32001.5724175</v>
      </c>
      <c r="F25" s="211">
        <f t="shared" si="1"/>
        <v>32272.231365849955</v>
      </c>
      <c r="G25" s="211">
        <f t="shared" si="1"/>
        <v>-17440.607381833011</v>
      </c>
      <c r="H25" s="211">
        <f t="shared" si="1"/>
        <v>62863.437676780333</v>
      </c>
      <c r="I25" s="211">
        <f t="shared" si="1"/>
        <v>63182.070246878444</v>
      </c>
      <c r="J25" s="211">
        <f t="shared" si="1"/>
        <v>63521.28140920664</v>
      </c>
      <c r="K25" s="211">
        <f t="shared" si="1"/>
        <v>63878.31303265092</v>
      </c>
      <c r="L25" s="211">
        <f>L16+L17+L20+L21</f>
        <v>1143878.3130326509</v>
      </c>
    </row>
    <row r="26" spans="1:14" ht="15.75">
      <c r="A26" s="212" t="s">
        <v>177</v>
      </c>
      <c r="B26" s="213">
        <f>-PV($B$13,B$15,,B25)</f>
        <v>-729569.9375</v>
      </c>
      <c r="C26" s="213">
        <f t="shared" ref="C26:L26" si="2">-PV($B$13,C$15,,C25)</f>
        <v>64489.469541126717</v>
      </c>
      <c r="D26" s="213">
        <f t="shared" si="2"/>
        <v>38143.217721062349</v>
      </c>
      <c r="E26" s="213">
        <f t="shared" si="2"/>
        <v>25152.330298475084</v>
      </c>
      <c r="F26" s="213">
        <f t="shared" si="2"/>
        <v>23408.389769276604</v>
      </c>
      <c r="G26" s="213">
        <f t="shared" si="2"/>
        <v>-11674.540274262006</v>
      </c>
      <c r="H26" s="213">
        <f t="shared" si="2"/>
        <v>38833.983820305293</v>
      </c>
      <c r="I26" s="213">
        <f t="shared" si="2"/>
        <v>36019.966716433482</v>
      </c>
      <c r="J26" s="213">
        <f t="shared" si="2"/>
        <v>33419.838131704884</v>
      </c>
      <c r="K26" s="213">
        <f t="shared" si="2"/>
        <v>31015.170026050542</v>
      </c>
      <c r="L26" s="213">
        <f t="shared" si="2"/>
        <v>512549.94432828191</v>
      </c>
    </row>
    <row r="27" spans="1:14" ht="15.75">
      <c r="A27" s="214" t="s">
        <v>178</v>
      </c>
      <c r="B27" s="215">
        <f>SUM(B26:L26)</f>
        <v>61787.832578454982</v>
      </c>
      <c r="C27" s="216">
        <v>0.6</v>
      </c>
      <c r="D27" s="212"/>
      <c r="E27" s="217"/>
      <c r="F27" s="212"/>
      <c r="G27" s="212"/>
      <c r="H27" s="212"/>
      <c r="I27" s="212"/>
      <c r="J27" s="212"/>
    </row>
    <row r="28" spans="1:14" ht="15.75">
      <c r="A28" s="212"/>
      <c r="B28" s="213"/>
      <c r="C28" s="213"/>
      <c r="D28" s="213"/>
      <c r="E28" s="218"/>
      <c r="F28" s="213"/>
      <c r="G28" s="212"/>
      <c r="H28" s="212"/>
      <c r="I28" s="212"/>
      <c r="J28" s="212"/>
    </row>
    <row r="29" spans="1:14" ht="15.75">
      <c r="A29" s="214" t="s">
        <v>179</v>
      </c>
      <c r="B29" s="219">
        <f>B16</f>
        <v>-729569.9375</v>
      </c>
      <c r="C29" s="219">
        <f t="shared" ref="C29:D29" si="3">C16</f>
        <v>69880.043749999997</v>
      </c>
      <c r="D29" s="219">
        <f t="shared" si="3"/>
        <v>44786.389625000011</v>
      </c>
      <c r="E29" s="219">
        <f>E16+E20</f>
        <v>32001.5724175</v>
      </c>
      <c r="F29" s="219">
        <f>F16+F20</f>
        <v>32272.231365849955</v>
      </c>
      <c r="G29" s="219">
        <f>G16+G20</f>
        <v>-17440.607381833011</v>
      </c>
      <c r="H29" s="219">
        <f>H16+H20</f>
        <v>62863.437676780333</v>
      </c>
      <c r="I29" s="219">
        <f>I16+I20</f>
        <v>63182.070246878444</v>
      </c>
      <c r="J29" s="219">
        <f>J16+J17+J20+J21</f>
        <v>63521.28140920664</v>
      </c>
      <c r="K29" s="219">
        <f t="shared" ref="K29" si="4">K16+K17+K20+K21</f>
        <v>63878.31303265092</v>
      </c>
      <c r="L29" s="219">
        <f>L16+L17+L20</f>
        <v>1063878.3130326509</v>
      </c>
    </row>
    <row r="30" spans="1:14" ht="15.75">
      <c r="A30" s="212" t="s">
        <v>177</v>
      </c>
      <c r="B30" s="213">
        <f t="shared" ref="B30:J30" si="5">-PV($B$13,B$15,,B29)</f>
        <v>-729569.9375</v>
      </c>
      <c r="C30" s="213">
        <f t="shared" si="5"/>
        <v>64489.469541126717</v>
      </c>
      <c r="D30" s="213">
        <f t="shared" si="5"/>
        <v>38143.217721062349</v>
      </c>
      <c r="E30" s="213">
        <f t="shared" si="5"/>
        <v>25152.330298475084</v>
      </c>
      <c r="F30" s="213">
        <f t="shared" si="5"/>
        <v>23408.389769276604</v>
      </c>
      <c r="G30" s="213">
        <f t="shared" si="5"/>
        <v>-11674.540274262006</v>
      </c>
      <c r="H30" s="213">
        <f t="shared" si="5"/>
        <v>38833.983820305293</v>
      </c>
      <c r="I30" s="213">
        <f t="shared" si="5"/>
        <v>36019.966716433482</v>
      </c>
      <c r="J30" s="213">
        <f t="shared" si="5"/>
        <v>33419.838131704884</v>
      </c>
      <c r="K30" s="213">
        <f t="shared" ref="K30" si="6">-PV($B$13,K$15,,K29)</f>
        <v>31015.170026050542</v>
      </c>
      <c r="L30" s="213">
        <f t="shared" ref="L30" si="7">-PV($B$13,L$15,,L29)</f>
        <v>476703.47789991443</v>
      </c>
    </row>
    <row r="31" spans="1:14" ht="15.75">
      <c r="A31" s="214" t="s">
        <v>178</v>
      </c>
      <c r="B31" s="215">
        <f>SUM(B30:L30)</f>
        <v>25941.366150087502</v>
      </c>
      <c r="C31" s="216">
        <v>0.2</v>
      </c>
      <c r="D31" s="212"/>
      <c r="E31" s="217"/>
      <c r="F31" s="212"/>
      <c r="G31" s="212"/>
      <c r="H31" s="212"/>
      <c r="I31" s="212"/>
      <c r="J31" s="212"/>
      <c r="K31" s="212"/>
      <c r="L31" s="212"/>
    </row>
    <row r="32" spans="1:14" ht="15.75">
      <c r="A32" s="212"/>
      <c r="B32" s="220"/>
      <c r="C32" s="212"/>
      <c r="D32" s="212"/>
      <c r="E32" s="212"/>
      <c r="F32" s="212"/>
      <c r="G32" s="212"/>
      <c r="H32" s="212"/>
      <c r="I32" s="212"/>
      <c r="J32" s="212"/>
      <c r="K32" s="212"/>
      <c r="L32" s="212"/>
    </row>
    <row r="33" spans="1:12" ht="15.75">
      <c r="A33" s="214" t="s">
        <v>180</v>
      </c>
      <c r="B33" s="219">
        <f>B16</f>
        <v>-729569.9375</v>
      </c>
      <c r="C33" s="219">
        <f t="shared" ref="C33:K33" si="8">C16</f>
        <v>69880.043749999997</v>
      </c>
      <c r="D33" s="219">
        <f t="shared" si="8"/>
        <v>44786.389625000011</v>
      </c>
      <c r="E33" s="219">
        <f t="shared" si="8"/>
        <v>32001.5724175</v>
      </c>
      <c r="F33" s="219">
        <f t="shared" si="8"/>
        <v>32272.231365849955</v>
      </c>
      <c r="G33" s="219">
        <f t="shared" si="8"/>
        <v>32559.392618166989</v>
      </c>
      <c r="H33" s="219">
        <f t="shared" si="8"/>
        <v>32863.437676780333</v>
      </c>
      <c r="I33" s="219">
        <f t="shared" si="8"/>
        <v>33182.070246878444</v>
      </c>
      <c r="J33" s="219">
        <f t="shared" si="8"/>
        <v>33521.28140920664</v>
      </c>
      <c r="K33" s="219">
        <f t="shared" si="8"/>
        <v>33878.31303265092</v>
      </c>
      <c r="L33" s="219">
        <f>L16+900000</f>
        <v>933878.31303265097</v>
      </c>
    </row>
    <row r="34" spans="1:12" ht="15.75">
      <c r="A34" s="212" t="s">
        <v>177</v>
      </c>
      <c r="B34" s="213">
        <f t="shared" ref="B34:J34" si="9">-PV($B$13,B$15,,B33)</f>
        <v>-729569.9375</v>
      </c>
      <c r="C34" s="213">
        <f t="shared" si="9"/>
        <v>64489.469541126717</v>
      </c>
      <c r="D34" s="213">
        <f t="shared" si="9"/>
        <v>38143.217721062349</v>
      </c>
      <c r="E34" s="213">
        <f t="shared" si="9"/>
        <v>25152.330298475084</v>
      </c>
      <c r="F34" s="213">
        <f t="shared" si="9"/>
        <v>23408.389769276604</v>
      </c>
      <c r="G34" s="213">
        <f t="shared" si="9"/>
        <v>21794.879736943505</v>
      </c>
      <c r="H34" s="213">
        <f t="shared" si="9"/>
        <v>20301.438390651227</v>
      </c>
      <c r="I34" s="213">
        <f t="shared" si="9"/>
        <v>18917.029169900776</v>
      </c>
      <c r="J34" s="213">
        <f t="shared" si="9"/>
        <v>17636.227950852448</v>
      </c>
      <c r="K34" s="213">
        <f t="shared" ref="K34" si="10">-PV($B$13,K$15,,K33)</f>
        <v>16449.113776163023</v>
      </c>
      <c r="L34" s="213">
        <f t="shared" ref="L34" si="11">-PV($B$13,L$15,,L33)</f>
        <v>418452.96995381732</v>
      </c>
    </row>
    <row r="35" spans="1:12" ht="15.75">
      <c r="A35" s="214" t="s">
        <v>178</v>
      </c>
      <c r="B35" s="215">
        <f>SUM(B34:L34)</f>
        <v>-64824.871191730897</v>
      </c>
      <c r="C35" s="216">
        <v>0.2</v>
      </c>
      <c r="D35" s="212"/>
      <c r="E35" s="217"/>
      <c r="F35" s="212"/>
      <c r="G35" s="212"/>
      <c r="H35" s="212"/>
      <c r="I35" s="212"/>
      <c r="J35" s="212"/>
      <c r="K35" s="206"/>
    </row>
    <row r="37" spans="1:12" ht="15.75">
      <c r="A37" s="212" t="s">
        <v>142</v>
      </c>
      <c r="B37" s="226">
        <f>C27*B27+C35*B35+C31*B31</f>
        <v>29295.998538744312</v>
      </c>
      <c r="C37" s="221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Forecast</vt:lpstr>
      <vt:lpstr>Sheet2</vt:lpstr>
      <vt:lpstr>Mortgage</vt:lpstr>
      <vt:lpstr>BANKRUPTCY</vt:lpstr>
      <vt:lpstr>Reference</vt:lpstr>
      <vt:lpstr>Resources</vt:lpstr>
      <vt:lpstr>Options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2014-07-18T14:52:16Z</dcterms:created>
  <dcterms:modified xsi:type="dcterms:W3CDTF">2019-08-23T21:32:22Z</dcterms:modified>
</cp:coreProperties>
</file>