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2385" yWindow="15" windowWidth="19155" windowHeight="11760" tabRatio="500"/>
  </bookViews>
  <sheets>
    <sheet name="10 Year Forecast" sheetId="1" r:id="rId1"/>
    <sheet name="Mortgage Table" sheetId="2" r:id="rId2"/>
    <sheet name="Bankruptcy" sheetId="4" r:id="rId3"/>
    <sheet name="Assumption calculations" sheetId="3" r:id="rId4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2" i="1" l="1"/>
  <c r="N117" i="1" l="1"/>
  <c r="E117" i="1"/>
  <c r="D117" i="1"/>
  <c r="F117" i="1"/>
  <c r="G117" i="1"/>
  <c r="H117" i="1"/>
  <c r="I117" i="1"/>
  <c r="J117" i="1"/>
  <c r="K117" i="1"/>
  <c r="L117" i="1"/>
  <c r="M117" i="1"/>
  <c r="D151" i="4"/>
  <c r="D153" i="4"/>
  <c r="E151" i="4"/>
  <c r="E58" i="4"/>
  <c r="E152" i="4"/>
  <c r="E153" i="4"/>
  <c r="F151" i="4"/>
  <c r="F58" i="4"/>
  <c r="F152" i="4"/>
  <c r="F153" i="4"/>
  <c r="G151" i="4"/>
  <c r="G58" i="4"/>
  <c r="G152" i="4"/>
  <c r="G153" i="4"/>
  <c r="H151" i="4"/>
  <c r="H58" i="4"/>
  <c r="H152" i="4"/>
  <c r="H153" i="4"/>
  <c r="R69" i="4"/>
  <c r="R70" i="4"/>
  <c r="E28" i="4"/>
  <c r="E29" i="4"/>
  <c r="E30" i="4"/>
  <c r="E31" i="4"/>
  <c r="E32" i="4"/>
  <c r="E33" i="4"/>
  <c r="E34" i="4"/>
  <c r="E35" i="4"/>
  <c r="F35" i="4"/>
  <c r="G35" i="4"/>
  <c r="H35" i="4"/>
  <c r="I35" i="4"/>
  <c r="I5" i="4"/>
  <c r="I76" i="4"/>
  <c r="R71" i="4"/>
  <c r="F10" i="4"/>
  <c r="G10" i="4"/>
  <c r="H10" i="4"/>
  <c r="I10" i="4"/>
  <c r="F18" i="4"/>
  <c r="G18" i="4"/>
  <c r="H18" i="4"/>
  <c r="I18" i="4"/>
  <c r="I28" i="4"/>
  <c r="I38" i="4"/>
  <c r="F11" i="4"/>
  <c r="G11" i="4"/>
  <c r="H11" i="4"/>
  <c r="I11" i="4"/>
  <c r="F19" i="4"/>
  <c r="G19" i="4"/>
  <c r="H19" i="4"/>
  <c r="I19" i="4"/>
  <c r="I29" i="4"/>
  <c r="I39" i="4"/>
  <c r="F12" i="4"/>
  <c r="G12" i="4"/>
  <c r="H12" i="4"/>
  <c r="I12" i="4"/>
  <c r="F20" i="4"/>
  <c r="G20" i="4"/>
  <c r="H20" i="4"/>
  <c r="I20" i="4"/>
  <c r="I30" i="4"/>
  <c r="I40" i="4"/>
  <c r="F13" i="4"/>
  <c r="G13" i="4"/>
  <c r="H13" i="4"/>
  <c r="I13" i="4"/>
  <c r="F21" i="4"/>
  <c r="G21" i="4"/>
  <c r="H21" i="4"/>
  <c r="I21" i="4"/>
  <c r="I31" i="4"/>
  <c r="I41" i="4"/>
  <c r="F22" i="4"/>
  <c r="G22" i="4"/>
  <c r="H22" i="4"/>
  <c r="I22" i="4"/>
  <c r="F14" i="4"/>
  <c r="G14" i="4"/>
  <c r="H14" i="4"/>
  <c r="I14" i="4"/>
  <c r="I32" i="4"/>
  <c r="I42" i="4"/>
  <c r="F15" i="4"/>
  <c r="G15" i="4"/>
  <c r="H15" i="4"/>
  <c r="I15" i="4"/>
  <c r="F23" i="4"/>
  <c r="G23" i="4"/>
  <c r="H23" i="4"/>
  <c r="I23" i="4"/>
  <c r="I33" i="4"/>
  <c r="I43" i="4"/>
  <c r="F16" i="4"/>
  <c r="G16" i="4"/>
  <c r="H16" i="4"/>
  <c r="I16" i="4"/>
  <c r="F24" i="4"/>
  <c r="G24" i="4"/>
  <c r="H24" i="4"/>
  <c r="I24" i="4"/>
  <c r="I34" i="4"/>
  <c r="I44" i="4"/>
  <c r="I45" i="4"/>
  <c r="F7" i="4"/>
  <c r="G7" i="4"/>
  <c r="H7" i="4"/>
  <c r="I7" i="4"/>
  <c r="I8" i="4"/>
  <c r="I77" i="4"/>
  <c r="R72" i="4"/>
  <c r="R75" i="4"/>
  <c r="R76" i="4"/>
  <c r="R77" i="4"/>
  <c r="I6" i="4"/>
  <c r="I94" i="4"/>
  <c r="R78" i="4"/>
  <c r="R79" i="4"/>
  <c r="R82" i="4"/>
  <c r="R86" i="4"/>
  <c r="B2" i="2"/>
  <c r="I2" i="2"/>
  <c r="I4" i="2"/>
  <c r="I8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B16" i="2"/>
  <c r="E16" i="2"/>
  <c r="D16" i="2"/>
  <c r="C16" i="2"/>
  <c r="F16" i="2"/>
  <c r="B17" i="2"/>
  <c r="E17" i="2"/>
  <c r="D17" i="2"/>
  <c r="C17" i="2"/>
  <c r="F17" i="2"/>
  <c r="B18" i="2"/>
  <c r="E18" i="2"/>
  <c r="D18" i="2"/>
  <c r="C18" i="2"/>
  <c r="F18" i="2"/>
  <c r="B19" i="2"/>
  <c r="E19" i="2"/>
  <c r="D19" i="2"/>
  <c r="C19" i="2"/>
  <c r="F19" i="2"/>
  <c r="B20" i="2"/>
  <c r="E20" i="2"/>
  <c r="D20" i="2"/>
  <c r="C20" i="2"/>
  <c r="F20" i="2"/>
  <c r="B21" i="2"/>
  <c r="E21" i="2"/>
  <c r="D21" i="2"/>
  <c r="C21" i="2"/>
  <c r="F21" i="2"/>
  <c r="B22" i="2"/>
  <c r="E22" i="2"/>
  <c r="D22" i="2"/>
  <c r="C22" i="2"/>
  <c r="F22" i="2"/>
  <c r="B23" i="2"/>
  <c r="E23" i="2"/>
  <c r="D23" i="2"/>
  <c r="C23" i="2"/>
  <c r="F23" i="2"/>
  <c r="B24" i="2"/>
  <c r="E24" i="2"/>
  <c r="D24" i="2"/>
  <c r="C24" i="2"/>
  <c r="F24" i="2"/>
  <c r="B25" i="2"/>
  <c r="E25" i="2"/>
  <c r="D25" i="2"/>
  <c r="C25" i="2"/>
  <c r="F25" i="2"/>
  <c r="B26" i="2"/>
  <c r="E26" i="2"/>
  <c r="D26" i="2"/>
  <c r="C26" i="2"/>
  <c r="F26" i="2"/>
  <c r="B27" i="2"/>
  <c r="E27" i="2"/>
  <c r="D27" i="2"/>
  <c r="C27" i="2"/>
  <c r="F27" i="2"/>
  <c r="B30" i="2"/>
  <c r="E30" i="2"/>
  <c r="D30" i="2"/>
  <c r="C30" i="2"/>
  <c r="F30" i="2"/>
  <c r="B31" i="2"/>
  <c r="E31" i="2"/>
  <c r="D31" i="2"/>
  <c r="C31" i="2"/>
  <c r="F31" i="2"/>
  <c r="B32" i="2"/>
  <c r="E32" i="2"/>
  <c r="D32" i="2"/>
  <c r="C32" i="2"/>
  <c r="F32" i="2"/>
  <c r="B33" i="2"/>
  <c r="E33" i="2"/>
  <c r="D33" i="2"/>
  <c r="C33" i="2"/>
  <c r="F33" i="2"/>
  <c r="B34" i="2"/>
  <c r="E34" i="2"/>
  <c r="D34" i="2"/>
  <c r="C34" i="2"/>
  <c r="F34" i="2"/>
  <c r="B35" i="2"/>
  <c r="E35" i="2"/>
  <c r="D35" i="2"/>
  <c r="C35" i="2"/>
  <c r="F35" i="2"/>
  <c r="B36" i="2"/>
  <c r="E36" i="2"/>
  <c r="D36" i="2"/>
  <c r="C36" i="2"/>
  <c r="F36" i="2"/>
  <c r="B37" i="2"/>
  <c r="E37" i="2"/>
  <c r="D37" i="2"/>
  <c r="C37" i="2"/>
  <c r="F37" i="2"/>
  <c r="B38" i="2"/>
  <c r="E38" i="2"/>
  <c r="D38" i="2"/>
  <c r="C38" i="2"/>
  <c r="F38" i="2"/>
  <c r="B39" i="2"/>
  <c r="E39" i="2"/>
  <c r="D39" i="2"/>
  <c r="C39" i="2"/>
  <c r="F39" i="2"/>
  <c r="B40" i="2"/>
  <c r="E40" i="2"/>
  <c r="D40" i="2"/>
  <c r="C40" i="2"/>
  <c r="F40" i="2"/>
  <c r="B41" i="2"/>
  <c r="E41" i="2"/>
  <c r="D41" i="2"/>
  <c r="C41" i="2"/>
  <c r="F41" i="2"/>
  <c r="B44" i="2"/>
  <c r="E44" i="2"/>
  <c r="D44" i="2"/>
  <c r="C44" i="2"/>
  <c r="F44" i="2"/>
  <c r="B45" i="2"/>
  <c r="E45" i="2"/>
  <c r="D45" i="2"/>
  <c r="C45" i="2"/>
  <c r="F45" i="2"/>
  <c r="B46" i="2"/>
  <c r="E46" i="2"/>
  <c r="D46" i="2"/>
  <c r="C46" i="2"/>
  <c r="F46" i="2"/>
  <c r="B47" i="2"/>
  <c r="E47" i="2"/>
  <c r="D47" i="2"/>
  <c r="C47" i="2"/>
  <c r="F47" i="2"/>
  <c r="B48" i="2"/>
  <c r="E48" i="2"/>
  <c r="D48" i="2"/>
  <c r="C48" i="2"/>
  <c r="F48" i="2"/>
  <c r="B49" i="2"/>
  <c r="E49" i="2"/>
  <c r="D49" i="2"/>
  <c r="C49" i="2"/>
  <c r="F49" i="2"/>
  <c r="B50" i="2"/>
  <c r="E50" i="2"/>
  <c r="D50" i="2"/>
  <c r="C50" i="2"/>
  <c r="F50" i="2"/>
  <c r="B51" i="2"/>
  <c r="E51" i="2"/>
  <c r="D51" i="2"/>
  <c r="C51" i="2"/>
  <c r="F51" i="2"/>
  <c r="B52" i="2"/>
  <c r="E52" i="2"/>
  <c r="D52" i="2"/>
  <c r="C52" i="2"/>
  <c r="F52" i="2"/>
  <c r="B53" i="2"/>
  <c r="E53" i="2"/>
  <c r="D53" i="2"/>
  <c r="C53" i="2"/>
  <c r="F53" i="2"/>
  <c r="B54" i="2"/>
  <c r="E54" i="2"/>
  <c r="D54" i="2"/>
  <c r="C54" i="2"/>
  <c r="F54" i="2"/>
  <c r="B55" i="2"/>
  <c r="E55" i="2"/>
  <c r="D55" i="2"/>
  <c r="C55" i="2"/>
  <c r="F55" i="2"/>
  <c r="B58" i="2"/>
  <c r="E58" i="2"/>
  <c r="D58" i="2"/>
  <c r="C58" i="2"/>
  <c r="F58" i="2"/>
  <c r="B59" i="2"/>
  <c r="E59" i="2"/>
  <c r="D59" i="2"/>
  <c r="C59" i="2"/>
  <c r="F59" i="2"/>
  <c r="B60" i="2"/>
  <c r="E60" i="2"/>
  <c r="D60" i="2"/>
  <c r="C60" i="2"/>
  <c r="F60" i="2"/>
  <c r="B61" i="2"/>
  <c r="E61" i="2"/>
  <c r="D61" i="2"/>
  <c r="C61" i="2"/>
  <c r="F61" i="2"/>
  <c r="B62" i="2"/>
  <c r="E62" i="2"/>
  <c r="D62" i="2"/>
  <c r="C62" i="2"/>
  <c r="F62" i="2"/>
  <c r="B63" i="2"/>
  <c r="E63" i="2"/>
  <c r="D63" i="2"/>
  <c r="C63" i="2"/>
  <c r="F63" i="2"/>
  <c r="B64" i="2"/>
  <c r="E64" i="2"/>
  <c r="D64" i="2"/>
  <c r="C64" i="2"/>
  <c r="F64" i="2"/>
  <c r="B65" i="2"/>
  <c r="E65" i="2"/>
  <c r="D65" i="2"/>
  <c r="C65" i="2"/>
  <c r="F65" i="2"/>
  <c r="B66" i="2"/>
  <c r="E66" i="2"/>
  <c r="D66" i="2"/>
  <c r="C66" i="2"/>
  <c r="F66" i="2"/>
  <c r="B67" i="2"/>
  <c r="E67" i="2"/>
  <c r="D67" i="2"/>
  <c r="C67" i="2"/>
  <c r="F67" i="2"/>
  <c r="B68" i="2"/>
  <c r="E68" i="2"/>
  <c r="D68" i="2"/>
  <c r="C68" i="2"/>
  <c r="F68" i="2"/>
  <c r="B69" i="2"/>
  <c r="E69" i="2"/>
  <c r="D69" i="2"/>
  <c r="C69" i="2"/>
  <c r="F69" i="2"/>
  <c r="I98" i="4"/>
  <c r="Q85" i="4"/>
  <c r="I80" i="4"/>
  <c r="Q73" i="4"/>
  <c r="I81" i="4"/>
  <c r="Q74" i="4"/>
  <c r="Q79" i="4"/>
  <c r="R85" i="4"/>
  <c r="R87" i="4"/>
  <c r="S86" i="4"/>
  <c r="T86" i="4"/>
  <c r="U86" i="4"/>
  <c r="I151" i="4"/>
  <c r="I58" i="4"/>
  <c r="I152" i="4"/>
  <c r="I153" i="4"/>
  <c r="D154" i="4"/>
  <c r="S85" i="4"/>
  <c r="T85" i="4"/>
  <c r="U85" i="4"/>
  <c r="I142" i="4"/>
  <c r="E98" i="4"/>
  <c r="D142" i="4"/>
  <c r="D144" i="4"/>
  <c r="F98" i="4"/>
  <c r="E142" i="4"/>
  <c r="D14" i="2"/>
  <c r="E59" i="4"/>
  <c r="E143" i="4"/>
  <c r="E144" i="4"/>
  <c r="G98" i="4"/>
  <c r="F142" i="4"/>
  <c r="D28" i="2"/>
  <c r="F59" i="4"/>
  <c r="F143" i="4"/>
  <c r="F144" i="4"/>
  <c r="H98" i="4"/>
  <c r="G142" i="4"/>
  <c r="D42" i="2"/>
  <c r="G59" i="4"/>
  <c r="G143" i="4"/>
  <c r="G144" i="4"/>
  <c r="H142" i="4"/>
  <c r="D56" i="2"/>
  <c r="H59" i="4"/>
  <c r="H143" i="4"/>
  <c r="H144" i="4"/>
  <c r="D70" i="2"/>
  <c r="I59" i="4"/>
  <c r="I143" i="4"/>
  <c r="I144" i="4"/>
  <c r="D145" i="4"/>
  <c r="C151" i="4"/>
  <c r="C153" i="4"/>
  <c r="C154" i="4"/>
  <c r="C142" i="4"/>
  <c r="C144" i="4"/>
  <c r="C145" i="4"/>
  <c r="M119" i="4"/>
  <c r="N119" i="4"/>
  <c r="M120" i="4"/>
  <c r="M112" i="4"/>
  <c r="N112" i="4"/>
  <c r="M111" i="4"/>
  <c r="E5" i="4"/>
  <c r="F5" i="4"/>
  <c r="G5" i="4"/>
  <c r="H5" i="4"/>
  <c r="E6" i="4"/>
  <c r="F6" i="4"/>
  <c r="G6" i="4"/>
  <c r="H6" i="4"/>
  <c r="E8" i="4"/>
  <c r="F8" i="4"/>
  <c r="G8" i="4"/>
  <c r="H8" i="4"/>
  <c r="F28" i="4"/>
  <c r="G28" i="4"/>
  <c r="H28" i="4"/>
  <c r="F29" i="4"/>
  <c r="G29" i="4"/>
  <c r="H29" i="4"/>
  <c r="F30" i="4"/>
  <c r="G30" i="4"/>
  <c r="H30" i="4"/>
  <c r="F31" i="4"/>
  <c r="G31" i="4"/>
  <c r="H31" i="4"/>
  <c r="F32" i="4"/>
  <c r="G32" i="4"/>
  <c r="H32" i="4"/>
  <c r="F33" i="4"/>
  <c r="G33" i="4"/>
  <c r="H33" i="4"/>
  <c r="F34" i="4"/>
  <c r="G34" i="4"/>
  <c r="H34" i="4"/>
  <c r="E38" i="4"/>
  <c r="F38" i="4"/>
  <c r="G38" i="4"/>
  <c r="H38" i="4"/>
  <c r="E39" i="4"/>
  <c r="F39" i="4"/>
  <c r="G39" i="4"/>
  <c r="H39" i="4"/>
  <c r="E40" i="4"/>
  <c r="F40" i="4"/>
  <c r="G40" i="4"/>
  <c r="H40" i="4"/>
  <c r="E41" i="4"/>
  <c r="F41" i="4"/>
  <c r="G41" i="4"/>
  <c r="H41" i="4"/>
  <c r="E42" i="4"/>
  <c r="F42" i="4"/>
  <c r="G42" i="4"/>
  <c r="H42" i="4"/>
  <c r="E43" i="4"/>
  <c r="F43" i="4"/>
  <c r="G43" i="4"/>
  <c r="H43" i="4"/>
  <c r="E44" i="4"/>
  <c r="F44" i="4"/>
  <c r="G44" i="4"/>
  <c r="H44" i="4"/>
  <c r="E45" i="4"/>
  <c r="F45" i="4"/>
  <c r="G45" i="4"/>
  <c r="H45" i="4"/>
  <c r="E48" i="4"/>
  <c r="F48" i="4"/>
  <c r="G48" i="4"/>
  <c r="H48" i="4"/>
  <c r="I48" i="4"/>
  <c r="E49" i="4"/>
  <c r="F49" i="4"/>
  <c r="G49" i="4"/>
  <c r="H49" i="4"/>
  <c r="I49" i="4"/>
  <c r="F50" i="4"/>
  <c r="G50" i="4"/>
  <c r="H50" i="4"/>
  <c r="I50" i="4"/>
  <c r="E51" i="4"/>
  <c r="F51" i="4"/>
  <c r="G51" i="4"/>
  <c r="H51" i="4"/>
  <c r="I51" i="4"/>
  <c r="F52" i="4"/>
  <c r="G52" i="4"/>
  <c r="H52" i="4"/>
  <c r="I52" i="4"/>
  <c r="F53" i="4"/>
  <c r="G53" i="4"/>
  <c r="H53" i="4"/>
  <c r="I53" i="4"/>
  <c r="E55" i="4"/>
  <c r="F55" i="4"/>
  <c r="G55" i="4"/>
  <c r="H55" i="4"/>
  <c r="I55" i="4"/>
  <c r="E56" i="4"/>
  <c r="F56" i="4"/>
  <c r="G56" i="4"/>
  <c r="H56" i="4"/>
  <c r="I56" i="4"/>
  <c r="E80" i="4"/>
  <c r="E62" i="4"/>
  <c r="F80" i="4"/>
  <c r="F62" i="4"/>
  <c r="G80" i="4"/>
  <c r="G62" i="4"/>
  <c r="H80" i="4"/>
  <c r="H62" i="4"/>
  <c r="I62" i="4"/>
  <c r="E63" i="4"/>
  <c r="F63" i="4"/>
  <c r="G63" i="4"/>
  <c r="H63" i="4"/>
  <c r="I63" i="4"/>
  <c r="E64" i="4"/>
  <c r="F64" i="4"/>
  <c r="G64" i="4"/>
  <c r="H64" i="4"/>
  <c r="I64" i="4"/>
  <c r="E65" i="4"/>
  <c r="F65" i="4"/>
  <c r="G65" i="4"/>
  <c r="H65" i="4"/>
  <c r="I65" i="4"/>
  <c r="E66" i="4"/>
  <c r="F66" i="4"/>
  <c r="G66" i="4"/>
  <c r="H66" i="4"/>
  <c r="I66" i="4"/>
  <c r="E68" i="4"/>
  <c r="F68" i="4"/>
  <c r="G68" i="4"/>
  <c r="H68" i="4"/>
  <c r="I68" i="4"/>
  <c r="E69" i="4"/>
  <c r="F69" i="4"/>
  <c r="G69" i="4"/>
  <c r="H69" i="4"/>
  <c r="I69" i="4"/>
  <c r="E70" i="4"/>
  <c r="F70" i="4"/>
  <c r="G70" i="4"/>
  <c r="H70" i="4"/>
  <c r="I70" i="4"/>
  <c r="E76" i="4"/>
  <c r="F76" i="4"/>
  <c r="G76" i="4"/>
  <c r="H76" i="4"/>
  <c r="E77" i="4"/>
  <c r="F77" i="4"/>
  <c r="G77" i="4"/>
  <c r="H77" i="4"/>
  <c r="F78" i="4"/>
  <c r="G78" i="4"/>
  <c r="H78" i="4"/>
  <c r="I78" i="4"/>
  <c r="E81" i="4"/>
  <c r="F81" i="4"/>
  <c r="G81" i="4"/>
  <c r="H81" i="4"/>
  <c r="E82" i="4"/>
  <c r="F82" i="4"/>
  <c r="G82" i="4"/>
  <c r="H82" i="4"/>
  <c r="I82" i="4"/>
  <c r="E84" i="4"/>
  <c r="F84" i="4"/>
  <c r="G84" i="4"/>
  <c r="H84" i="4"/>
  <c r="I84" i="4"/>
  <c r="E86" i="4"/>
  <c r="F86" i="4"/>
  <c r="G86" i="4"/>
  <c r="H86" i="4"/>
  <c r="I86" i="4"/>
  <c r="E88" i="4"/>
  <c r="F88" i="4"/>
  <c r="G88" i="4"/>
  <c r="H88" i="4"/>
  <c r="I88" i="4"/>
  <c r="E90" i="4"/>
  <c r="F90" i="4"/>
  <c r="G90" i="4"/>
  <c r="H90" i="4"/>
  <c r="I90" i="4"/>
  <c r="E94" i="4"/>
  <c r="F94" i="4"/>
  <c r="G94" i="4"/>
  <c r="H94" i="4"/>
  <c r="E95" i="4"/>
  <c r="F95" i="4"/>
  <c r="G95" i="4"/>
  <c r="H95" i="4"/>
  <c r="I95" i="4"/>
  <c r="F101" i="4"/>
  <c r="G101" i="4"/>
  <c r="H101" i="4"/>
  <c r="I101" i="4"/>
  <c r="E102" i="4"/>
  <c r="F102" i="4"/>
  <c r="G102" i="4"/>
  <c r="H102" i="4"/>
  <c r="I102" i="4"/>
  <c r="E104" i="4"/>
  <c r="F104" i="4"/>
  <c r="G104" i="4"/>
  <c r="H104" i="4"/>
  <c r="I104" i="4"/>
  <c r="E106" i="4"/>
  <c r="F106" i="4"/>
  <c r="G106" i="4"/>
  <c r="H106" i="4"/>
  <c r="I106" i="4"/>
  <c r="E111" i="4"/>
  <c r="F111" i="4"/>
  <c r="G111" i="4"/>
  <c r="H111" i="4"/>
  <c r="I111" i="4"/>
  <c r="E112" i="4"/>
  <c r="F112" i="4"/>
  <c r="G112" i="4"/>
  <c r="H112" i="4"/>
  <c r="I112" i="4"/>
  <c r="J112" i="4"/>
  <c r="J111" i="4"/>
  <c r="F119" i="4"/>
  <c r="G119" i="4"/>
  <c r="H119" i="4"/>
  <c r="I119" i="4"/>
  <c r="E120" i="4"/>
  <c r="F120" i="4"/>
  <c r="G120" i="4"/>
  <c r="H120" i="4"/>
  <c r="I120" i="4"/>
  <c r="J120" i="4"/>
  <c r="J119" i="4"/>
  <c r="V85" i="4"/>
  <c r="V86" i="4"/>
  <c r="Q95" i="4"/>
  <c r="T95" i="4"/>
  <c r="N92" i="4"/>
  <c r="N93" i="4"/>
  <c r="N96" i="4"/>
  <c r="N95" i="4"/>
  <c r="N101" i="4"/>
  <c r="O92" i="4"/>
  <c r="P92" i="4"/>
  <c r="Q92" i="4"/>
  <c r="R92" i="4"/>
  <c r="U92" i="4"/>
  <c r="O93" i="4"/>
  <c r="P93" i="4"/>
  <c r="Q93" i="4"/>
  <c r="R93" i="4"/>
  <c r="U93" i="4"/>
  <c r="N120" i="4"/>
  <c r="N122" i="4"/>
  <c r="O95" i="4"/>
  <c r="P95" i="4"/>
  <c r="R95" i="4"/>
  <c r="R101" i="4"/>
  <c r="N111" i="4"/>
  <c r="N114" i="4"/>
  <c r="W92" i="4"/>
  <c r="W93" i="4"/>
  <c r="U95" i="4"/>
  <c r="W95" i="4"/>
  <c r="W101" i="4"/>
  <c r="T101" i="4"/>
  <c r="O101" i="4"/>
  <c r="V95" i="4"/>
  <c r="V93" i="4"/>
  <c r="V92" i="4"/>
  <c r="F100" i="1"/>
  <c r="G100" i="1" s="1"/>
  <c r="N79" i="1"/>
  <c r="N124" i="1" s="1"/>
  <c r="D121" i="1"/>
  <c r="F10" i="1"/>
  <c r="F18" i="1"/>
  <c r="F11" i="1"/>
  <c r="F19" i="1"/>
  <c r="G19" i="1" s="1"/>
  <c r="H19" i="1" s="1"/>
  <c r="I19" i="1" s="1"/>
  <c r="J19" i="1" s="1"/>
  <c r="K19" i="1" s="1"/>
  <c r="L19" i="1" s="1"/>
  <c r="F12" i="1"/>
  <c r="G12" i="1" s="1"/>
  <c r="G30" i="1" s="1"/>
  <c r="G40" i="1" s="1"/>
  <c r="F20" i="1"/>
  <c r="F13" i="1"/>
  <c r="F21" i="1"/>
  <c r="F31" i="1" s="1"/>
  <c r="F41" i="1" s="1"/>
  <c r="F22" i="1"/>
  <c r="F32" i="1" s="1"/>
  <c r="F42" i="1" s="1"/>
  <c r="F14" i="1"/>
  <c r="F15" i="1"/>
  <c r="G15" i="1" s="1"/>
  <c r="F23" i="1"/>
  <c r="F16" i="1"/>
  <c r="F34" i="1" s="1"/>
  <c r="F44" i="1" s="1"/>
  <c r="F24" i="1"/>
  <c r="F5" i="1"/>
  <c r="F7" i="1"/>
  <c r="F8" i="1" s="1"/>
  <c r="F6" i="1"/>
  <c r="F79" i="1"/>
  <c r="D124" i="1" s="1"/>
  <c r="F80" i="1"/>
  <c r="D128" i="1" s="1"/>
  <c r="D132" i="1"/>
  <c r="D136" i="1"/>
  <c r="D140" i="1"/>
  <c r="S96" i="1"/>
  <c r="E58" i="1"/>
  <c r="E28" i="1"/>
  <c r="E29" i="1"/>
  <c r="E30" i="1"/>
  <c r="E40" i="1" s="1"/>
  <c r="E31" i="1"/>
  <c r="E41" i="1" s="1"/>
  <c r="E32" i="1"/>
  <c r="E33" i="1"/>
  <c r="E34" i="1"/>
  <c r="E44" i="1" s="1"/>
  <c r="E39" i="1"/>
  <c r="E42" i="1"/>
  <c r="E43" i="1"/>
  <c r="E48" i="1"/>
  <c r="E49" i="1"/>
  <c r="E55" i="1" s="1"/>
  <c r="E51" i="1"/>
  <c r="E59" i="1"/>
  <c r="E79" i="1"/>
  <c r="E62" i="1" s="1"/>
  <c r="E63" i="1"/>
  <c r="E64" i="1"/>
  <c r="E85" i="1" s="1"/>
  <c r="E65" i="1"/>
  <c r="F58" i="1"/>
  <c r="F48" i="1"/>
  <c r="F49" i="1"/>
  <c r="F50" i="1"/>
  <c r="F51" i="1"/>
  <c r="G51" i="1" s="1"/>
  <c r="H51" i="1" s="1"/>
  <c r="I51" i="1" s="1"/>
  <c r="J51" i="1" s="1"/>
  <c r="K51" i="1" s="1"/>
  <c r="L51" i="1" s="1"/>
  <c r="M51" i="1" s="1"/>
  <c r="N51" i="1" s="1"/>
  <c r="F52" i="1"/>
  <c r="G52" i="1" s="1"/>
  <c r="H52" i="1" s="1"/>
  <c r="F53" i="1"/>
  <c r="G53" i="1" s="1"/>
  <c r="H53" i="1" s="1"/>
  <c r="I53" i="1" s="1"/>
  <c r="J53" i="1" s="1"/>
  <c r="K53" i="1" s="1"/>
  <c r="L53" i="1" s="1"/>
  <c r="M53" i="1" s="1"/>
  <c r="N53" i="1" s="1"/>
  <c r="F59" i="1"/>
  <c r="F62" i="1"/>
  <c r="F63" i="1"/>
  <c r="F66" i="1" s="1"/>
  <c r="F111" i="1" s="1"/>
  <c r="F64" i="1"/>
  <c r="F65" i="1"/>
  <c r="G58" i="1"/>
  <c r="G10" i="1"/>
  <c r="H10" i="1" s="1"/>
  <c r="I10" i="1" s="1"/>
  <c r="J10" i="1" s="1"/>
  <c r="K10" i="1" s="1"/>
  <c r="L10" i="1" s="1"/>
  <c r="M10" i="1" s="1"/>
  <c r="N10" i="1" s="1"/>
  <c r="G11" i="1"/>
  <c r="G29" i="1" s="1"/>
  <c r="G39" i="1" s="1"/>
  <c r="G20" i="1"/>
  <c r="H20" i="1" s="1"/>
  <c r="I20" i="1" s="1"/>
  <c r="J20" i="1" s="1"/>
  <c r="K20" i="1" s="1"/>
  <c r="L20" i="1" s="1"/>
  <c r="M20" i="1" s="1"/>
  <c r="N20" i="1" s="1"/>
  <c r="G13" i="1"/>
  <c r="H13" i="1" s="1"/>
  <c r="G21" i="1"/>
  <c r="H21" i="1" s="1"/>
  <c r="I21" i="1" s="1"/>
  <c r="J21" i="1" s="1"/>
  <c r="K21" i="1" s="1"/>
  <c r="L21" i="1" s="1"/>
  <c r="M21" i="1" s="1"/>
  <c r="N21" i="1" s="1"/>
  <c r="G14" i="1"/>
  <c r="H14" i="1" s="1"/>
  <c r="G23" i="1"/>
  <c r="G16" i="1"/>
  <c r="G34" i="1" s="1"/>
  <c r="G44" i="1" s="1"/>
  <c r="G24" i="1"/>
  <c r="G48" i="1"/>
  <c r="G49" i="1"/>
  <c r="G50" i="1"/>
  <c r="G59" i="1"/>
  <c r="G79" i="1"/>
  <c r="G62" i="1" s="1"/>
  <c r="G63" i="1"/>
  <c r="G64" i="1"/>
  <c r="G65" i="1"/>
  <c r="H58" i="1"/>
  <c r="H23" i="1"/>
  <c r="I23" i="1" s="1"/>
  <c r="J23" i="1" s="1"/>
  <c r="K23" i="1" s="1"/>
  <c r="L23" i="1" s="1"/>
  <c r="H24" i="1"/>
  <c r="H48" i="1"/>
  <c r="H49" i="1"/>
  <c r="H50" i="1"/>
  <c r="I50" i="1" s="1"/>
  <c r="J50" i="1" s="1"/>
  <c r="K50" i="1" s="1"/>
  <c r="L50" i="1" s="1"/>
  <c r="M50" i="1" s="1"/>
  <c r="N50" i="1" s="1"/>
  <c r="H59" i="1"/>
  <c r="H79" i="1"/>
  <c r="H62" i="1" s="1"/>
  <c r="H63" i="1"/>
  <c r="H64" i="1"/>
  <c r="H65" i="1"/>
  <c r="I58" i="1"/>
  <c r="I24" i="1"/>
  <c r="J24" i="1" s="1"/>
  <c r="K24" i="1" s="1"/>
  <c r="L24" i="1" s="1"/>
  <c r="M24" i="1" s="1"/>
  <c r="N24" i="1" s="1"/>
  <c r="I48" i="1"/>
  <c r="I49" i="1"/>
  <c r="I59" i="1"/>
  <c r="I79" i="1"/>
  <c r="I62" i="1" s="1"/>
  <c r="I63" i="1"/>
  <c r="I64" i="1"/>
  <c r="I65" i="1"/>
  <c r="J58" i="1"/>
  <c r="J48" i="1"/>
  <c r="J49" i="1"/>
  <c r="B72" i="2"/>
  <c r="D72" i="2"/>
  <c r="E72" i="2"/>
  <c r="C72" i="2"/>
  <c r="F72" i="2"/>
  <c r="B73" i="2"/>
  <c r="D73" i="2"/>
  <c r="E73" i="2"/>
  <c r="C73" i="2"/>
  <c r="F73" i="2"/>
  <c r="B74" i="2"/>
  <c r="D74" i="2"/>
  <c r="E74" i="2"/>
  <c r="C74" i="2"/>
  <c r="F74" i="2"/>
  <c r="B75" i="2"/>
  <c r="D75" i="2"/>
  <c r="E75" i="2"/>
  <c r="C75" i="2"/>
  <c r="F75" i="2"/>
  <c r="B76" i="2"/>
  <c r="D76" i="2"/>
  <c r="E76" i="2"/>
  <c r="C76" i="2"/>
  <c r="F76" i="2"/>
  <c r="B77" i="2"/>
  <c r="D77" i="2"/>
  <c r="E77" i="2"/>
  <c r="C77" i="2"/>
  <c r="F77" i="2"/>
  <c r="B78" i="2"/>
  <c r="D78" i="2"/>
  <c r="E78" i="2"/>
  <c r="C78" i="2"/>
  <c r="F78" i="2"/>
  <c r="B79" i="2"/>
  <c r="D79" i="2"/>
  <c r="E79" i="2"/>
  <c r="C79" i="2"/>
  <c r="F79" i="2"/>
  <c r="B80" i="2"/>
  <c r="D80" i="2"/>
  <c r="E80" i="2"/>
  <c r="C80" i="2"/>
  <c r="F80" i="2"/>
  <c r="B81" i="2"/>
  <c r="D81" i="2"/>
  <c r="E81" i="2"/>
  <c r="C81" i="2"/>
  <c r="F81" i="2"/>
  <c r="B82" i="2"/>
  <c r="D82" i="2"/>
  <c r="E82" i="2"/>
  <c r="C82" i="2"/>
  <c r="F82" i="2"/>
  <c r="B83" i="2"/>
  <c r="D83" i="2"/>
  <c r="D84" i="2"/>
  <c r="J59" i="1"/>
  <c r="J79" i="1"/>
  <c r="J62" i="1" s="1"/>
  <c r="J63" i="1"/>
  <c r="J64" i="1"/>
  <c r="J65" i="1"/>
  <c r="K58" i="1"/>
  <c r="K48" i="1"/>
  <c r="K49" i="1"/>
  <c r="E83" i="2"/>
  <c r="C83" i="2"/>
  <c r="F83" i="2"/>
  <c r="B86" i="2"/>
  <c r="D86" i="2"/>
  <c r="E86" i="2"/>
  <c r="C86" i="2"/>
  <c r="F86" i="2"/>
  <c r="B87" i="2"/>
  <c r="D87" i="2"/>
  <c r="E87" i="2"/>
  <c r="C87" i="2"/>
  <c r="F87" i="2"/>
  <c r="B88" i="2"/>
  <c r="D88" i="2"/>
  <c r="E88" i="2"/>
  <c r="C88" i="2"/>
  <c r="F88" i="2"/>
  <c r="B89" i="2"/>
  <c r="D89" i="2"/>
  <c r="E89" i="2"/>
  <c r="C89" i="2"/>
  <c r="F89" i="2"/>
  <c r="B90" i="2"/>
  <c r="D90" i="2"/>
  <c r="E90" i="2"/>
  <c r="C90" i="2"/>
  <c r="F90" i="2"/>
  <c r="B91" i="2"/>
  <c r="D91" i="2"/>
  <c r="E91" i="2"/>
  <c r="C91" i="2"/>
  <c r="F91" i="2"/>
  <c r="B92" i="2"/>
  <c r="D92" i="2"/>
  <c r="E92" i="2"/>
  <c r="C92" i="2"/>
  <c r="F92" i="2"/>
  <c r="B93" i="2"/>
  <c r="D93" i="2"/>
  <c r="E93" i="2"/>
  <c r="C93" i="2"/>
  <c r="F93" i="2"/>
  <c r="B94" i="2"/>
  <c r="D94" i="2"/>
  <c r="E94" i="2"/>
  <c r="C94" i="2"/>
  <c r="F94" i="2"/>
  <c r="B95" i="2"/>
  <c r="D95" i="2"/>
  <c r="E95" i="2"/>
  <c r="C95" i="2"/>
  <c r="F95" i="2"/>
  <c r="B96" i="2"/>
  <c r="D96" i="2"/>
  <c r="E96" i="2"/>
  <c r="C96" i="2"/>
  <c r="F96" i="2"/>
  <c r="B97" i="2"/>
  <c r="D97" i="2"/>
  <c r="D98" i="2"/>
  <c r="K59" i="1"/>
  <c r="K79" i="1"/>
  <c r="K62" i="1"/>
  <c r="K66" i="1" s="1"/>
  <c r="K111" i="1" s="1"/>
  <c r="K63" i="1"/>
  <c r="K64" i="1"/>
  <c r="K65" i="1"/>
  <c r="L58" i="1"/>
  <c r="L48" i="1"/>
  <c r="L49" i="1"/>
  <c r="E97" i="2"/>
  <c r="C97" i="2"/>
  <c r="F97" i="2"/>
  <c r="B100" i="2"/>
  <c r="D100" i="2"/>
  <c r="E100" i="2"/>
  <c r="C100" i="2"/>
  <c r="F100" i="2"/>
  <c r="B101" i="2"/>
  <c r="D101" i="2"/>
  <c r="E101" i="2"/>
  <c r="C101" i="2"/>
  <c r="F101" i="2"/>
  <c r="B102" i="2"/>
  <c r="D102" i="2"/>
  <c r="E102" i="2"/>
  <c r="C102" i="2"/>
  <c r="F102" i="2"/>
  <c r="B103" i="2"/>
  <c r="D103" i="2"/>
  <c r="E103" i="2"/>
  <c r="C103" i="2"/>
  <c r="F103" i="2"/>
  <c r="B104" i="2"/>
  <c r="D104" i="2"/>
  <c r="E104" i="2"/>
  <c r="C104" i="2"/>
  <c r="F104" i="2"/>
  <c r="B105" i="2"/>
  <c r="D105" i="2"/>
  <c r="E105" i="2"/>
  <c r="C105" i="2"/>
  <c r="F105" i="2"/>
  <c r="B106" i="2"/>
  <c r="D106" i="2"/>
  <c r="E106" i="2"/>
  <c r="C106" i="2"/>
  <c r="F106" i="2"/>
  <c r="B107" i="2"/>
  <c r="D107" i="2"/>
  <c r="E107" i="2"/>
  <c r="C107" i="2"/>
  <c r="F107" i="2"/>
  <c r="B108" i="2"/>
  <c r="D108" i="2"/>
  <c r="E108" i="2"/>
  <c r="C108" i="2"/>
  <c r="F108" i="2"/>
  <c r="B109" i="2"/>
  <c r="D109" i="2"/>
  <c r="E109" i="2"/>
  <c r="C109" i="2"/>
  <c r="F109" i="2"/>
  <c r="B110" i="2"/>
  <c r="D110" i="2"/>
  <c r="E110" i="2"/>
  <c r="C110" i="2"/>
  <c r="F110" i="2"/>
  <c r="B111" i="2"/>
  <c r="D111" i="2"/>
  <c r="D112" i="2"/>
  <c r="L59" i="1"/>
  <c r="L79" i="1"/>
  <c r="L62" i="1" s="1"/>
  <c r="L63" i="1"/>
  <c r="L64" i="1"/>
  <c r="L65" i="1"/>
  <c r="M58" i="1"/>
  <c r="M48" i="1"/>
  <c r="M49" i="1"/>
  <c r="E111" i="2"/>
  <c r="C111" i="2"/>
  <c r="F111" i="2"/>
  <c r="B114" i="2"/>
  <c r="D114" i="2"/>
  <c r="E114" i="2"/>
  <c r="C114" i="2"/>
  <c r="F114" i="2"/>
  <c r="B115" i="2"/>
  <c r="D115" i="2"/>
  <c r="E115" i="2"/>
  <c r="C115" i="2"/>
  <c r="F115" i="2"/>
  <c r="B116" i="2"/>
  <c r="D116" i="2"/>
  <c r="E116" i="2"/>
  <c r="C116" i="2"/>
  <c r="F116" i="2"/>
  <c r="B117" i="2"/>
  <c r="D117" i="2"/>
  <c r="E117" i="2"/>
  <c r="C117" i="2"/>
  <c r="F117" i="2"/>
  <c r="B118" i="2"/>
  <c r="D118" i="2"/>
  <c r="E118" i="2"/>
  <c r="C118" i="2"/>
  <c r="F118" i="2"/>
  <c r="B119" i="2"/>
  <c r="D119" i="2"/>
  <c r="E119" i="2"/>
  <c r="C119" i="2"/>
  <c r="F119" i="2"/>
  <c r="B120" i="2"/>
  <c r="D120" i="2"/>
  <c r="E120" i="2"/>
  <c r="C120" i="2"/>
  <c r="F120" i="2"/>
  <c r="B121" i="2"/>
  <c r="D121" i="2"/>
  <c r="E121" i="2"/>
  <c r="C121" i="2"/>
  <c r="F121" i="2"/>
  <c r="B122" i="2"/>
  <c r="D122" i="2"/>
  <c r="E122" i="2"/>
  <c r="C122" i="2"/>
  <c r="F122" i="2"/>
  <c r="B123" i="2"/>
  <c r="D123" i="2"/>
  <c r="E123" i="2"/>
  <c r="C123" i="2"/>
  <c r="F123" i="2"/>
  <c r="B124" i="2"/>
  <c r="D124" i="2"/>
  <c r="E124" i="2"/>
  <c r="C124" i="2"/>
  <c r="F124" i="2"/>
  <c r="B125" i="2"/>
  <c r="D125" i="2"/>
  <c r="D126" i="2"/>
  <c r="M59" i="1"/>
  <c r="M79" i="1"/>
  <c r="M62" i="1"/>
  <c r="M66" i="1" s="1"/>
  <c r="M111" i="1" s="1"/>
  <c r="N58" i="1"/>
  <c r="N48" i="1"/>
  <c r="N49" i="1"/>
  <c r="E125" i="2"/>
  <c r="C125" i="2"/>
  <c r="F125" i="2"/>
  <c r="B128" i="2"/>
  <c r="D128" i="2"/>
  <c r="E128" i="2"/>
  <c r="C128" i="2"/>
  <c r="F128" i="2"/>
  <c r="B129" i="2"/>
  <c r="D129" i="2"/>
  <c r="E129" i="2"/>
  <c r="C129" i="2"/>
  <c r="F129" i="2"/>
  <c r="B130" i="2"/>
  <c r="D130" i="2"/>
  <c r="E130" i="2"/>
  <c r="C130" i="2"/>
  <c r="F130" i="2"/>
  <c r="B131" i="2"/>
  <c r="D131" i="2"/>
  <c r="E131" i="2"/>
  <c r="C131" i="2"/>
  <c r="F131" i="2"/>
  <c r="B132" i="2"/>
  <c r="D132" i="2"/>
  <c r="E132" i="2"/>
  <c r="C132" i="2"/>
  <c r="F132" i="2"/>
  <c r="B133" i="2"/>
  <c r="D133" i="2"/>
  <c r="E133" i="2"/>
  <c r="C133" i="2"/>
  <c r="F133" i="2"/>
  <c r="B134" i="2"/>
  <c r="D134" i="2"/>
  <c r="E134" i="2"/>
  <c r="C134" i="2"/>
  <c r="F134" i="2"/>
  <c r="B135" i="2"/>
  <c r="D135" i="2"/>
  <c r="E135" i="2"/>
  <c r="C135" i="2"/>
  <c r="F135" i="2"/>
  <c r="B136" i="2"/>
  <c r="D136" i="2"/>
  <c r="E136" i="2"/>
  <c r="C136" i="2"/>
  <c r="F136" i="2"/>
  <c r="B137" i="2"/>
  <c r="D137" i="2"/>
  <c r="E137" i="2"/>
  <c r="C137" i="2"/>
  <c r="F137" i="2"/>
  <c r="B138" i="2"/>
  <c r="D138" i="2"/>
  <c r="E138" i="2"/>
  <c r="C138" i="2"/>
  <c r="F138" i="2"/>
  <c r="B139" i="2"/>
  <c r="D139" i="2"/>
  <c r="D140" i="2"/>
  <c r="N59" i="1"/>
  <c r="N62" i="1"/>
  <c r="N66" i="1" s="1"/>
  <c r="N111" i="1" s="1"/>
  <c r="E97" i="1"/>
  <c r="F97" i="1"/>
  <c r="G97" i="1"/>
  <c r="H97" i="1"/>
  <c r="I97" i="1"/>
  <c r="J97" i="1"/>
  <c r="K97" i="1"/>
  <c r="L97" i="1"/>
  <c r="M97" i="1"/>
  <c r="E139" i="2"/>
  <c r="C139" i="2"/>
  <c r="F139" i="2"/>
  <c r="N97" i="1"/>
  <c r="U96" i="1"/>
  <c r="V96" i="1" s="1"/>
  <c r="U97" i="1"/>
  <c r="V97" i="1" s="1"/>
  <c r="E121" i="1"/>
  <c r="E5" i="1"/>
  <c r="E8" i="1"/>
  <c r="E6" i="1"/>
  <c r="E124" i="1"/>
  <c r="E80" i="1"/>
  <c r="E132" i="1"/>
  <c r="E136" i="1"/>
  <c r="E140" i="1"/>
  <c r="G5" i="1"/>
  <c r="G7" i="1"/>
  <c r="G8" i="1" s="1"/>
  <c r="G6" i="1"/>
  <c r="G80" i="1"/>
  <c r="F128" i="1" s="1"/>
  <c r="F132" i="1"/>
  <c r="F136" i="1"/>
  <c r="F140" i="1"/>
  <c r="H5" i="1"/>
  <c r="H6" i="1"/>
  <c r="G124" i="1"/>
  <c r="H80" i="1"/>
  <c r="G128" i="1" s="1"/>
  <c r="G132" i="1"/>
  <c r="G136" i="1"/>
  <c r="G140" i="1"/>
  <c r="I5" i="1"/>
  <c r="I6" i="1"/>
  <c r="H124" i="1"/>
  <c r="I80" i="1"/>
  <c r="H132" i="1"/>
  <c r="H136" i="1"/>
  <c r="H140" i="1"/>
  <c r="J5" i="1"/>
  <c r="J6" i="1"/>
  <c r="I124" i="1"/>
  <c r="J80" i="1"/>
  <c r="I132" i="1"/>
  <c r="I136" i="1"/>
  <c r="I140" i="1"/>
  <c r="K5" i="1"/>
  <c r="K6" i="1"/>
  <c r="J124" i="1"/>
  <c r="K80" i="1"/>
  <c r="J132" i="1"/>
  <c r="J136" i="1"/>
  <c r="J140" i="1"/>
  <c r="L5" i="1"/>
  <c r="L6" i="1"/>
  <c r="L80" i="1"/>
  <c r="K132" i="1"/>
  <c r="K136" i="1"/>
  <c r="K140" i="1"/>
  <c r="M5" i="1"/>
  <c r="M6" i="1"/>
  <c r="L124" i="1"/>
  <c r="M80" i="1"/>
  <c r="L132" i="1"/>
  <c r="L136" i="1"/>
  <c r="L140" i="1"/>
  <c r="N5" i="1"/>
  <c r="N6" i="1"/>
  <c r="M124" i="1"/>
  <c r="N80" i="1"/>
  <c r="N128" i="1" s="1"/>
  <c r="N129" i="1" s="1"/>
  <c r="M132" i="1"/>
  <c r="M136" i="1"/>
  <c r="M140" i="1"/>
  <c r="N125" i="1"/>
  <c r="P126" i="1"/>
  <c r="N132" i="1"/>
  <c r="N133" i="1" s="1"/>
  <c r="E83" i="1"/>
  <c r="F83" i="1" s="1"/>
  <c r="G83" i="1" s="1"/>
  <c r="H83" i="1" s="1"/>
  <c r="I83" i="1" s="1"/>
  <c r="J83" i="1" s="1"/>
  <c r="K83" i="1" s="1"/>
  <c r="L83" i="1" s="1"/>
  <c r="M83" i="1" s="1"/>
  <c r="N83" i="1" s="1"/>
  <c r="P132" i="1" s="1"/>
  <c r="P134" i="1" s="1"/>
  <c r="N136" i="1"/>
  <c r="N137" i="1" s="1"/>
  <c r="N140" i="1"/>
  <c r="N141" i="1" s="1"/>
  <c r="E87" i="1"/>
  <c r="F87" i="1" s="1"/>
  <c r="G87" i="1" s="1"/>
  <c r="H87" i="1" s="1"/>
  <c r="I87" i="1" s="1"/>
  <c r="J87" i="1" s="1"/>
  <c r="K87" i="1" s="1"/>
  <c r="L87" i="1" s="1"/>
  <c r="M87" i="1" s="1"/>
  <c r="N87" i="1" s="1"/>
  <c r="P140" i="1" s="1"/>
  <c r="P142" i="1" s="1"/>
  <c r="Z89" i="1"/>
  <c r="Y99" i="1"/>
  <c r="Y105" i="1" s="1"/>
  <c r="Z96" i="1"/>
  <c r="AB96" i="1" s="1"/>
  <c r="C7" i="3"/>
  <c r="C8" i="3"/>
  <c r="A5" i="3"/>
  <c r="B5" i="3"/>
  <c r="D12" i="3"/>
  <c r="F14" i="3"/>
  <c r="E13" i="3"/>
  <c r="E14" i="3"/>
  <c r="C13" i="3"/>
  <c r="D13" i="3"/>
  <c r="F13" i="3"/>
  <c r="D14" i="3"/>
  <c r="D15" i="3"/>
  <c r="C140" i="2"/>
  <c r="C126" i="2"/>
  <c r="C112" i="2"/>
  <c r="C98" i="2"/>
  <c r="C84" i="2"/>
  <c r="C70" i="2"/>
  <c r="C56" i="2"/>
  <c r="C42" i="2"/>
  <c r="C28" i="2"/>
  <c r="C14" i="2"/>
  <c r="H31" i="1" l="1"/>
  <c r="H41" i="1" s="1"/>
  <c r="I13" i="1"/>
  <c r="J13" i="1" s="1"/>
  <c r="J31" i="1" s="1"/>
  <c r="J41" i="1" s="1"/>
  <c r="P123" i="1"/>
  <c r="L128" i="1"/>
  <c r="K124" i="1"/>
  <c r="H7" i="1"/>
  <c r="H8" i="1" s="1"/>
  <c r="G22" i="1"/>
  <c r="H22" i="1" s="1"/>
  <c r="I22" i="1" s="1"/>
  <c r="J22" i="1" s="1"/>
  <c r="K22" i="1" s="1"/>
  <c r="L22" i="1" s="1"/>
  <c r="M22" i="1" s="1"/>
  <c r="N22" i="1" s="1"/>
  <c r="F28" i="1"/>
  <c r="L66" i="1"/>
  <c r="L111" i="1" s="1"/>
  <c r="F85" i="1"/>
  <c r="G85" i="1" s="1"/>
  <c r="H85" i="1" s="1"/>
  <c r="I85" i="1" s="1"/>
  <c r="J85" i="1" s="1"/>
  <c r="K85" i="1" s="1"/>
  <c r="L85" i="1" s="1"/>
  <c r="M85" i="1" s="1"/>
  <c r="N85" i="1" s="1"/>
  <c r="P136" i="1" s="1"/>
  <c r="P138" i="1" s="1"/>
  <c r="N138" i="1" s="1"/>
  <c r="I128" i="1"/>
  <c r="K128" i="1"/>
  <c r="M23" i="1"/>
  <c r="N23" i="1" s="1"/>
  <c r="M19" i="1"/>
  <c r="N19" i="1" s="1"/>
  <c r="G55" i="1"/>
  <c r="I14" i="1"/>
  <c r="J14" i="1" s="1"/>
  <c r="G33" i="1"/>
  <c r="G43" i="1" s="1"/>
  <c r="H15" i="1"/>
  <c r="N134" i="1"/>
  <c r="P125" i="1"/>
  <c r="N126" i="1" s="1"/>
  <c r="H11" i="1"/>
  <c r="Z97" i="1"/>
  <c r="M128" i="1"/>
  <c r="H128" i="1"/>
  <c r="F124" i="1"/>
  <c r="E128" i="1"/>
  <c r="I66" i="1"/>
  <c r="I111" i="1" s="1"/>
  <c r="H66" i="1"/>
  <c r="H111" i="1" s="1"/>
  <c r="H12" i="1"/>
  <c r="G31" i="1"/>
  <c r="G41" i="1" s="1"/>
  <c r="F29" i="1"/>
  <c r="F39" i="1" s="1"/>
  <c r="S97" i="1"/>
  <c r="I31" i="1"/>
  <c r="I41" i="1" s="1"/>
  <c r="G66" i="1"/>
  <c r="G111" i="1" s="1"/>
  <c r="F55" i="1"/>
  <c r="N142" i="1"/>
  <c r="F30" i="1"/>
  <c r="F40" i="1" s="1"/>
  <c r="AA96" i="1"/>
  <c r="J66" i="1"/>
  <c r="J111" i="1" s="1"/>
  <c r="H16" i="1"/>
  <c r="F33" i="1"/>
  <c r="F43" i="1" s="1"/>
  <c r="E66" i="1"/>
  <c r="E111" i="1" s="1"/>
  <c r="E81" i="1"/>
  <c r="F81" i="1" s="1"/>
  <c r="G81" i="1" s="1"/>
  <c r="H81" i="1" s="1"/>
  <c r="I81" i="1" s="1"/>
  <c r="J81" i="1" s="1"/>
  <c r="K81" i="1" s="1"/>
  <c r="L81" i="1" s="1"/>
  <c r="M81" i="1" s="1"/>
  <c r="N81" i="1" s="1"/>
  <c r="P128" i="1" s="1"/>
  <c r="P130" i="1" s="1"/>
  <c r="N130" i="1" s="1"/>
  <c r="H100" i="1"/>
  <c r="I100" i="1" s="1"/>
  <c r="J100" i="1" s="1"/>
  <c r="K100" i="1" s="1"/>
  <c r="L100" i="1" s="1"/>
  <c r="M100" i="1" s="1"/>
  <c r="N100" i="1" s="1"/>
  <c r="S99" i="1"/>
  <c r="J128" i="1"/>
  <c r="K14" i="1"/>
  <c r="K13" i="1"/>
  <c r="H55" i="1"/>
  <c r="E35" i="1"/>
  <c r="E76" i="1" s="1"/>
  <c r="G18" i="1"/>
  <c r="E38" i="1"/>
  <c r="E45" i="1" s="1"/>
  <c r="E77" i="1" s="1"/>
  <c r="F35" i="1"/>
  <c r="F38" i="1"/>
  <c r="I52" i="1"/>
  <c r="I32" i="1" l="1"/>
  <c r="I42" i="1" s="1"/>
  <c r="J32" i="1"/>
  <c r="J42" i="1" s="1"/>
  <c r="F45" i="1"/>
  <c r="G32" i="1"/>
  <c r="G42" i="1" s="1"/>
  <c r="I7" i="1"/>
  <c r="I8" i="1" s="1"/>
  <c r="H32" i="1"/>
  <c r="H42" i="1" s="1"/>
  <c r="I15" i="1"/>
  <c r="H33" i="1"/>
  <c r="H43" i="1" s="1"/>
  <c r="J7" i="1"/>
  <c r="K7" i="1" s="1"/>
  <c r="H34" i="1"/>
  <c r="H44" i="1" s="1"/>
  <c r="I16" i="1"/>
  <c r="AB97" i="1"/>
  <c r="AA97" i="1"/>
  <c r="H30" i="1"/>
  <c r="H40" i="1" s="1"/>
  <c r="I12" i="1"/>
  <c r="I11" i="1"/>
  <c r="H29" i="1"/>
  <c r="H39" i="1" s="1"/>
  <c r="D151" i="1"/>
  <c r="K31" i="1"/>
  <c r="K41" i="1" s="1"/>
  <c r="L13" i="1"/>
  <c r="J8" i="1"/>
  <c r="K32" i="1"/>
  <c r="K42" i="1" s="1"/>
  <c r="L14" i="1"/>
  <c r="G28" i="1"/>
  <c r="H18" i="1"/>
  <c r="E56" i="1"/>
  <c r="E110" i="1" s="1"/>
  <c r="E114" i="1" s="1"/>
  <c r="E93" i="1"/>
  <c r="E89" i="1"/>
  <c r="F93" i="1"/>
  <c r="F77" i="1"/>
  <c r="F56" i="1"/>
  <c r="F76" i="1"/>
  <c r="I55" i="1"/>
  <c r="J52" i="1"/>
  <c r="I29" i="1" l="1"/>
  <c r="I39" i="1" s="1"/>
  <c r="J11" i="1"/>
  <c r="I30" i="1"/>
  <c r="I40" i="1" s="1"/>
  <c r="J12" i="1"/>
  <c r="I34" i="1"/>
  <c r="I44" i="1" s="1"/>
  <c r="J16" i="1"/>
  <c r="I33" i="1"/>
  <c r="I43" i="1" s="1"/>
  <c r="J15" i="1"/>
  <c r="M14" i="1"/>
  <c r="L32" i="1"/>
  <c r="L42" i="1" s="1"/>
  <c r="L31" i="1"/>
  <c r="L41" i="1" s="1"/>
  <c r="M13" i="1"/>
  <c r="L7" i="1"/>
  <c r="K8" i="1"/>
  <c r="E68" i="1"/>
  <c r="E69" i="1" s="1"/>
  <c r="E94" i="1" s="1"/>
  <c r="E112" i="1"/>
  <c r="H28" i="1"/>
  <c r="I18" i="1"/>
  <c r="G35" i="1"/>
  <c r="G38" i="1"/>
  <c r="G45" i="1" s="1"/>
  <c r="F89" i="1"/>
  <c r="D118" i="1"/>
  <c r="E118" i="1"/>
  <c r="F110" i="1"/>
  <c r="F68" i="1"/>
  <c r="E119" i="1"/>
  <c r="D119" i="1"/>
  <c r="E120" i="1"/>
  <c r="D120" i="1"/>
  <c r="J55" i="1"/>
  <c r="K52" i="1"/>
  <c r="J34" i="1" l="1"/>
  <c r="J44" i="1" s="1"/>
  <c r="K16" i="1"/>
  <c r="K11" i="1"/>
  <c r="J29" i="1"/>
  <c r="J39" i="1" s="1"/>
  <c r="J33" i="1"/>
  <c r="J43" i="1" s="1"/>
  <c r="K15" i="1"/>
  <c r="J30" i="1"/>
  <c r="J40" i="1" s="1"/>
  <c r="K12" i="1"/>
  <c r="L8" i="1"/>
  <c r="M7" i="1"/>
  <c r="M32" i="1"/>
  <c r="M42" i="1" s="1"/>
  <c r="N14" i="1"/>
  <c r="N32" i="1" s="1"/>
  <c r="N42" i="1" s="1"/>
  <c r="M31" i="1"/>
  <c r="M41" i="1" s="1"/>
  <c r="N13" i="1"/>
  <c r="N31" i="1" s="1"/>
  <c r="N41" i="1" s="1"/>
  <c r="E70" i="1"/>
  <c r="E101" i="1" s="1"/>
  <c r="E103" i="1" s="1"/>
  <c r="E105" i="1" s="1"/>
  <c r="J18" i="1"/>
  <c r="I28" i="1"/>
  <c r="G93" i="1"/>
  <c r="G77" i="1"/>
  <c r="F119" i="1" s="1"/>
  <c r="H35" i="1"/>
  <c r="H38" i="1"/>
  <c r="H45" i="1" s="1"/>
  <c r="E145" i="1"/>
  <c r="G56" i="1"/>
  <c r="G76" i="1"/>
  <c r="F69" i="1"/>
  <c r="F94" i="1" s="1"/>
  <c r="D145" i="1"/>
  <c r="D152" i="1" s="1"/>
  <c r="F114" i="1"/>
  <c r="F112" i="1"/>
  <c r="K55" i="1"/>
  <c r="L52" i="1"/>
  <c r="K29" i="1" l="1"/>
  <c r="K39" i="1" s="1"/>
  <c r="L11" i="1"/>
  <c r="K33" i="1"/>
  <c r="K43" i="1" s="1"/>
  <c r="L15" i="1"/>
  <c r="K34" i="1"/>
  <c r="K44" i="1" s="1"/>
  <c r="L16" i="1"/>
  <c r="K30" i="1"/>
  <c r="K40" i="1" s="1"/>
  <c r="L12" i="1"/>
  <c r="N7" i="1"/>
  <c r="N8" i="1" s="1"/>
  <c r="M8" i="1"/>
  <c r="H77" i="1"/>
  <c r="G119" i="1" s="1"/>
  <c r="H93" i="1"/>
  <c r="F118" i="1"/>
  <c r="G89" i="1"/>
  <c r="H76" i="1"/>
  <c r="H56" i="1"/>
  <c r="I35" i="1"/>
  <c r="I38" i="1"/>
  <c r="I45" i="1" s="1"/>
  <c r="G110" i="1"/>
  <c r="G68" i="1"/>
  <c r="J28" i="1"/>
  <c r="K18" i="1"/>
  <c r="F70" i="1"/>
  <c r="F101" i="1" s="1"/>
  <c r="G120" i="1"/>
  <c r="F120" i="1"/>
  <c r="M52" i="1"/>
  <c r="L55" i="1"/>
  <c r="L34" i="1" l="1"/>
  <c r="L44" i="1" s="1"/>
  <c r="M16" i="1"/>
  <c r="M11" i="1"/>
  <c r="L29" i="1"/>
  <c r="L39" i="1" s="1"/>
  <c r="L30" i="1"/>
  <c r="L40" i="1" s="1"/>
  <c r="M12" i="1"/>
  <c r="M15" i="1"/>
  <c r="L33" i="1"/>
  <c r="L43" i="1" s="1"/>
  <c r="G112" i="1"/>
  <c r="G113" i="1" s="1"/>
  <c r="F121" i="1" s="1"/>
  <c r="F145" i="1" s="1"/>
  <c r="H89" i="1"/>
  <c r="G118" i="1"/>
  <c r="L18" i="1"/>
  <c r="K28" i="1"/>
  <c r="G69" i="1"/>
  <c r="G94" i="1" s="1"/>
  <c r="H110" i="1"/>
  <c r="H68" i="1"/>
  <c r="I77" i="1"/>
  <c r="H119" i="1" s="1"/>
  <c r="I93" i="1"/>
  <c r="H120" i="1" s="1"/>
  <c r="J35" i="1"/>
  <c r="J38" i="1"/>
  <c r="J45" i="1" s="1"/>
  <c r="I76" i="1"/>
  <c r="I56" i="1"/>
  <c r="F103" i="1"/>
  <c r="F105" i="1" s="1"/>
  <c r="N52" i="1"/>
  <c r="N55" i="1" s="1"/>
  <c r="M55" i="1"/>
  <c r="M30" i="1" l="1"/>
  <c r="M40" i="1" s="1"/>
  <c r="N12" i="1"/>
  <c r="N30" i="1" s="1"/>
  <c r="N40" i="1" s="1"/>
  <c r="M33" i="1"/>
  <c r="M43" i="1" s="1"/>
  <c r="N15" i="1"/>
  <c r="N33" i="1" s="1"/>
  <c r="N43" i="1" s="1"/>
  <c r="M29" i="1"/>
  <c r="M39" i="1" s="1"/>
  <c r="N11" i="1"/>
  <c r="N29" i="1" s="1"/>
  <c r="N39" i="1" s="1"/>
  <c r="M34" i="1"/>
  <c r="M44" i="1" s="1"/>
  <c r="N16" i="1"/>
  <c r="N34" i="1" s="1"/>
  <c r="N44" i="1" s="1"/>
  <c r="G70" i="1"/>
  <c r="G101" i="1" s="1"/>
  <c r="G114" i="1"/>
  <c r="H69" i="1"/>
  <c r="H94" i="1" s="1"/>
  <c r="J93" i="1"/>
  <c r="I120" i="1" s="1"/>
  <c r="J77" i="1"/>
  <c r="I119" i="1" s="1"/>
  <c r="J76" i="1"/>
  <c r="J56" i="1"/>
  <c r="K38" i="1"/>
  <c r="K45" i="1" s="1"/>
  <c r="K35" i="1"/>
  <c r="I110" i="1"/>
  <c r="I68" i="1"/>
  <c r="H112" i="1"/>
  <c r="H113" i="1" s="1"/>
  <c r="G121" i="1" s="1"/>
  <c r="M18" i="1"/>
  <c r="L28" i="1"/>
  <c r="H118" i="1"/>
  <c r="I89" i="1"/>
  <c r="G103" i="1"/>
  <c r="G105" i="1" s="1"/>
  <c r="G145" i="1" l="1"/>
  <c r="H114" i="1"/>
  <c r="N18" i="1"/>
  <c r="N28" i="1" s="1"/>
  <c r="M28" i="1"/>
  <c r="I112" i="1"/>
  <c r="I113" i="1" s="1"/>
  <c r="H121" i="1" s="1"/>
  <c r="I118" i="1"/>
  <c r="J89" i="1"/>
  <c r="K76" i="1"/>
  <c r="K56" i="1"/>
  <c r="K93" i="1"/>
  <c r="J120" i="1" s="1"/>
  <c r="K77" i="1"/>
  <c r="J119" i="1" s="1"/>
  <c r="L35" i="1"/>
  <c r="L38" i="1"/>
  <c r="L45" i="1" s="1"/>
  <c r="I69" i="1"/>
  <c r="I94" i="1" s="1"/>
  <c r="J68" i="1"/>
  <c r="J110" i="1"/>
  <c r="H70" i="1"/>
  <c r="H101" i="1" s="1"/>
  <c r="I70" i="1" l="1"/>
  <c r="I101" i="1" s="1"/>
  <c r="I103" i="1" s="1"/>
  <c r="I105" i="1" s="1"/>
  <c r="H145" i="1"/>
  <c r="J69" i="1"/>
  <c r="J94" i="1" s="1"/>
  <c r="L76" i="1"/>
  <c r="L56" i="1"/>
  <c r="K110" i="1"/>
  <c r="K68" i="1"/>
  <c r="I114" i="1"/>
  <c r="J118" i="1"/>
  <c r="K89" i="1"/>
  <c r="M35" i="1"/>
  <c r="M38" i="1"/>
  <c r="M45" i="1" s="1"/>
  <c r="J112" i="1"/>
  <c r="J113" i="1" s="1"/>
  <c r="I121" i="1" s="1"/>
  <c r="L93" i="1"/>
  <c r="K120" i="1" s="1"/>
  <c r="L77" i="1"/>
  <c r="K119" i="1" s="1"/>
  <c r="H103" i="1"/>
  <c r="H105" i="1" s="1"/>
  <c r="N38" i="1"/>
  <c r="N45" i="1" s="1"/>
  <c r="N35" i="1"/>
  <c r="J70" i="1" l="1"/>
  <c r="J101" i="1"/>
  <c r="J114" i="1"/>
  <c r="I145" i="1"/>
  <c r="N93" i="1"/>
  <c r="N77" i="1"/>
  <c r="M76" i="1"/>
  <c r="M56" i="1"/>
  <c r="N76" i="1"/>
  <c r="N56" i="1"/>
  <c r="M93" i="1"/>
  <c r="L120" i="1" s="1"/>
  <c r="M77" i="1"/>
  <c r="L119" i="1" s="1"/>
  <c r="L68" i="1"/>
  <c r="L110" i="1"/>
  <c r="K69" i="1"/>
  <c r="K94" i="1" s="1"/>
  <c r="K118" i="1"/>
  <c r="L89" i="1"/>
  <c r="K112" i="1"/>
  <c r="K113" i="1" s="1"/>
  <c r="J121" i="1" s="1"/>
  <c r="J103" i="1"/>
  <c r="J105" i="1" s="1"/>
  <c r="K114" i="1" l="1"/>
  <c r="J145" i="1"/>
  <c r="K70" i="1"/>
  <c r="K101" i="1" s="1"/>
  <c r="K103" i="1" s="1"/>
  <c r="K105" i="1" s="1"/>
  <c r="M68" i="1"/>
  <c r="M110" i="1"/>
  <c r="L112" i="1"/>
  <c r="L113" i="1" s="1"/>
  <c r="K121" i="1" s="1"/>
  <c r="N68" i="1"/>
  <c r="N110" i="1"/>
  <c r="N119" i="1"/>
  <c r="M119" i="1"/>
  <c r="L118" i="1"/>
  <c r="M89" i="1"/>
  <c r="L69" i="1"/>
  <c r="L94" i="1" s="1"/>
  <c r="M118" i="1"/>
  <c r="N118" i="1"/>
  <c r="N89" i="1"/>
  <c r="N120" i="1"/>
  <c r="M120" i="1"/>
  <c r="L70" i="1" l="1"/>
  <c r="L101" i="1" s="1"/>
  <c r="L114" i="1"/>
  <c r="K145" i="1"/>
  <c r="N69" i="1"/>
  <c r="N94" i="1" s="1"/>
  <c r="M112" i="1"/>
  <c r="M113" i="1" s="1"/>
  <c r="L121" i="1" s="1"/>
  <c r="M69" i="1"/>
  <c r="M94" i="1" s="1"/>
  <c r="N112" i="1"/>
  <c r="N113" i="1" s="1"/>
  <c r="L145" i="1" l="1"/>
  <c r="M114" i="1"/>
  <c r="M121" i="1"/>
  <c r="N121" i="1"/>
  <c r="M70" i="1"/>
  <c r="M101" i="1" s="1"/>
  <c r="M103" i="1" s="1"/>
  <c r="M105" i="1" s="1"/>
  <c r="N114" i="1"/>
  <c r="L103" i="1"/>
  <c r="L105" i="1" s="1"/>
  <c r="N70" i="1"/>
  <c r="M145" i="1" l="1"/>
  <c r="N145" i="1"/>
  <c r="D146" i="1" s="1"/>
  <c r="N101" i="1"/>
  <c r="N103" i="1" s="1"/>
  <c r="N105" i="1" s="1"/>
  <c r="S100" i="1" l="1"/>
  <c r="S105" i="1" s="1"/>
  <c r="T99" i="1" s="1"/>
  <c r="U87" i="1" s="1"/>
  <c r="T97" i="1" l="1"/>
  <c r="W97" i="1" s="1"/>
  <c r="T96" i="1"/>
  <c r="T105" i="1" l="1"/>
  <c r="W96" i="1"/>
  <c r="U86" i="1"/>
  <c r="U88" i="1" s="1"/>
  <c r="U92" i="1" l="1"/>
  <c r="U99" i="1" s="1"/>
  <c r="Z92" i="1"/>
  <c r="V99" i="1" l="1"/>
  <c r="W99" i="1" s="1"/>
  <c r="W105" i="1" s="1"/>
  <c r="D147" i="1" s="1"/>
  <c r="Z99" i="1"/>
  <c r="AB99" i="1" l="1"/>
  <c r="AB105" i="1" s="1"/>
  <c r="AA99" i="1"/>
  <c r="K149" i="1"/>
  <c r="L149" i="1"/>
  <c r="F149" i="1"/>
  <c r="H149" i="1"/>
  <c r="I149" i="1"/>
  <c r="G149" i="1"/>
  <c r="E149" i="1"/>
  <c r="J149" i="1"/>
  <c r="N149" i="1"/>
  <c r="D149" i="1"/>
  <c r="M149" i="1"/>
  <c r="D148" i="1" l="1"/>
</calcChain>
</file>

<file path=xl/sharedStrings.xml><?xml version="1.0" encoding="utf-8"?>
<sst xmlns="http://schemas.openxmlformats.org/spreadsheetml/2006/main" count="522" uniqueCount="211">
  <si>
    <t>SALES FORECASTS</t>
  </si>
  <si>
    <t>Inflation Rate</t>
  </si>
  <si>
    <t>RATIOS USED IN FORCAST</t>
  </si>
  <si>
    <t>Inventory Turnover Ratio</t>
  </si>
  <si>
    <t>Days In Inventory</t>
  </si>
  <si>
    <t>INCOME STATEMENT</t>
  </si>
  <si>
    <t>Sales Revenue</t>
  </si>
  <si>
    <t>Total Sales Revenue</t>
  </si>
  <si>
    <t>Cost of Goods Sold</t>
  </si>
  <si>
    <t>Total Cost of Goods Sold</t>
  </si>
  <si>
    <t>Operating Expenses</t>
  </si>
  <si>
    <t>Total Operating Expenses</t>
  </si>
  <si>
    <t>Operating Profit</t>
  </si>
  <si>
    <t>Depreciation Expense</t>
  </si>
  <si>
    <t>Taxable Income</t>
  </si>
  <si>
    <t>Net Income</t>
  </si>
  <si>
    <t>BALANCE SHEET</t>
  </si>
  <si>
    <t>Assets</t>
  </si>
  <si>
    <t>Accounts Receivable</t>
  </si>
  <si>
    <t>Inventory</t>
  </si>
  <si>
    <t>Land</t>
  </si>
  <si>
    <t>Buildings</t>
  </si>
  <si>
    <t>Less:  Accumulated Depreciation</t>
  </si>
  <si>
    <t>Total Assets</t>
  </si>
  <si>
    <t>Liabilities and Equity</t>
  </si>
  <si>
    <t>Liabilities</t>
  </si>
  <si>
    <t>Accounts Payable</t>
  </si>
  <si>
    <t>Income Tax Payable</t>
  </si>
  <si>
    <t>Retained Earnings</t>
  </si>
  <si>
    <t>Total Liabilities and Equity</t>
  </si>
  <si>
    <t>DFN</t>
  </si>
  <si>
    <t>Average collection period</t>
  </si>
  <si>
    <t>Average payment period</t>
  </si>
  <si>
    <t>Stockholders' Equity</t>
  </si>
  <si>
    <t>Comission</t>
  </si>
  <si>
    <t>KN Enterprises</t>
  </si>
  <si>
    <t>Owner's Tax Expense</t>
  </si>
  <si>
    <t>Golf Carts</t>
  </si>
  <si>
    <t>Tractors</t>
  </si>
  <si>
    <t>UTV/ATV</t>
  </si>
  <si>
    <t>Vehicles</t>
  </si>
  <si>
    <t>RVs</t>
  </si>
  <si>
    <t>Jet Skis</t>
  </si>
  <si>
    <t>Tractor Implements</t>
  </si>
  <si>
    <t>Tools/Equipment</t>
  </si>
  <si>
    <t>Work Trucks</t>
  </si>
  <si>
    <t>Office Trailer</t>
  </si>
  <si>
    <t>Other Information:</t>
  </si>
  <si>
    <t>Total Depreciation Expense</t>
  </si>
  <si>
    <t>Year Life</t>
  </si>
  <si>
    <t>Year loan</t>
  </si>
  <si>
    <t>Bank Loan Interest Expense</t>
  </si>
  <si>
    <t>Interest</t>
  </si>
  <si>
    <t>Utilities</t>
  </si>
  <si>
    <t>Maintanence</t>
  </si>
  <si>
    <t>Per Year Increase</t>
  </si>
  <si>
    <t>Golf Cart Price</t>
  </si>
  <si>
    <t>Tractors Price</t>
  </si>
  <si>
    <t>UTV/ATV Price</t>
  </si>
  <si>
    <t>Vehicles Price</t>
  </si>
  <si>
    <t>RVs Price</t>
  </si>
  <si>
    <t>Jet Skis Price</t>
  </si>
  <si>
    <t>Tractor Implements Price</t>
  </si>
  <si>
    <t>Salaries &amp; Wages</t>
  </si>
  <si>
    <t>Of Cost</t>
  </si>
  <si>
    <t>Golf Cart Sales</t>
  </si>
  <si>
    <t>Tractor Sales</t>
  </si>
  <si>
    <t>UTV/ATV Sales</t>
  </si>
  <si>
    <t>Vehicle Sales</t>
  </si>
  <si>
    <t>RV Sales</t>
  </si>
  <si>
    <t>Jet Ski Sales</t>
  </si>
  <si>
    <t>Tractor Implement Sales</t>
  </si>
  <si>
    <t>Increase in Sales</t>
  </si>
  <si>
    <t>Acres</t>
  </si>
  <si>
    <t>Per Acre</t>
  </si>
  <si>
    <t>SQ Feet</t>
  </si>
  <si>
    <t>Days to collect credit card purchased</t>
  </si>
  <si>
    <t>Days to Pay for Purchases</t>
  </si>
  <si>
    <t>Mortgage Loan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</si>
  <si>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</si>
  <si>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</si>
  <si>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</si>
  <si>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</si>
  <si>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</si>
  <si>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</si>
  <si>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</si>
  <si>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</si>
  <si>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</si>
  <si>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</si>
  <si>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</si>
  <si>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TOTALS</t>
  </si>
  <si>
    <t>Units Sold</t>
  </si>
  <si>
    <t>Unit Price</t>
  </si>
  <si>
    <t>Commercialrealestate.com</t>
  </si>
  <si>
    <t>http://www.nadaguides.com</t>
  </si>
  <si>
    <t>2 Employees</t>
  </si>
  <si>
    <t>10 Employees</t>
  </si>
  <si>
    <t>Year Loan</t>
  </si>
  <si>
    <t>Mortgage Loan Interest Expense</t>
  </si>
  <si>
    <t>Tax Rates:</t>
  </si>
  <si>
    <t>Extra Cash</t>
  </si>
  <si>
    <t>Extra Bank Loan</t>
  </si>
  <si>
    <t>http://en.wikipedia.org/wiki/New_Mexico_locations_by_per_capita_income</t>
  </si>
  <si>
    <t>http://www.sba.gov/category/navigation-structure/loans-grants/small-business-loans/sba-loan-programs/real-estate-and-eq</t>
  </si>
  <si>
    <t>Owner &amp; president</t>
  </si>
  <si>
    <t>commision minumim wage</t>
  </si>
  <si>
    <t>commision</t>
  </si>
  <si>
    <t>regluar employess</t>
  </si>
  <si>
    <t>wages</t>
  </si>
  <si>
    <t>Salaray per year</t>
  </si>
  <si>
    <t>Number of employee</t>
  </si>
  <si>
    <t>Wages and Salaries Expense</t>
  </si>
  <si>
    <t>daily usage</t>
  </si>
  <si>
    <t>total sq. ft</t>
  </si>
  <si>
    <t>sq. ft</t>
  </si>
  <si>
    <t>BTU/sf/yr</t>
  </si>
  <si>
    <t>Elec</t>
  </si>
  <si>
    <t xml:space="preserve">Utilities </t>
  </si>
  <si>
    <t>Marketing</t>
  </si>
  <si>
    <t>Insurance</t>
  </si>
  <si>
    <t>Increase Per Year</t>
  </si>
  <si>
    <t>Per Sq Ft</t>
  </si>
  <si>
    <t>Common Stock</t>
  </si>
  <si>
    <t>Relevered Beta</t>
  </si>
  <si>
    <t>T-Bills</t>
  </si>
  <si>
    <t>S&amp;P 500</t>
  </si>
  <si>
    <t>Return on Equity</t>
  </si>
  <si>
    <t>NEW:</t>
  </si>
  <si>
    <t>Average</t>
  </si>
  <si>
    <t>Proportion</t>
  </si>
  <si>
    <t>After Tax</t>
  </si>
  <si>
    <t>Weighted</t>
  </si>
  <si>
    <t>After tax</t>
  </si>
  <si>
    <t>WACC</t>
  </si>
  <si>
    <t>NEW WACC</t>
  </si>
  <si>
    <t>Minimum Cash</t>
  </si>
  <si>
    <t>Goodwill</t>
  </si>
  <si>
    <t>Year 0</t>
  </si>
  <si>
    <t>Sources</t>
  </si>
  <si>
    <t>FREE CASH FLOWS</t>
  </si>
  <si>
    <t>Cash from Operations</t>
  </si>
  <si>
    <t>Less: Depreciation</t>
  </si>
  <si>
    <t>Taxable operating profit</t>
  </si>
  <si>
    <t>Taxes on operations only</t>
  </si>
  <si>
    <t>TOTAL CASH FROM OPERATIONS</t>
  </si>
  <si>
    <t>Cash from Changes in Balance Sheet</t>
  </si>
  <si>
    <t>Working Capital</t>
  </si>
  <si>
    <t>(-)</t>
  </si>
  <si>
    <t xml:space="preserve">Minimum Cash </t>
  </si>
  <si>
    <t>(+)</t>
  </si>
  <si>
    <t>Tax Rate</t>
  </si>
  <si>
    <t>Fixed Assets</t>
  </si>
  <si>
    <t>Book Value</t>
  </si>
  <si>
    <t xml:space="preserve">Land </t>
  </si>
  <si>
    <t>Adjustment</t>
  </si>
  <si>
    <t>Adjust for Sale</t>
  </si>
  <si>
    <t>Gain</t>
  </si>
  <si>
    <t>Taxes on Sale</t>
  </si>
  <si>
    <t>Building</t>
  </si>
  <si>
    <t>Loss</t>
  </si>
  <si>
    <t>TOTAL FREE CASH FLOWS</t>
  </si>
  <si>
    <t>IRR</t>
  </si>
  <si>
    <t>NPV</t>
  </si>
  <si>
    <t>First Year Revenue</t>
  </si>
  <si>
    <t>Multiple</t>
  </si>
  <si>
    <t>Decrease</t>
  </si>
  <si>
    <t>DEBT  RATING AND INTEREST RATES</t>
  </si>
  <si>
    <t xml:space="preserve"> ---------- MORTGAGE LOAN -------------</t>
  </si>
  <si>
    <t>MORTGAGE LOAN RATINGS DATA</t>
  </si>
  <si>
    <t>Debt Rating</t>
  </si>
  <si>
    <t>Mortgage Spread</t>
  </si>
  <si>
    <t>Total Interest Rate</t>
  </si>
  <si>
    <t>EBITDA interest coverage (x)</t>
  </si>
  <si>
    <t>B</t>
  </si>
  <si>
    <t>Total debt / capital (%)</t>
  </si>
  <si>
    <t xml:space="preserve"> ----------- EXTRA LOAN ---------------------</t>
  </si>
  <si>
    <t>EXTRA LOAN RATINGS DATA</t>
  </si>
  <si>
    <t>Extra Loan Spread</t>
  </si>
  <si>
    <t>TABLES TO USE</t>
  </si>
  <si>
    <t>Ratios and Debt Ratings</t>
  </si>
  <si>
    <t>AAA</t>
  </si>
  <si>
    <t>AA</t>
  </si>
  <si>
    <t>A</t>
  </si>
  <si>
    <t>BBB</t>
  </si>
  <si>
    <t>BB</t>
  </si>
  <si>
    <t>EBITDA Coverage</t>
  </si>
  <si>
    <t>Total Debt / Capital</t>
  </si>
  <si>
    <t>Debt Ratings and Interest Rate Spread Above T-Bills</t>
  </si>
  <si>
    <t>Mortgage Interest Rate</t>
  </si>
  <si>
    <t>Extra Loan Interest Rate</t>
  </si>
  <si>
    <t>% Sale</t>
  </si>
  <si>
    <t>Secured</t>
  </si>
  <si>
    <t>Unsecured</t>
  </si>
  <si>
    <t>Total</t>
  </si>
  <si>
    <t>Extra</t>
  </si>
  <si>
    <t>Admin Costs</t>
  </si>
  <si>
    <t>Remaining</t>
  </si>
  <si>
    <t>Unsecured Sale</t>
  </si>
  <si>
    <t>0n The Dollar</t>
  </si>
  <si>
    <t>Min Cash</t>
  </si>
  <si>
    <t>DEBT</t>
  </si>
  <si>
    <t>Mortgage on Buildings</t>
  </si>
  <si>
    <t>Principal Loans (Balance Sheet)</t>
  </si>
  <si>
    <t>Interest Paid (Income Statement)</t>
  </si>
  <si>
    <t>Changes Made</t>
  </si>
  <si>
    <t xml:space="preserve">Goodwill </t>
  </si>
  <si>
    <t>Changed Deprection % on sales</t>
  </si>
  <si>
    <t>Unlevered</t>
  </si>
  <si>
    <t>Current Debt %</t>
  </si>
  <si>
    <t>Current Equ %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</si>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</sst>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[$$-409]#,##0.00;[Red]\-[$$-409]#,##0.00"/>
    <numFmt numFmtId="167" formatCode="_(&quot;$&quot;* #,##0_);_(&quot;$&quot;* \(#,##0\);_(&quot;$&quot;* &quot;-&quot;??_);_(@_)"/>
    <numFmt numFmtId="168" formatCode="0.0%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0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Fill="1"/>
    <xf numFmtId="0" fontId="6" fillId="0" borderId="0" xfId="3" applyFont="1" applyFill="1" applyBorder="1"/>
    <xf numFmtId="10" fontId="0" fillId="0" borderId="0" xfId="0" applyNumberFormat="1"/>
    <xf numFmtId="0" fontId="0" fillId="0" borderId="0" xfId="0" applyNumberFormat="1"/>
    <xf numFmtId="0" fontId="0" fillId="0" borderId="0" xfId="0" applyFont="1" applyAlignment="1">
      <alignment horizontal="left" wrapText="1"/>
    </xf>
    <xf numFmtId="166" fontId="0" fillId="0" borderId="0" xfId="0" applyNumberFormat="1" applyFont="1" applyAlignment="1">
      <alignment wrapText="1"/>
    </xf>
    <xf numFmtId="166" fontId="0" fillId="0" borderId="0" xfId="0" applyNumberFormat="1"/>
    <xf numFmtId="166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0" borderId="0" xfId="0" applyFont="1"/>
    <xf numFmtId="44" fontId="0" fillId="0" borderId="0" xfId="1" applyFont="1" applyFill="1"/>
    <xf numFmtId="166" fontId="0" fillId="0" borderId="0" xfId="0" applyNumberFormat="1" applyFont="1" applyAlignment="1">
      <alignment horizontal="right" wrapText="1"/>
    </xf>
    <xf numFmtId="0" fontId="4" fillId="0" borderId="0" xfId="0" applyFont="1"/>
    <xf numFmtId="0" fontId="2" fillId="0" borderId="0" xfId="68"/>
    <xf numFmtId="3" fontId="2" fillId="0" borderId="0" xfId="68" applyNumberFormat="1"/>
    <xf numFmtId="44" fontId="2" fillId="0" borderId="0" xfId="68" applyNumberFormat="1"/>
    <xf numFmtId="44" fontId="0" fillId="0" borderId="0" xfId="69" applyFont="1"/>
    <xf numFmtId="0" fontId="14" fillId="0" borderId="1" xfId="68" applyFont="1" applyBorder="1"/>
    <xf numFmtId="0" fontId="2" fillId="0" borderId="1" xfId="68" applyBorder="1"/>
    <xf numFmtId="0" fontId="15" fillId="0" borderId="0" xfId="68" applyFont="1"/>
    <xf numFmtId="0" fontId="16" fillId="0" borderId="0" xfId="68" applyFont="1"/>
    <xf numFmtId="0" fontId="14" fillId="0" borderId="0" xfId="68" applyFont="1"/>
    <xf numFmtId="44" fontId="0" fillId="0" borderId="0" xfId="69" applyNumberFormat="1" applyFont="1"/>
    <xf numFmtId="0" fontId="0" fillId="2" borderId="0" xfId="0" applyFill="1"/>
    <xf numFmtId="0" fontId="5" fillId="0" borderId="0" xfId="3"/>
    <xf numFmtId="2" fontId="5" fillId="0" borderId="0" xfId="3" applyNumberFormat="1" applyFill="1" applyBorder="1"/>
    <xf numFmtId="10" fontId="5" fillId="0" borderId="0" xfId="3" applyNumberFormat="1"/>
    <xf numFmtId="10" fontId="3" fillId="0" borderId="0" xfId="2" applyNumberFormat="1" applyFill="1" applyBorder="1"/>
    <xf numFmtId="0" fontId="17" fillId="0" borderId="0" xfId="3" applyFont="1"/>
    <xf numFmtId="0" fontId="18" fillId="3" borderId="0" xfId="3" applyFont="1" applyFill="1" applyBorder="1"/>
    <xf numFmtId="0" fontId="5" fillId="3" borderId="0" xfId="3" applyFill="1" applyBorder="1"/>
    <xf numFmtId="0" fontId="5" fillId="0" borderId="0" xfId="3" applyFill="1" applyBorder="1"/>
    <xf numFmtId="165" fontId="5" fillId="3" borderId="0" xfId="3" applyNumberFormat="1" applyFill="1"/>
    <xf numFmtId="10" fontId="3" fillId="3" borderId="0" xfId="2" applyNumberFormat="1" applyFill="1"/>
    <xf numFmtId="10" fontId="5" fillId="3" borderId="0" xfId="3" applyNumberFormat="1" applyFill="1"/>
    <xf numFmtId="0" fontId="5" fillId="3" borderId="0" xfId="3" applyFill="1"/>
    <xf numFmtId="0" fontId="5" fillId="0" borderId="0" xfId="3" applyBorder="1"/>
    <xf numFmtId="165" fontId="5" fillId="3" borderId="0" xfId="3" applyNumberFormat="1" applyFill="1" applyBorder="1"/>
    <xf numFmtId="10" fontId="5" fillId="3" borderId="0" xfId="3" applyNumberFormat="1" applyFill="1" applyBorder="1"/>
    <xf numFmtId="9" fontId="5" fillId="3" borderId="0" xfId="3" applyNumberFormat="1" applyFill="1" applyBorder="1"/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7" fillId="0" borderId="0" xfId="3" applyFont="1" applyFill="1"/>
    <xf numFmtId="164" fontId="6" fillId="0" borderId="0" xfId="3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right"/>
    </xf>
    <xf numFmtId="9" fontId="6" fillId="0" borderId="0" xfId="3" applyNumberFormat="1" applyFont="1" applyFill="1" applyBorder="1"/>
    <xf numFmtId="0" fontId="8" fillId="0" borderId="0" xfId="1" applyNumberFormat="1" applyFont="1" applyFill="1" applyAlignment="1">
      <alignment horizontal="right"/>
    </xf>
    <xf numFmtId="2" fontId="8" fillId="0" borderId="0" xfId="1" applyNumberFormat="1" applyFont="1" applyFill="1" applyAlignment="1">
      <alignment horizontal="right"/>
    </xf>
    <xf numFmtId="9" fontId="0" fillId="0" borderId="0" xfId="0" applyNumberFormat="1" applyFill="1"/>
    <xf numFmtId="0" fontId="0" fillId="0" borderId="0" xfId="0" applyNumberFormat="1" applyFill="1"/>
    <xf numFmtId="43" fontId="6" fillId="0" borderId="0" xfId="3" applyNumberFormat="1" applyFont="1" applyFill="1"/>
    <xf numFmtId="44" fontId="6" fillId="0" borderId="0" xfId="1" applyFont="1" applyFill="1"/>
    <xf numFmtId="44" fontId="13" fillId="0" borderId="0" xfId="0" applyNumberFormat="1" applyFont="1" applyFill="1"/>
    <xf numFmtId="0" fontId="9" fillId="0" borderId="0" xfId="3" applyFont="1" applyFill="1"/>
    <xf numFmtId="10" fontId="0" fillId="0" borderId="0" xfId="0" applyNumberFormat="1" applyFill="1"/>
    <xf numFmtId="0" fontId="4" fillId="0" borderId="0" xfId="0" applyFont="1" applyFill="1"/>
    <xf numFmtId="0" fontId="13" fillId="0" borderId="0" xfId="0" applyFont="1" applyFill="1"/>
    <xf numFmtId="165" fontId="6" fillId="0" borderId="0" xfId="1" applyNumberFormat="1" applyFont="1" applyFill="1" applyBorder="1" applyAlignment="1" applyProtection="1"/>
    <xf numFmtId="0" fontId="0" fillId="0" borderId="0" xfId="0" applyFill="1" applyAlignment="1"/>
    <xf numFmtId="164" fontId="0" fillId="0" borderId="0" xfId="0" applyNumberFormat="1"/>
    <xf numFmtId="44" fontId="0" fillId="0" borderId="0" xfId="1" applyFont="1"/>
    <xf numFmtId="43" fontId="0" fillId="0" borderId="0" xfId="0" applyNumberFormat="1"/>
    <xf numFmtId="0" fontId="14" fillId="0" borderId="0" xfId="0" applyFont="1"/>
    <xf numFmtId="0" fontId="5" fillId="0" borderId="0" xfId="3" applyFill="1"/>
    <xf numFmtId="10" fontId="0" fillId="0" borderId="0" xfId="2" applyNumberFormat="1" applyFont="1"/>
    <xf numFmtId="44" fontId="5" fillId="0" borderId="0" xfId="1" applyFont="1"/>
    <xf numFmtId="9" fontId="0" fillId="0" borderId="0" xfId="0" applyNumberFormat="1"/>
    <xf numFmtId="44" fontId="0" fillId="0" borderId="0" xfId="0" applyNumberFormat="1"/>
    <xf numFmtId="0" fontId="0" fillId="0" borderId="1" xfId="0" applyBorder="1"/>
    <xf numFmtId="0" fontId="6" fillId="0" borderId="1" xfId="3" applyFont="1" applyFill="1" applyBorder="1"/>
    <xf numFmtId="0" fontId="0" fillId="0" borderId="1" xfId="0" applyFill="1" applyBorder="1"/>
    <xf numFmtId="0" fontId="0" fillId="0" borderId="0" xfId="0" applyBorder="1"/>
    <xf numFmtId="167" fontId="8" fillId="0" borderId="0" xfId="1" applyNumberFormat="1" applyFont="1" applyFill="1" applyAlignment="1">
      <alignment horizontal="right"/>
    </xf>
    <xf numFmtId="167" fontId="6" fillId="0" borderId="0" xfId="3" applyNumberFormat="1" applyFont="1" applyFill="1"/>
    <xf numFmtId="167" fontId="6" fillId="0" borderId="0" xfId="3" applyNumberFormat="1" applyFont="1" applyFill="1" applyBorder="1"/>
    <xf numFmtId="167" fontId="0" fillId="0" borderId="0" xfId="0" applyNumberFormat="1" applyFill="1"/>
    <xf numFmtId="167" fontId="8" fillId="0" borderId="0" xfId="1" applyNumberFormat="1" applyFont="1" applyFill="1"/>
    <xf numFmtId="167" fontId="6" fillId="0" borderId="0" xfId="1" applyNumberFormat="1" applyFont="1" applyFill="1" applyBorder="1" applyAlignment="1" applyProtection="1"/>
    <xf numFmtId="167" fontId="6" fillId="0" borderId="0" xfId="1" applyNumberFormat="1" applyFont="1" applyFill="1"/>
    <xf numFmtId="167" fontId="0" fillId="0" borderId="0" xfId="1" applyNumberFormat="1" applyFont="1" applyFill="1"/>
    <xf numFmtId="167" fontId="9" fillId="0" borderId="0" xfId="1" applyNumberFormat="1" applyFont="1" applyFill="1" applyBorder="1" applyAlignment="1" applyProtection="1"/>
    <xf numFmtId="167" fontId="8" fillId="0" borderId="0" xfId="2" applyNumberFormat="1" applyFont="1" applyFill="1" applyBorder="1"/>
    <xf numFmtId="167" fontId="6" fillId="0" borderId="0" xfId="1" applyNumberFormat="1" applyFont="1" applyFill="1" applyBorder="1"/>
    <xf numFmtId="167" fontId="6" fillId="4" borderId="0" xfId="1" applyNumberFormat="1" applyFont="1" applyFill="1" applyBorder="1" applyAlignment="1" applyProtection="1"/>
    <xf numFmtId="167" fontId="0" fillId="0" borderId="0" xfId="0" applyNumberFormat="1"/>
    <xf numFmtId="167" fontId="0" fillId="0" borderId="0" xfId="1" applyNumberFormat="1" applyFont="1"/>
    <xf numFmtId="165" fontId="0" fillId="0" borderId="0" xfId="0" applyNumberFormat="1"/>
    <xf numFmtId="164" fontId="0" fillId="0" borderId="0" xfId="100" applyNumberFormat="1" applyFont="1"/>
    <xf numFmtId="167" fontId="13" fillId="0" borderId="0" xfId="0" applyNumberFormat="1" applyFont="1" applyFill="1"/>
    <xf numFmtId="1" fontId="8" fillId="0" borderId="0" xfId="1" applyNumberFormat="1" applyFont="1" applyFill="1" applyAlignment="1">
      <alignment horizontal="right"/>
    </xf>
    <xf numFmtId="0" fontId="6" fillId="4" borderId="0" xfId="3" applyFont="1" applyFill="1"/>
    <xf numFmtId="9" fontId="0" fillId="4" borderId="0" xfId="0" applyNumberFormat="1" applyFill="1"/>
    <xf numFmtId="0" fontId="0" fillId="4" borderId="0" xfId="0" applyFill="1"/>
    <xf numFmtId="167" fontId="7" fillId="0" borderId="0" xfId="3" applyNumberFormat="1" applyFont="1" applyFill="1"/>
    <xf numFmtId="167" fontId="7" fillId="0" borderId="0" xfId="1" applyNumberFormat="1" applyFont="1" applyFill="1" applyBorder="1" applyAlignment="1" applyProtection="1"/>
    <xf numFmtId="0" fontId="0" fillId="0" borderId="0" xfId="0" applyFill="1" applyBorder="1"/>
    <xf numFmtId="0" fontId="17" fillId="0" borderId="0" xfId="3" applyFont="1" applyBorder="1"/>
    <xf numFmtId="10" fontId="5" fillId="0" borderId="0" xfId="3" applyNumberFormat="1" applyBorder="1"/>
    <xf numFmtId="10" fontId="3" fillId="0" borderId="0" xfId="2" applyNumberFormat="1" applyBorder="1"/>
    <xf numFmtId="9" fontId="3" fillId="0" borderId="0" xfId="2"/>
    <xf numFmtId="10" fontId="17" fillId="0" borderId="0" xfId="3" applyNumberFormat="1" applyFont="1" applyBorder="1"/>
    <xf numFmtId="0" fontId="17" fillId="0" borderId="3" xfId="117" applyFont="1" applyFill="1" applyBorder="1"/>
    <xf numFmtId="0" fontId="5" fillId="0" borderId="4" xfId="117" applyFill="1" applyBorder="1"/>
    <xf numFmtId="0" fontId="0" fillId="0" borderId="4" xfId="0" applyBorder="1"/>
    <xf numFmtId="0" fontId="0" fillId="0" borderId="4" xfId="0" applyFill="1" applyBorder="1"/>
    <xf numFmtId="0" fontId="0" fillId="0" borderId="5" xfId="0" applyFill="1" applyBorder="1"/>
    <xf numFmtId="0" fontId="17" fillId="0" borderId="6" xfId="117" applyFont="1" applyFill="1" applyBorder="1"/>
    <xf numFmtId="0" fontId="5" fillId="0" borderId="0" xfId="117" applyFill="1" applyBorder="1"/>
    <xf numFmtId="0" fontId="0" fillId="0" borderId="7" xfId="0" applyFill="1" applyBorder="1"/>
    <xf numFmtId="0" fontId="5" fillId="0" borderId="6" xfId="117" applyFill="1" applyBorder="1"/>
    <xf numFmtId="0" fontId="5" fillId="0" borderId="0" xfId="117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7" xfId="117" applyFill="1" applyBorder="1" applyAlignment="1">
      <alignment horizontal="center"/>
    </xf>
    <xf numFmtId="2" fontId="1" fillId="0" borderId="0" xfId="100" applyNumberFormat="1" applyBorder="1" applyAlignment="1">
      <alignment horizontal="center"/>
    </xf>
    <xf numFmtId="2" fontId="1" fillId="0" borderId="7" xfId="100" applyNumberFormat="1" applyBorder="1" applyAlignment="1">
      <alignment horizontal="center"/>
    </xf>
    <xf numFmtId="168" fontId="3" fillId="0" borderId="0" xfId="2" applyNumberFormat="1" applyBorder="1" applyAlignment="1">
      <alignment horizontal="center"/>
    </xf>
    <xf numFmtId="168" fontId="3" fillId="0" borderId="7" xfId="2" applyNumberFormat="1" applyBorder="1" applyAlignment="1">
      <alignment horizontal="center"/>
    </xf>
    <xf numFmtId="0" fontId="0" fillId="0" borderId="8" xfId="0" applyFill="1" applyBorder="1"/>
    <xf numFmtId="43" fontId="1" fillId="0" borderId="1" xfId="100" applyBorder="1" applyAlignment="1">
      <alignment horizontal="center"/>
    </xf>
    <xf numFmtId="43" fontId="1" fillId="0" borderId="9" xfId="100" applyBorder="1" applyAlignment="1">
      <alignment horizontal="center"/>
    </xf>
    <xf numFmtId="0" fontId="5" fillId="0" borderId="4" xfId="117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4" xfId="3" applyBorder="1"/>
    <xf numFmtId="0" fontId="0" fillId="0" borderId="5" xfId="0" applyBorder="1"/>
    <xf numFmtId="0" fontId="0" fillId="0" borderId="7" xfId="0" applyBorder="1"/>
    <xf numFmtId="0" fontId="0" fillId="0" borderId="6" xfId="0" applyFill="1" applyBorder="1"/>
    <xf numFmtId="10" fontId="5" fillId="0" borderId="0" xfId="117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5" fillId="0" borderId="8" xfId="117" applyFill="1" applyBorder="1"/>
    <xf numFmtId="0" fontId="5" fillId="0" borderId="1" xfId="117" applyFill="1" applyBorder="1"/>
    <xf numFmtId="0" fontId="5" fillId="0" borderId="1" xfId="3" applyBorder="1"/>
    <xf numFmtId="0" fontId="0" fillId="0" borderId="9" xfId="0" applyBorder="1"/>
    <xf numFmtId="0" fontId="17" fillId="0" borderId="4" xfId="3" applyFont="1" applyBorder="1"/>
    <xf numFmtId="0" fontId="5" fillId="0" borderId="3" xfId="3" applyFont="1" applyFill="1" applyBorder="1"/>
    <xf numFmtId="0" fontId="20" fillId="0" borderId="4" xfId="3" applyFont="1" applyBorder="1"/>
    <xf numFmtId="0" fontId="5" fillId="0" borderId="4" xfId="3" applyFill="1" applyBorder="1"/>
    <xf numFmtId="0" fontId="5" fillId="0" borderId="5" xfId="3" applyBorder="1"/>
    <xf numFmtId="9" fontId="5" fillId="0" borderId="6" xfId="3" applyNumberFormat="1" applyFont="1" applyFill="1" applyBorder="1"/>
    <xf numFmtId="9" fontId="5" fillId="0" borderId="0" xfId="3" applyNumberFormat="1" applyFont="1" applyFill="1" applyBorder="1"/>
    <xf numFmtId="165" fontId="5" fillId="0" borderId="0" xfId="3" applyNumberFormat="1" applyFont="1" applyFill="1" applyBorder="1"/>
    <xf numFmtId="165" fontId="5" fillId="0" borderId="0" xfId="3" applyNumberFormat="1" applyFill="1" applyBorder="1"/>
    <xf numFmtId="0" fontId="5" fillId="0" borderId="7" xfId="3" applyFill="1" applyBorder="1"/>
    <xf numFmtId="0" fontId="5" fillId="0" borderId="6" xfId="3" applyFont="1" applyFill="1" applyBorder="1"/>
    <xf numFmtId="0" fontId="5" fillId="0" borderId="0" xfId="3" applyFont="1" applyFill="1" applyBorder="1"/>
    <xf numFmtId="9" fontId="3" fillId="0" borderId="0" xfId="2" applyBorder="1"/>
    <xf numFmtId="168" fontId="5" fillId="0" borderId="0" xfId="3" applyNumberFormat="1" applyFont="1" applyFill="1" applyBorder="1"/>
    <xf numFmtId="9" fontId="20" fillId="0" borderId="6" xfId="3" applyNumberFormat="1" applyFont="1" applyFill="1" applyBorder="1"/>
    <xf numFmtId="165" fontId="21" fillId="0" borderId="4" xfId="3" applyNumberFormat="1" applyFont="1" applyFill="1" applyBorder="1"/>
    <xf numFmtId="165" fontId="5" fillId="0" borderId="4" xfId="3" applyNumberFormat="1" applyFont="1" applyFill="1" applyBorder="1"/>
    <xf numFmtId="167" fontId="5" fillId="0" borderId="0" xfId="3" applyNumberFormat="1" applyFill="1" applyBorder="1"/>
    <xf numFmtId="167" fontId="5" fillId="4" borderId="4" xfId="3" applyNumberFormat="1" applyFill="1" applyBorder="1"/>
    <xf numFmtId="0" fontId="5" fillId="0" borderId="6" xfId="3" applyBorder="1"/>
    <xf numFmtId="0" fontId="20" fillId="0" borderId="0" xfId="3" applyFont="1" applyBorder="1"/>
    <xf numFmtId="0" fontId="20" fillId="0" borderId="7" xfId="3" applyFont="1" applyBorder="1"/>
    <xf numFmtId="165" fontId="5" fillId="0" borderId="6" xfId="3" applyNumberFormat="1" applyFont="1" applyFill="1" applyBorder="1"/>
    <xf numFmtId="165" fontId="3" fillId="0" borderId="0" xfId="1" applyNumberFormat="1" applyBorder="1"/>
    <xf numFmtId="165" fontId="3" fillId="0" borderId="0" xfId="2" applyNumberFormat="1" applyBorder="1"/>
    <xf numFmtId="165" fontId="17" fillId="0" borderId="0" xfId="1" applyNumberFormat="1" applyFont="1" applyBorder="1"/>
    <xf numFmtId="44" fontId="3" fillId="0" borderId="0" xfId="1" applyBorder="1"/>
    <xf numFmtId="44" fontId="5" fillId="0" borderId="7" xfId="3" applyNumberFormat="1" applyFill="1" applyBorder="1"/>
    <xf numFmtId="165" fontId="5" fillId="0" borderId="8" xfId="3" applyNumberFormat="1" applyFont="1" applyFill="1" applyBorder="1"/>
    <xf numFmtId="165" fontId="3" fillId="0" borderId="1" xfId="1" applyNumberFormat="1" applyBorder="1"/>
    <xf numFmtId="10" fontId="5" fillId="0" borderId="1" xfId="3" applyNumberFormat="1" applyFont="1" applyFill="1" applyBorder="1"/>
    <xf numFmtId="167" fontId="5" fillId="0" borderId="10" xfId="3" applyNumberFormat="1" applyFill="1" applyBorder="1"/>
    <xf numFmtId="10" fontId="3" fillId="0" borderId="1" xfId="2" applyNumberFormat="1" applyFill="1" applyBorder="1"/>
    <xf numFmtId="0" fontId="5" fillId="0" borderId="1" xfId="3" applyFill="1" applyBorder="1"/>
    <xf numFmtId="10" fontId="3" fillId="0" borderId="9" xfId="2" applyNumberFormat="1" applyFill="1" applyBorder="1"/>
    <xf numFmtId="10" fontId="1" fillId="0" borderId="0" xfId="100" applyNumberFormat="1"/>
    <xf numFmtId="167" fontId="5" fillId="0" borderId="0" xfId="3" applyNumberFormat="1" applyFont="1" applyFill="1" applyBorder="1"/>
    <xf numFmtId="44" fontId="5" fillId="0" borderId="0" xfId="3" applyNumberFormat="1" applyFill="1" applyBorder="1"/>
    <xf numFmtId="9" fontId="5" fillId="0" borderId="0" xfId="2" applyFont="1" applyBorder="1"/>
    <xf numFmtId="0" fontId="5" fillId="0" borderId="0" xfId="3" applyNumberFormat="1" applyBorder="1"/>
    <xf numFmtId="165" fontId="5" fillId="0" borderId="0" xfId="3" applyNumberFormat="1" applyBorder="1"/>
    <xf numFmtId="165" fontId="3" fillId="0" borderId="0" xfId="2" applyNumberFormat="1"/>
    <xf numFmtId="9" fontId="5" fillId="0" borderId="0" xfId="3" applyNumberFormat="1" applyBorder="1"/>
    <xf numFmtId="10" fontId="17" fillId="0" borderId="0" xfId="2" applyNumberFormat="1" applyFont="1"/>
    <xf numFmtId="9" fontId="17" fillId="0" borderId="0" xfId="2" applyFont="1"/>
    <xf numFmtId="10" fontId="5" fillId="0" borderId="0" xfId="2" applyNumberFormat="1" applyFont="1" applyBorder="1"/>
    <xf numFmtId="43" fontId="5" fillId="0" borderId="0" xfId="2" applyNumberFormat="1" applyFont="1" applyBorder="1"/>
    <xf numFmtId="10" fontId="3" fillId="0" borderId="0" xfId="2" applyNumberFormat="1"/>
    <xf numFmtId="0" fontId="5" fillId="0" borderId="0" xfId="3" applyNumberFormat="1" applyBorder="1" applyAlignment="1">
      <alignment horizontal="left" indent="4"/>
    </xf>
    <xf numFmtId="0" fontId="0" fillId="0" borderId="0" xfId="0" applyBorder="1" applyAlignment="1">
      <alignment horizontal="left" indent="4"/>
    </xf>
    <xf numFmtId="43" fontId="5" fillId="0" borderId="2" xfId="3" applyNumberFormat="1" applyBorder="1" applyAlignment="1">
      <alignment horizontal="center"/>
    </xf>
    <xf numFmtId="167" fontId="5" fillId="0" borderId="2" xfId="3" applyNumberFormat="1" applyBorder="1" applyAlignment="1">
      <alignment horizontal="center"/>
    </xf>
    <xf numFmtId="0" fontId="5" fillId="0" borderId="2" xfId="3" applyBorder="1" applyAlignment="1">
      <alignment horizontal="center"/>
    </xf>
    <xf numFmtId="10" fontId="5" fillId="0" borderId="2" xfId="3" applyNumberFormat="1" applyBorder="1" applyAlignment="1">
      <alignment horizontal="center"/>
    </xf>
    <xf numFmtId="9" fontId="5" fillId="0" borderId="2" xfId="2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3" fillId="0" borderId="0" xfId="2" applyAlignment="1">
      <alignment horizontal="center"/>
    </xf>
    <xf numFmtId="0" fontId="5" fillId="0" borderId="0" xfId="3" applyBorder="1" applyAlignment="1">
      <alignment horizontal="center"/>
    </xf>
    <xf numFmtId="10" fontId="5" fillId="0" borderId="0" xfId="3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3" applyAlignment="1">
      <alignment horizontal="center"/>
    </xf>
    <xf numFmtId="10" fontId="5" fillId="0" borderId="0" xfId="3" applyNumberFormat="1" applyAlignment="1">
      <alignment horizontal="center"/>
    </xf>
    <xf numFmtId="10" fontId="17" fillId="0" borderId="0" xfId="3" applyNumberFormat="1" applyFont="1" applyAlignment="1">
      <alignment horizontal="center"/>
    </xf>
    <xf numFmtId="10" fontId="17" fillId="0" borderId="2" xfId="3" applyNumberFormat="1" applyFont="1" applyBorder="1" applyAlignment="1">
      <alignment horizontal="center"/>
    </xf>
    <xf numFmtId="0" fontId="5" fillId="0" borderId="2" xfId="3" applyNumberFormat="1" applyBorder="1" applyAlignment="1">
      <alignment horizontal="center"/>
    </xf>
    <xf numFmtId="2" fontId="5" fillId="0" borderId="2" xfId="3" applyNumberFormat="1" applyBorder="1" applyAlignment="1">
      <alignment horizontal="center"/>
    </xf>
    <xf numFmtId="167" fontId="5" fillId="0" borderId="11" xfId="3" applyNumberForma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0" fontId="3" fillId="0" borderId="2" xfId="2" applyNumberFormat="1" applyBorder="1" applyAlignment="1">
      <alignment horizontal="center"/>
    </xf>
    <xf numFmtId="10" fontId="17" fillId="0" borderId="0" xfId="3" applyNumberFormat="1" applyFont="1" applyBorder="1" applyAlignment="1">
      <alignment horizontal="center"/>
    </xf>
    <xf numFmtId="43" fontId="4" fillId="0" borderId="0" xfId="100" applyFont="1"/>
    <xf numFmtId="43" fontId="8" fillId="0" borderId="0" xfId="100" applyFont="1" applyFill="1" applyAlignment="1">
      <alignment horizontal="right"/>
    </xf>
    <xf numFmtId="0" fontId="1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68" applyFont="1" applyAlignment="1">
      <alignment horizontal="center"/>
    </xf>
  </cellXfs>
  <cellStyles count="160">
    <cellStyle name="Comma" xfId="100" builtinId="3"/>
    <cellStyle name="Currency" xfId="1" builtinId="4"/>
    <cellStyle name="Currency 2" xfId="69"/>
    <cellStyle name="Excel Built-in Normal" xfId="3"/>
    <cellStyle name="Excel Built-in Normal 1" xfId="117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Normal" xfId="0" builtinId="0"/>
    <cellStyle name="Normal 2" xfId="68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8"/>
  <sheetViews>
    <sheetView tabSelected="1" zoomScaleNormal="100" zoomScalePageLayoutView="75" workbookViewId="0">
      <selection activeCell="D145" sqref="D145"/>
    </sheetView>
  </sheetViews>
  <sheetFormatPr defaultColWidth="11" defaultRowHeight="15.75" x14ac:dyDescent="0.25"/>
  <cols>
    <col min="2" max="2" width="27.625" bestFit="1" customWidth="1"/>
    <col min="3" max="3" width="25" hidden="1" customWidth="1"/>
    <col min="4" max="4" width="24.875" customWidth="1"/>
    <col min="5" max="14" width="17.625" customWidth="1"/>
    <col min="15" max="15" width="16.625" customWidth="1"/>
    <col min="16" max="16" width="22" customWidth="1"/>
    <col min="17" max="17" width="12.875" customWidth="1"/>
    <col min="18" max="18" width="12.5" customWidth="1"/>
    <col min="19" max="19" width="10.875" customWidth="1"/>
    <col min="20" max="20" width="14.125" bestFit="1" customWidth="1"/>
    <col min="21" max="21" width="14.375" bestFit="1" customWidth="1"/>
    <col min="22" max="22" width="11.5" bestFit="1" customWidth="1"/>
    <col min="23" max="23" width="12.375" bestFit="1" customWidth="1"/>
    <col min="25" max="26" width="14.125" bestFit="1" customWidth="1"/>
    <col min="28" max="28" width="11" customWidth="1"/>
    <col min="29" max="29" width="11.625" bestFit="1" customWidth="1"/>
  </cols>
  <sheetData>
    <row r="1" spans="1:19" ht="23.25" x14ac:dyDescent="0.35">
      <c r="A1" s="208" t="s">
        <v>35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 t="s">
        <v>47</v>
      </c>
      <c r="P1" s="209"/>
      <c r="Q1" s="209"/>
      <c r="R1" s="209"/>
      <c r="S1" s="60"/>
    </row>
    <row r="2" spans="1:19" x14ac:dyDescent="0.25">
      <c r="A2" s="42"/>
      <c r="B2" s="42"/>
      <c r="C2" s="42"/>
      <c r="D2" s="42" t="s">
        <v>137</v>
      </c>
      <c r="E2" s="43">
        <v>2015</v>
      </c>
      <c r="F2" s="43">
        <v>2016</v>
      </c>
      <c r="G2" s="43">
        <v>2017</v>
      </c>
      <c r="H2" s="43">
        <v>2018</v>
      </c>
      <c r="I2" s="43">
        <v>2019</v>
      </c>
      <c r="J2" s="43">
        <v>2020</v>
      </c>
      <c r="K2" s="43">
        <v>2021</v>
      </c>
      <c r="L2" s="43">
        <v>2022</v>
      </c>
      <c r="M2" s="43">
        <v>2023</v>
      </c>
      <c r="N2" s="43">
        <v>2024</v>
      </c>
      <c r="O2" s="1"/>
      <c r="P2" s="1"/>
      <c r="Q2" s="1"/>
      <c r="R2" s="1"/>
      <c r="S2" s="1"/>
    </row>
    <row r="3" spans="1:19" x14ac:dyDescent="0.25">
      <c r="A3" s="44" t="s">
        <v>0</v>
      </c>
      <c r="B3" s="42"/>
      <c r="C3" s="42" t="s">
        <v>138</v>
      </c>
      <c r="D3" s="42"/>
      <c r="E3" s="45"/>
      <c r="F3" s="45"/>
      <c r="G3" s="45"/>
      <c r="H3" s="45"/>
      <c r="I3" s="2"/>
      <c r="J3" s="2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44" t="s">
        <v>2</v>
      </c>
      <c r="B4" s="42"/>
      <c r="C4" s="42"/>
      <c r="D4" s="42"/>
      <c r="E4" s="46"/>
      <c r="F4" s="46"/>
      <c r="G4" s="46"/>
      <c r="H4" s="46"/>
      <c r="I4" s="47"/>
      <c r="J4" s="2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/>
      <c r="B5" s="42" t="s">
        <v>31</v>
      </c>
      <c r="C5" s="42"/>
      <c r="D5" s="42"/>
      <c r="E5" s="48">
        <f>$O$5</f>
        <v>3</v>
      </c>
      <c r="F5" s="48">
        <f t="shared" ref="F5:N5" si="0">$O$5</f>
        <v>3</v>
      </c>
      <c r="G5" s="48">
        <f t="shared" si="0"/>
        <v>3</v>
      </c>
      <c r="H5" s="48">
        <f t="shared" si="0"/>
        <v>3</v>
      </c>
      <c r="I5" s="48">
        <f t="shared" si="0"/>
        <v>3</v>
      </c>
      <c r="J5" s="48">
        <f t="shared" si="0"/>
        <v>3</v>
      </c>
      <c r="K5" s="48">
        <f t="shared" si="0"/>
        <v>3</v>
      </c>
      <c r="L5" s="48">
        <f t="shared" si="0"/>
        <v>3</v>
      </c>
      <c r="M5" s="48">
        <f t="shared" si="0"/>
        <v>3</v>
      </c>
      <c r="N5" s="48">
        <f t="shared" si="0"/>
        <v>3</v>
      </c>
      <c r="O5" s="48">
        <v>3</v>
      </c>
      <c r="P5" s="1" t="s">
        <v>76</v>
      </c>
      <c r="Q5" s="1"/>
      <c r="R5" s="1"/>
      <c r="S5" s="1"/>
    </row>
    <row r="6" spans="1:19" x14ac:dyDescent="0.25">
      <c r="A6" s="1"/>
      <c r="B6" s="42" t="s">
        <v>32</v>
      </c>
      <c r="C6" s="42"/>
      <c r="D6" s="42"/>
      <c r="E6" s="48">
        <f>$O$6</f>
        <v>15</v>
      </c>
      <c r="F6" s="48">
        <f t="shared" ref="F6:N6" si="1">$O$6</f>
        <v>15</v>
      </c>
      <c r="G6" s="48">
        <f t="shared" si="1"/>
        <v>15</v>
      </c>
      <c r="H6" s="48">
        <f t="shared" si="1"/>
        <v>15</v>
      </c>
      <c r="I6" s="48">
        <f t="shared" si="1"/>
        <v>15</v>
      </c>
      <c r="J6" s="48">
        <f t="shared" si="1"/>
        <v>15</v>
      </c>
      <c r="K6" s="48">
        <f t="shared" si="1"/>
        <v>15</v>
      </c>
      <c r="L6" s="48">
        <f t="shared" si="1"/>
        <v>15</v>
      </c>
      <c r="M6" s="48">
        <f t="shared" si="1"/>
        <v>15</v>
      </c>
      <c r="N6" s="48">
        <f t="shared" si="1"/>
        <v>15</v>
      </c>
      <c r="O6" s="48">
        <v>15</v>
      </c>
      <c r="P6" s="1" t="s">
        <v>77</v>
      </c>
      <c r="Q6" s="1"/>
      <c r="R6" s="1"/>
      <c r="S6" s="1"/>
    </row>
    <row r="7" spans="1:19" x14ac:dyDescent="0.25">
      <c r="A7" s="1"/>
      <c r="B7" s="42" t="s">
        <v>3</v>
      </c>
      <c r="C7" s="42"/>
      <c r="D7" s="42"/>
      <c r="E7" s="48">
        <v>7</v>
      </c>
      <c r="F7" s="48">
        <f>E7+$O$7</f>
        <v>7.25</v>
      </c>
      <c r="G7" s="48">
        <f t="shared" ref="G7:N7" si="2">F7+$O$7</f>
        <v>7.5</v>
      </c>
      <c r="H7" s="48">
        <f t="shared" si="2"/>
        <v>7.75</v>
      </c>
      <c r="I7" s="48">
        <f t="shared" si="2"/>
        <v>8</v>
      </c>
      <c r="J7" s="48">
        <f t="shared" si="2"/>
        <v>8.25</v>
      </c>
      <c r="K7" s="48">
        <f t="shared" si="2"/>
        <v>8.5</v>
      </c>
      <c r="L7" s="48">
        <f t="shared" si="2"/>
        <v>8.75</v>
      </c>
      <c r="M7" s="48">
        <f t="shared" si="2"/>
        <v>9</v>
      </c>
      <c r="N7" s="48">
        <f t="shared" si="2"/>
        <v>9.25</v>
      </c>
      <c r="O7" s="48">
        <v>0.25</v>
      </c>
      <c r="P7" s="1" t="s">
        <v>120</v>
      </c>
      <c r="Q7" s="1"/>
      <c r="R7" s="1"/>
      <c r="S7" s="1"/>
    </row>
    <row r="8" spans="1:19" x14ac:dyDescent="0.25">
      <c r="A8" s="1"/>
      <c r="B8" s="42" t="s">
        <v>4</v>
      </c>
      <c r="C8" s="42"/>
      <c r="D8" s="42"/>
      <c r="E8" s="49">
        <f>365/E7</f>
        <v>52.142857142857146</v>
      </c>
      <c r="F8" s="49">
        <f t="shared" ref="F8:N8" si="3">365/F7</f>
        <v>50.344827586206897</v>
      </c>
      <c r="G8" s="49">
        <f t="shared" si="3"/>
        <v>48.666666666666664</v>
      </c>
      <c r="H8" s="49">
        <f t="shared" si="3"/>
        <v>47.096774193548384</v>
      </c>
      <c r="I8" s="49">
        <f t="shared" si="3"/>
        <v>45.625</v>
      </c>
      <c r="J8" s="49">
        <f t="shared" si="3"/>
        <v>44.242424242424242</v>
      </c>
      <c r="K8" s="49">
        <f t="shared" si="3"/>
        <v>42.941176470588232</v>
      </c>
      <c r="L8" s="49">
        <f t="shared" si="3"/>
        <v>41.714285714285715</v>
      </c>
      <c r="M8" s="49">
        <f t="shared" si="3"/>
        <v>40.555555555555557</v>
      </c>
      <c r="N8" s="49">
        <f t="shared" si="3"/>
        <v>39.45945945945946</v>
      </c>
      <c r="O8" s="1"/>
      <c r="P8" s="1"/>
      <c r="Q8" s="1"/>
      <c r="R8" s="1"/>
      <c r="S8" s="1"/>
    </row>
    <row r="9" spans="1:19" x14ac:dyDescent="0.25">
      <c r="A9" s="44" t="s">
        <v>92</v>
      </c>
      <c r="B9" s="42"/>
      <c r="C9" s="42"/>
      <c r="D9" s="42"/>
      <c r="E9" s="49"/>
      <c r="F9" s="49"/>
      <c r="G9" s="49"/>
      <c r="H9" s="49"/>
      <c r="I9" s="49"/>
      <c r="J9" s="49"/>
      <c r="K9" s="49"/>
      <c r="L9" s="49"/>
      <c r="M9" s="49"/>
      <c r="N9" s="49"/>
      <c r="O9" s="1"/>
      <c r="P9" s="1"/>
      <c r="Q9" s="1"/>
      <c r="R9" s="1"/>
      <c r="S9" s="1"/>
    </row>
    <row r="10" spans="1:19" x14ac:dyDescent="0.25">
      <c r="A10" s="1"/>
      <c r="B10" s="42" t="s">
        <v>56</v>
      </c>
      <c r="C10" s="1" t="s">
        <v>94</v>
      </c>
      <c r="D10" s="1"/>
      <c r="E10" s="74">
        <v>6000</v>
      </c>
      <c r="F10" s="74">
        <f>E10*(1+$O$10)</f>
        <v>6180</v>
      </c>
      <c r="G10" s="74">
        <f t="shared" ref="G10:N10" si="4">F10*(1+$O$10)</f>
        <v>6365.4000000000005</v>
      </c>
      <c r="H10" s="74">
        <f t="shared" si="4"/>
        <v>6556.362000000001</v>
      </c>
      <c r="I10" s="74">
        <f t="shared" si="4"/>
        <v>6753.0528600000016</v>
      </c>
      <c r="J10" s="74">
        <f t="shared" si="4"/>
        <v>6955.6444458000014</v>
      </c>
      <c r="K10" s="74">
        <f t="shared" si="4"/>
        <v>7164.3137791740019</v>
      </c>
      <c r="L10" s="74">
        <f t="shared" si="4"/>
        <v>7379.2431925492219</v>
      </c>
      <c r="M10" s="74">
        <f t="shared" si="4"/>
        <v>7600.6204883256987</v>
      </c>
      <c r="N10" s="74">
        <f t="shared" si="4"/>
        <v>7828.6391029754695</v>
      </c>
      <c r="O10" s="50">
        <v>0.03</v>
      </c>
      <c r="P10" s="1" t="s">
        <v>1</v>
      </c>
      <c r="Q10" s="1"/>
      <c r="R10" s="1"/>
      <c r="S10" s="1"/>
    </row>
    <row r="11" spans="1:19" x14ac:dyDescent="0.25">
      <c r="A11" s="1"/>
      <c r="B11" s="42" t="s">
        <v>57</v>
      </c>
      <c r="C11" s="1" t="s">
        <v>94</v>
      </c>
      <c r="D11" s="1"/>
      <c r="E11" s="74">
        <v>50000</v>
      </c>
      <c r="F11" s="74">
        <f>E11*(1+$O$11)</f>
        <v>51500</v>
      </c>
      <c r="G11" s="74">
        <f t="shared" ref="G11:N11" si="5">F11*(1+$O$11)</f>
        <v>53045</v>
      </c>
      <c r="H11" s="74">
        <f t="shared" si="5"/>
        <v>54636.35</v>
      </c>
      <c r="I11" s="74">
        <f t="shared" si="5"/>
        <v>56275.440499999997</v>
      </c>
      <c r="J11" s="74">
        <f t="shared" si="5"/>
        <v>57963.703714999996</v>
      </c>
      <c r="K11" s="74">
        <f t="shared" si="5"/>
        <v>59702.614826450001</v>
      </c>
      <c r="L11" s="74">
        <f t="shared" si="5"/>
        <v>61493.693271243501</v>
      </c>
      <c r="M11" s="74">
        <f t="shared" si="5"/>
        <v>63338.504069380804</v>
      </c>
      <c r="N11" s="74">
        <f t="shared" si="5"/>
        <v>65238.659191462233</v>
      </c>
      <c r="O11" s="50">
        <v>0.03</v>
      </c>
      <c r="P11" s="1" t="s">
        <v>1</v>
      </c>
      <c r="Q11" s="1"/>
      <c r="R11" s="1"/>
      <c r="S11" s="1"/>
    </row>
    <row r="12" spans="1:19" x14ac:dyDescent="0.25">
      <c r="A12" s="1"/>
      <c r="B12" s="42" t="s">
        <v>58</v>
      </c>
      <c r="C12" s="1" t="s">
        <v>94</v>
      </c>
      <c r="D12" s="1"/>
      <c r="E12" s="74">
        <v>4500</v>
      </c>
      <c r="F12" s="74">
        <f>E12*(1+$O$12)</f>
        <v>4635</v>
      </c>
      <c r="G12" s="74">
        <f t="shared" ref="G12:N12" si="6">F12*(1+$O$12)</f>
        <v>4774.05</v>
      </c>
      <c r="H12" s="74">
        <f t="shared" si="6"/>
        <v>4917.2715000000007</v>
      </c>
      <c r="I12" s="74">
        <f t="shared" si="6"/>
        <v>5064.7896450000007</v>
      </c>
      <c r="J12" s="74">
        <f t="shared" si="6"/>
        <v>5216.7333343500013</v>
      </c>
      <c r="K12" s="74">
        <f t="shared" si="6"/>
        <v>5373.2353343805016</v>
      </c>
      <c r="L12" s="74">
        <f t="shared" si="6"/>
        <v>5534.4323944119169</v>
      </c>
      <c r="M12" s="74">
        <f t="shared" si="6"/>
        <v>5700.4653662442743</v>
      </c>
      <c r="N12" s="74">
        <f t="shared" si="6"/>
        <v>5871.4793272316028</v>
      </c>
      <c r="O12" s="50">
        <v>0.03</v>
      </c>
      <c r="P12" s="1" t="s">
        <v>1</v>
      </c>
      <c r="Q12" s="1"/>
      <c r="R12" s="1"/>
      <c r="S12" s="1"/>
    </row>
    <row r="13" spans="1:19" x14ac:dyDescent="0.25">
      <c r="A13" s="1"/>
      <c r="B13" s="42" t="s">
        <v>59</v>
      </c>
      <c r="C13" s="1" t="s">
        <v>94</v>
      </c>
      <c r="D13" s="1"/>
      <c r="E13" s="74">
        <v>25000</v>
      </c>
      <c r="F13" s="74">
        <f>E13*(1+$O$13)</f>
        <v>25750</v>
      </c>
      <c r="G13" s="74">
        <f t="shared" ref="G13:N13" si="7">F13*(1+$O$13)</f>
        <v>26522.5</v>
      </c>
      <c r="H13" s="74">
        <f t="shared" si="7"/>
        <v>27318.174999999999</v>
      </c>
      <c r="I13" s="74">
        <f t="shared" si="7"/>
        <v>28137.720249999998</v>
      </c>
      <c r="J13" s="74">
        <f t="shared" si="7"/>
        <v>28981.851857499998</v>
      </c>
      <c r="K13" s="74">
        <f t="shared" si="7"/>
        <v>29851.307413225</v>
      </c>
      <c r="L13" s="74">
        <f t="shared" si="7"/>
        <v>30746.84663562175</v>
      </c>
      <c r="M13" s="74">
        <f t="shared" si="7"/>
        <v>31669.252034690402</v>
      </c>
      <c r="N13" s="74">
        <f t="shared" si="7"/>
        <v>32619.329595731117</v>
      </c>
      <c r="O13" s="50">
        <v>0.03</v>
      </c>
      <c r="P13" s="1" t="s">
        <v>1</v>
      </c>
      <c r="Q13" s="1"/>
      <c r="R13" s="1"/>
      <c r="S13" s="1"/>
    </row>
    <row r="14" spans="1:19" x14ac:dyDescent="0.25">
      <c r="A14" s="1"/>
      <c r="B14" s="42" t="s">
        <v>60</v>
      </c>
      <c r="C14" s="1" t="s">
        <v>94</v>
      </c>
      <c r="D14" s="1"/>
      <c r="E14" s="74">
        <v>115000</v>
      </c>
      <c r="F14" s="74">
        <f>E14*(1+$O$14)</f>
        <v>118450</v>
      </c>
      <c r="G14" s="74">
        <f t="shared" ref="G14:N14" si="8">F14*(1+$O$14)</f>
        <v>122003.5</v>
      </c>
      <c r="H14" s="74">
        <f t="shared" si="8"/>
        <v>125663.60500000001</v>
      </c>
      <c r="I14" s="74">
        <f t="shared" si="8"/>
        <v>129433.51315000001</v>
      </c>
      <c r="J14" s="74">
        <f t="shared" si="8"/>
        <v>133316.51854450002</v>
      </c>
      <c r="K14" s="74">
        <f t="shared" si="8"/>
        <v>137316.01410083502</v>
      </c>
      <c r="L14" s="74">
        <f t="shared" si="8"/>
        <v>141435.49452386008</v>
      </c>
      <c r="M14" s="74">
        <f t="shared" si="8"/>
        <v>145678.55935957588</v>
      </c>
      <c r="N14" s="74">
        <f t="shared" si="8"/>
        <v>150048.91614036317</v>
      </c>
      <c r="O14" s="50">
        <v>0.03</v>
      </c>
      <c r="P14" s="1" t="s">
        <v>1</v>
      </c>
      <c r="Q14" s="1"/>
      <c r="R14" s="1"/>
      <c r="S14" s="1"/>
    </row>
    <row r="15" spans="1:19" x14ac:dyDescent="0.25">
      <c r="A15" s="1"/>
      <c r="B15" s="42" t="s">
        <v>61</v>
      </c>
      <c r="C15" s="1" t="s">
        <v>94</v>
      </c>
      <c r="D15" s="1"/>
      <c r="E15" s="74">
        <v>12000</v>
      </c>
      <c r="F15" s="74">
        <f>E15*(1+$O$15)</f>
        <v>12360</v>
      </c>
      <c r="G15" s="74">
        <f t="shared" ref="G15:N15" si="9">F15*(1+$O$15)</f>
        <v>12730.800000000001</v>
      </c>
      <c r="H15" s="74">
        <f t="shared" si="9"/>
        <v>13112.724000000002</v>
      </c>
      <c r="I15" s="74">
        <f t="shared" si="9"/>
        <v>13506.105720000003</v>
      </c>
      <c r="J15" s="74">
        <f t="shared" si="9"/>
        <v>13911.288891600003</v>
      </c>
      <c r="K15" s="74">
        <f t="shared" si="9"/>
        <v>14328.627558348004</v>
      </c>
      <c r="L15" s="74">
        <f t="shared" si="9"/>
        <v>14758.486385098444</v>
      </c>
      <c r="M15" s="74">
        <f t="shared" si="9"/>
        <v>15201.240976651397</v>
      </c>
      <c r="N15" s="74">
        <f t="shared" si="9"/>
        <v>15657.278205950939</v>
      </c>
      <c r="O15" s="50">
        <v>0.03</v>
      </c>
      <c r="P15" s="1" t="s">
        <v>1</v>
      </c>
      <c r="Q15" s="1"/>
      <c r="R15" s="1"/>
      <c r="S15" s="1"/>
    </row>
    <row r="16" spans="1:19" x14ac:dyDescent="0.25">
      <c r="A16" s="1"/>
      <c r="B16" s="42" t="s">
        <v>62</v>
      </c>
      <c r="C16" s="1" t="s">
        <v>94</v>
      </c>
      <c r="D16" s="1"/>
      <c r="E16" s="74">
        <v>125</v>
      </c>
      <c r="F16" s="74">
        <f>E16*(1+$O$16)</f>
        <v>128.75</v>
      </c>
      <c r="G16" s="74">
        <f t="shared" ref="G16:N16" si="10">F16*(1+$O$16)</f>
        <v>132.61250000000001</v>
      </c>
      <c r="H16" s="74">
        <f t="shared" si="10"/>
        <v>136.59087500000001</v>
      </c>
      <c r="I16" s="74">
        <f t="shared" si="10"/>
        <v>140.68860125</v>
      </c>
      <c r="J16" s="74">
        <f t="shared" si="10"/>
        <v>144.90925928750002</v>
      </c>
      <c r="K16" s="74">
        <f t="shared" si="10"/>
        <v>149.25653706612502</v>
      </c>
      <c r="L16" s="74">
        <f t="shared" si="10"/>
        <v>153.73423317810878</v>
      </c>
      <c r="M16" s="74">
        <f t="shared" si="10"/>
        <v>158.34626017345204</v>
      </c>
      <c r="N16" s="74">
        <f t="shared" si="10"/>
        <v>163.0966479786556</v>
      </c>
      <c r="O16" s="50">
        <v>0.03</v>
      </c>
      <c r="P16" s="1" t="s">
        <v>1</v>
      </c>
      <c r="Q16" s="1"/>
      <c r="R16" s="1"/>
      <c r="S16" s="1"/>
    </row>
    <row r="17" spans="1:19" x14ac:dyDescent="0.25">
      <c r="A17" s="44" t="s">
        <v>91</v>
      </c>
      <c r="B17" s="42"/>
      <c r="C17" s="42"/>
      <c r="D17" s="42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50"/>
      <c r="P17" s="1"/>
      <c r="Q17" s="1"/>
      <c r="R17" s="1"/>
      <c r="S17" s="1"/>
    </row>
    <row r="18" spans="1:19" x14ac:dyDescent="0.25">
      <c r="A18" s="1"/>
      <c r="B18" s="42" t="s">
        <v>65</v>
      </c>
      <c r="C18" s="42"/>
      <c r="D18" s="42"/>
      <c r="E18" s="207">
        <v>55</v>
      </c>
      <c r="F18" s="207">
        <f>E18*(1+$O$18)</f>
        <v>56.1</v>
      </c>
      <c r="G18" s="207">
        <f t="shared" ref="G18:N18" si="11">F18*(1+$O$18)</f>
        <v>57.222000000000001</v>
      </c>
      <c r="H18" s="207">
        <f t="shared" si="11"/>
        <v>58.366440000000004</v>
      </c>
      <c r="I18" s="207">
        <f t="shared" si="11"/>
        <v>59.533768800000004</v>
      </c>
      <c r="J18" s="207">
        <f t="shared" si="11"/>
        <v>60.724444176000006</v>
      </c>
      <c r="K18" s="207">
        <f t="shared" si="11"/>
        <v>61.938933059520004</v>
      </c>
      <c r="L18" s="207">
        <f t="shared" si="11"/>
        <v>63.177711720710406</v>
      </c>
      <c r="M18" s="207">
        <f t="shared" si="11"/>
        <v>64.441265955124621</v>
      </c>
      <c r="N18" s="207">
        <f t="shared" si="11"/>
        <v>65.730091274227121</v>
      </c>
      <c r="O18" s="50">
        <v>0.02</v>
      </c>
      <c r="P18" s="1" t="s">
        <v>72</v>
      </c>
      <c r="Q18" s="1"/>
      <c r="R18" s="1"/>
      <c r="S18" s="1"/>
    </row>
    <row r="19" spans="1:19" x14ac:dyDescent="0.25">
      <c r="A19" s="1"/>
      <c r="B19" s="42" t="s">
        <v>66</v>
      </c>
      <c r="C19" s="42"/>
      <c r="D19" s="42"/>
      <c r="E19" s="207">
        <v>2</v>
      </c>
      <c r="F19" s="207">
        <f>E19*(1+$O$19)</f>
        <v>2.04</v>
      </c>
      <c r="G19" s="207">
        <f t="shared" ref="G19:N19" si="12">F19*(1+$O$19)</f>
        <v>2.0808</v>
      </c>
      <c r="H19" s="207">
        <f t="shared" si="12"/>
        <v>2.1224159999999999</v>
      </c>
      <c r="I19" s="207">
        <f t="shared" si="12"/>
        <v>2.16486432</v>
      </c>
      <c r="J19" s="207">
        <f t="shared" si="12"/>
        <v>2.2081616064</v>
      </c>
      <c r="K19" s="207">
        <f t="shared" si="12"/>
        <v>2.2523248385280001</v>
      </c>
      <c r="L19" s="207">
        <f t="shared" si="12"/>
        <v>2.2973713352985601</v>
      </c>
      <c r="M19" s="207">
        <f t="shared" si="12"/>
        <v>2.3433187620045315</v>
      </c>
      <c r="N19" s="207">
        <f t="shared" si="12"/>
        <v>2.3901851372446221</v>
      </c>
      <c r="O19" s="50">
        <v>0.02</v>
      </c>
      <c r="P19" s="1" t="s">
        <v>72</v>
      </c>
      <c r="Q19" s="1"/>
      <c r="R19" s="1"/>
      <c r="S19" s="1"/>
    </row>
    <row r="20" spans="1:19" x14ac:dyDescent="0.25">
      <c r="A20" s="1"/>
      <c r="B20" s="42" t="s">
        <v>67</v>
      </c>
      <c r="C20" s="42"/>
      <c r="D20" s="42"/>
      <c r="E20" s="207">
        <v>52</v>
      </c>
      <c r="F20" s="207">
        <f>E20*(1+$O$20)</f>
        <v>53.04</v>
      </c>
      <c r="G20" s="207">
        <f t="shared" ref="G20:N20" si="13">F20*(1+$O$20)</f>
        <v>54.1008</v>
      </c>
      <c r="H20" s="207">
        <f t="shared" si="13"/>
        <v>55.182816000000003</v>
      </c>
      <c r="I20" s="207">
        <f t="shared" si="13"/>
        <v>56.286472320000001</v>
      </c>
      <c r="J20" s="207">
        <f t="shared" si="13"/>
        <v>57.412201766400003</v>
      </c>
      <c r="K20" s="207">
        <f t="shared" si="13"/>
        <v>58.560445801728001</v>
      </c>
      <c r="L20" s="207">
        <f t="shared" si="13"/>
        <v>59.731654717762559</v>
      </c>
      <c r="M20" s="207">
        <f t="shared" si="13"/>
        <v>60.926287812117813</v>
      </c>
      <c r="N20" s="207">
        <f t="shared" si="13"/>
        <v>62.144813568360171</v>
      </c>
      <c r="O20" s="50">
        <v>0.02</v>
      </c>
      <c r="P20" s="1" t="s">
        <v>72</v>
      </c>
      <c r="Q20" s="1"/>
      <c r="R20" s="1"/>
      <c r="S20" s="1"/>
    </row>
    <row r="21" spans="1:19" x14ac:dyDescent="0.25">
      <c r="A21" s="1"/>
      <c r="B21" s="42" t="s">
        <v>68</v>
      </c>
      <c r="C21" s="42"/>
      <c r="D21" s="42"/>
      <c r="E21" s="207">
        <v>24</v>
      </c>
      <c r="F21" s="207">
        <f>E21*(1+$O$21)</f>
        <v>24.48</v>
      </c>
      <c r="G21" s="207">
        <f t="shared" ref="G21:N21" si="14">F21*(1+$O$21)</f>
        <v>24.9696</v>
      </c>
      <c r="H21" s="207">
        <f t="shared" si="14"/>
        <v>25.468992</v>
      </c>
      <c r="I21" s="207">
        <f t="shared" si="14"/>
        <v>25.978371840000001</v>
      </c>
      <c r="J21" s="207">
        <f t="shared" si="14"/>
        <v>26.4979392768</v>
      </c>
      <c r="K21" s="207">
        <f t="shared" si="14"/>
        <v>27.027898062336</v>
      </c>
      <c r="L21" s="207">
        <f t="shared" si="14"/>
        <v>27.568456023582719</v>
      </c>
      <c r="M21" s="207">
        <f t="shared" si="14"/>
        <v>28.119825144054374</v>
      </c>
      <c r="N21" s="207">
        <f t="shared" si="14"/>
        <v>28.682221646935464</v>
      </c>
      <c r="O21" s="50">
        <v>0.02</v>
      </c>
      <c r="P21" s="1" t="s">
        <v>72</v>
      </c>
      <c r="Q21" s="1"/>
      <c r="R21" s="1"/>
      <c r="S21" s="1"/>
    </row>
    <row r="22" spans="1:19" x14ac:dyDescent="0.25">
      <c r="A22" s="1"/>
      <c r="B22" s="42" t="s">
        <v>69</v>
      </c>
      <c r="C22" s="42"/>
      <c r="D22" s="42"/>
      <c r="E22" s="207">
        <v>12</v>
      </c>
      <c r="F22" s="207">
        <f>E22*(1+$O$22)</f>
        <v>12.24</v>
      </c>
      <c r="G22" s="207">
        <f t="shared" ref="G22:N22" si="15">F22*(1+$O$22)</f>
        <v>12.4848</v>
      </c>
      <c r="H22" s="207">
        <f t="shared" si="15"/>
        <v>12.734496</v>
      </c>
      <c r="I22" s="207">
        <f t="shared" si="15"/>
        <v>12.989185920000001</v>
      </c>
      <c r="J22" s="207">
        <f t="shared" si="15"/>
        <v>13.2489696384</v>
      </c>
      <c r="K22" s="207">
        <f t="shared" si="15"/>
        <v>13.513949031168</v>
      </c>
      <c r="L22" s="207">
        <f t="shared" si="15"/>
        <v>13.78422801179136</v>
      </c>
      <c r="M22" s="207">
        <f t="shared" si="15"/>
        <v>14.059912572027187</v>
      </c>
      <c r="N22" s="207">
        <f t="shared" si="15"/>
        <v>14.341110823467732</v>
      </c>
      <c r="O22" s="50">
        <v>0.02</v>
      </c>
      <c r="P22" s="1" t="s">
        <v>72</v>
      </c>
      <c r="Q22" s="1"/>
      <c r="R22" s="1"/>
      <c r="S22" s="1"/>
    </row>
    <row r="23" spans="1:19" x14ac:dyDescent="0.25">
      <c r="A23" s="1"/>
      <c r="B23" s="42" t="s">
        <v>70</v>
      </c>
      <c r="C23" s="42"/>
      <c r="D23" s="42"/>
      <c r="E23" s="207">
        <v>2</v>
      </c>
      <c r="F23" s="207">
        <f>E23*(1+$O$23)</f>
        <v>2.04</v>
      </c>
      <c r="G23" s="207">
        <f t="shared" ref="G23:N23" si="16">F23*(1+$O$23)</f>
        <v>2.0808</v>
      </c>
      <c r="H23" s="207">
        <f t="shared" si="16"/>
        <v>2.1224159999999999</v>
      </c>
      <c r="I23" s="207">
        <f t="shared" si="16"/>
        <v>2.16486432</v>
      </c>
      <c r="J23" s="207">
        <f t="shared" si="16"/>
        <v>2.2081616064</v>
      </c>
      <c r="K23" s="207">
        <f t="shared" si="16"/>
        <v>2.2523248385280001</v>
      </c>
      <c r="L23" s="207">
        <f t="shared" si="16"/>
        <v>2.2973713352985601</v>
      </c>
      <c r="M23" s="207">
        <f t="shared" si="16"/>
        <v>2.3433187620045315</v>
      </c>
      <c r="N23" s="207">
        <f t="shared" si="16"/>
        <v>2.3901851372446221</v>
      </c>
      <c r="O23" s="50">
        <v>0.02</v>
      </c>
      <c r="P23" s="1" t="s">
        <v>72</v>
      </c>
      <c r="Q23" s="1"/>
      <c r="R23" s="1"/>
      <c r="S23" s="1"/>
    </row>
    <row r="24" spans="1:19" x14ac:dyDescent="0.25">
      <c r="A24" s="1"/>
      <c r="B24" s="42" t="s">
        <v>71</v>
      </c>
      <c r="C24" s="42"/>
      <c r="D24" s="42"/>
      <c r="E24" s="207">
        <v>100</v>
      </c>
      <c r="F24" s="207">
        <f>E24*(1+$O$24)</f>
        <v>102</v>
      </c>
      <c r="G24" s="207">
        <f t="shared" ref="G24:N24" si="17">F24*(1+$O$24)</f>
        <v>104.04</v>
      </c>
      <c r="H24" s="207">
        <f t="shared" si="17"/>
        <v>106.1208</v>
      </c>
      <c r="I24" s="207">
        <f t="shared" si="17"/>
        <v>108.243216</v>
      </c>
      <c r="J24" s="207">
        <f t="shared" si="17"/>
        <v>110.40808032000001</v>
      </c>
      <c r="K24" s="207">
        <f t="shared" si="17"/>
        <v>112.61624192640001</v>
      </c>
      <c r="L24" s="207">
        <f t="shared" si="17"/>
        <v>114.868566764928</v>
      </c>
      <c r="M24" s="207">
        <f t="shared" si="17"/>
        <v>117.16593810022657</v>
      </c>
      <c r="N24" s="207">
        <f t="shared" si="17"/>
        <v>119.5092568622311</v>
      </c>
      <c r="O24" s="50">
        <v>0.02</v>
      </c>
      <c r="P24" s="1" t="s">
        <v>72</v>
      </c>
      <c r="Q24" s="1"/>
      <c r="R24" s="1"/>
      <c r="S24" s="1"/>
    </row>
    <row r="25" spans="1:19" x14ac:dyDescent="0.25">
      <c r="A25" s="42"/>
      <c r="B25" s="42"/>
      <c r="C25" s="42"/>
      <c r="D25" s="42"/>
      <c r="E25" s="75"/>
      <c r="F25" s="75"/>
      <c r="G25" s="75"/>
      <c r="H25" s="75"/>
      <c r="I25" s="76"/>
      <c r="J25" s="76"/>
      <c r="K25" s="77"/>
      <c r="L25" s="77"/>
      <c r="M25" s="77"/>
      <c r="N25" s="77"/>
      <c r="O25" s="50"/>
      <c r="P25" s="1"/>
      <c r="Q25" s="1"/>
      <c r="R25" s="1"/>
      <c r="S25" s="1"/>
    </row>
    <row r="26" spans="1:19" x14ac:dyDescent="0.25">
      <c r="A26" s="44" t="s">
        <v>5</v>
      </c>
      <c r="B26" s="42"/>
      <c r="C26" s="42"/>
      <c r="D26" s="42"/>
      <c r="E26" s="75"/>
      <c r="F26" s="75"/>
      <c r="G26" s="75"/>
      <c r="H26" s="75"/>
      <c r="I26" s="76"/>
      <c r="J26" s="76"/>
      <c r="K26" s="77"/>
      <c r="L26" s="77"/>
      <c r="M26" s="77"/>
      <c r="N26" s="77"/>
      <c r="O26" s="50"/>
      <c r="P26" s="1"/>
      <c r="Q26" s="1"/>
      <c r="R26" s="1"/>
      <c r="S26" s="1"/>
    </row>
    <row r="27" spans="1:19" x14ac:dyDescent="0.25">
      <c r="A27" s="42" t="s">
        <v>6</v>
      </c>
      <c r="B27" s="42"/>
      <c r="C27" s="42"/>
      <c r="D27" s="42"/>
      <c r="E27" s="78"/>
      <c r="F27" s="78"/>
      <c r="G27" s="78"/>
      <c r="H27" s="78"/>
      <c r="I27" s="76"/>
      <c r="J27" s="76"/>
      <c r="K27" s="77"/>
      <c r="L27" s="77"/>
      <c r="M27" s="77"/>
      <c r="N27" s="77"/>
      <c r="O27" s="1"/>
      <c r="P27" s="1"/>
      <c r="Q27" s="1"/>
      <c r="R27" s="1"/>
      <c r="S27" s="1"/>
    </row>
    <row r="28" spans="1:19" x14ac:dyDescent="0.25">
      <c r="A28" s="42"/>
      <c r="B28" s="42" t="s">
        <v>37</v>
      </c>
      <c r="C28" s="52"/>
      <c r="D28" s="52"/>
      <c r="E28" s="78">
        <f>E10*E18</f>
        <v>330000</v>
      </c>
      <c r="F28" s="78">
        <f t="shared" ref="F28:N28" si="18">F10*F18</f>
        <v>346698</v>
      </c>
      <c r="G28" s="78">
        <f t="shared" si="18"/>
        <v>364240.91880000004</v>
      </c>
      <c r="H28" s="78">
        <f t="shared" si="18"/>
        <v>382671.50929128006</v>
      </c>
      <c r="I28" s="78">
        <f t="shared" si="18"/>
        <v>402034.68766141887</v>
      </c>
      <c r="J28" s="78">
        <f t="shared" si="18"/>
        <v>422377.64285708667</v>
      </c>
      <c r="K28" s="78">
        <f t="shared" si="18"/>
        <v>443749.95158565528</v>
      </c>
      <c r="L28" s="78">
        <f t="shared" si="18"/>
        <v>466203.69913588947</v>
      </c>
      <c r="M28" s="78">
        <f t="shared" si="18"/>
        <v>489793.6063121655</v>
      </c>
      <c r="N28" s="78">
        <f t="shared" si="18"/>
        <v>514577.16279156116</v>
      </c>
      <c r="O28" s="1"/>
      <c r="P28" s="1"/>
      <c r="Q28" s="1"/>
      <c r="R28" s="1"/>
      <c r="S28" s="1"/>
    </row>
    <row r="29" spans="1:19" x14ac:dyDescent="0.25">
      <c r="A29" s="42"/>
      <c r="B29" s="42" t="s">
        <v>38</v>
      </c>
      <c r="C29" s="52"/>
      <c r="D29" s="52"/>
      <c r="E29" s="78">
        <f>E11*E19</f>
        <v>100000</v>
      </c>
      <c r="F29" s="78">
        <f t="shared" ref="F29:N29" si="19">F11*F19</f>
        <v>105060</v>
      </c>
      <c r="G29" s="78">
        <f t="shared" si="19"/>
        <v>110376.03599999999</v>
      </c>
      <c r="H29" s="78">
        <f t="shared" si="19"/>
        <v>115961.06342159999</v>
      </c>
      <c r="I29" s="78">
        <f t="shared" si="19"/>
        <v>121828.69323073296</v>
      </c>
      <c r="J29" s="78">
        <f t="shared" si="19"/>
        <v>127993.22510820805</v>
      </c>
      <c r="K29" s="78">
        <f t="shared" si="19"/>
        <v>134469.68229868339</v>
      </c>
      <c r="L29" s="78">
        <f t="shared" si="19"/>
        <v>141273.84822299675</v>
      </c>
      <c r="M29" s="78">
        <f t="shared" si="19"/>
        <v>148422.30494308041</v>
      </c>
      <c r="N29" s="78">
        <f t="shared" si="19"/>
        <v>155932.47357320029</v>
      </c>
      <c r="O29" s="1"/>
      <c r="P29" s="1"/>
      <c r="Q29" s="1"/>
      <c r="R29" s="1"/>
      <c r="S29" s="1"/>
    </row>
    <row r="30" spans="1:19" x14ac:dyDescent="0.25">
      <c r="A30" s="42"/>
      <c r="B30" s="42" t="s">
        <v>39</v>
      </c>
      <c r="C30" s="52"/>
      <c r="D30" s="52"/>
      <c r="E30" s="78">
        <f>E12*E20</f>
        <v>234000</v>
      </c>
      <c r="F30" s="78">
        <f t="shared" ref="F30:N30" si="20">F12*F20</f>
        <v>245840.4</v>
      </c>
      <c r="G30" s="78">
        <f t="shared" si="20"/>
        <v>258279.92424000002</v>
      </c>
      <c r="H30" s="78">
        <f t="shared" si="20"/>
        <v>271348.88840654405</v>
      </c>
      <c r="I30" s="78">
        <f t="shared" si="20"/>
        <v>285079.14215991518</v>
      </c>
      <c r="J30" s="78">
        <f t="shared" si="20"/>
        <v>299504.14675320691</v>
      </c>
      <c r="K30" s="78">
        <f t="shared" si="20"/>
        <v>314659.05657891918</v>
      </c>
      <c r="L30" s="78">
        <f t="shared" si="20"/>
        <v>330580.80484181253</v>
      </c>
      <c r="M30" s="78">
        <f t="shared" si="20"/>
        <v>347308.19356680824</v>
      </c>
      <c r="N30" s="78">
        <f t="shared" si="20"/>
        <v>364881.98816128878</v>
      </c>
      <c r="O30" s="1"/>
      <c r="P30" s="1"/>
      <c r="Q30" s="1"/>
      <c r="R30" s="1"/>
      <c r="S30" s="1"/>
    </row>
    <row r="31" spans="1:19" x14ac:dyDescent="0.25">
      <c r="A31" s="42"/>
      <c r="B31" s="42" t="s">
        <v>40</v>
      </c>
      <c r="C31" s="52"/>
      <c r="D31" s="52"/>
      <c r="E31" s="78">
        <f>E13*E21</f>
        <v>600000</v>
      </c>
      <c r="F31" s="78">
        <f t="shared" ref="F31:N31" si="21">F13*F21</f>
        <v>630360</v>
      </c>
      <c r="G31" s="78">
        <f t="shared" si="21"/>
        <v>662256.21600000001</v>
      </c>
      <c r="H31" s="78">
        <f t="shared" si="21"/>
        <v>695766.38052959996</v>
      </c>
      <c r="I31" s="78">
        <f t="shared" si="21"/>
        <v>730972.15938439779</v>
      </c>
      <c r="J31" s="78">
        <f t="shared" si="21"/>
        <v>767959.35064924823</v>
      </c>
      <c r="K31" s="78">
        <f t="shared" si="21"/>
        <v>806818.0937921002</v>
      </c>
      <c r="L31" s="78">
        <f t="shared" si="21"/>
        <v>847643.08933798049</v>
      </c>
      <c r="M31" s="78">
        <f t="shared" si="21"/>
        <v>890533.82965848234</v>
      </c>
      <c r="N31" s="78">
        <f t="shared" si="21"/>
        <v>935594.84143920161</v>
      </c>
      <c r="O31" s="1"/>
      <c r="P31" s="1"/>
      <c r="Q31" s="1"/>
      <c r="R31" s="1"/>
      <c r="S31" s="1"/>
    </row>
    <row r="32" spans="1:19" x14ac:dyDescent="0.25">
      <c r="A32" s="42"/>
      <c r="B32" s="42" t="s">
        <v>41</v>
      </c>
      <c r="C32" s="52"/>
      <c r="D32" s="52"/>
      <c r="E32" s="78">
        <f>E22*E14</f>
        <v>1380000</v>
      </c>
      <c r="F32" s="78">
        <f t="shared" ref="F32:N32" si="22">F22*F14</f>
        <v>1449828</v>
      </c>
      <c r="G32" s="78">
        <f t="shared" si="22"/>
        <v>1523189.2967999999</v>
      </c>
      <c r="H32" s="78">
        <f t="shared" si="22"/>
        <v>1600262.6752180802</v>
      </c>
      <c r="I32" s="78">
        <f t="shared" si="22"/>
        <v>1681235.9665841151</v>
      </c>
      <c r="J32" s="78">
        <f t="shared" si="22"/>
        <v>1766306.5064932713</v>
      </c>
      <c r="K32" s="78">
        <f t="shared" si="22"/>
        <v>1855681.6157218309</v>
      </c>
      <c r="L32" s="78">
        <f t="shared" si="22"/>
        <v>1949579.1054773554</v>
      </c>
      <c r="M32" s="78">
        <f t="shared" si="22"/>
        <v>2048227.8082145099</v>
      </c>
      <c r="N32" s="78">
        <f t="shared" si="22"/>
        <v>2151868.1353101642</v>
      </c>
      <c r="O32" s="1"/>
      <c r="P32" s="1"/>
      <c r="Q32" s="1"/>
      <c r="R32" s="1"/>
      <c r="S32" s="1"/>
    </row>
    <row r="33" spans="1:24" x14ac:dyDescent="0.25">
      <c r="A33" s="42"/>
      <c r="B33" s="42" t="s">
        <v>42</v>
      </c>
      <c r="C33" s="52"/>
      <c r="D33" s="52"/>
      <c r="E33" s="78">
        <f>E15*E23</f>
        <v>24000</v>
      </c>
      <c r="F33" s="78">
        <f t="shared" ref="F33:N33" si="23">F15*F23</f>
        <v>25214.400000000001</v>
      </c>
      <c r="G33" s="78">
        <f t="shared" si="23"/>
        <v>26490.248640000002</v>
      </c>
      <c r="H33" s="78">
        <f t="shared" si="23"/>
        <v>27830.655221184003</v>
      </c>
      <c r="I33" s="78">
        <f t="shared" si="23"/>
        <v>29238.886375375918</v>
      </c>
      <c r="J33" s="78">
        <f t="shared" si="23"/>
        <v>30718.374025969937</v>
      </c>
      <c r="K33" s="78">
        <f t="shared" si="23"/>
        <v>32272.723751684021</v>
      </c>
      <c r="L33" s="78">
        <f t="shared" si="23"/>
        <v>33905.72357351923</v>
      </c>
      <c r="M33" s="78">
        <f t="shared" si="23"/>
        <v>35621.353186339307</v>
      </c>
      <c r="N33" s="78">
        <f t="shared" si="23"/>
        <v>37423.79365756808</v>
      </c>
      <c r="O33" s="1"/>
      <c r="P33" s="1"/>
      <c r="Q33" s="1"/>
      <c r="R33" s="1"/>
      <c r="S33" s="1"/>
    </row>
    <row r="34" spans="1:24" x14ac:dyDescent="0.25">
      <c r="A34" s="42"/>
      <c r="B34" s="42" t="s">
        <v>43</v>
      </c>
      <c r="C34" s="42"/>
      <c r="D34" s="42"/>
      <c r="E34" s="78">
        <f>E16*E24</f>
        <v>12500</v>
      </c>
      <c r="F34" s="78">
        <f t="shared" ref="F34:N34" si="24">F16*F24</f>
        <v>13132.5</v>
      </c>
      <c r="G34" s="78">
        <f t="shared" si="24"/>
        <v>13797.004500000003</v>
      </c>
      <c r="H34" s="78">
        <f t="shared" si="24"/>
        <v>14495.132927700002</v>
      </c>
      <c r="I34" s="78">
        <f t="shared" si="24"/>
        <v>15228.586653841621</v>
      </c>
      <c r="J34" s="78">
        <f t="shared" si="24"/>
        <v>15999.15313852601</v>
      </c>
      <c r="K34" s="78">
        <f t="shared" si="24"/>
        <v>16808.710287335427</v>
      </c>
      <c r="L34" s="78">
        <f t="shared" si="24"/>
        <v>17659.231027874597</v>
      </c>
      <c r="M34" s="78">
        <f t="shared" si="24"/>
        <v>18552.788117885055</v>
      </c>
      <c r="N34" s="78">
        <f t="shared" si="24"/>
        <v>19491.559196650036</v>
      </c>
      <c r="O34" s="1"/>
      <c r="P34" s="1"/>
      <c r="Q34" s="1"/>
      <c r="R34" s="1"/>
      <c r="S34" s="1"/>
    </row>
    <row r="35" spans="1:24" x14ac:dyDescent="0.25">
      <c r="A35" s="42" t="s">
        <v>7</v>
      </c>
      <c r="B35" s="42"/>
      <c r="C35" s="42"/>
      <c r="D35" s="42"/>
      <c r="E35" s="79">
        <f>SUM(E28:E34)</f>
        <v>2680500</v>
      </c>
      <c r="F35" s="79">
        <f t="shared" ref="F35:N35" si="25">SUM(F28:F34)</f>
        <v>2816133.3</v>
      </c>
      <c r="G35" s="79">
        <f t="shared" si="25"/>
        <v>2958629.6449799994</v>
      </c>
      <c r="H35" s="79">
        <f t="shared" si="25"/>
        <v>3108336.3050159877</v>
      </c>
      <c r="I35" s="79">
        <f t="shared" si="25"/>
        <v>3265618.1220497973</v>
      </c>
      <c r="J35" s="79">
        <f t="shared" si="25"/>
        <v>3430858.3990255166</v>
      </c>
      <c r="K35" s="79">
        <f t="shared" si="25"/>
        <v>3604459.8340162081</v>
      </c>
      <c r="L35" s="79">
        <f t="shared" si="25"/>
        <v>3786845.5016174288</v>
      </c>
      <c r="M35" s="79">
        <f t="shared" si="25"/>
        <v>3978459.8839992709</v>
      </c>
      <c r="N35" s="79">
        <f t="shared" si="25"/>
        <v>4179769.9541296344</v>
      </c>
      <c r="O35" s="1"/>
      <c r="P35" s="1"/>
      <c r="Q35" s="1"/>
      <c r="R35" s="1"/>
      <c r="S35" s="1"/>
    </row>
    <row r="36" spans="1:24" x14ac:dyDescent="0.25">
      <c r="A36" s="42"/>
      <c r="B36" s="42"/>
      <c r="C36" s="42"/>
      <c r="D36" s="42"/>
      <c r="E36" s="79"/>
      <c r="F36" s="79"/>
      <c r="G36" s="79"/>
      <c r="H36" s="79"/>
      <c r="I36" s="76"/>
      <c r="J36" s="76"/>
      <c r="K36" s="77"/>
      <c r="L36" s="77"/>
      <c r="M36" s="77"/>
      <c r="N36" s="77"/>
      <c r="O36" s="1"/>
      <c r="P36" s="1"/>
      <c r="Q36" s="1"/>
      <c r="R36" s="1"/>
      <c r="S36" s="1"/>
    </row>
    <row r="37" spans="1:24" x14ac:dyDescent="0.25">
      <c r="A37" s="42" t="s">
        <v>8</v>
      </c>
      <c r="B37" s="42"/>
      <c r="C37" s="42"/>
      <c r="D37" s="42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1"/>
      <c r="P37" s="1"/>
      <c r="Q37" s="1"/>
      <c r="R37" s="1"/>
      <c r="S37" s="1"/>
    </row>
    <row r="38" spans="1:24" x14ac:dyDescent="0.25">
      <c r="A38" s="42"/>
      <c r="B38" s="42" t="s">
        <v>37</v>
      </c>
      <c r="C38" s="42"/>
      <c r="D38" s="42"/>
      <c r="E38" s="75">
        <f t="shared" ref="E38:N38" si="26">E28*$O$38</f>
        <v>247500</v>
      </c>
      <c r="F38" s="75">
        <f t="shared" si="26"/>
        <v>260023.5</v>
      </c>
      <c r="G38" s="75">
        <f t="shared" si="26"/>
        <v>273180.68910000002</v>
      </c>
      <c r="H38" s="75">
        <f t="shared" si="26"/>
        <v>287003.63196846005</v>
      </c>
      <c r="I38" s="75">
        <f t="shared" si="26"/>
        <v>301526.01574606413</v>
      </c>
      <c r="J38" s="75">
        <f t="shared" si="26"/>
        <v>316783.23214281502</v>
      </c>
      <c r="K38" s="75">
        <f t="shared" si="26"/>
        <v>332812.46368924144</v>
      </c>
      <c r="L38" s="75">
        <f t="shared" si="26"/>
        <v>349652.77435191709</v>
      </c>
      <c r="M38" s="75">
        <f t="shared" si="26"/>
        <v>367345.20473412413</v>
      </c>
      <c r="N38" s="75">
        <f t="shared" si="26"/>
        <v>385932.87209367089</v>
      </c>
      <c r="O38" s="50">
        <v>0.75</v>
      </c>
      <c r="P38" s="1" t="s">
        <v>64</v>
      </c>
      <c r="Q38" s="1"/>
      <c r="R38" s="1"/>
      <c r="S38" s="1"/>
    </row>
    <row r="39" spans="1:24" x14ac:dyDescent="0.25">
      <c r="A39" s="42"/>
      <c r="B39" s="42" t="s">
        <v>38</v>
      </c>
      <c r="C39" s="42"/>
      <c r="D39" s="42"/>
      <c r="E39" s="75">
        <f t="shared" ref="E39:N39" si="27">E29*$O$39</f>
        <v>75000</v>
      </c>
      <c r="F39" s="75">
        <f t="shared" si="27"/>
        <v>78795</v>
      </c>
      <c r="G39" s="75">
        <f t="shared" si="27"/>
        <v>82782.027000000002</v>
      </c>
      <c r="H39" s="75">
        <f t="shared" si="27"/>
        <v>86970.797566199995</v>
      </c>
      <c r="I39" s="75">
        <f t="shared" si="27"/>
        <v>91371.519923049724</v>
      </c>
      <c r="J39" s="75">
        <f t="shared" si="27"/>
        <v>95994.918831156043</v>
      </c>
      <c r="K39" s="75">
        <f t="shared" si="27"/>
        <v>100852.26172401254</v>
      </c>
      <c r="L39" s="75">
        <f t="shared" si="27"/>
        <v>105955.38616724756</v>
      </c>
      <c r="M39" s="75">
        <f t="shared" si="27"/>
        <v>111316.72870731031</v>
      </c>
      <c r="N39" s="75">
        <f t="shared" si="27"/>
        <v>116949.35517990022</v>
      </c>
      <c r="O39" s="50">
        <v>0.75</v>
      </c>
      <c r="P39" s="1" t="s">
        <v>64</v>
      </c>
      <c r="Q39" s="1"/>
      <c r="R39" s="1"/>
      <c r="S39" s="1"/>
    </row>
    <row r="40" spans="1:24" x14ac:dyDescent="0.25">
      <c r="A40" s="42"/>
      <c r="B40" s="42" t="s">
        <v>39</v>
      </c>
      <c r="C40" s="42"/>
      <c r="D40" s="42"/>
      <c r="E40" s="75">
        <f t="shared" ref="E40:N40" si="28">E1+E30*$O$40</f>
        <v>175500</v>
      </c>
      <c r="F40" s="75">
        <f t="shared" si="28"/>
        <v>184380.3</v>
      </c>
      <c r="G40" s="75">
        <f t="shared" si="28"/>
        <v>193709.94318</v>
      </c>
      <c r="H40" s="75">
        <f t="shared" si="28"/>
        <v>203511.66630490805</v>
      </c>
      <c r="I40" s="75">
        <f t="shared" si="28"/>
        <v>213809.35661993638</v>
      </c>
      <c r="J40" s="75">
        <f t="shared" si="28"/>
        <v>224628.1100649052</v>
      </c>
      <c r="K40" s="75">
        <f t="shared" si="28"/>
        <v>235994.29243418938</v>
      </c>
      <c r="L40" s="75">
        <f t="shared" si="28"/>
        <v>247935.60363135941</v>
      </c>
      <c r="M40" s="75">
        <f t="shared" si="28"/>
        <v>260481.14517510618</v>
      </c>
      <c r="N40" s="75">
        <f t="shared" si="28"/>
        <v>273661.49112096662</v>
      </c>
      <c r="O40" s="50">
        <v>0.75</v>
      </c>
      <c r="P40" s="1" t="s">
        <v>64</v>
      </c>
      <c r="Q40" s="1"/>
      <c r="R40" s="1"/>
      <c r="S40" s="1"/>
    </row>
    <row r="41" spans="1:24" x14ac:dyDescent="0.25">
      <c r="A41" s="42"/>
      <c r="B41" s="42" t="s">
        <v>40</v>
      </c>
      <c r="C41" s="42"/>
      <c r="D41" s="42"/>
      <c r="E41" s="75">
        <f t="shared" ref="E41:N41" si="29">E31*$O$41</f>
        <v>450000</v>
      </c>
      <c r="F41" s="75">
        <f t="shared" si="29"/>
        <v>472770</v>
      </c>
      <c r="G41" s="75">
        <f t="shared" si="29"/>
        <v>496692.16200000001</v>
      </c>
      <c r="H41" s="75">
        <f t="shared" si="29"/>
        <v>521824.78539719997</v>
      </c>
      <c r="I41" s="75">
        <f t="shared" si="29"/>
        <v>548229.11953829834</v>
      </c>
      <c r="J41" s="75">
        <f t="shared" si="29"/>
        <v>575969.51298693614</v>
      </c>
      <c r="K41" s="75">
        <f t="shared" si="29"/>
        <v>605113.57034407509</v>
      </c>
      <c r="L41" s="75">
        <f t="shared" si="29"/>
        <v>635732.3170034854</v>
      </c>
      <c r="M41" s="75">
        <f t="shared" si="29"/>
        <v>667900.37224386178</v>
      </c>
      <c r="N41" s="75">
        <f t="shared" si="29"/>
        <v>701696.13107940124</v>
      </c>
      <c r="O41" s="50">
        <v>0.75</v>
      </c>
      <c r="P41" s="1" t="s">
        <v>64</v>
      </c>
      <c r="Q41" s="1"/>
      <c r="R41" s="1"/>
      <c r="S41" s="1"/>
    </row>
    <row r="42" spans="1:24" x14ac:dyDescent="0.25">
      <c r="A42" s="42"/>
      <c r="B42" s="42" t="s">
        <v>41</v>
      </c>
      <c r="C42" s="42"/>
      <c r="D42" s="42"/>
      <c r="E42" s="75">
        <f t="shared" ref="E42:N42" si="30">E32*$O$42</f>
        <v>1035000</v>
      </c>
      <c r="F42" s="75">
        <f t="shared" si="30"/>
        <v>1087371</v>
      </c>
      <c r="G42" s="75">
        <f t="shared" si="30"/>
        <v>1142391.9726</v>
      </c>
      <c r="H42" s="75">
        <f t="shared" si="30"/>
        <v>1200197.0064135601</v>
      </c>
      <c r="I42" s="75">
        <f t="shared" si="30"/>
        <v>1260926.9749380862</v>
      </c>
      <c r="J42" s="75">
        <f t="shared" si="30"/>
        <v>1324729.8798699535</v>
      </c>
      <c r="K42" s="75">
        <f t="shared" si="30"/>
        <v>1391761.2117913731</v>
      </c>
      <c r="L42" s="75">
        <f t="shared" si="30"/>
        <v>1462184.3291080166</v>
      </c>
      <c r="M42" s="75">
        <f t="shared" si="30"/>
        <v>1536170.8561608824</v>
      </c>
      <c r="N42" s="75">
        <f t="shared" si="30"/>
        <v>1613901.1014826233</v>
      </c>
      <c r="O42" s="50">
        <v>0.75</v>
      </c>
      <c r="P42" s="1" t="s">
        <v>64</v>
      </c>
      <c r="Q42" s="1"/>
      <c r="R42" s="1"/>
      <c r="S42" s="1"/>
      <c r="T42" s="1"/>
      <c r="U42" s="1"/>
      <c r="V42" s="1"/>
      <c r="W42" s="1"/>
      <c r="X42" s="1"/>
    </row>
    <row r="43" spans="1:24" x14ac:dyDescent="0.25">
      <c r="A43" s="42"/>
      <c r="B43" s="42" t="s">
        <v>42</v>
      </c>
      <c r="C43" s="42"/>
      <c r="D43" s="42"/>
      <c r="E43" s="75">
        <f t="shared" ref="E43:N43" si="31">E33*$O$43</f>
        <v>18000</v>
      </c>
      <c r="F43" s="75">
        <f t="shared" si="31"/>
        <v>18910.800000000003</v>
      </c>
      <c r="G43" s="75">
        <f t="shared" si="31"/>
        <v>19867.68648</v>
      </c>
      <c r="H43" s="75">
        <f t="shared" si="31"/>
        <v>20872.991415888002</v>
      </c>
      <c r="I43" s="75">
        <f t="shared" si="31"/>
        <v>21929.164781531937</v>
      </c>
      <c r="J43" s="75">
        <f t="shared" si="31"/>
        <v>23038.780519477452</v>
      </c>
      <c r="K43" s="75">
        <f t="shared" si="31"/>
        <v>24204.542813763015</v>
      </c>
      <c r="L43" s="75">
        <f t="shared" si="31"/>
        <v>25429.292680139421</v>
      </c>
      <c r="M43" s="75">
        <f t="shared" si="31"/>
        <v>26716.014889754479</v>
      </c>
      <c r="N43" s="75">
        <f t="shared" si="31"/>
        <v>28067.84524317606</v>
      </c>
      <c r="O43" s="50">
        <v>0.75</v>
      </c>
      <c r="P43" s="1" t="s">
        <v>64</v>
      </c>
      <c r="Q43" s="1"/>
      <c r="R43" s="1"/>
      <c r="S43" s="1"/>
      <c r="T43" s="1"/>
      <c r="U43" s="1"/>
      <c r="V43" s="1"/>
      <c r="W43" s="1"/>
      <c r="X43" s="1"/>
    </row>
    <row r="44" spans="1:24" x14ac:dyDescent="0.25">
      <c r="A44" s="42"/>
      <c r="B44" s="42" t="s">
        <v>43</v>
      </c>
      <c r="C44" s="42"/>
      <c r="D44" s="42"/>
      <c r="E44" s="80">
        <f t="shared" ref="E44:N44" si="32">E34*$O$44</f>
        <v>9375</v>
      </c>
      <c r="F44" s="80">
        <f t="shared" si="32"/>
        <v>9849.375</v>
      </c>
      <c r="G44" s="80">
        <f t="shared" si="32"/>
        <v>10347.753375000002</v>
      </c>
      <c r="H44" s="80">
        <f t="shared" si="32"/>
        <v>10871.349695775001</v>
      </c>
      <c r="I44" s="80">
        <f t="shared" si="32"/>
        <v>11421.439990381215</v>
      </c>
      <c r="J44" s="80">
        <f t="shared" si="32"/>
        <v>11999.364853894507</v>
      </c>
      <c r="K44" s="80">
        <f t="shared" si="32"/>
        <v>12606.532715501569</v>
      </c>
      <c r="L44" s="80">
        <f t="shared" si="32"/>
        <v>13244.423270905947</v>
      </c>
      <c r="M44" s="80">
        <f t="shared" si="32"/>
        <v>13914.591088413792</v>
      </c>
      <c r="N44" s="80">
        <f t="shared" si="32"/>
        <v>14618.669397487527</v>
      </c>
      <c r="O44" s="50">
        <v>0.75</v>
      </c>
      <c r="P44" s="1" t="s">
        <v>64</v>
      </c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42" t="s">
        <v>9</v>
      </c>
      <c r="B45" s="42"/>
      <c r="C45" s="42"/>
      <c r="D45" s="42"/>
      <c r="E45" s="79">
        <f>SUM(E38:E44)</f>
        <v>2010375</v>
      </c>
      <c r="F45" s="79">
        <f t="shared" ref="F45:N45" si="33">SUM(F38:F44)</f>
        <v>2112099.9750000001</v>
      </c>
      <c r="G45" s="79">
        <f t="shared" si="33"/>
        <v>2218972.2337349998</v>
      </c>
      <c r="H45" s="79">
        <f t="shared" si="33"/>
        <v>2331252.2287619915</v>
      </c>
      <c r="I45" s="79">
        <f t="shared" si="33"/>
        <v>2449213.591537348</v>
      </c>
      <c r="J45" s="79">
        <f t="shared" si="33"/>
        <v>2573143.7992691374</v>
      </c>
      <c r="K45" s="79">
        <f t="shared" si="33"/>
        <v>2703344.8755121562</v>
      </c>
      <c r="L45" s="79">
        <f t="shared" si="33"/>
        <v>2840134.1262130714</v>
      </c>
      <c r="M45" s="79">
        <f t="shared" si="33"/>
        <v>2983844.912999453</v>
      </c>
      <c r="N45" s="79">
        <f t="shared" si="33"/>
        <v>3134827.4655972254</v>
      </c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" customFormat="1" x14ac:dyDescent="0.25">
      <c r="A46" s="42"/>
      <c r="B46" s="42"/>
      <c r="C46" s="42"/>
      <c r="D46" s="42"/>
      <c r="E46" s="79"/>
      <c r="F46" s="79"/>
      <c r="G46" s="79"/>
      <c r="H46" s="79"/>
      <c r="I46" s="76"/>
      <c r="J46" s="76"/>
      <c r="K46" s="77"/>
      <c r="L46" s="77"/>
      <c r="M46" s="77"/>
      <c r="N46" s="77"/>
    </row>
    <row r="47" spans="1:24" s="1" customFormat="1" x14ac:dyDescent="0.25">
      <c r="A47" s="42" t="s">
        <v>10</v>
      </c>
      <c r="B47" s="42"/>
      <c r="E47" s="79"/>
      <c r="F47" s="79"/>
      <c r="G47" s="79"/>
      <c r="H47" s="79"/>
      <c r="I47" s="76"/>
      <c r="J47" s="76"/>
      <c r="K47" s="77"/>
      <c r="L47" s="77"/>
      <c r="M47" s="77"/>
      <c r="N47" s="77"/>
    </row>
    <row r="48" spans="1:24" x14ac:dyDescent="0.25">
      <c r="A48" s="42"/>
      <c r="B48" s="42" t="s">
        <v>63</v>
      </c>
      <c r="C48" s="1" t="s">
        <v>102</v>
      </c>
      <c r="D48" s="1"/>
      <c r="E48" s="81">
        <f>(303750+100000)*(1+$O$48)</f>
        <v>415862.5</v>
      </c>
      <c r="F48" s="81">
        <f t="shared" ref="F48:N48" si="34">(303750+100000)*(1+$O$48)</f>
        <v>415862.5</v>
      </c>
      <c r="G48" s="81">
        <f t="shared" si="34"/>
        <v>415862.5</v>
      </c>
      <c r="H48" s="81">
        <f t="shared" si="34"/>
        <v>415862.5</v>
      </c>
      <c r="I48" s="81">
        <f t="shared" si="34"/>
        <v>415862.5</v>
      </c>
      <c r="J48" s="81">
        <f t="shared" si="34"/>
        <v>415862.5</v>
      </c>
      <c r="K48" s="81">
        <f t="shared" si="34"/>
        <v>415862.5</v>
      </c>
      <c r="L48" s="81">
        <f t="shared" si="34"/>
        <v>415862.5</v>
      </c>
      <c r="M48" s="81">
        <f t="shared" si="34"/>
        <v>415862.5</v>
      </c>
      <c r="N48" s="81">
        <f t="shared" si="34"/>
        <v>415862.5</v>
      </c>
      <c r="O48" s="50">
        <v>0.03</v>
      </c>
      <c r="P48" s="1" t="s">
        <v>55</v>
      </c>
      <c r="Q48" s="51" t="s">
        <v>95</v>
      </c>
      <c r="R48" s="54">
        <v>50000</v>
      </c>
      <c r="S48" s="12"/>
      <c r="T48" s="1"/>
      <c r="U48" s="1"/>
      <c r="V48" s="1"/>
      <c r="W48" s="1"/>
    </row>
    <row r="49" spans="1:71" x14ac:dyDescent="0.25">
      <c r="A49" s="42"/>
      <c r="B49" s="55" t="s">
        <v>34</v>
      </c>
      <c r="C49" s="1" t="s">
        <v>102</v>
      </c>
      <c r="D49" s="1"/>
      <c r="E49" s="82">
        <f>85440*(1+$O$49)</f>
        <v>88003.199999999997</v>
      </c>
      <c r="F49" s="82">
        <f t="shared" ref="F49:N49" si="35">85440*(1+$O$49)</f>
        <v>88003.199999999997</v>
      </c>
      <c r="G49" s="82">
        <f t="shared" si="35"/>
        <v>88003.199999999997</v>
      </c>
      <c r="H49" s="82">
        <f t="shared" si="35"/>
        <v>88003.199999999997</v>
      </c>
      <c r="I49" s="82">
        <f t="shared" si="35"/>
        <v>88003.199999999997</v>
      </c>
      <c r="J49" s="82">
        <f t="shared" si="35"/>
        <v>88003.199999999997</v>
      </c>
      <c r="K49" s="82">
        <f t="shared" si="35"/>
        <v>88003.199999999997</v>
      </c>
      <c r="L49" s="82">
        <f t="shared" si="35"/>
        <v>88003.199999999997</v>
      </c>
      <c r="M49" s="82">
        <f t="shared" si="35"/>
        <v>88003.199999999997</v>
      </c>
      <c r="N49" s="82">
        <f t="shared" si="35"/>
        <v>88003.199999999997</v>
      </c>
      <c r="O49" s="50">
        <v>0.03</v>
      </c>
      <c r="P49" s="1" t="s">
        <v>55</v>
      </c>
      <c r="Q49" s="1" t="s">
        <v>96</v>
      </c>
      <c r="R49" s="12">
        <v>30375</v>
      </c>
      <c r="S49" s="12"/>
      <c r="T49" s="1"/>
      <c r="U49" s="1"/>
      <c r="V49" s="1"/>
      <c r="W49" s="12"/>
    </row>
    <row r="50" spans="1:71" x14ac:dyDescent="0.25">
      <c r="A50" s="42"/>
      <c r="B50" s="42" t="s">
        <v>53</v>
      </c>
      <c r="C50" s="1" t="s">
        <v>102</v>
      </c>
      <c r="D50" s="1"/>
      <c r="E50" s="79">
        <v>135500</v>
      </c>
      <c r="F50" s="78">
        <f>E50*(1+$O$50)</f>
        <v>138210</v>
      </c>
      <c r="G50" s="78">
        <f t="shared" ref="G50:N50" si="36">F50*(1+$O$50)</f>
        <v>140974.20000000001</v>
      </c>
      <c r="H50" s="78">
        <f t="shared" si="36"/>
        <v>143793.68400000001</v>
      </c>
      <c r="I50" s="78">
        <f t="shared" si="36"/>
        <v>146669.55768</v>
      </c>
      <c r="J50" s="78">
        <f>I50*(1+$O$50)</f>
        <v>149602.94883360001</v>
      </c>
      <c r="K50" s="78">
        <f t="shared" si="36"/>
        <v>152595.00781027201</v>
      </c>
      <c r="L50" s="78">
        <f t="shared" si="36"/>
        <v>155646.90796647745</v>
      </c>
      <c r="M50" s="78">
        <f t="shared" si="36"/>
        <v>158759.846125807</v>
      </c>
      <c r="N50" s="78">
        <f t="shared" si="36"/>
        <v>161935.04304832313</v>
      </c>
      <c r="O50" s="50">
        <v>0.02</v>
      </c>
      <c r="P50" s="1" t="s">
        <v>55</v>
      </c>
      <c r="Q50" s="1" t="s">
        <v>95</v>
      </c>
      <c r="R50" s="50">
        <v>0.1</v>
      </c>
      <c r="S50" s="1"/>
      <c r="T50" s="1"/>
      <c r="U50" s="1"/>
      <c r="V50" s="1"/>
      <c r="W50" s="1"/>
      <c r="X50" s="1"/>
    </row>
    <row r="51" spans="1:71" x14ac:dyDescent="0.25">
      <c r="A51" s="42"/>
      <c r="B51" s="42" t="s">
        <v>54</v>
      </c>
      <c r="C51" s="42"/>
      <c r="D51" s="42"/>
      <c r="E51" s="79">
        <f>200*52</f>
        <v>10400</v>
      </c>
      <c r="F51" s="78">
        <f>E51*(1+$O$51)</f>
        <v>10504</v>
      </c>
      <c r="G51" s="78">
        <f t="shared" ref="G51:N51" si="37">F51*(1+$O$51)</f>
        <v>10609.04</v>
      </c>
      <c r="H51" s="78">
        <f t="shared" si="37"/>
        <v>10715.130400000002</v>
      </c>
      <c r="I51" s="78">
        <f t="shared" si="37"/>
        <v>10822.281704000003</v>
      </c>
      <c r="J51" s="78">
        <f t="shared" si="37"/>
        <v>10930.504521040002</v>
      </c>
      <c r="K51" s="78">
        <f t="shared" si="37"/>
        <v>11039.809566250402</v>
      </c>
      <c r="L51" s="78">
        <f t="shared" si="37"/>
        <v>11150.207661912906</v>
      </c>
      <c r="M51" s="78">
        <f t="shared" si="37"/>
        <v>11261.709738532034</v>
      </c>
      <c r="N51" s="78">
        <f t="shared" si="37"/>
        <v>11374.326835917354</v>
      </c>
      <c r="O51" s="50">
        <v>0.01</v>
      </c>
      <c r="P51" s="1" t="s">
        <v>55</v>
      </c>
      <c r="Q51" s="1"/>
      <c r="R51" s="1"/>
      <c r="S51" s="1"/>
      <c r="T51" s="1"/>
      <c r="U51" s="1"/>
      <c r="V51" s="1"/>
      <c r="W51" s="1"/>
      <c r="X51" s="1"/>
    </row>
    <row r="52" spans="1:71" s="25" customFormat="1" x14ac:dyDescent="0.25">
      <c r="A52" s="42"/>
      <c r="B52" s="42" t="s">
        <v>118</v>
      </c>
      <c r="C52" s="42"/>
      <c r="D52" s="42"/>
      <c r="E52" s="79">
        <v>5000</v>
      </c>
      <c r="F52" s="78">
        <f>E52*(1+$O$52)</f>
        <v>5150</v>
      </c>
      <c r="G52" s="78">
        <f t="shared" ref="G52:N53" si="38">F52*(1+$O$52)</f>
        <v>5304.5</v>
      </c>
      <c r="H52" s="78">
        <f t="shared" si="38"/>
        <v>5463.6350000000002</v>
      </c>
      <c r="I52" s="78">
        <f t="shared" si="38"/>
        <v>5627.5440500000004</v>
      </c>
      <c r="J52" s="78">
        <f t="shared" si="38"/>
        <v>5796.3703715000001</v>
      </c>
      <c r="K52" s="78">
        <f t="shared" si="38"/>
        <v>5970.2614826449999</v>
      </c>
      <c r="L52" s="78">
        <f t="shared" si="38"/>
        <v>6149.3693271243501</v>
      </c>
      <c r="M52" s="78">
        <f t="shared" si="38"/>
        <v>6333.8504069380806</v>
      </c>
      <c r="N52" s="78">
        <f t="shared" si="38"/>
        <v>6523.865919146223</v>
      </c>
      <c r="O52" s="50">
        <v>0.03</v>
      </c>
      <c r="P52" s="1" t="s">
        <v>55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s="25" customFormat="1" x14ac:dyDescent="0.25">
      <c r="A53" s="42"/>
      <c r="B53" s="42" t="s">
        <v>119</v>
      </c>
      <c r="C53" s="42"/>
      <c r="D53" s="42"/>
      <c r="E53" s="79">
        <v>15000</v>
      </c>
      <c r="F53" s="78">
        <f>E53*(1+$O$52)</f>
        <v>15450</v>
      </c>
      <c r="G53" s="78">
        <f t="shared" si="38"/>
        <v>15913.5</v>
      </c>
      <c r="H53" s="78">
        <f t="shared" si="38"/>
        <v>16390.904999999999</v>
      </c>
      <c r="I53" s="78">
        <f t="shared" si="38"/>
        <v>16882.632149999998</v>
      </c>
      <c r="J53" s="78">
        <f t="shared" si="38"/>
        <v>17389.1111145</v>
      </c>
      <c r="K53" s="78">
        <f t="shared" si="38"/>
        <v>17910.784447934999</v>
      </c>
      <c r="L53" s="78">
        <f t="shared" si="38"/>
        <v>18448.10798137305</v>
      </c>
      <c r="M53" s="78">
        <f t="shared" si="38"/>
        <v>19001.551220814243</v>
      </c>
      <c r="N53" s="78">
        <f t="shared" si="38"/>
        <v>19571.597757438671</v>
      </c>
      <c r="O53" s="50">
        <v>0.03</v>
      </c>
      <c r="P53" s="1" t="s">
        <v>55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 x14ac:dyDescent="0.25">
      <c r="A54" s="42"/>
      <c r="B54" s="42"/>
      <c r="C54" s="42"/>
      <c r="D54" s="42"/>
      <c r="E54" s="79"/>
      <c r="F54" s="78"/>
      <c r="G54" s="78"/>
      <c r="H54" s="78"/>
      <c r="I54" s="83"/>
      <c r="J54" s="76"/>
      <c r="K54" s="77"/>
      <c r="L54" s="77"/>
      <c r="M54" s="77"/>
      <c r="N54" s="7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x14ac:dyDescent="0.25">
      <c r="A55" s="42" t="s">
        <v>11</v>
      </c>
      <c r="B55" s="42"/>
      <c r="C55" s="42"/>
      <c r="D55" s="42"/>
      <c r="E55" s="79">
        <f>SUM(E48:E53)</f>
        <v>669765.69999999995</v>
      </c>
      <c r="F55" s="79">
        <f>SUM(F48:F53)</f>
        <v>673179.7</v>
      </c>
      <c r="G55" s="79">
        <f>SUM(G48:G53)</f>
        <v>676666.94000000006</v>
      </c>
      <c r="H55" s="79">
        <f>SUM(H48:H53)</f>
        <v>680229.05440000014</v>
      </c>
      <c r="I55" s="79">
        <f>SUM(I48:I53)</f>
        <v>683867.71558399999</v>
      </c>
      <c r="J55" s="79">
        <f t="shared" ref="J55:N55" si="39">SUM(J48:J53)</f>
        <v>687584.63484064001</v>
      </c>
      <c r="K55" s="79">
        <f t="shared" si="39"/>
        <v>691381.5633071023</v>
      </c>
      <c r="L55" s="79">
        <f t="shared" si="39"/>
        <v>695260.29293688782</v>
      </c>
      <c r="M55" s="79">
        <f t="shared" si="39"/>
        <v>699222.65749209141</v>
      </c>
      <c r="N55" s="79">
        <f t="shared" si="39"/>
        <v>703270.53356082528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x14ac:dyDescent="0.25">
      <c r="A56" s="42" t="s">
        <v>12</v>
      </c>
      <c r="B56" s="42"/>
      <c r="C56" s="42"/>
      <c r="D56" s="42"/>
      <c r="E56" s="79">
        <f>+E35-E45-E55</f>
        <v>359.30000000004657</v>
      </c>
      <c r="F56" s="79">
        <f t="shared" ref="F56:N56" si="40">+F35-F45-F55</f>
        <v>30853.624999999767</v>
      </c>
      <c r="G56" s="79">
        <f t="shared" si="40"/>
        <v>62990.471244999557</v>
      </c>
      <c r="H56" s="79">
        <f t="shared" si="40"/>
        <v>96855.021853996092</v>
      </c>
      <c r="I56" s="79">
        <f t="shared" si="40"/>
        <v>132536.81492844934</v>
      </c>
      <c r="J56" s="79">
        <f t="shared" si="40"/>
        <v>170129.96491573914</v>
      </c>
      <c r="K56" s="79">
        <f t="shared" si="40"/>
        <v>209733.3951969496</v>
      </c>
      <c r="L56" s="79">
        <f t="shared" si="40"/>
        <v>251451.08246746962</v>
      </c>
      <c r="M56" s="79">
        <f t="shared" si="40"/>
        <v>295392.31350772642</v>
      </c>
      <c r="N56" s="79">
        <f t="shared" si="40"/>
        <v>341671.95497158379</v>
      </c>
      <c r="O56" s="1"/>
      <c r="P56" s="1"/>
      <c r="Q56" s="1"/>
      <c r="R56" s="1"/>
      <c r="S56" s="1"/>
    </row>
    <row r="57" spans="1:71" s="1" customFormat="1" x14ac:dyDescent="0.25">
      <c r="A57" s="42"/>
      <c r="B57" s="42"/>
      <c r="C57" s="42"/>
      <c r="D57" s="42"/>
      <c r="E57" s="79"/>
      <c r="F57" s="79"/>
      <c r="G57" s="79"/>
      <c r="H57" s="79"/>
      <c r="I57" s="76"/>
      <c r="J57" s="76"/>
      <c r="K57" s="77"/>
      <c r="L57" s="77"/>
      <c r="M57" s="77"/>
      <c r="N57" s="77"/>
    </row>
    <row r="58" spans="1:71" x14ac:dyDescent="0.25">
      <c r="A58" s="42" t="s">
        <v>51</v>
      </c>
      <c r="B58" s="42"/>
      <c r="C58" s="42"/>
      <c r="D58" s="42"/>
      <c r="E58" s="79">
        <f t="shared" ref="E58:N58" si="41">+E96*$O$58</f>
        <v>0</v>
      </c>
      <c r="F58" s="79">
        <f t="shared" si="41"/>
        <v>0</v>
      </c>
      <c r="G58" s="79">
        <f t="shared" si="41"/>
        <v>0</v>
      </c>
      <c r="H58" s="79">
        <f t="shared" si="41"/>
        <v>0</v>
      </c>
      <c r="I58" s="79">
        <f t="shared" si="41"/>
        <v>0</v>
      </c>
      <c r="J58" s="79">
        <f t="shared" si="41"/>
        <v>0</v>
      </c>
      <c r="K58" s="79">
        <f t="shared" si="41"/>
        <v>0</v>
      </c>
      <c r="L58" s="79">
        <f t="shared" si="41"/>
        <v>0</v>
      </c>
      <c r="M58" s="79">
        <f t="shared" si="41"/>
        <v>0</v>
      </c>
      <c r="N58" s="79">
        <f t="shared" si="41"/>
        <v>0</v>
      </c>
      <c r="O58" s="56">
        <v>7.0000000000000007E-2</v>
      </c>
      <c r="P58" s="1" t="s">
        <v>52</v>
      </c>
      <c r="Q58" s="1"/>
      <c r="R58" s="1"/>
      <c r="S58" s="1"/>
      <c r="T58" s="1"/>
    </row>
    <row r="59" spans="1:71" x14ac:dyDescent="0.25">
      <c r="A59" s="42" t="s">
        <v>98</v>
      </c>
      <c r="B59" s="42"/>
      <c r="C59" s="1" t="s">
        <v>103</v>
      </c>
      <c r="D59" s="1"/>
      <c r="E59" s="79">
        <f>'Mortgage Table'!D14</f>
        <v>39563.230813015703</v>
      </c>
      <c r="F59" s="79">
        <f>'Mortgage Table'!D28</f>
        <v>38979.80451406668</v>
      </c>
      <c r="G59" s="79">
        <f>'Mortgage Table'!D42</f>
        <v>38365.489970070303</v>
      </c>
      <c r="H59" s="79">
        <f>'Mortgage Table'!D56</f>
        <v>37718.651869619047</v>
      </c>
      <c r="I59" s="84">
        <f>'Mortgage Table'!D70</f>
        <v>37037.568323275671</v>
      </c>
      <c r="J59" s="84">
        <f>'Mortgage Table'!D84</f>
        <v>36320.426279886327</v>
      </c>
      <c r="K59" s="81">
        <f>'Mortgage Table'!D98</f>
        <v>35565.316700220545</v>
      </c>
      <c r="L59" s="81">
        <f>'Mortgage Table'!D112</f>
        <v>34770.229475089778</v>
      </c>
      <c r="M59" s="81">
        <f>'Mortgage Table'!D126</f>
        <v>33933.048074416853</v>
      </c>
      <c r="N59" s="81">
        <f>'Mortgage Table'!D140</f>
        <v>33051.543913011919</v>
      </c>
      <c r="O59" s="56"/>
      <c r="P59" s="1"/>
      <c r="Q59" s="1"/>
      <c r="R59" s="1"/>
      <c r="S59" s="1"/>
      <c r="T59" s="1"/>
    </row>
    <row r="60" spans="1:71" s="1" customFormat="1" x14ac:dyDescent="0.25">
      <c r="A60" s="42"/>
      <c r="B60" s="42"/>
      <c r="C60" s="42"/>
      <c r="D60" s="42"/>
      <c r="E60" s="79"/>
      <c r="F60" s="79"/>
      <c r="G60" s="79"/>
      <c r="H60" s="79"/>
      <c r="I60" s="76"/>
      <c r="J60" s="76"/>
      <c r="K60" s="77"/>
      <c r="L60" s="77"/>
      <c r="M60" s="77"/>
      <c r="N60" s="77"/>
    </row>
    <row r="61" spans="1:71" s="1" customFormat="1" x14ac:dyDescent="0.25">
      <c r="A61" s="42" t="s">
        <v>13</v>
      </c>
      <c r="B61" s="42"/>
      <c r="C61" s="42"/>
      <c r="D61" s="42"/>
      <c r="E61" s="78"/>
      <c r="F61" s="78"/>
      <c r="G61" s="78"/>
      <c r="H61" s="78"/>
      <c r="I61" s="76"/>
      <c r="J61" s="76"/>
      <c r="K61" s="77"/>
      <c r="L61" s="77"/>
      <c r="M61" s="77"/>
      <c r="N61" s="77"/>
    </row>
    <row r="62" spans="1:71" x14ac:dyDescent="0.25">
      <c r="A62" s="42"/>
      <c r="B62" s="42" t="s">
        <v>21</v>
      </c>
      <c r="C62" s="42"/>
      <c r="D62" s="42"/>
      <c r="E62" s="79">
        <f t="shared" ref="E62:N62" si="42">E79/$O$62</f>
        <v>5833.333333333333</v>
      </c>
      <c r="F62" s="79">
        <f t="shared" si="42"/>
        <v>5833.333333333333</v>
      </c>
      <c r="G62" s="79">
        <f t="shared" si="42"/>
        <v>5833.333333333333</v>
      </c>
      <c r="H62" s="79">
        <f t="shared" si="42"/>
        <v>5833.333333333333</v>
      </c>
      <c r="I62" s="79">
        <f t="shared" si="42"/>
        <v>5833.333333333333</v>
      </c>
      <c r="J62" s="79">
        <f t="shared" si="42"/>
        <v>5833.333333333333</v>
      </c>
      <c r="K62" s="79">
        <f t="shared" si="42"/>
        <v>5833.333333333333</v>
      </c>
      <c r="L62" s="79">
        <f t="shared" si="42"/>
        <v>5833.333333333333</v>
      </c>
      <c r="M62" s="79">
        <f t="shared" si="42"/>
        <v>5833.333333333333</v>
      </c>
      <c r="N62" s="79">
        <f t="shared" si="42"/>
        <v>5833.333333333333</v>
      </c>
      <c r="O62" s="1">
        <v>30</v>
      </c>
      <c r="P62" s="1" t="s">
        <v>49</v>
      </c>
      <c r="Q62" s="1"/>
      <c r="R62" s="1"/>
      <c r="S62" s="1"/>
    </row>
    <row r="63" spans="1:71" x14ac:dyDescent="0.25">
      <c r="A63" s="42"/>
      <c r="B63" s="42" t="s">
        <v>44</v>
      </c>
      <c r="C63" s="42"/>
      <c r="D63" s="42"/>
      <c r="E63" s="79">
        <f t="shared" ref="E63:L63" si="43">E82/$O$63</f>
        <v>21250</v>
      </c>
      <c r="F63" s="79">
        <f t="shared" si="43"/>
        <v>21250</v>
      </c>
      <c r="G63" s="79">
        <f t="shared" si="43"/>
        <v>21250</v>
      </c>
      <c r="H63" s="79">
        <f t="shared" si="43"/>
        <v>21250</v>
      </c>
      <c r="I63" s="79">
        <f t="shared" si="43"/>
        <v>21250</v>
      </c>
      <c r="J63" s="79">
        <f t="shared" si="43"/>
        <v>21250</v>
      </c>
      <c r="K63" s="79">
        <f t="shared" si="43"/>
        <v>21250</v>
      </c>
      <c r="L63" s="79">
        <f t="shared" si="43"/>
        <v>21250</v>
      </c>
      <c r="M63" s="79">
        <v>0</v>
      </c>
      <c r="N63" s="79">
        <v>0</v>
      </c>
      <c r="O63" s="1">
        <v>8</v>
      </c>
      <c r="P63" s="1" t="s">
        <v>49</v>
      </c>
      <c r="Q63" s="1"/>
      <c r="R63" s="1"/>
      <c r="S63" s="1"/>
    </row>
    <row r="64" spans="1:71" x14ac:dyDescent="0.25">
      <c r="A64" s="42"/>
      <c r="B64" s="42" t="s">
        <v>45</v>
      </c>
      <c r="C64" s="42"/>
      <c r="D64" s="42"/>
      <c r="E64" s="79">
        <f t="shared" ref="E64:L64" si="44">E84/$O$64</f>
        <v>15000</v>
      </c>
      <c r="F64" s="79">
        <f t="shared" si="44"/>
        <v>15000</v>
      </c>
      <c r="G64" s="79">
        <f t="shared" si="44"/>
        <v>15000</v>
      </c>
      <c r="H64" s="79">
        <f t="shared" si="44"/>
        <v>15000</v>
      </c>
      <c r="I64" s="79">
        <f t="shared" si="44"/>
        <v>15000</v>
      </c>
      <c r="J64" s="79">
        <f t="shared" si="44"/>
        <v>15000</v>
      </c>
      <c r="K64" s="79">
        <f t="shared" si="44"/>
        <v>15000</v>
      </c>
      <c r="L64" s="79">
        <f t="shared" si="44"/>
        <v>15000</v>
      </c>
      <c r="M64" s="79">
        <v>0</v>
      </c>
      <c r="N64" s="79">
        <v>0</v>
      </c>
      <c r="O64" s="1">
        <v>8</v>
      </c>
      <c r="P64" s="1" t="s">
        <v>49</v>
      </c>
      <c r="Q64" s="1"/>
      <c r="R64" s="1"/>
      <c r="S64" s="1"/>
    </row>
    <row r="65" spans="1:19" x14ac:dyDescent="0.25">
      <c r="A65" s="42"/>
      <c r="B65" s="42" t="s">
        <v>46</v>
      </c>
      <c r="C65" s="42"/>
      <c r="D65" s="42"/>
      <c r="E65" s="79">
        <f t="shared" ref="E65:L65" si="45">E86/$O$65</f>
        <v>2500</v>
      </c>
      <c r="F65" s="79">
        <f t="shared" si="45"/>
        <v>2500</v>
      </c>
      <c r="G65" s="79">
        <f t="shared" si="45"/>
        <v>2500</v>
      </c>
      <c r="H65" s="79">
        <f t="shared" si="45"/>
        <v>2500</v>
      </c>
      <c r="I65" s="79">
        <f t="shared" si="45"/>
        <v>2500</v>
      </c>
      <c r="J65" s="79">
        <f t="shared" si="45"/>
        <v>2500</v>
      </c>
      <c r="K65" s="79">
        <f t="shared" si="45"/>
        <v>2500</v>
      </c>
      <c r="L65" s="79">
        <f t="shared" si="45"/>
        <v>2500</v>
      </c>
      <c r="M65" s="79">
        <v>0</v>
      </c>
      <c r="N65" s="79">
        <v>0</v>
      </c>
      <c r="O65" s="1">
        <v>8</v>
      </c>
      <c r="P65" s="1" t="s">
        <v>49</v>
      </c>
      <c r="Q65" s="1"/>
      <c r="R65" s="1"/>
      <c r="S65" s="1"/>
    </row>
    <row r="66" spans="1:19" x14ac:dyDescent="0.25">
      <c r="A66" s="42" t="s">
        <v>48</v>
      </c>
      <c r="B66" s="42"/>
      <c r="C66" s="42"/>
      <c r="D66" s="42"/>
      <c r="E66" s="79">
        <f t="shared" ref="E66:N66" si="46">SUM(E62:E65)</f>
        <v>44583.333333333328</v>
      </c>
      <c r="F66" s="79">
        <f t="shared" si="46"/>
        <v>44583.333333333328</v>
      </c>
      <c r="G66" s="79">
        <f t="shared" si="46"/>
        <v>44583.333333333328</v>
      </c>
      <c r="H66" s="79">
        <f t="shared" si="46"/>
        <v>44583.333333333328</v>
      </c>
      <c r="I66" s="79">
        <f t="shared" si="46"/>
        <v>44583.333333333328</v>
      </c>
      <c r="J66" s="79">
        <f t="shared" si="46"/>
        <v>44583.333333333328</v>
      </c>
      <c r="K66" s="79">
        <f t="shared" si="46"/>
        <v>44583.333333333328</v>
      </c>
      <c r="L66" s="79">
        <f t="shared" si="46"/>
        <v>44583.333333333328</v>
      </c>
      <c r="M66" s="79">
        <f t="shared" si="46"/>
        <v>5833.333333333333</v>
      </c>
      <c r="N66" s="79">
        <f t="shared" si="46"/>
        <v>5833.333333333333</v>
      </c>
      <c r="O66" s="1"/>
      <c r="P66" s="1"/>
      <c r="Q66" s="1"/>
      <c r="R66" s="1"/>
      <c r="S66" s="1"/>
    </row>
    <row r="67" spans="1:19" s="1" customFormat="1" x14ac:dyDescent="0.25">
      <c r="A67" s="42"/>
      <c r="B67" s="42"/>
      <c r="C67" s="42"/>
      <c r="D67" s="42"/>
      <c r="E67" s="79"/>
      <c r="F67" s="79"/>
      <c r="G67" s="79"/>
      <c r="H67" s="79"/>
      <c r="I67" s="76"/>
      <c r="J67" s="76"/>
      <c r="K67" s="77"/>
      <c r="L67" s="77"/>
      <c r="M67" s="77"/>
      <c r="N67" s="77"/>
    </row>
    <row r="68" spans="1:19" x14ac:dyDescent="0.25">
      <c r="A68" s="42" t="s">
        <v>14</v>
      </c>
      <c r="B68" s="42"/>
      <c r="C68" s="42"/>
      <c r="D68" s="42"/>
      <c r="E68" s="78">
        <f>+E56-SUM(E58:E59)-E66</f>
        <v>-83787.264146348985</v>
      </c>
      <c r="F68" s="78">
        <f t="shared" ref="F68:N68" si="47">+F56-SUM(F58:F59)-F66</f>
        <v>-52709.512847400241</v>
      </c>
      <c r="G68" s="78">
        <f t="shared" si="47"/>
        <v>-19958.352058404074</v>
      </c>
      <c r="H68" s="78">
        <f t="shared" si="47"/>
        <v>14553.036651043716</v>
      </c>
      <c r="I68" s="78">
        <f t="shared" si="47"/>
        <v>50915.913271840342</v>
      </c>
      <c r="J68" s="78">
        <f t="shared" si="47"/>
        <v>89226.205302519476</v>
      </c>
      <c r="K68" s="78">
        <f t="shared" si="47"/>
        <v>129584.74516339572</v>
      </c>
      <c r="L68" s="78">
        <f t="shared" si="47"/>
        <v>172097.51965904649</v>
      </c>
      <c r="M68" s="78">
        <f t="shared" si="47"/>
        <v>255625.93209997623</v>
      </c>
      <c r="N68" s="78">
        <f t="shared" si="47"/>
        <v>302787.07772523857</v>
      </c>
      <c r="O68" s="1" t="s">
        <v>99</v>
      </c>
      <c r="P68" s="1"/>
      <c r="Q68" s="1"/>
      <c r="R68" s="1"/>
      <c r="S68" s="1"/>
    </row>
    <row r="69" spans="1:19" x14ac:dyDescent="0.25">
      <c r="A69" s="42" t="s">
        <v>36</v>
      </c>
      <c r="B69" s="42"/>
      <c r="C69" s="42"/>
      <c r="D69" s="42"/>
      <c r="E69" s="79">
        <f>IF(E68&gt;0,E68*$O$69,0)</f>
        <v>0</v>
      </c>
      <c r="F69" s="79">
        <f t="shared" ref="F69:N69" si="48">IF(F68&gt;0,F68*$O$69,0)</f>
        <v>0</v>
      </c>
      <c r="G69" s="79">
        <f t="shared" si="48"/>
        <v>0</v>
      </c>
      <c r="H69" s="79">
        <f t="shared" si="48"/>
        <v>2798.5489479957064</v>
      </c>
      <c r="I69" s="79">
        <f t="shared" si="48"/>
        <v>9791.1301221748981</v>
      </c>
      <c r="J69" s="79">
        <f t="shared" si="48"/>
        <v>17158.199279674496</v>
      </c>
      <c r="K69" s="79">
        <f t="shared" si="48"/>
        <v>24919.146494920999</v>
      </c>
      <c r="L69" s="79">
        <f t="shared" si="48"/>
        <v>33094.353030434642</v>
      </c>
      <c r="M69" s="79">
        <f t="shared" si="48"/>
        <v>49156.866742825427</v>
      </c>
      <c r="N69" s="79">
        <f t="shared" si="48"/>
        <v>58225.95504656338</v>
      </c>
      <c r="O69" s="56">
        <v>0.1923</v>
      </c>
      <c r="P69" s="56"/>
      <c r="Q69" s="1"/>
      <c r="R69" s="56"/>
      <c r="S69" s="1"/>
    </row>
    <row r="70" spans="1:19" x14ac:dyDescent="0.25">
      <c r="A70" s="42" t="s">
        <v>15</v>
      </c>
      <c r="B70" s="42"/>
      <c r="C70" s="42"/>
      <c r="D70" s="42"/>
      <c r="E70" s="75">
        <f>E68-E69</f>
        <v>-83787.264146348985</v>
      </c>
      <c r="F70" s="75">
        <f t="shared" ref="F70:N70" si="49">F68-F69</f>
        <v>-52709.512847400241</v>
      </c>
      <c r="G70" s="75">
        <f t="shared" si="49"/>
        <v>-19958.352058404074</v>
      </c>
      <c r="H70" s="75">
        <f t="shared" si="49"/>
        <v>11754.487703048009</v>
      </c>
      <c r="I70" s="75">
        <f t="shared" si="49"/>
        <v>41124.78314966544</v>
      </c>
      <c r="J70" s="75">
        <f t="shared" si="49"/>
        <v>72068.006022844987</v>
      </c>
      <c r="K70" s="75">
        <f t="shared" si="49"/>
        <v>104665.59866847473</v>
      </c>
      <c r="L70" s="75">
        <f t="shared" si="49"/>
        <v>139003.16662861186</v>
      </c>
      <c r="M70" s="75">
        <f t="shared" si="49"/>
        <v>206469.0653571508</v>
      </c>
      <c r="N70" s="75">
        <f t="shared" si="49"/>
        <v>244561.12267867519</v>
      </c>
      <c r="O70" s="1"/>
      <c r="P70" s="1"/>
      <c r="Q70" s="1"/>
      <c r="R70" s="1"/>
      <c r="S70" s="1"/>
    </row>
    <row r="71" spans="1:19" s="1" customFormat="1" x14ac:dyDescent="0.25">
      <c r="A71" s="42"/>
      <c r="B71" s="42"/>
      <c r="C71" s="42"/>
      <c r="D71" s="42"/>
      <c r="E71" s="75"/>
      <c r="F71" s="75"/>
      <c r="G71" s="75"/>
      <c r="H71" s="75"/>
      <c r="I71" s="76"/>
      <c r="J71" s="76"/>
      <c r="K71" s="77"/>
      <c r="L71" s="77"/>
      <c r="M71" s="77"/>
      <c r="N71" s="77"/>
    </row>
    <row r="72" spans="1:19" s="1" customFormat="1" x14ac:dyDescent="0.25">
      <c r="A72" s="44" t="s">
        <v>16</v>
      </c>
      <c r="B72" s="42"/>
      <c r="C72" s="42"/>
      <c r="D72" s="42"/>
      <c r="E72" s="75"/>
      <c r="F72" s="75"/>
      <c r="G72" s="75"/>
      <c r="H72" s="75"/>
      <c r="I72" s="76"/>
      <c r="J72" s="76"/>
      <c r="K72" s="77"/>
      <c r="L72" s="77"/>
      <c r="M72" s="77"/>
      <c r="N72" s="77"/>
    </row>
    <row r="73" spans="1:19" s="1" customFormat="1" x14ac:dyDescent="0.25">
      <c r="A73" s="44" t="s">
        <v>17</v>
      </c>
      <c r="B73" s="42"/>
      <c r="C73" s="42"/>
      <c r="D73" s="42"/>
      <c r="E73" s="75"/>
      <c r="F73" s="75"/>
      <c r="G73" s="75"/>
      <c r="H73" s="75"/>
      <c r="I73" s="76"/>
      <c r="J73" s="76"/>
      <c r="K73" s="77"/>
      <c r="L73" s="77"/>
      <c r="M73" s="77"/>
      <c r="N73" s="77"/>
    </row>
    <row r="74" spans="1:19" s="1" customFormat="1" x14ac:dyDescent="0.25">
      <c r="A74" s="44"/>
      <c r="B74" s="42" t="s">
        <v>135</v>
      </c>
      <c r="C74" s="42"/>
      <c r="D74" s="42"/>
      <c r="E74" s="75">
        <v>5000</v>
      </c>
      <c r="F74" s="75">
        <v>5000</v>
      </c>
      <c r="G74" s="75">
        <v>5000</v>
      </c>
      <c r="H74" s="75">
        <v>5000</v>
      </c>
      <c r="I74" s="75">
        <v>5000</v>
      </c>
      <c r="J74" s="75">
        <v>5000</v>
      </c>
      <c r="K74" s="75">
        <v>5000</v>
      </c>
      <c r="L74" s="75">
        <v>5000</v>
      </c>
      <c r="M74" s="75">
        <v>5000</v>
      </c>
      <c r="N74" s="75">
        <v>5000</v>
      </c>
    </row>
    <row r="75" spans="1:19" x14ac:dyDescent="0.25">
      <c r="A75" s="42"/>
      <c r="B75" s="42" t="s">
        <v>100</v>
      </c>
      <c r="C75" s="42"/>
      <c r="D75" s="42"/>
      <c r="E75" s="79">
        <v>961541</v>
      </c>
      <c r="F75" s="79">
        <v>940750</v>
      </c>
      <c r="G75" s="79">
        <v>951839</v>
      </c>
      <c r="H75" s="79">
        <v>996551</v>
      </c>
      <c r="I75" s="79">
        <v>1073916</v>
      </c>
      <c r="J75" s="79">
        <v>1181662</v>
      </c>
      <c r="K75" s="79">
        <v>1321434</v>
      </c>
      <c r="L75" s="79">
        <v>1494959</v>
      </c>
      <c r="M75" s="79">
        <v>1704053</v>
      </c>
      <c r="N75" s="79">
        <v>1943173</v>
      </c>
      <c r="O75" s="1"/>
      <c r="P75" s="1"/>
      <c r="Q75" s="1"/>
      <c r="R75" s="1"/>
      <c r="S75" s="1"/>
    </row>
    <row r="76" spans="1:19" x14ac:dyDescent="0.25">
      <c r="A76" s="42"/>
      <c r="B76" s="42" t="s">
        <v>18</v>
      </c>
      <c r="C76" s="42"/>
      <c r="D76" s="42"/>
      <c r="E76" s="78">
        <f>E35/365*E5</f>
        <v>22031.506849315068</v>
      </c>
      <c r="F76" s="78">
        <f t="shared" ref="F76:N76" si="50">F35/365*F5</f>
        <v>23146.301095890412</v>
      </c>
      <c r="G76" s="78">
        <f t="shared" si="50"/>
        <v>24317.50393134246</v>
      </c>
      <c r="H76" s="78">
        <f t="shared" si="50"/>
        <v>25547.969630268388</v>
      </c>
      <c r="I76" s="78">
        <f t="shared" si="50"/>
        <v>26840.69689355998</v>
      </c>
      <c r="J76" s="78">
        <f t="shared" si="50"/>
        <v>28198.836156374109</v>
      </c>
      <c r="K76" s="78">
        <f t="shared" si="50"/>
        <v>29625.69726588664</v>
      </c>
      <c r="L76" s="78">
        <f t="shared" si="50"/>
        <v>31124.75754754051</v>
      </c>
      <c r="M76" s="78">
        <f t="shared" si="50"/>
        <v>32699.670279446065</v>
      </c>
      <c r="N76" s="78">
        <f t="shared" si="50"/>
        <v>34354.273595586041</v>
      </c>
      <c r="O76" s="1"/>
      <c r="P76" s="1"/>
      <c r="Q76" s="1"/>
      <c r="R76" s="1"/>
      <c r="S76" s="1"/>
    </row>
    <row r="77" spans="1:19" x14ac:dyDescent="0.25">
      <c r="A77" s="42"/>
      <c r="B77" s="42" t="s">
        <v>19</v>
      </c>
      <c r="C77" s="42"/>
      <c r="D77" s="42"/>
      <c r="E77" s="78">
        <f t="shared" ref="E77:N77" si="51">E45/365*E8</f>
        <v>287196.42857142858</v>
      </c>
      <c r="F77" s="78">
        <f t="shared" si="51"/>
        <v>291324.13448275864</v>
      </c>
      <c r="G77" s="78">
        <f t="shared" si="51"/>
        <v>295862.96449799999</v>
      </c>
      <c r="H77" s="78">
        <f t="shared" si="51"/>
        <v>300806.73919509567</v>
      </c>
      <c r="I77" s="78">
        <f t="shared" si="51"/>
        <v>306151.6989421685</v>
      </c>
      <c r="J77" s="78">
        <f t="shared" si="51"/>
        <v>311896.21809322876</v>
      </c>
      <c r="K77" s="78">
        <f t="shared" si="51"/>
        <v>318040.57358966541</v>
      </c>
      <c r="L77" s="78">
        <f t="shared" si="51"/>
        <v>324586.75728149392</v>
      </c>
      <c r="M77" s="78">
        <f t="shared" si="51"/>
        <v>331538.32366660592</v>
      </c>
      <c r="N77" s="78">
        <f t="shared" si="51"/>
        <v>338900.26655105141</v>
      </c>
      <c r="O77" s="1"/>
      <c r="P77" s="1"/>
      <c r="Q77" s="1"/>
      <c r="R77" s="1"/>
      <c r="S77" s="1"/>
    </row>
    <row r="78" spans="1:19" x14ac:dyDescent="0.25">
      <c r="A78" s="42"/>
      <c r="B78" s="42"/>
      <c r="C78" s="42"/>
      <c r="D78" s="42"/>
      <c r="E78" s="75"/>
      <c r="F78" s="75"/>
      <c r="G78" s="75"/>
      <c r="H78" s="75"/>
      <c r="I78" s="76"/>
      <c r="J78" s="76"/>
      <c r="K78" s="77"/>
      <c r="L78" s="77"/>
      <c r="M78" s="77"/>
      <c r="N78" s="77"/>
      <c r="O78" s="1"/>
      <c r="P78" s="1"/>
      <c r="Q78" s="1"/>
      <c r="R78" s="1"/>
      <c r="S78" s="1"/>
    </row>
    <row r="79" spans="1:19" x14ac:dyDescent="0.25">
      <c r="A79" s="42"/>
      <c r="B79" s="42" t="s">
        <v>20</v>
      </c>
      <c r="C79" s="1" t="s">
        <v>93</v>
      </c>
      <c r="D79" s="1"/>
      <c r="E79" s="78">
        <f>$O$79*$Q$79</f>
        <v>175000</v>
      </c>
      <c r="F79" s="78">
        <f>$O$79*$Q$79</f>
        <v>175000</v>
      </c>
      <c r="G79" s="78">
        <f t="shared" ref="G79:N79" si="52">$O$79*$Q$79</f>
        <v>175000</v>
      </c>
      <c r="H79" s="78">
        <f t="shared" si="52"/>
        <v>175000</v>
      </c>
      <c r="I79" s="78">
        <f t="shared" si="52"/>
        <v>175000</v>
      </c>
      <c r="J79" s="78">
        <f t="shared" si="52"/>
        <v>175000</v>
      </c>
      <c r="K79" s="78">
        <f t="shared" si="52"/>
        <v>175000</v>
      </c>
      <c r="L79" s="78">
        <f t="shared" si="52"/>
        <v>175000</v>
      </c>
      <c r="M79" s="78">
        <f t="shared" si="52"/>
        <v>175000</v>
      </c>
      <c r="N79" s="78">
        <f t="shared" si="52"/>
        <v>175000</v>
      </c>
      <c r="O79" s="1">
        <v>5</v>
      </c>
      <c r="P79" s="1" t="s">
        <v>73</v>
      </c>
      <c r="Q79" s="12">
        <v>35000</v>
      </c>
      <c r="R79" s="1" t="s">
        <v>74</v>
      </c>
      <c r="S79" s="1"/>
    </row>
    <row r="80" spans="1:19" x14ac:dyDescent="0.25">
      <c r="A80" s="42"/>
      <c r="B80" s="42" t="s">
        <v>21</v>
      </c>
      <c r="C80" s="1" t="s">
        <v>93</v>
      </c>
      <c r="D80" s="1"/>
      <c r="E80" s="79">
        <f>$O$80*$Q$80</f>
        <v>641875</v>
      </c>
      <c r="F80" s="79">
        <f t="shared" ref="F80:N80" si="53">$O$80*$Q$80</f>
        <v>641875</v>
      </c>
      <c r="G80" s="79">
        <f t="shared" si="53"/>
        <v>641875</v>
      </c>
      <c r="H80" s="79">
        <f t="shared" si="53"/>
        <v>641875</v>
      </c>
      <c r="I80" s="79">
        <f t="shared" si="53"/>
        <v>641875</v>
      </c>
      <c r="J80" s="79">
        <f t="shared" si="53"/>
        <v>641875</v>
      </c>
      <c r="K80" s="79">
        <f t="shared" si="53"/>
        <v>641875</v>
      </c>
      <c r="L80" s="79">
        <f t="shared" si="53"/>
        <v>641875</v>
      </c>
      <c r="M80" s="79">
        <f t="shared" si="53"/>
        <v>641875</v>
      </c>
      <c r="N80" s="79">
        <f t="shared" si="53"/>
        <v>641875</v>
      </c>
      <c r="O80" s="1">
        <v>5135</v>
      </c>
      <c r="P80" s="1" t="s">
        <v>75</v>
      </c>
      <c r="Q80" s="12">
        <v>125</v>
      </c>
      <c r="R80" s="1" t="s">
        <v>121</v>
      </c>
      <c r="S80" s="1"/>
    </row>
    <row r="81" spans="1:29" x14ac:dyDescent="0.25">
      <c r="A81" s="42"/>
      <c r="B81" s="42" t="s">
        <v>22</v>
      </c>
      <c r="C81" s="42"/>
      <c r="D81" s="42"/>
      <c r="E81" s="79">
        <f>C81+E62</f>
        <v>5833.333333333333</v>
      </c>
      <c r="F81" s="79">
        <f t="shared" ref="F81:N81" si="54">E81+F62</f>
        <v>11666.666666666666</v>
      </c>
      <c r="G81" s="79">
        <f t="shared" si="54"/>
        <v>17500</v>
      </c>
      <c r="H81" s="79">
        <f t="shared" si="54"/>
        <v>23333.333333333332</v>
      </c>
      <c r="I81" s="79">
        <f t="shared" si="54"/>
        <v>29166.666666666664</v>
      </c>
      <c r="J81" s="79">
        <f t="shared" si="54"/>
        <v>35000</v>
      </c>
      <c r="K81" s="79">
        <f t="shared" si="54"/>
        <v>40833.333333333336</v>
      </c>
      <c r="L81" s="79">
        <f t="shared" si="54"/>
        <v>46666.666666666672</v>
      </c>
      <c r="M81" s="79">
        <f t="shared" si="54"/>
        <v>52500.000000000007</v>
      </c>
      <c r="N81" s="79">
        <f t="shared" si="54"/>
        <v>58333.333333333343</v>
      </c>
      <c r="O81" s="1"/>
      <c r="P81" s="1"/>
      <c r="Q81" s="1"/>
      <c r="R81" s="1"/>
      <c r="S81" s="1"/>
    </row>
    <row r="82" spans="1:29" x14ac:dyDescent="0.25">
      <c r="A82" s="42"/>
      <c r="B82" s="42" t="s">
        <v>44</v>
      </c>
      <c r="C82" s="42"/>
      <c r="D82" s="42"/>
      <c r="E82" s="79">
        <v>170000</v>
      </c>
      <c r="F82" s="79">
        <v>170000</v>
      </c>
      <c r="G82" s="79">
        <v>170000</v>
      </c>
      <c r="H82" s="79">
        <v>170000</v>
      </c>
      <c r="I82" s="79">
        <v>170000</v>
      </c>
      <c r="J82" s="79">
        <v>170000</v>
      </c>
      <c r="K82" s="79">
        <v>170000</v>
      </c>
      <c r="L82" s="79">
        <v>170000</v>
      </c>
      <c r="M82" s="79">
        <v>170000</v>
      </c>
      <c r="N82" s="79">
        <v>170000</v>
      </c>
      <c r="O82" s="1"/>
      <c r="P82" s="1"/>
      <c r="Q82" s="1"/>
      <c r="R82" s="1"/>
      <c r="S82" s="1"/>
      <c r="T82" t="s">
        <v>210</v>
      </c>
      <c r="U82" s="3">
        <f>O69</f>
        <v>0.1923</v>
      </c>
    </row>
    <row r="83" spans="1:29" x14ac:dyDescent="0.25">
      <c r="A83" s="42"/>
      <c r="B83" s="42" t="s">
        <v>22</v>
      </c>
      <c r="C83" s="42"/>
      <c r="D83" s="42"/>
      <c r="E83" s="79">
        <f>C83+E63</f>
        <v>21250</v>
      </c>
      <c r="F83" s="79">
        <f t="shared" ref="F83:N83" si="55">E83+F63</f>
        <v>42500</v>
      </c>
      <c r="G83" s="79">
        <f t="shared" si="55"/>
        <v>63750</v>
      </c>
      <c r="H83" s="79">
        <f t="shared" si="55"/>
        <v>85000</v>
      </c>
      <c r="I83" s="79">
        <f t="shared" si="55"/>
        <v>106250</v>
      </c>
      <c r="J83" s="79">
        <f t="shared" si="55"/>
        <v>127500</v>
      </c>
      <c r="K83" s="79">
        <f t="shared" si="55"/>
        <v>148750</v>
      </c>
      <c r="L83" s="79">
        <f t="shared" si="55"/>
        <v>170000</v>
      </c>
      <c r="M83" s="79">
        <f t="shared" si="55"/>
        <v>170000</v>
      </c>
      <c r="N83" s="79">
        <f t="shared" si="55"/>
        <v>170000</v>
      </c>
      <c r="O83" s="1"/>
      <c r="P83" s="1"/>
      <c r="Q83" s="1"/>
      <c r="R83" s="1"/>
      <c r="S83" s="1"/>
      <c r="X83" s="3"/>
    </row>
    <row r="84" spans="1:29" x14ac:dyDescent="0.25">
      <c r="A84" s="42"/>
      <c r="B84" s="42" t="s">
        <v>45</v>
      </c>
      <c r="C84" s="42"/>
      <c r="D84" s="42"/>
      <c r="E84" s="75">
        <v>120000</v>
      </c>
      <c r="F84" s="75">
        <v>120000</v>
      </c>
      <c r="G84" s="75">
        <v>120000</v>
      </c>
      <c r="H84" s="75">
        <v>120000</v>
      </c>
      <c r="I84" s="75">
        <v>120000</v>
      </c>
      <c r="J84" s="75">
        <v>120000</v>
      </c>
      <c r="K84" s="75">
        <v>120000</v>
      </c>
      <c r="L84" s="75">
        <v>120000</v>
      </c>
      <c r="M84" s="75">
        <v>120000</v>
      </c>
      <c r="N84" s="75">
        <v>120000</v>
      </c>
      <c r="O84" s="1"/>
      <c r="P84" s="1"/>
      <c r="Q84" s="1"/>
      <c r="R84" s="1"/>
      <c r="S84" s="1"/>
      <c r="X84" s="3"/>
    </row>
    <row r="85" spans="1:29" x14ac:dyDescent="0.25">
      <c r="A85" s="42"/>
      <c r="B85" s="42" t="s">
        <v>22</v>
      </c>
      <c r="C85" s="42"/>
      <c r="D85" s="42"/>
      <c r="E85" s="75">
        <f>C85+E64</f>
        <v>15000</v>
      </c>
      <c r="F85" s="75">
        <f t="shared" ref="F85:N85" si="56">E85+F64</f>
        <v>30000</v>
      </c>
      <c r="G85" s="75">
        <f t="shared" si="56"/>
        <v>45000</v>
      </c>
      <c r="H85" s="75">
        <f t="shared" si="56"/>
        <v>60000</v>
      </c>
      <c r="I85" s="75">
        <f t="shared" si="56"/>
        <v>75000</v>
      </c>
      <c r="J85" s="75">
        <f t="shared" si="56"/>
        <v>90000</v>
      </c>
      <c r="K85" s="75">
        <f t="shared" si="56"/>
        <v>105000</v>
      </c>
      <c r="L85" s="75">
        <f t="shared" si="56"/>
        <v>120000</v>
      </c>
      <c r="M85" s="75">
        <f t="shared" si="56"/>
        <v>120000</v>
      </c>
      <c r="N85" s="75">
        <f t="shared" si="56"/>
        <v>120000</v>
      </c>
      <c r="O85" s="1"/>
      <c r="P85" s="1"/>
      <c r="Q85" s="1"/>
      <c r="R85" s="1"/>
      <c r="S85" s="1"/>
      <c r="T85" s="14" t="s">
        <v>207</v>
      </c>
      <c r="U85" s="206">
        <v>0.79</v>
      </c>
    </row>
    <row r="86" spans="1:29" x14ac:dyDescent="0.25">
      <c r="A86" s="42"/>
      <c r="B86" s="42" t="s">
        <v>46</v>
      </c>
      <c r="C86" s="42"/>
      <c r="D86" s="42"/>
      <c r="E86" s="75">
        <v>20000</v>
      </c>
      <c r="F86" s="75">
        <v>20000</v>
      </c>
      <c r="G86" s="75">
        <v>20000</v>
      </c>
      <c r="H86" s="75">
        <v>20000</v>
      </c>
      <c r="I86" s="75">
        <v>20000</v>
      </c>
      <c r="J86" s="75">
        <v>20000</v>
      </c>
      <c r="K86" s="75">
        <v>20000</v>
      </c>
      <c r="L86" s="75">
        <v>20000</v>
      </c>
      <c r="M86" s="75">
        <v>20000</v>
      </c>
      <c r="N86" s="75">
        <v>20000</v>
      </c>
      <c r="O86" s="1"/>
      <c r="P86" s="1"/>
      <c r="Q86" s="1"/>
      <c r="R86" s="1"/>
      <c r="S86" s="1"/>
      <c r="T86" t="s">
        <v>208</v>
      </c>
      <c r="U86" s="3">
        <f>T96+T97</f>
        <v>0.29490370575964092</v>
      </c>
    </row>
    <row r="87" spans="1:29" x14ac:dyDescent="0.25">
      <c r="A87" s="42"/>
      <c r="B87" s="42" t="s">
        <v>22</v>
      </c>
      <c r="C87" s="42"/>
      <c r="D87" s="42"/>
      <c r="E87" s="75">
        <f>C87+E65</f>
        <v>2500</v>
      </c>
      <c r="F87" s="75">
        <f t="shared" ref="F87:N87" si="57">E87+F65</f>
        <v>5000</v>
      </c>
      <c r="G87" s="75">
        <f t="shared" si="57"/>
        <v>7500</v>
      </c>
      <c r="H87" s="75">
        <f t="shared" si="57"/>
        <v>10000</v>
      </c>
      <c r="I87" s="75">
        <f t="shared" si="57"/>
        <v>12500</v>
      </c>
      <c r="J87" s="75">
        <f t="shared" si="57"/>
        <v>15000</v>
      </c>
      <c r="K87" s="75">
        <f t="shared" si="57"/>
        <v>17500</v>
      </c>
      <c r="L87" s="75">
        <f t="shared" si="57"/>
        <v>20000</v>
      </c>
      <c r="M87" s="75">
        <f t="shared" si="57"/>
        <v>20000</v>
      </c>
      <c r="N87" s="75">
        <f t="shared" si="57"/>
        <v>20000</v>
      </c>
      <c r="O87" s="1"/>
      <c r="P87" s="1"/>
      <c r="Q87" s="1"/>
      <c r="R87" s="1"/>
      <c r="S87" s="1"/>
      <c r="T87" t="s">
        <v>209</v>
      </c>
      <c r="U87" s="3">
        <f>T99</f>
        <v>0.70509629424035924</v>
      </c>
    </row>
    <row r="88" spans="1:29" s="1" customFormat="1" x14ac:dyDescent="0.25">
      <c r="A88" s="42"/>
      <c r="B88" s="42"/>
      <c r="C88" s="42"/>
      <c r="D88" s="42"/>
      <c r="E88" s="75"/>
      <c r="F88" s="75"/>
      <c r="G88" s="75"/>
      <c r="H88" s="75"/>
      <c r="I88" s="76"/>
      <c r="J88" s="76"/>
      <c r="K88" s="77"/>
      <c r="L88" s="77"/>
      <c r="M88" s="77"/>
      <c r="N88" s="77"/>
      <c r="S88" s="26"/>
      <c r="T88" s="1" t="s">
        <v>123</v>
      </c>
      <c r="U88" s="27">
        <f>U85*(1+(1-$O$69)*((U86)/U87))</f>
        <v>1.0568756633942582</v>
      </c>
      <c r="W88" s="26"/>
      <c r="X88" s="26"/>
      <c r="Y88" s="26" t="s">
        <v>123</v>
      </c>
      <c r="AA88" s="26"/>
      <c r="AB88" s="26"/>
      <c r="AC88" s="26"/>
    </row>
    <row r="89" spans="1:29" s="14" customFormat="1" x14ac:dyDescent="0.25">
      <c r="A89" s="44" t="s">
        <v>23</v>
      </c>
      <c r="B89" s="44"/>
      <c r="C89" s="44"/>
      <c r="D89" s="44"/>
      <c r="E89" s="95">
        <f t="shared" ref="E89:N89" si="58">SUM(E74:E80)-E81+E82-E83+E84-E85+E86-E87</f>
        <v>2358060.6020874102</v>
      </c>
      <c r="F89" s="95">
        <f t="shared" si="58"/>
        <v>2297928.7689119824</v>
      </c>
      <c r="G89" s="95">
        <f t="shared" si="58"/>
        <v>2270144.4684293424</v>
      </c>
      <c r="H89" s="95">
        <f t="shared" si="58"/>
        <v>2276447.3754920303</v>
      </c>
      <c r="I89" s="95">
        <f t="shared" si="58"/>
        <v>2315866.7291690619</v>
      </c>
      <c r="J89" s="95">
        <f t="shared" si="58"/>
        <v>2386132.0542496028</v>
      </c>
      <c r="K89" s="95">
        <f t="shared" si="58"/>
        <v>2488891.9375222186</v>
      </c>
      <c r="L89" s="95">
        <f t="shared" si="58"/>
        <v>2625878.8481623679</v>
      </c>
      <c r="M89" s="95">
        <f t="shared" si="58"/>
        <v>2837665.9939460522</v>
      </c>
      <c r="N89" s="95">
        <f t="shared" si="58"/>
        <v>3079969.2068133038</v>
      </c>
      <c r="O89" s="57"/>
      <c r="P89" s="57"/>
      <c r="Q89" s="57"/>
      <c r="R89" s="57"/>
      <c r="S89" s="26"/>
      <c r="T89" s="26"/>
      <c r="U89" s="26"/>
      <c r="V89" s="26"/>
      <c r="W89" s="26"/>
      <c r="X89" s="26"/>
      <c r="Y89" s="26" t="s">
        <v>124</v>
      </c>
      <c r="Z89" s="28">
        <f>U90</f>
        <v>2.0400000000000001E-2</v>
      </c>
      <c r="AA89" s="26"/>
      <c r="AB89" s="26"/>
      <c r="AC89" s="26"/>
    </row>
    <row r="90" spans="1:29" s="1" customFormat="1" x14ac:dyDescent="0.25">
      <c r="A90" s="44"/>
      <c r="B90" s="42"/>
      <c r="C90" s="42"/>
      <c r="D90" s="42"/>
      <c r="E90" s="75"/>
      <c r="F90" s="75"/>
      <c r="G90" s="75"/>
      <c r="H90" s="75"/>
      <c r="I90" s="76"/>
      <c r="J90" s="76"/>
      <c r="K90" s="77"/>
      <c r="L90" s="77"/>
      <c r="M90" s="77"/>
      <c r="N90" s="77"/>
      <c r="S90" s="26"/>
      <c r="T90" s="26" t="s">
        <v>124</v>
      </c>
      <c r="U90" s="28">
        <v>2.0400000000000001E-2</v>
      </c>
      <c r="V90" s="26"/>
      <c r="W90" s="26"/>
      <c r="X90" s="26"/>
      <c r="Y90" s="26" t="s">
        <v>125</v>
      </c>
      <c r="Z90" s="28">
        <v>8.2500000000000004E-2</v>
      </c>
      <c r="AA90" s="26"/>
      <c r="AB90" s="26"/>
      <c r="AC90" s="26"/>
    </row>
    <row r="91" spans="1:29" x14ac:dyDescent="0.25">
      <c r="A91" s="44" t="s">
        <v>24</v>
      </c>
      <c r="B91" s="42"/>
      <c r="C91" s="42"/>
      <c r="D91" s="42"/>
      <c r="E91" s="75"/>
      <c r="F91" s="75"/>
      <c r="G91" s="75"/>
      <c r="H91" s="75"/>
      <c r="I91" s="76"/>
      <c r="J91" s="76"/>
      <c r="K91" s="77"/>
      <c r="L91" s="77"/>
      <c r="M91" s="77"/>
      <c r="N91" s="77"/>
      <c r="O91" s="1"/>
      <c r="P91" s="1"/>
      <c r="Q91" s="1"/>
      <c r="R91" s="1"/>
      <c r="S91" s="26"/>
      <c r="T91" s="26" t="s">
        <v>125</v>
      </c>
      <c r="U91" s="28">
        <v>8.2500000000000004E-2</v>
      </c>
      <c r="V91" s="26"/>
      <c r="W91" s="26"/>
      <c r="X91" s="26"/>
      <c r="Y91" s="26"/>
      <c r="Z91" s="26"/>
      <c r="AA91" s="26"/>
      <c r="AB91" s="26"/>
      <c r="AC91" s="26"/>
    </row>
    <row r="92" spans="1:29" x14ac:dyDescent="0.25">
      <c r="A92" s="42" t="s">
        <v>25</v>
      </c>
      <c r="B92" s="42"/>
      <c r="C92" s="42"/>
      <c r="D92" s="42"/>
      <c r="E92" s="79"/>
      <c r="F92" s="79"/>
      <c r="G92" s="79"/>
      <c r="H92" s="79"/>
      <c r="I92" s="76"/>
      <c r="J92" s="76"/>
      <c r="K92" s="77"/>
      <c r="L92" s="77"/>
      <c r="M92" s="77"/>
      <c r="N92" s="77"/>
      <c r="O92" s="1"/>
      <c r="P92" s="1"/>
      <c r="Q92" s="1"/>
      <c r="R92" s="1"/>
      <c r="S92" s="26"/>
      <c r="T92" s="26" t="s">
        <v>126</v>
      </c>
      <c r="U92" s="29">
        <f>U90+U88*(U91-U90)</f>
        <v>8.6031978696783432E-2</v>
      </c>
      <c r="V92" s="26"/>
      <c r="W92" s="26"/>
      <c r="X92" s="26"/>
      <c r="Y92" s="26" t="s">
        <v>126</v>
      </c>
      <c r="Z92" s="29">
        <f>Z89+U88*(Z90-Z89)</f>
        <v>8.6031978696783432E-2</v>
      </c>
      <c r="AA92" s="26"/>
      <c r="AB92" s="26"/>
      <c r="AC92" s="26"/>
    </row>
    <row r="93" spans="1:29" x14ac:dyDescent="0.25">
      <c r="A93" s="42"/>
      <c r="B93" s="42" t="s">
        <v>26</v>
      </c>
      <c r="C93" s="42"/>
      <c r="D93" s="42"/>
      <c r="E93" s="79">
        <f t="shared" ref="E93:N93" si="59">E45/365*E6</f>
        <v>82618.150684931505</v>
      </c>
      <c r="F93" s="79">
        <f t="shared" si="59"/>
        <v>86798.629109589048</v>
      </c>
      <c r="G93" s="79">
        <f t="shared" si="59"/>
        <v>91190.639742534244</v>
      </c>
      <c r="H93" s="79">
        <f t="shared" si="59"/>
        <v>95804.886113506494</v>
      </c>
      <c r="I93" s="79">
        <f t="shared" si="59"/>
        <v>100652.61335084992</v>
      </c>
      <c r="J93" s="79">
        <f t="shared" si="59"/>
        <v>105745.6355864029</v>
      </c>
      <c r="K93" s="79">
        <f t="shared" si="59"/>
        <v>111096.36474707491</v>
      </c>
      <c r="L93" s="79">
        <f t="shared" si="59"/>
        <v>116717.84080327691</v>
      </c>
      <c r="M93" s="79">
        <f t="shared" si="59"/>
        <v>122623.76354792273</v>
      </c>
      <c r="N93" s="79">
        <f t="shared" si="59"/>
        <v>128828.52598344763</v>
      </c>
      <c r="O93" s="1"/>
      <c r="P93" s="1"/>
      <c r="Q93" s="1"/>
      <c r="R93" s="1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29" x14ac:dyDescent="0.25">
      <c r="A94" s="42"/>
      <c r="B94" s="42" t="s">
        <v>27</v>
      </c>
      <c r="C94" s="42"/>
      <c r="D94" s="42"/>
      <c r="E94" s="79">
        <f t="shared" ref="E94:N94" si="60">E69</f>
        <v>0</v>
      </c>
      <c r="F94" s="79">
        <f t="shared" si="60"/>
        <v>0</v>
      </c>
      <c r="G94" s="79">
        <f t="shared" si="60"/>
        <v>0</v>
      </c>
      <c r="H94" s="79">
        <f t="shared" si="60"/>
        <v>2798.5489479957064</v>
      </c>
      <c r="I94" s="79">
        <f t="shared" si="60"/>
        <v>9791.1301221748981</v>
      </c>
      <c r="J94" s="79">
        <f t="shared" si="60"/>
        <v>17158.199279674496</v>
      </c>
      <c r="K94" s="79">
        <f t="shared" si="60"/>
        <v>24919.146494920999</v>
      </c>
      <c r="L94" s="79">
        <f t="shared" si="60"/>
        <v>33094.353030434642</v>
      </c>
      <c r="M94" s="79">
        <f t="shared" si="60"/>
        <v>49156.866742825427</v>
      </c>
      <c r="N94" s="79">
        <f t="shared" si="60"/>
        <v>58225.95504656338</v>
      </c>
      <c r="O94" s="1"/>
      <c r="P94" s="1"/>
      <c r="Q94" s="1"/>
      <c r="R94" s="1"/>
      <c r="S94" s="26"/>
      <c r="T94" s="26"/>
      <c r="V94" s="26"/>
      <c r="W94" s="26"/>
      <c r="X94" s="26"/>
      <c r="Y94" s="30" t="s">
        <v>127</v>
      </c>
      <c r="Z94" s="26"/>
      <c r="AA94" s="26"/>
      <c r="AB94" s="26"/>
      <c r="AC94" s="26"/>
    </row>
    <row r="95" spans="1:29" s="1" customFormat="1" x14ac:dyDescent="0.25">
      <c r="A95" s="42"/>
      <c r="B95" s="42"/>
      <c r="C95" s="42"/>
      <c r="D95" s="42"/>
      <c r="E95" s="79"/>
      <c r="F95" s="79"/>
      <c r="G95" s="79"/>
      <c r="H95" s="79"/>
      <c r="I95" s="76"/>
      <c r="J95" s="76"/>
      <c r="K95" s="77"/>
      <c r="L95" s="77"/>
      <c r="M95" s="77"/>
      <c r="N95" s="77"/>
      <c r="S95" s="31" t="s">
        <v>128</v>
      </c>
      <c r="T95" s="32" t="s">
        <v>129</v>
      </c>
      <c r="U95" s="32" t="s">
        <v>84</v>
      </c>
      <c r="V95" s="32" t="s">
        <v>130</v>
      </c>
      <c r="W95" s="32" t="s">
        <v>131</v>
      </c>
      <c r="X95" s="33"/>
      <c r="Y95" s="32" t="s">
        <v>129</v>
      </c>
      <c r="Z95" s="32" t="s">
        <v>84</v>
      </c>
      <c r="AA95" s="32" t="s">
        <v>132</v>
      </c>
      <c r="AB95" s="32" t="s">
        <v>131</v>
      </c>
      <c r="AC95" s="26"/>
    </row>
    <row r="96" spans="1:29" x14ac:dyDescent="0.25">
      <c r="A96" s="42"/>
      <c r="B96" s="42" t="s">
        <v>101</v>
      </c>
      <c r="C96" s="42"/>
      <c r="D96" s="42"/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1">
        <v>20</v>
      </c>
      <c r="P96" s="1" t="s">
        <v>50</v>
      </c>
      <c r="Q96" s="1"/>
      <c r="R96" s="1"/>
      <c r="S96" s="34">
        <f>AVERAGE(E96:N96)</f>
        <v>0</v>
      </c>
      <c r="T96" s="35">
        <f>S96/S105</f>
        <v>0</v>
      </c>
      <c r="U96" s="36">
        <f>'Mortgage Table'!I1</f>
        <v>5.1700000000000003E-2</v>
      </c>
      <c r="V96" s="35">
        <f>U96*(1-$O$69)</f>
        <v>4.1758089999999998E-2</v>
      </c>
      <c r="W96" s="35">
        <f>T96*V96</f>
        <v>0</v>
      </c>
      <c r="X96" s="26"/>
      <c r="Y96" s="36">
        <v>0.47510000000000002</v>
      </c>
      <c r="Z96" s="36">
        <f>U96</f>
        <v>5.1700000000000003E-2</v>
      </c>
      <c r="AA96" s="35">
        <f>Z96*(1-$O$69)</f>
        <v>4.1758089999999998E-2</v>
      </c>
      <c r="AB96" s="36">
        <f>Y96*Z96</f>
        <v>2.4562670000000002E-2</v>
      </c>
      <c r="AC96" s="26"/>
    </row>
    <row r="97" spans="1:29" x14ac:dyDescent="0.25">
      <c r="A97" s="42"/>
      <c r="B97" s="42" t="s">
        <v>78</v>
      </c>
      <c r="C97" s="58" t="s">
        <v>93</v>
      </c>
      <c r="D97" s="58"/>
      <c r="E97" s="79">
        <f>'Mortgage Table'!F13</f>
        <v>759230.07168152905</v>
      </c>
      <c r="F97" s="79">
        <f>'Mortgage Table'!F27</f>
        <v>747626.71706410905</v>
      </c>
      <c r="G97" s="79">
        <f>'Mortgage Table'!F41</f>
        <v>735409.04790269269</v>
      </c>
      <c r="H97" s="79">
        <f>'Mortgage Table'!F55</f>
        <v>722544.54064082529</v>
      </c>
      <c r="I97" s="84">
        <f>'Mortgage Table'!F69</f>
        <v>708998.94983261439</v>
      </c>
      <c r="J97" s="84">
        <f>'Mortgage Table'!F83</f>
        <v>694736.21698101424</v>
      </c>
      <c r="K97" s="81">
        <f>'Mortgage Table'!F97</f>
        <v>679718.37454974826</v>
      </c>
      <c r="L97" s="81">
        <f>'Mortgage Table'!F111</f>
        <v>663905.44489335152</v>
      </c>
      <c r="M97" s="81">
        <f>'Mortgage Table'!F125</f>
        <v>647255.33383628179</v>
      </c>
      <c r="N97" s="81">
        <f>'Mortgage Table'!F139</f>
        <v>629723.71861780726</v>
      </c>
      <c r="O97" s="1">
        <v>30</v>
      </c>
      <c r="P97" s="1" t="s">
        <v>97</v>
      </c>
      <c r="Q97" s="1"/>
      <c r="R97" s="1"/>
      <c r="S97" s="34">
        <f>AVERAGE(E97:N97)</f>
        <v>698914.84159999737</v>
      </c>
      <c r="T97" s="35">
        <f>S97/S105</f>
        <v>0.29490370575964092</v>
      </c>
      <c r="U97" s="36">
        <f>O58</f>
        <v>7.0000000000000007E-2</v>
      </c>
      <c r="V97" s="35">
        <f>U97*(1-$O$69)</f>
        <v>5.6539000000000006E-2</v>
      </c>
      <c r="W97" s="35">
        <f t="shared" ref="W97:W99" si="61">T97*V97</f>
        <v>1.6673560619944339E-2</v>
      </c>
      <c r="X97" s="26"/>
      <c r="Y97" s="36">
        <v>0.1</v>
      </c>
      <c r="Z97" s="36">
        <f t="shared" ref="Z97:Z99" si="62">U97</f>
        <v>7.0000000000000007E-2</v>
      </c>
      <c r="AA97" s="35">
        <f>Z97*(1-$O$69)</f>
        <v>5.6539000000000006E-2</v>
      </c>
      <c r="AB97" s="36">
        <f t="shared" ref="AB97:AB99" si="63">Y97*Z97</f>
        <v>7.000000000000001E-3</v>
      </c>
      <c r="AC97" s="26"/>
    </row>
    <row r="98" spans="1:29" s="1" customFormat="1" x14ac:dyDescent="0.25">
      <c r="A98" s="42"/>
      <c r="B98" s="42"/>
      <c r="C98" s="42"/>
      <c r="D98" s="42"/>
      <c r="E98" s="79"/>
      <c r="F98" s="79"/>
      <c r="G98" s="79"/>
      <c r="H98" s="79"/>
      <c r="I98" s="76"/>
      <c r="J98" s="76"/>
      <c r="K98" s="77"/>
      <c r="L98" s="77"/>
      <c r="M98" s="77"/>
      <c r="N98" s="77"/>
      <c r="S98" s="37"/>
      <c r="T98" s="35"/>
      <c r="U98" s="37"/>
      <c r="V98" s="37"/>
      <c r="W98" s="35"/>
      <c r="X98" s="26"/>
      <c r="Y98" s="37"/>
      <c r="Z98" s="36"/>
      <c r="AA98" s="37"/>
      <c r="AB98" s="36"/>
      <c r="AC98" s="26"/>
    </row>
    <row r="99" spans="1:29" s="1" customFormat="1" x14ac:dyDescent="0.25">
      <c r="A99" s="42" t="s">
        <v>33</v>
      </c>
      <c r="B99" s="42"/>
      <c r="C99" s="42"/>
      <c r="D99" s="42"/>
      <c r="E99" s="79"/>
      <c r="F99" s="79"/>
      <c r="G99" s="79"/>
      <c r="H99" s="79"/>
      <c r="I99" s="76"/>
      <c r="J99" s="76"/>
      <c r="K99" s="77"/>
      <c r="L99" s="77"/>
      <c r="M99" s="77"/>
      <c r="N99" s="77"/>
      <c r="S99" s="34">
        <f>AVERAGE(E100:N100)</f>
        <v>1600000</v>
      </c>
      <c r="T99" s="35">
        <f>SUM(S99:S100)/S105</f>
        <v>0.70509629424035924</v>
      </c>
      <c r="U99" s="36">
        <f>U92</f>
        <v>8.6031978696783432E-2</v>
      </c>
      <c r="V99" s="36">
        <f>U99</f>
        <v>8.6031978696783432E-2</v>
      </c>
      <c r="W99" s="35">
        <f t="shared" si="61"/>
        <v>6.0660829365267531E-2</v>
      </c>
      <c r="X99" s="26"/>
      <c r="Y99" s="36">
        <f>1-Y96-Y97</f>
        <v>0.42489999999999994</v>
      </c>
      <c r="Z99" s="36">
        <f t="shared" si="62"/>
        <v>8.6031978696783432E-2</v>
      </c>
      <c r="AA99" s="36">
        <f>Z99</f>
        <v>8.6031978696783432E-2</v>
      </c>
      <c r="AB99" s="36">
        <f t="shared" si="63"/>
        <v>3.6554987748263275E-2</v>
      </c>
      <c r="AC99" s="26"/>
    </row>
    <row r="100" spans="1:29" s="1" customFormat="1" x14ac:dyDescent="0.25">
      <c r="A100" s="42"/>
      <c r="B100" s="42" t="s">
        <v>122</v>
      </c>
      <c r="C100" s="42"/>
      <c r="D100" s="42"/>
      <c r="E100" s="79">
        <v>1600000</v>
      </c>
      <c r="F100" s="79">
        <f>E100</f>
        <v>1600000</v>
      </c>
      <c r="G100" s="79">
        <f t="shared" ref="G100:N100" si="64">F100</f>
        <v>1600000</v>
      </c>
      <c r="H100" s="79">
        <f t="shared" si="64"/>
        <v>1600000</v>
      </c>
      <c r="I100" s="79">
        <f t="shared" si="64"/>
        <v>1600000</v>
      </c>
      <c r="J100" s="79">
        <f t="shared" si="64"/>
        <v>1600000</v>
      </c>
      <c r="K100" s="79">
        <f t="shared" si="64"/>
        <v>1600000</v>
      </c>
      <c r="L100" s="79">
        <f t="shared" si="64"/>
        <v>1600000</v>
      </c>
      <c r="M100" s="79">
        <f t="shared" si="64"/>
        <v>1600000</v>
      </c>
      <c r="N100" s="79">
        <f t="shared" si="64"/>
        <v>1600000</v>
      </c>
      <c r="S100" s="34">
        <f>AVERAGE(E101:N101)</f>
        <v>71061.621732894026</v>
      </c>
      <c r="T100" s="35"/>
      <c r="U100" s="37"/>
      <c r="V100" s="37"/>
      <c r="W100" s="37"/>
      <c r="X100" s="26"/>
      <c r="Y100" s="37"/>
      <c r="Z100" s="37"/>
      <c r="AA100" s="37"/>
      <c r="AB100" s="37"/>
      <c r="AC100" s="26"/>
    </row>
    <row r="101" spans="1:29" x14ac:dyDescent="0.25">
      <c r="A101" s="42"/>
      <c r="B101" s="42" t="s">
        <v>28</v>
      </c>
      <c r="C101" s="59"/>
      <c r="D101" s="59"/>
      <c r="E101" s="79">
        <f>C101+E70</f>
        <v>-83787.264146348985</v>
      </c>
      <c r="F101" s="79">
        <f t="shared" ref="F101:N101" si="65">E101+F70</f>
        <v>-136496.77699374923</v>
      </c>
      <c r="G101" s="79">
        <f t="shared" si="65"/>
        <v>-156455.12905215329</v>
      </c>
      <c r="H101" s="79">
        <f t="shared" si="65"/>
        <v>-144700.64134910528</v>
      </c>
      <c r="I101" s="79">
        <f t="shared" si="65"/>
        <v>-103575.85819943984</v>
      </c>
      <c r="J101" s="79">
        <f t="shared" si="65"/>
        <v>-31507.852176594854</v>
      </c>
      <c r="K101" s="79">
        <f t="shared" si="65"/>
        <v>73157.74649187988</v>
      </c>
      <c r="L101" s="79">
        <f t="shared" si="65"/>
        <v>212160.91312049172</v>
      </c>
      <c r="M101" s="79">
        <f t="shared" si="65"/>
        <v>418629.97847764252</v>
      </c>
      <c r="N101" s="79">
        <f t="shared" si="65"/>
        <v>663191.10115631775</v>
      </c>
      <c r="O101" s="1"/>
      <c r="P101" s="1"/>
      <c r="Q101" s="1"/>
      <c r="R101" s="1"/>
      <c r="S101" s="37"/>
      <c r="T101" s="37"/>
      <c r="U101" s="37"/>
      <c r="V101" s="37"/>
      <c r="W101" s="37"/>
      <c r="X101" s="26"/>
      <c r="Y101" s="37"/>
      <c r="Z101" s="37"/>
      <c r="AA101" s="37"/>
      <c r="AB101" s="37"/>
      <c r="AC101" s="26"/>
    </row>
    <row r="102" spans="1:29" s="1" customFormat="1" x14ac:dyDescent="0.25">
      <c r="A102" s="42"/>
      <c r="B102" s="42"/>
      <c r="C102" s="42"/>
      <c r="D102" s="42"/>
      <c r="E102" s="79"/>
      <c r="F102" s="79"/>
      <c r="G102" s="79"/>
      <c r="H102" s="79"/>
      <c r="I102" s="76"/>
      <c r="J102" s="76"/>
      <c r="K102" s="77"/>
      <c r="L102" s="77"/>
      <c r="M102" s="77"/>
      <c r="N102" s="77"/>
      <c r="S102" s="37"/>
      <c r="T102" s="37"/>
      <c r="U102" s="37"/>
      <c r="V102" s="37"/>
      <c r="W102" s="37"/>
      <c r="X102" s="26"/>
      <c r="Y102" s="37"/>
      <c r="Z102" s="37"/>
      <c r="AA102" s="37"/>
      <c r="AB102" s="37"/>
      <c r="AC102" s="26"/>
    </row>
    <row r="103" spans="1:29" s="14" customFormat="1" x14ac:dyDescent="0.25">
      <c r="A103" s="44" t="s">
        <v>29</v>
      </c>
      <c r="B103" s="44"/>
      <c r="C103" s="44"/>
      <c r="D103" s="44"/>
      <c r="E103" s="96">
        <f>SUM(E93:E101)</f>
        <v>2358060.9582201117</v>
      </c>
      <c r="F103" s="96">
        <f t="shared" ref="F103:N103" si="66">SUM(F93:F101)</f>
        <v>2297928.5691799489</v>
      </c>
      <c r="G103" s="96">
        <f t="shared" si="66"/>
        <v>2270144.5585930734</v>
      </c>
      <c r="H103" s="96">
        <f t="shared" si="66"/>
        <v>2276447.3343532225</v>
      </c>
      <c r="I103" s="96">
        <f t="shared" si="66"/>
        <v>2315866.8351061991</v>
      </c>
      <c r="J103" s="96">
        <f t="shared" si="66"/>
        <v>2386132.1996704969</v>
      </c>
      <c r="K103" s="96">
        <f t="shared" si="66"/>
        <v>2488891.6322836238</v>
      </c>
      <c r="L103" s="96">
        <f t="shared" si="66"/>
        <v>2625878.5518475552</v>
      </c>
      <c r="M103" s="96">
        <f t="shared" si="66"/>
        <v>2837665.9426046726</v>
      </c>
      <c r="N103" s="96">
        <f t="shared" si="66"/>
        <v>3079969.3008041359</v>
      </c>
      <c r="O103" s="57"/>
      <c r="P103" s="57"/>
      <c r="Q103" s="57"/>
      <c r="R103" s="57"/>
      <c r="S103" s="32"/>
      <c r="T103" s="32"/>
      <c r="U103" s="32"/>
      <c r="V103" s="32"/>
      <c r="W103" s="32"/>
      <c r="X103" s="38"/>
      <c r="Y103" s="32"/>
      <c r="Z103" s="32"/>
      <c r="AA103" s="32"/>
      <c r="AB103" s="32"/>
      <c r="AC103" s="38"/>
    </row>
    <row r="104" spans="1:29" x14ac:dyDescent="0.25">
      <c r="A104" s="44"/>
      <c r="B104" s="42"/>
      <c r="C104" s="42"/>
      <c r="D104" s="42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1"/>
      <c r="P104" s="1"/>
      <c r="Q104" s="1"/>
      <c r="R104" s="1"/>
      <c r="S104" s="32"/>
      <c r="T104" s="32"/>
      <c r="U104" s="32"/>
      <c r="V104" s="32"/>
      <c r="W104" s="32"/>
      <c r="X104" s="38"/>
      <c r="Y104" s="32"/>
      <c r="Z104" s="32"/>
      <c r="AA104" s="32"/>
      <c r="AB104" s="32"/>
      <c r="AC104" s="38"/>
    </row>
    <row r="105" spans="1:29" x14ac:dyDescent="0.25">
      <c r="A105" s="44" t="s">
        <v>30</v>
      </c>
      <c r="B105" s="42"/>
      <c r="C105" s="42"/>
      <c r="D105" s="42"/>
      <c r="E105" s="75">
        <f>E89-E103</f>
        <v>-0.35613270150497556</v>
      </c>
      <c r="F105" s="75">
        <f t="shared" ref="F105:N105" si="67">F89-F103</f>
        <v>0.19973203353583813</v>
      </c>
      <c r="G105" s="75">
        <f t="shared" si="67"/>
        <v>-9.0163731016218662E-2</v>
      </c>
      <c r="H105" s="75">
        <f t="shared" si="67"/>
        <v>4.1138807777315378E-2</v>
      </c>
      <c r="I105" s="75">
        <f t="shared" si="67"/>
        <v>-0.10593713726848364</v>
      </c>
      <c r="J105" s="75">
        <f t="shared" si="67"/>
        <v>-0.14542089402675629</v>
      </c>
      <c r="K105" s="75">
        <f t="shared" si="67"/>
        <v>0.30523859476670623</v>
      </c>
      <c r="L105" s="75">
        <f t="shared" si="67"/>
        <v>0.2963148127309978</v>
      </c>
      <c r="M105" s="75">
        <f t="shared" si="67"/>
        <v>5.1341379527002573E-2</v>
      </c>
      <c r="N105" s="75">
        <f t="shared" si="67"/>
        <v>-9.3990832101553679E-2</v>
      </c>
      <c r="O105" s="1"/>
      <c r="P105" s="1"/>
      <c r="Q105" s="1"/>
      <c r="R105" s="1"/>
      <c r="S105" s="39">
        <f>SUM(S96:S104)</f>
        <v>2369976.463332891</v>
      </c>
      <c r="T105" s="40">
        <f>SUM(T96:T104)</f>
        <v>1.0000000000000002</v>
      </c>
      <c r="U105" s="32"/>
      <c r="V105" s="32"/>
      <c r="W105" s="40">
        <f>SUM(W96:W99)</f>
        <v>7.7334389985211874E-2</v>
      </c>
      <c r="X105" s="38" t="s">
        <v>133</v>
      </c>
      <c r="Y105" s="41">
        <f>SUM(Y96:Y99)</f>
        <v>1</v>
      </c>
      <c r="Z105" s="32"/>
      <c r="AA105" s="32"/>
      <c r="AB105" s="40">
        <f>SUM(AB96:AB99)</f>
        <v>6.8117657748263283E-2</v>
      </c>
      <c r="AC105" s="38" t="s">
        <v>134</v>
      </c>
    </row>
    <row r="106" spans="1:29" s="70" customFormat="1" x14ac:dyDescent="0.25">
      <c r="E106" s="72"/>
      <c r="F106" s="72"/>
      <c r="G106" s="72"/>
      <c r="H106" s="72"/>
      <c r="I106" s="71"/>
      <c r="J106" s="71"/>
      <c r="K106" s="72"/>
      <c r="L106" s="72"/>
      <c r="M106" s="72"/>
      <c r="N106" s="72"/>
    </row>
    <row r="107" spans="1:29" s="73" customFormat="1" x14ac:dyDescent="0.25">
      <c r="D107" s="73">
        <v>0</v>
      </c>
      <c r="E107" s="73">
        <v>1</v>
      </c>
      <c r="F107" s="73">
        <v>2</v>
      </c>
      <c r="G107" s="73">
        <v>3</v>
      </c>
      <c r="H107" s="73">
        <v>4</v>
      </c>
      <c r="I107" s="73">
        <v>5</v>
      </c>
      <c r="J107" s="73">
        <v>6</v>
      </c>
      <c r="K107" s="73">
        <v>7</v>
      </c>
      <c r="L107" s="73">
        <v>8</v>
      </c>
      <c r="M107" s="73">
        <v>9</v>
      </c>
      <c r="N107" s="73">
        <v>10</v>
      </c>
      <c r="O107" s="73">
        <v>11</v>
      </c>
      <c r="P107" s="73">
        <v>12</v>
      </c>
      <c r="Q107" s="73">
        <v>13</v>
      </c>
      <c r="R107" s="73">
        <v>14</v>
      </c>
    </row>
    <row r="108" spans="1:29" x14ac:dyDescent="0.25">
      <c r="A108" s="11" t="s">
        <v>139</v>
      </c>
      <c r="D108" s="1" t="s">
        <v>137</v>
      </c>
      <c r="E108" s="43">
        <v>2015</v>
      </c>
      <c r="F108" s="43">
        <v>2016</v>
      </c>
      <c r="G108" s="43">
        <v>2017</v>
      </c>
      <c r="H108" s="43">
        <v>2018</v>
      </c>
      <c r="I108" s="43">
        <v>2019</v>
      </c>
      <c r="J108" s="43">
        <v>2020</v>
      </c>
      <c r="K108" s="43">
        <v>2021</v>
      </c>
      <c r="L108" s="43">
        <v>2022</v>
      </c>
      <c r="M108" s="43">
        <v>2023</v>
      </c>
      <c r="N108" s="43">
        <v>2024</v>
      </c>
      <c r="O108" s="1"/>
    </row>
    <row r="109" spans="1:29" x14ac:dyDescent="0.25">
      <c r="A109" t="s">
        <v>140</v>
      </c>
      <c r="D109" s="1"/>
      <c r="E109" s="1"/>
      <c r="F109" s="1"/>
      <c r="G109" s="1"/>
      <c r="H109" s="1"/>
      <c r="I109" s="2"/>
      <c r="J109" s="2"/>
      <c r="K109" s="1"/>
      <c r="L109" s="1"/>
      <c r="M109" s="1"/>
      <c r="N109" s="1"/>
      <c r="O109" s="1"/>
    </row>
    <row r="110" spans="1:29" x14ac:dyDescent="0.25">
      <c r="A110" s="26"/>
      <c r="B110" s="26" t="s">
        <v>12</v>
      </c>
      <c r="D110" s="86"/>
      <c r="E110" s="86">
        <f t="shared" ref="E110:N110" si="68">E56</f>
        <v>359.30000000004657</v>
      </c>
      <c r="F110" s="86">
        <f t="shared" si="68"/>
        <v>30853.624999999767</v>
      </c>
      <c r="G110" s="86">
        <f t="shared" si="68"/>
        <v>62990.471244999557</v>
      </c>
      <c r="H110" s="86">
        <f t="shared" si="68"/>
        <v>96855.021853996092</v>
      </c>
      <c r="I110" s="86">
        <f t="shared" si="68"/>
        <v>132536.81492844934</v>
      </c>
      <c r="J110" s="86">
        <f t="shared" si="68"/>
        <v>170129.96491573914</v>
      </c>
      <c r="K110" s="86">
        <f t="shared" si="68"/>
        <v>209733.3951969496</v>
      </c>
      <c r="L110" s="86">
        <f t="shared" si="68"/>
        <v>251451.08246746962</v>
      </c>
      <c r="M110" s="86">
        <f t="shared" si="68"/>
        <v>295392.31350772642</v>
      </c>
      <c r="N110" s="86">
        <f t="shared" si="68"/>
        <v>341671.95497158379</v>
      </c>
    </row>
    <row r="111" spans="1:29" x14ac:dyDescent="0.25">
      <c r="A111" s="26"/>
      <c r="B111" s="26" t="s">
        <v>141</v>
      </c>
      <c r="D111" s="86"/>
      <c r="E111" s="86">
        <f t="shared" ref="E111:N111" si="69">E66</f>
        <v>44583.333333333328</v>
      </c>
      <c r="F111" s="86">
        <f t="shared" si="69"/>
        <v>44583.333333333328</v>
      </c>
      <c r="G111" s="86">
        <f t="shared" si="69"/>
        <v>44583.333333333328</v>
      </c>
      <c r="H111" s="87">
        <f t="shared" si="69"/>
        <v>44583.333333333328</v>
      </c>
      <c r="I111" s="87">
        <f t="shared" si="69"/>
        <v>44583.333333333328</v>
      </c>
      <c r="J111" s="87">
        <f t="shared" si="69"/>
        <v>44583.333333333328</v>
      </c>
      <c r="K111" s="87">
        <f t="shared" si="69"/>
        <v>44583.333333333328</v>
      </c>
      <c r="L111" s="87">
        <f t="shared" si="69"/>
        <v>44583.333333333328</v>
      </c>
      <c r="M111" s="87">
        <f t="shared" si="69"/>
        <v>5833.333333333333</v>
      </c>
      <c r="N111" s="87">
        <f t="shared" si="69"/>
        <v>5833.333333333333</v>
      </c>
    </row>
    <row r="112" spans="1:29" x14ac:dyDescent="0.25">
      <c r="A112" s="26"/>
      <c r="B112" s="26" t="s">
        <v>142</v>
      </c>
      <c r="D112" s="86"/>
      <c r="E112" s="86">
        <f>E110-E111</f>
        <v>-44224.033333333282</v>
      </c>
      <c r="F112" s="86">
        <f t="shared" ref="F112:N112" si="70">F110-F111</f>
        <v>-13729.708333333561</v>
      </c>
      <c r="G112" s="86">
        <f t="shared" si="70"/>
        <v>18407.137911666228</v>
      </c>
      <c r="H112" s="87">
        <f t="shared" si="70"/>
        <v>52271.688520662763</v>
      </c>
      <c r="I112" s="87">
        <f t="shared" si="70"/>
        <v>87953.481595116013</v>
      </c>
      <c r="J112" s="87">
        <f t="shared" si="70"/>
        <v>125546.63158240581</v>
      </c>
      <c r="K112" s="87">
        <f t="shared" si="70"/>
        <v>165150.06186361628</v>
      </c>
      <c r="L112" s="87">
        <f t="shared" si="70"/>
        <v>206867.74913413631</v>
      </c>
      <c r="M112" s="87">
        <f t="shared" si="70"/>
        <v>289558.9801743931</v>
      </c>
      <c r="N112" s="87">
        <f t="shared" si="70"/>
        <v>335838.62163825048</v>
      </c>
    </row>
    <row r="113" spans="1:19" x14ac:dyDescent="0.25">
      <c r="A113" s="26"/>
      <c r="B113" s="26" t="s">
        <v>143</v>
      </c>
      <c r="D113" s="86"/>
      <c r="E113" s="86">
        <v>0</v>
      </c>
      <c r="F113" s="86">
        <v>0</v>
      </c>
      <c r="G113" s="86">
        <f t="shared" ref="G113:N113" si="71">G112*$O$69</f>
        <v>3539.6926204134156</v>
      </c>
      <c r="H113" s="87">
        <f t="shared" si="71"/>
        <v>10051.845702523449</v>
      </c>
      <c r="I113" s="87">
        <f t="shared" si="71"/>
        <v>16913.454510740808</v>
      </c>
      <c r="J113" s="87">
        <f t="shared" si="71"/>
        <v>24142.617253296638</v>
      </c>
      <c r="K113" s="87">
        <f t="shared" si="71"/>
        <v>31758.356896373411</v>
      </c>
      <c r="L113" s="87">
        <f t="shared" si="71"/>
        <v>39780.668158494409</v>
      </c>
      <c r="M113" s="87">
        <f t="shared" si="71"/>
        <v>55682.191887535795</v>
      </c>
      <c r="N113" s="87">
        <f t="shared" si="71"/>
        <v>64581.766941035567</v>
      </c>
    </row>
    <row r="114" spans="1:19" x14ac:dyDescent="0.25">
      <c r="A114" s="26"/>
      <c r="B114" s="26" t="s">
        <v>144</v>
      </c>
      <c r="D114" s="86"/>
      <c r="E114" s="86">
        <f>E110-E113</f>
        <v>359.30000000004657</v>
      </c>
      <c r="F114" s="86">
        <f t="shared" ref="F114:N114" si="72">F110-F113</f>
        <v>30853.624999999767</v>
      </c>
      <c r="G114" s="86">
        <f t="shared" si="72"/>
        <v>59450.778624586143</v>
      </c>
      <c r="H114" s="87">
        <f t="shared" si="72"/>
        <v>86803.176151472639</v>
      </c>
      <c r="I114" s="87">
        <f t="shared" si="72"/>
        <v>115623.36041770854</v>
      </c>
      <c r="J114" s="87">
        <f t="shared" si="72"/>
        <v>145987.34766244251</v>
      </c>
      <c r="K114" s="87">
        <f t="shared" si="72"/>
        <v>177975.03830057618</v>
      </c>
      <c r="L114" s="87">
        <f t="shared" si="72"/>
        <v>211670.41430897522</v>
      </c>
      <c r="M114" s="87">
        <f t="shared" si="72"/>
        <v>239710.12162019062</v>
      </c>
      <c r="N114" s="87">
        <f t="shared" si="72"/>
        <v>277090.18803054822</v>
      </c>
    </row>
    <row r="115" spans="1:19" x14ac:dyDescent="0.25">
      <c r="A115" s="64" t="s">
        <v>145</v>
      </c>
      <c r="D115" s="86"/>
      <c r="E115" s="86"/>
      <c r="F115" s="86"/>
      <c r="G115" s="86"/>
      <c r="H115" s="87"/>
      <c r="I115" s="87"/>
      <c r="J115" s="87"/>
      <c r="K115" s="87"/>
      <c r="L115" s="87"/>
      <c r="M115" s="87"/>
      <c r="N115" s="87"/>
    </row>
    <row r="116" spans="1:19" x14ac:dyDescent="0.25">
      <c r="A116" t="s">
        <v>146</v>
      </c>
      <c r="D116" s="86"/>
      <c r="E116" s="86"/>
      <c r="F116" s="86"/>
      <c r="G116" s="86"/>
      <c r="H116" s="87"/>
      <c r="I116" s="87"/>
      <c r="J116" s="87"/>
      <c r="K116" s="87"/>
      <c r="L116" s="87"/>
      <c r="M116" s="87"/>
      <c r="N116" s="87"/>
    </row>
    <row r="117" spans="1:19" x14ac:dyDescent="0.25">
      <c r="A117" t="s">
        <v>147</v>
      </c>
      <c r="B117" s="65" t="s">
        <v>148</v>
      </c>
      <c r="C117" s="62"/>
      <c r="D117" s="87">
        <f>-(F74-D74)</f>
        <v>-5000</v>
      </c>
      <c r="E117" s="87">
        <f t="shared" ref="E117:N117" si="73">-(F74-E74)</f>
        <v>0</v>
      </c>
      <c r="F117" s="87">
        <f t="shared" si="73"/>
        <v>0</v>
      </c>
      <c r="G117" s="87">
        <f t="shared" si="73"/>
        <v>0</v>
      </c>
      <c r="H117" s="87">
        <f t="shared" si="73"/>
        <v>0</v>
      </c>
      <c r="I117" s="87">
        <f t="shared" si="73"/>
        <v>0</v>
      </c>
      <c r="J117" s="87">
        <f t="shared" si="73"/>
        <v>0</v>
      </c>
      <c r="K117" s="87">
        <f t="shared" si="73"/>
        <v>0</v>
      </c>
      <c r="L117" s="87">
        <f t="shared" si="73"/>
        <v>0</v>
      </c>
      <c r="M117" s="87">
        <f t="shared" si="73"/>
        <v>0</v>
      </c>
      <c r="N117" s="87">
        <f t="shared" si="73"/>
        <v>5000</v>
      </c>
    </row>
    <row r="118" spans="1:19" x14ac:dyDescent="0.25">
      <c r="A118" t="s">
        <v>147</v>
      </c>
      <c r="B118" s="42" t="s">
        <v>18</v>
      </c>
      <c r="C118" s="62"/>
      <c r="D118" s="87">
        <f>-(F76-D76)</f>
        <v>-23146.301095890412</v>
      </c>
      <c r="E118" s="87">
        <f t="shared" ref="E118:N118" si="74">-(F76-E76)</f>
        <v>-1114.794246575344</v>
      </c>
      <c r="F118" s="87">
        <f t="shared" si="74"/>
        <v>-1171.202835452048</v>
      </c>
      <c r="G118" s="87">
        <f t="shared" si="74"/>
        <v>-1230.4656989259274</v>
      </c>
      <c r="H118" s="87">
        <f t="shared" si="74"/>
        <v>-1292.727263291592</v>
      </c>
      <c r="I118" s="87">
        <f t="shared" si="74"/>
        <v>-1358.1392628141293</v>
      </c>
      <c r="J118" s="87">
        <f t="shared" si="74"/>
        <v>-1426.8611095125307</v>
      </c>
      <c r="K118" s="87">
        <f t="shared" si="74"/>
        <v>-1499.0602816538703</v>
      </c>
      <c r="L118" s="87">
        <f t="shared" si="74"/>
        <v>-1574.9127319055551</v>
      </c>
      <c r="M118" s="87">
        <f t="shared" si="74"/>
        <v>-1654.6033161399755</v>
      </c>
      <c r="N118" s="87">
        <f t="shared" si="74"/>
        <v>34354.273595586041</v>
      </c>
    </row>
    <row r="119" spans="1:19" x14ac:dyDescent="0.25">
      <c r="A119" t="s">
        <v>147</v>
      </c>
      <c r="B119" s="53" t="s">
        <v>19</v>
      </c>
      <c r="C119" s="62"/>
      <c r="D119" s="87">
        <f>-(F77-D77)</f>
        <v>-291324.13448275864</v>
      </c>
      <c r="E119" s="87">
        <f t="shared" ref="E119:N119" si="75">-(F77-E77)</f>
        <v>-4127.7059113300638</v>
      </c>
      <c r="F119" s="87">
        <f t="shared" si="75"/>
        <v>-4538.8300152413431</v>
      </c>
      <c r="G119" s="87">
        <f t="shared" si="75"/>
        <v>-4943.7746970956796</v>
      </c>
      <c r="H119" s="87">
        <f t="shared" si="75"/>
        <v>-5344.9597470728331</v>
      </c>
      <c r="I119" s="87">
        <f t="shared" si="75"/>
        <v>-5744.5191510602599</v>
      </c>
      <c r="J119" s="87">
        <f t="shared" si="75"/>
        <v>-6144.3554964366485</v>
      </c>
      <c r="K119" s="87">
        <f t="shared" si="75"/>
        <v>-6546.1836918285117</v>
      </c>
      <c r="L119" s="87">
        <f t="shared" si="75"/>
        <v>-6951.5663851120044</v>
      </c>
      <c r="M119" s="87">
        <f t="shared" si="75"/>
        <v>-7361.9428844454815</v>
      </c>
      <c r="N119" s="87">
        <f t="shared" si="75"/>
        <v>338900.26655105141</v>
      </c>
    </row>
    <row r="120" spans="1:19" x14ac:dyDescent="0.25">
      <c r="A120" t="s">
        <v>149</v>
      </c>
      <c r="B120" s="53" t="s">
        <v>26</v>
      </c>
      <c r="C120" s="62"/>
      <c r="D120" s="87">
        <f>F93-D93</f>
        <v>86798.629109589048</v>
      </c>
      <c r="E120" s="87">
        <f t="shared" ref="E120:N120" si="76">F93-E93</f>
        <v>4180.4784246575437</v>
      </c>
      <c r="F120" s="87">
        <f t="shared" si="76"/>
        <v>4392.0106329451955</v>
      </c>
      <c r="G120" s="87">
        <f t="shared" si="76"/>
        <v>4614.2463709722506</v>
      </c>
      <c r="H120" s="87">
        <f t="shared" si="76"/>
        <v>4847.7272373434243</v>
      </c>
      <c r="I120" s="87">
        <f t="shared" si="76"/>
        <v>5093.0222355529841</v>
      </c>
      <c r="J120" s="87">
        <f t="shared" si="76"/>
        <v>5350.72916067201</v>
      </c>
      <c r="K120" s="87">
        <f t="shared" si="76"/>
        <v>5621.4760562019947</v>
      </c>
      <c r="L120" s="87">
        <f t="shared" si="76"/>
        <v>5905.9227446458244</v>
      </c>
      <c r="M120" s="87">
        <f t="shared" si="76"/>
        <v>6204.762435524899</v>
      </c>
      <c r="N120" s="87">
        <f t="shared" si="76"/>
        <v>-128828.52598344763</v>
      </c>
    </row>
    <row r="121" spans="1:19" x14ac:dyDescent="0.25">
      <c r="A121" s="1" t="s">
        <v>149</v>
      </c>
      <c r="B121" s="53" t="s">
        <v>27</v>
      </c>
      <c r="C121" s="62"/>
      <c r="D121" s="87">
        <f>F113-D113</f>
        <v>0</v>
      </c>
      <c r="E121" s="87">
        <f t="shared" ref="E121:M121" si="77">F113-E113</f>
        <v>0</v>
      </c>
      <c r="F121" s="87">
        <f t="shared" si="77"/>
        <v>3539.6926204134156</v>
      </c>
      <c r="G121" s="87">
        <f t="shared" si="77"/>
        <v>6512.1530821100332</v>
      </c>
      <c r="H121" s="87">
        <f t="shared" si="77"/>
        <v>6861.6088082173592</v>
      </c>
      <c r="I121" s="87">
        <f t="shared" si="77"/>
        <v>7229.162742555829</v>
      </c>
      <c r="J121" s="87">
        <f t="shared" si="77"/>
        <v>7615.7396430767731</v>
      </c>
      <c r="K121" s="87">
        <f t="shared" si="77"/>
        <v>8022.3112621209984</v>
      </c>
      <c r="L121" s="87">
        <f t="shared" si="77"/>
        <v>15901.523729041386</v>
      </c>
      <c r="M121" s="87">
        <f t="shared" si="77"/>
        <v>8899.5750534997715</v>
      </c>
      <c r="N121" s="87">
        <f>O113-N113</f>
        <v>-64581.766941035567</v>
      </c>
    </row>
    <row r="122" spans="1:19" x14ac:dyDescent="0.25">
      <c r="A122" s="1"/>
      <c r="B122" s="12"/>
      <c r="C122" s="62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S122" s="66"/>
    </row>
    <row r="123" spans="1:19" x14ac:dyDescent="0.25">
      <c r="A123" s="26" t="s">
        <v>151</v>
      </c>
      <c r="B123" s="62"/>
      <c r="C123" s="62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t="s">
        <v>152</v>
      </c>
      <c r="P123" s="61">
        <f>N79</f>
        <v>175000</v>
      </c>
    </row>
    <row r="124" spans="1:19" x14ac:dyDescent="0.25">
      <c r="B124" s="67" t="s">
        <v>153</v>
      </c>
      <c r="C124" s="62"/>
      <c r="D124" s="87">
        <f>-(F79-D79)</f>
        <v>-175000</v>
      </c>
      <c r="E124" s="87">
        <f t="shared" ref="E124:M124" si="78">-(F79-E79)</f>
        <v>0</v>
      </c>
      <c r="F124" s="87">
        <f t="shared" si="78"/>
        <v>0</v>
      </c>
      <c r="G124" s="87">
        <f t="shared" si="78"/>
        <v>0</v>
      </c>
      <c r="H124" s="87">
        <f t="shared" si="78"/>
        <v>0</v>
      </c>
      <c r="I124" s="87">
        <f t="shared" si="78"/>
        <v>0</v>
      </c>
      <c r="J124" s="87">
        <f t="shared" si="78"/>
        <v>0</v>
      </c>
      <c r="K124" s="87">
        <f t="shared" si="78"/>
        <v>0</v>
      </c>
      <c r="L124" s="87">
        <f t="shared" si="78"/>
        <v>0</v>
      </c>
      <c r="M124" s="87">
        <f t="shared" si="78"/>
        <v>0</v>
      </c>
      <c r="N124" s="87">
        <f>-(-N79)</f>
        <v>175000</v>
      </c>
      <c r="O124" s="68">
        <v>0.25</v>
      </c>
      <c r="P124" t="s">
        <v>154</v>
      </c>
    </row>
    <row r="125" spans="1:19" x14ac:dyDescent="0.25">
      <c r="B125" s="62" t="s">
        <v>155</v>
      </c>
      <c r="C125" s="62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>
        <f>N124*O124</f>
        <v>43750</v>
      </c>
      <c r="O125" t="s">
        <v>156</v>
      </c>
      <c r="P125" s="69">
        <f>SUM(N124:N125)-P123</f>
        <v>43750</v>
      </c>
    </row>
    <row r="126" spans="1:19" x14ac:dyDescent="0.25">
      <c r="B126" s="62" t="s">
        <v>157</v>
      </c>
      <c r="C126" s="62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>
        <f>-(P125*P126)</f>
        <v>-8413.125</v>
      </c>
      <c r="O126" t="s">
        <v>150</v>
      </c>
      <c r="P126" s="3">
        <f>O69</f>
        <v>0.1923</v>
      </c>
    </row>
    <row r="127" spans="1:19" x14ac:dyDescent="0.25">
      <c r="B127" s="62"/>
      <c r="C127" s="62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9" x14ac:dyDescent="0.25">
      <c r="B128" s="67" t="s">
        <v>158</v>
      </c>
      <c r="C128" s="62"/>
      <c r="D128" s="87">
        <f>-(F80-D80)</f>
        <v>-641875</v>
      </c>
      <c r="E128" s="87">
        <f t="shared" ref="E128:N128" si="79">-(F80-E80)</f>
        <v>0</v>
      </c>
      <c r="F128" s="87">
        <f t="shared" si="79"/>
        <v>0</v>
      </c>
      <c r="G128" s="87">
        <f t="shared" si="79"/>
        <v>0</v>
      </c>
      <c r="H128" s="87">
        <f t="shared" si="79"/>
        <v>0</v>
      </c>
      <c r="I128" s="87">
        <f t="shared" si="79"/>
        <v>0</v>
      </c>
      <c r="J128" s="87">
        <f t="shared" si="79"/>
        <v>0</v>
      </c>
      <c r="K128" s="87">
        <f t="shared" si="79"/>
        <v>0</v>
      </c>
      <c r="L128" s="87">
        <f t="shared" si="79"/>
        <v>0</v>
      </c>
      <c r="M128" s="87">
        <f t="shared" si="79"/>
        <v>0</v>
      </c>
      <c r="N128" s="87">
        <f t="shared" si="79"/>
        <v>636740</v>
      </c>
      <c r="O128" s="68" t="s">
        <v>152</v>
      </c>
      <c r="P128" s="63">
        <f>N80-N81</f>
        <v>583541.66666666663</v>
      </c>
    </row>
    <row r="129" spans="2:18" x14ac:dyDescent="0.25">
      <c r="B129" s="62" t="s">
        <v>155</v>
      </c>
      <c r="C129" s="62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>
        <f>N128*O129</f>
        <v>0</v>
      </c>
      <c r="O129" s="68">
        <v>0</v>
      </c>
      <c r="P129" s="61" t="s">
        <v>154</v>
      </c>
      <c r="R129" s="69"/>
    </row>
    <row r="130" spans="2:18" x14ac:dyDescent="0.25">
      <c r="B130" s="62" t="s">
        <v>157</v>
      </c>
      <c r="C130" s="62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 t="b">
        <f>IF((P130*P126)&lt;0,0)</f>
        <v>0</v>
      </c>
      <c r="O130" t="s">
        <v>159</v>
      </c>
      <c r="P130" s="61">
        <f>SUM(N128:N129)-P128</f>
        <v>53198.333333333372</v>
      </c>
    </row>
    <row r="131" spans="2:18" x14ac:dyDescent="0.25">
      <c r="B131" s="62"/>
      <c r="C131" s="62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</row>
    <row r="132" spans="2:18" x14ac:dyDescent="0.25">
      <c r="B132" s="67" t="s">
        <v>44</v>
      </c>
      <c r="C132" s="62"/>
      <c r="D132" s="87">
        <f>-(F82-D82)</f>
        <v>-170000</v>
      </c>
      <c r="E132" s="87">
        <f t="shared" ref="E132:N132" si="80">-(F82-E82)</f>
        <v>0</v>
      </c>
      <c r="F132" s="87">
        <f t="shared" si="80"/>
        <v>0</v>
      </c>
      <c r="G132" s="87">
        <f t="shared" si="80"/>
        <v>0</v>
      </c>
      <c r="H132" s="87">
        <f t="shared" si="80"/>
        <v>0</v>
      </c>
      <c r="I132" s="87">
        <f t="shared" si="80"/>
        <v>0</v>
      </c>
      <c r="J132" s="87">
        <f t="shared" si="80"/>
        <v>0</v>
      </c>
      <c r="K132" s="87">
        <f t="shared" si="80"/>
        <v>0</v>
      </c>
      <c r="L132" s="87">
        <f t="shared" si="80"/>
        <v>0</v>
      </c>
      <c r="M132" s="87">
        <f t="shared" si="80"/>
        <v>0</v>
      </c>
      <c r="N132" s="87">
        <f t="shared" si="80"/>
        <v>170000</v>
      </c>
      <c r="O132" t="s">
        <v>152</v>
      </c>
      <c r="P132" s="63">
        <f>N82-N83</f>
        <v>0</v>
      </c>
    </row>
    <row r="133" spans="2:18" x14ac:dyDescent="0.25">
      <c r="B133" s="62" t="s">
        <v>155</v>
      </c>
      <c r="C133" s="62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>
        <f>N132*O133</f>
        <v>-34000</v>
      </c>
      <c r="O133" s="68">
        <v>-0.2</v>
      </c>
      <c r="P133" t="s">
        <v>154</v>
      </c>
    </row>
    <row r="134" spans="2:18" x14ac:dyDescent="0.25">
      <c r="B134" s="62" t="s">
        <v>157</v>
      </c>
      <c r="C134" s="62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>
        <f>-(P134*P126)</f>
        <v>-26152.799999999999</v>
      </c>
      <c r="O134" t="s">
        <v>156</v>
      </c>
      <c r="P134" s="62">
        <f>SUM(N132:N133)-P132</f>
        <v>136000</v>
      </c>
    </row>
    <row r="135" spans="2:18" x14ac:dyDescent="0.25">
      <c r="B135" s="62"/>
      <c r="C135" s="62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</row>
    <row r="136" spans="2:18" x14ac:dyDescent="0.25">
      <c r="B136" s="67" t="s">
        <v>45</v>
      </c>
      <c r="C136" s="62"/>
      <c r="D136" s="87">
        <f>-(F84-D84)</f>
        <v>-120000</v>
      </c>
      <c r="E136" s="87">
        <f t="shared" ref="E136:M136" si="81">-(F84-E84)</f>
        <v>0</v>
      </c>
      <c r="F136" s="87">
        <f t="shared" si="81"/>
        <v>0</v>
      </c>
      <c r="G136" s="87">
        <f t="shared" si="81"/>
        <v>0</v>
      </c>
      <c r="H136" s="87">
        <f t="shared" si="81"/>
        <v>0</v>
      </c>
      <c r="I136" s="87">
        <f t="shared" si="81"/>
        <v>0</v>
      </c>
      <c r="J136" s="87">
        <f t="shared" si="81"/>
        <v>0</v>
      </c>
      <c r="K136" s="87">
        <f t="shared" si="81"/>
        <v>0</v>
      </c>
      <c r="L136" s="87">
        <f t="shared" si="81"/>
        <v>0</v>
      </c>
      <c r="M136" s="87">
        <f t="shared" si="81"/>
        <v>0</v>
      </c>
      <c r="N136" s="87">
        <f>-(O84-N84)</f>
        <v>120000</v>
      </c>
      <c r="O136" t="s">
        <v>152</v>
      </c>
      <c r="P136" s="63">
        <f>N84-N85</f>
        <v>0</v>
      </c>
    </row>
    <row r="137" spans="2:18" x14ac:dyDescent="0.25">
      <c r="B137" s="62" t="s">
        <v>155</v>
      </c>
      <c r="C137" s="62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>
        <f>N136*O137</f>
        <v>-24000</v>
      </c>
      <c r="O137" s="68">
        <v>-0.2</v>
      </c>
      <c r="P137" t="s">
        <v>154</v>
      </c>
    </row>
    <row r="138" spans="2:18" x14ac:dyDescent="0.25">
      <c r="B138" s="62" t="s">
        <v>157</v>
      </c>
      <c r="C138" s="62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>
        <f>-(P138*P126)</f>
        <v>-18460.8</v>
      </c>
      <c r="O138" t="s">
        <v>156</v>
      </c>
      <c r="P138" s="69">
        <f>SUM(N136:N137)-P136</f>
        <v>96000</v>
      </c>
    </row>
    <row r="139" spans="2:18" x14ac:dyDescent="0.25">
      <c r="B139" s="62"/>
      <c r="C139" s="62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</row>
    <row r="140" spans="2:18" x14ac:dyDescent="0.25">
      <c r="B140" s="67" t="s">
        <v>46</v>
      </c>
      <c r="C140" s="62"/>
      <c r="D140" s="87">
        <f>-(F86-D86)</f>
        <v>-20000</v>
      </c>
      <c r="E140" s="87">
        <f t="shared" ref="E140:N140" si="82">-(F86-E86)</f>
        <v>0</v>
      </c>
      <c r="F140" s="87">
        <f t="shared" si="82"/>
        <v>0</v>
      </c>
      <c r="G140" s="87">
        <f t="shared" si="82"/>
        <v>0</v>
      </c>
      <c r="H140" s="87">
        <f t="shared" si="82"/>
        <v>0</v>
      </c>
      <c r="I140" s="87">
        <f t="shared" si="82"/>
        <v>0</v>
      </c>
      <c r="J140" s="87">
        <f t="shared" si="82"/>
        <v>0</v>
      </c>
      <c r="K140" s="87">
        <f t="shared" si="82"/>
        <v>0</v>
      </c>
      <c r="L140" s="87">
        <f t="shared" si="82"/>
        <v>0</v>
      </c>
      <c r="M140" s="87">
        <f t="shared" si="82"/>
        <v>0</v>
      </c>
      <c r="N140" s="87">
        <f t="shared" si="82"/>
        <v>20000</v>
      </c>
      <c r="O140" t="s">
        <v>152</v>
      </c>
      <c r="P140" s="63">
        <f>N86-N87</f>
        <v>0</v>
      </c>
    </row>
    <row r="141" spans="2:18" x14ac:dyDescent="0.25">
      <c r="B141" s="62" t="s">
        <v>155</v>
      </c>
      <c r="C141" s="62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>
        <f>N140*O141</f>
        <v>-4000</v>
      </c>
      <c r="O141" s="68">
        <v>-0.2</v>
      </c>
      <c r="P141" t="s">
        <v>154</v>
      </c>
    </row>
    <row r="142" spans="2:18" x14ac:dyDescent="0.25">
      <c r="B142" s="62" t="s">
        <v>157</v>
      </c>
      <c r="C142" s="62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>
        <f>-(P142*P126)</f>
        <v>-3076.8</v>
      </c>
      <c r="O142" t="s">
        <v>156</v>
      </c>
      <c r="P142" s="69">
        <f>SUM(N140:N141)-P140</f>
        <v>16000</v>
      </c>
    </row>
    <row r="143" spans="2:18" x14ac:dyDescent="0.25">
      <c r="B143" s="62"/>
      <c r="C143" s="62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P143" s="69"/>
    </row>
    <row r="144" spans="2:18" x14ac:dyDescent="0.25">
      <c r="H144" s="62"/>
      <c r="I144" s="62"/>
      <c r="J144" s="62"/>
      <c r="K144" s="62"/>
      <c r="L144" s="62"/>
      <c r="M144" s="62"/>
      <c r="N144" s="62"/>
    </row>
    <row r="145" spans="1:14" x14ac:dyDescent="0.25">
      <c r="A145" s="26" t="s">
        <v>160</v>
      </c>
      <c r="C145" s="62"/>
      <c r="D145" s="87">
        <f t="shared" ref="D145:N145" si="83">SUM(D114:D144)</f>
        <v>-1359546.80646906</v>
      </c>
      <c r="E145" s="87">
        <f t="shared" si="83"/>
        <v>-702.72173324781761</v>
      </c>
      <c r="F145" s="87">
        <f t="shared" si="83"/>
        <v>33075.29540266499</v>
      </c>
      <c r="G145" s="87">
        <f t="shared" si="83"/>
        <v>64402.937681646814</v>
      </c>
      <c r="H145" s="87">
        <f t="shared" si="83"/>
        <v>91874.825186668982</v>
      </c>
      <c r="I145" s="87">
        <f t="shared" si="83"/>
        <v>120842.88698194295</v>
      </c>
      <c r="J145" s="87">
        <f t="shared" si="83"/>
        <v>151382.5998602421</v>
      </c>
      <c r="K145" s="87">
        <f t="shared" si="83"/>
        <v>183573.58164541679</v>
      </c>
      <c r="L145" s="87">
        <f t="shared" si="83"/>
        <v>224951.38166564488</v>
      </c>
      <c r="M145" s="87">
        <f t="shared" si="83"/>
        <v>245797.91290862983</v>
      </c>
      <c r="N145" s="87">
        <f t="shared" si="83"/>
        <v>1509320.9102527022</v>
      </c>
    </row>
    <row r="146" spans="1:14" x14ac:dyDescent="0.25">
      <c r="B146" t="s">
        <v>161</v>
      </c>
      <c r="D146" s="66">
        <f>IRR(D145:N145)</f>
        <v>8.1461866980665265E-2</v>
      </c>
      <c r="E146" s="86"/>
      <c r="F146" s="86"/>
      <c r="G146" s="86"/>
      <c r="H146" s="86"/>
      <c r="I146" s="86"/>
      <c r="J146" s="86"/>
      <c r="K146" s="86"/>
      <c r="L146" s="86"/>
      <c r="M146" s="86"/>
      <c r="N146" s="86"/>
    </row>
    <row r="147" spans="1:14" x14ac:dyDescent="0.25">
      <c r="B147" t="s">
        <v>133</v>
      </c>
      <c r="D147" s="66">
        <f>W105</f>
        <v>7.7334389985211874E-2</v>
      </c>
      <c r="E147" s="86"/>
      <c r="F147" s="86"/>
      <c r="G147" s="86"/>
      <c r="H147" s="86"/>
      <c r="I147" s="86"/>
      <c r="J147" s="86"/>
      <c r="K147" s="86"/>
      <c r="L147" s="86"/>
      <c r="M147" s="86"/>
      <c r="N147" s="86"/>
    </row>
    <row r="148" spans="1:14" x14ac:dyDescent="0.25">
      <c r="B148" t="s">
        <v>162</v>
      </c>
      <c r="D148" s="86">
        <f>SUM(D149:N149)</f>
        <v>43361.220977195888</v>
      </c>
      <c r="E148" s="86"/>
      <c r="F148" s="86"/>
      <c r="G148" s="86"/>
      <c r="H148" s="86"/>
      <c r="I148" s="86"/>
      <c r="J148" s="86"/>
      <c r="K148" s="86"/>
      <c r="L148" s="86"/>
      <c r="M148" s="86"/>
      <c r="N148" s="86"/>
    </row>
    <row r="149" spans="1:14" x14ac:dyDescent="0.25">
      <c r="B149" t="s">
        <v>89</v>
      </c>
      <c r="D149" s="86">
        <f t="shared" ref="D149:N149" si="84">-PV($D$147,D107,,D145)</f>
        <v>-1359546.80646906</v>
      </c>
      <c r="E149" s="86">
        <f t="shared" si="84"/>
        <v>-652.27819679780532</v>
      </c>
      <c r="F149" s="86">
        <f t="shared" si="84"/>
        <v>28497.232453705918</v>
      </c>
      <c r="G149" s="86">
        <f t="shared" si="84"/>
        <v>51505.559323068599</v>
      </c>
      <c r="H149" s="86">
        <f t="shared" si="84"/>
        <v>68201.579446961317</v>
      </c>
      <c r="I149" s="86">
        <f t="shared" si="84"/>
        <v>83266.148265762531</v>
      </c>
      <c r="J149" s="86">
        <f t="shared" si="84"/>
        <v>96821.725818227089</v>
      </c>
      <c r="K149" s="86">
        <f t="shared" si="84"/>
        <v>108982.43772508239</v>
      </c>
      <c r="L149" s="86">
        <f t="shared" si="84"/>
        <v>123960.83079546878</v>
      </c>
      <c r="M149" s="86">
        <f t="shared" si="84"/>
        <v>125725.53167744714</v>
      </c>
      <c r="N149" s="86">
        <f t="shared" si="84"/>
        <v>716599.26013732969</v>
      </c>
    </row>
    <row r="151" spans="1:14" x14ac:dyDescent="0.25">
      <c r="A151" t="s">
        <v>163</v>
      </c>
      <c r="D151" s="88">
        <f>+E35</f>
        <v>2680500</v>
      </c>
    </row>
    <row r="152" spans="1:14" x14ac:dyDescent="0.25">
      <c r="A152" t="s">
        <v>164</v>
      </c>
      <c r="D152" s="89">
        <f>+D145/D151</f>
        <v>-0.5071989578321433</v>
      </c>
    </row>
    <row r="156" spans="1:14" x14ac:dyDescent="0.25">
      <c r="A156" t="s">
        <v>204</v>
      </c>
    </row>
    <row r="157" spans="1:14" x14ac:dyDescent="0.25">
      <c r="A157" t="s">
        <v>205</v>
      </c>
      <c r="B157" s="62">
        <v>500000</v>
      </c>
    </row>
    <row r="158" spans="1:14" x14ac:dyDescent="0.25">
      <c r="A158" t="s">
        <v>206</v>
      </c>
    </row>
  </sheetData>
  <mergeCells count="2">
    <mergeCell ref="A1:N1"/>
    <mergeCell ref="O1:R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2" workbookViewId="0">
      <selection activeCell="C38" sqref="C38"/>
    </sheetView>
  </sheetViews>
  <sheetFormatPr defaultColWidth="11" defaultRowHeight="15.75" x14ac:dyDescent="0.25"/>
  <cols>
    <col min="2" max="2" width="11.375" bestFit="1" customWidth="1"/>
    <col min="6" max="6" width="12.875" bestFit="1" customWidth="1"/>
    <col min="9" max="9" width="11.375" bestFit="1" customWidth="1"/>
  </cols>
  <sheetData>
    <row r="1" spans="1:9" x14ac:dyDescent="0.25">
      <c r="B1" t="s">
        <v>79</v>
      </c>
      <c r="C1" t="s">
        <v>80</v>
      </c>
      <c r="D1" t="s">
        <v>81</v>
      </c>
      <c r="E1" t="s">
        <v>82</v>
      </c>
      <c r="F1" t="s">
        <v>83</v>
      </c>
      <c r="H1" t="s">
        <v>84</v>
      </c>
      <c r="I1" s="3">
        <v>5.1700000000000003E-2</v>
      </c>
    </row>
    <row r="2" spans="1:9" x14ac:dyDescent="0.25">
      <c r="A2" s="5">
        <v>1</v>
      </c>
      <c r="B2" s="6">
        <f>I6</f>
        <v>770250</v>
      </c>
      <c r="C2" s="6">
        <f>+E2-D2</f>
        <v>896.76951095721915</v>
      </c>
      <c r="D2" s="6">
        <f t="shared" ref="D2:D13" si="0">B2*$I$2</f>
        <v>3318.4937500000001</v>
      </c>
      <c r="E2" s="13">
        <f>-$I$8</f>
        <v>4215.2632609572192</v>
      </c>
      <c r="F2" s="6">
        <f t="shared" ref="F2:F13" si="1">+B2-C2</f>
        <v>769353.23048904282</v>
      </c>
      <c r="H2" t="s">
        <v>85</v>
      </c>
      <c r="I2" s="3">
        <f>I1/12</f>
        <v>4.3083333333333333E-3</v>
      </c>
    </row>
    <row r="3" spans="1:9" x14ac:dyDescent="0.25">
      <c r="A3" s="5">
        <v>2</v>
      </c>
      <c r="B3" s="6">
        <f t="shared" ref="B3:B13" si="2">+F2</f>
        <v>769353.23048904282</v>
      </c>
      <c r="C3" s="6">
        <f t="shared" ref="C3:C13" si="3">+E3-D3</f>
        <v>900.63309293359316</v>
      </c>
      <c r="D3" s="6">
        <f t="shared" si="0"/>
        <v>3314.6301680236261</v>
      </c>
      <c r="E3" s="13">
        <f t="shared" ref="E3:E13" si="4">-$I$8</f>
        <v>4215.2632609572192</v>
      </c>
      <c r="F3" s="6">
        <f t="shared" si="1"/>
        <v>768452.59739610925</v>
      </c>
      <c r="H3" t="s">
        <v>86</v>
      </c>
      <c r="I3" s="7">
        <v>0</v>
      </c>
    </row>
    <row r="4" spans="1:9" x14ac:dyDescent="0.25">
      <c r="A4" s="5">
        <v>3</v>
      </c>
      <c r="B4" s="6">
        <f t="shared" si="2"/>
        <v>768452.59739610925</v>
      </c>
      <c r="C4" s="6">
        <f t="shared" si="3"/>
        <v>904.51332050898191</v>
      </c>
      <c r="D4" s="6">
        <f t="shared" si="0"/>
        <v>3310.7499404482373</v>
      </c>
      <c r="E4" s="13">
        <f t="shared" si="4"/>
        <v>4215.2632609572192</v>
      </c>
      <c r="F4" s="6">
        <f t="shared" si="1"/>
        <v>767548.08407560026</v>
      </c>
      <c r="H4" t="s">
        <v>87</v>
      </c>
      <c r="I4" s="4">
        <f>12*30</f>
        <v>360</v>
      </c>
    </row>
    <row r="5" spans="1:9" x14ac:dyDescent="0.25">
      <c r="A5" s="5">
        <v>4</v>
      </c>
      <c r="B5" s="6">
        <f t="shared" si="2"/>
        <v>767548.08407560026</v>
      </c>
      <c r="C5" s="6">
        <f t="shared" si="3"/>
        <v>908.41026539817494</v>
      </c>
      <c r="D5" s="6">
        <f t="shared" si="0"/>
        <v>3306.8529955590443</v>
      </c>
      <c r="E5" s="13">
        <f t="shared" si="4"/>
        <v>4215.2632609572192</v>
      </c>
      <c r="F5" s="6">
        <f t="shared" si="1"/>
        <v>766639.67381020205</v>
      </c>
      <c r="H5" t="s">
        <v>88</v>
      </c>
      <c r="I5">
        <v>0</v>
      </c>
    </row>
    <row r="6" spans="1:9" x14ac:dyDescent="0.25">
      <c r="A6" s="5">
        <v>5</v>
      </c>
      <c r="B6" s="6">
        <f t="shared" si="2"/>
        <v>766639.67381020205</v>
      </c>
      <c r="C6" s="6">
        <f t="shared" si="3"/>
        <v>912.32399962493218</v>
      </c>
      <c r="D6" s="6">
        <f t="shared" si="0"/>
        <v>3302.9392613322871</v>
      </c>
      <c r="E6" s="13">
        <f t="shared" si="4"/>
        <v>4215.2632609572192</v>
      </c>
      <c r="F6" s="6">
        <f t="shared" si="1"/>
        <v>765727.34981057711</v>
      </c>
      <c r="H6" t="s">
        <v>89</v>
      </c>
      <c r="I6" s="7">
        <v>770250</v>
      </c>
    </row>
    <row r="7" spans="1:9" x14ac:dyDescent="0.25">
      <c r="A7" s="5">
        <v>6</v>
      </c>
      <c r="B7" s="6">
        <f t="shared" si="2"/>
        <v>765727.34981057711</v>
      </c>
      <c r="C7" s="6">
        <f t="shared" si="3"/>
        <v>916.25459552331631</v>
      </c>
      <c r="D7" s="6">
        <f t="shared" si="0"/>
        <v>3299.0086654339029</v>
      </c>
      <c r="E7" s="13">
        <f t="shared" si="4"/>
        <v>4215.2632609572192</v>
      </c>
      <c r="F7" s="6">
        <f t="shared" si="1"/>
        <v>764811.09521505376</v>
      </c>
    </row>
    <row r="8" spans="1:9" x14ac:dyDescent="0.25">
      <c r="A8" s="5">
        <v>7</v>
      </c>
      <c r="B8" s="6">
        <f t="shared" si="2"/>
        <v>764811.09521505376</v>
      </c>
      <c r="C8" s="6">
        <f t="shared" si="3"/>
        <v>920.20212573902927</v>
      </c>
      <c r="D8" s="6">
        <f t="shared" si="0"/>
        <v>3295.06113521819</v>
      </c>
      <c r="E8" s="13">
        <f t="shared" si="4"/>
        <v>4215.2632609572192</v>
      </c>
      <c r="F8" s="6">
        <f t="shared" si="1"/>
        <v>763890.89308931469</v>
      </c>
      <c r="H8" t="s">
        <v>82</v>
      </c>
      <c r="I8" s="7">
        <f>PMT(I2,I4,I6,I3,I5)</f>
        <v>-4215.2632609572192</v>
      </c>
    </row>
    <row r="9" spans="1:9" x14ac:dyDescent="0.25">
      <c r="A9" s="5">
        <v>8</v>
      </c>
      <c r="B9" s="6">
        <f t="shared" si="2"/>
        <v>763890.89308931469</v>
      </c>
      <c r="C9" s="6">
        <f t="shared" si="3"/>
        <v>924.16666323075515</v>
      </c>
      <c r="D9" s="6">
        <f t="shared" si="0"/>
        <v>3291.0965977264641</v>
      </c>
      <c r="E9" s="13">
        <f t="shared" si="4"/>
        <v>4215.2632609572192</v>
      </c>
      <c r="F9" s="6">
        <f t="shared" si="1"/>
        <v>762966.72642608394</v>
      </c>
    </row>
    <row r="10" spans="1:9" x14ac:dyDescent="0.25">
      <c r="A10" s="5">
        <v>9</v>
      </c>
      <c r="B10" s="6">
        <f t="shared" si="2"/>
        <v>762966.72642608394</v>
      </c>
      <c r="C10" s="6">
        <f t="shared" si="3"/>
        <v>928.14828127150759</v>
      </c>
      <c r="D10" s="6">
        <f t="shared" si="0"/>
        <v>3287.1149796857117</v>
      </c>
      <c r="E10" s="13">
        <f t="shared" si="4"/>
        <v>4215.2632609572192</v>
      </c>
      <c r="F10" s="6">
        <f t="shared" si="1"/>
        <v>762038.57814481249</v>
      </c>
    </row>
    <row r="11" spans="1:9" x14ac:dyDescent="0.25">
      <c r="A11" s="5">
        <v>10</v>
      </c>
      <c r="B11" s="6">
        <f t="shared" si="2"/>
        <v>762038.57814481249</v>
      </c>
      <c r="C11" s="6">
        <f t="shared" si="3"/>
        <v>932.14705344998538</v>
      </c>
      <c r="D11" s="6">
        <f t="shared" si="0"/>
        <v>3283.1162075072339</v>
      </c>
      <c r="E11" s="13">
        <f t="shared" si="4"/>
        <v>4215.2632609572192</v>
      </c>
      <c r="F11" s="6">
        <f t="shared" si="1"/>
        <v>761106.43109136249</v>
      </c>
    </row>
    <row r="12" spans="1:9" x14ac:dyDescent="0.25">
      <c r="A12" s="5">
        <v>11</v>
      </c>
      <c r="B12" s="6">
        <f t="shared" si="2"/>
        <v>761106.43109136249</v>
      </c>
      <c r="C12" s="6">
        <f t="shared" si="3"/>
        <v>936.16305367193263</v>
      </c>
      <c r="D12" s="6">
        <f t="shared" si="0"/>
        <v>3279.1002072852866</v>
      </c>
      <c r="E12" s="13">
        <f t="shared" si="4"/>
        <v>4215.2632609572192</v>
      </c>
      <c r="F12" s="6">
        <f t="shared" si="1"/>
        <v>760170.26803769055</v>
      </c>
    </row>
    <row r="13" spans="1:9" x14ac:dyDescent="0.25">
      <c r="A13" s="5">
        <v>12</v>
      </c>
      <c r="B13" s="6">
        <f t="shared" si="2"/>
        <v>760170.26803769055</v>
      </c>
      <c r="C13" s="6">
        <f t="shared" si="3"/>
        <v>940.19635616150254</v>
      </c>
      <c r="D13" s="6">
        <f t="shared" si="0"/>
        <v>3275.0669047957167</v>
      </c>
      <c r="E13" s="13">
        <f t="shared" si="4"/>
        <v>4215.2632609572192</v>
      </c>
      <c r="F13" s="8">
        <f t="shared" si="1"/>
        <v>759230.07168152905</v>
      </c>
    </row>
    <row r="14" spans="1:9" x14ac:dyDescent="0.25">
      <c r="A14" s="9" t="s">
        <v>90</v>
      </c>
      <c r="B14" s="9"/>
      <c r="C14" s="8">
        <f>SUM(C2:C13)</f>
        <v>11019.928318470931</v>
      </c>
      <c r="D14" s="8">
        <f>SUM(D2:D13)</f>
        <v>39563.230813015703</v>
      </c>
      <c r="E14" s="6"/>
      <c r="F14" s="6"/>
    </row>
    <row r="15" spans="1:9" x14ac:dyDescent="0.25">
      <c r="A15" s="10"/>
      <c r="B15" s="10"/>
      <c r="C15" s="6"/>
      <c r="D15" s="6"/>
      <c r="E15" s="6"/>
      <c r="F15" s="6"/>
    </row>
    <row r="16" spans="1:9" x14ac:dyDescent="0.25">
      <c r="A16" s="5">
        <v>1</v>
      </c>
      <c r="B16" s="6">
        <f>+F13</f>
        <v>759230.07168152905</v>
      </c>
      <c r="C16" s="6">
        <f t="shared" ref="C16:C27" si="5">+E16-D16</f>
        <v>944.24703546263163</v>
      </c>
      <c r="D16" s="6">
        <f t="shared" ref="D16:D27" si="6">B16*$I$2</f>
        <v>3271.0162254945876</v>
      </c>
      <c r="E16" s="13">
        <f>-$I$8</f>
        <v>4215.2632609572192</v>
      </c>
      <c r="F16" s="6">
        <f t="shared" ref="F16:F27" si="7">+B16-C16</f>
        <v>758285.82464606641</v>
      </c>
    </row>
    <row r="17" spans="1:6" x14ac:dyDescent="0.25">
      <c r="A17" s="5">
        <v>2</v>
      </c>
      <c r="B17" s="6">
        <f t="shared" ref="B17:B27" si="8">+F16</f>
        <v>758285.82464606641</v>
      </c>
      <c r="C17" s="6">
        <f t="shared" si="5"/>
        <v>948.31516644041631</v>
      </c>
      <c r="D17" s="6">
        <f t="shared" si="6"/>
        <v>3266.9480945168029</v>
      </c>
      <c r="E17" s="13">
        <f t="shared" ref="E17:E27" si="9">-$I$8</f>
        <v>4215.2632609572192</v>
      </c>
      <c r="F17" s="6">
        <f t="shared" si="7"/>
        <v>757337.50947962597</v>
      </c>
    </row>
    <row r="18" spans="1:6" x14ac:dyDescent="0.25">
      <c r="A18" s="5">
        <v>3</v>
      </c>
      <c r="B18" s="6">
        <f t="shared" si="8"/>
        <v>757337.50947962597</v>
      </c>
      <c r="C18" s="6">
        <f t="shared" si="5"/>
        <v>952.40082428249752</v>
      </c>
      <c r="D18" s="6">
        <f t="shared" si="6"/>
        <v>3262.8624366747217</v>
      </c>
      <c r="E18" s="13">
        <f t="shared" si="9"/>
        <v>4215.2632609572192</v>
      </c>
      <c r="F18" s="6">
        <f t="shared" si="7"/>
        <v>756385.10865534341</v>
      </c>
    </row>
    <row r="19" spans="1:6" x14ac:dyDescent="0.25">
      <c r="A19" s="5">
        <v>4</v>
      </c>
      <c r="B19" s="6">
        <f t="shared" si="8"/>
        <v>756385.10865534341</v>
      </c>
      <c r="C19" s="6">
        <f t="shared" si="5"/>
        <v>956.50408450044824</v>
      </c>
      <c r="D19" s="6">
        <f t="shared" si="6"/>
        <v>3258.759176456771</v>
      </c>
      <c r="E19" s="13">
        <f t="shared" si="9"/>
        <v>4215.2632609572192</v>
      </c>
      <c r="F19" s="6">
        <f t="shared" si="7"/>
        <v>755428.60457084293</v>
      </c>
    </row>
    <row r="20" spans="1:6" x14ac:dyDescent="0.25">
      <c r="A20" s="5">
        <v>5</v>
      </c>
      <c r="B20" s="6">
        <f t="shared" si="8"/>
        <v>755428.60457084293</v>
      </c>
      <c r="C20" s="6">
        <f t="shared" si="5"/>
        <v>960.62502293117086</v>
      </c>
      <c r="D20" s="6">
        <f t="shared" si="6"/>
        <v>3254.6382380260484</v>
      </c>
      <c r="E20" s="13">
        <f t="shared" si="9"/>
        <v>4215.2632609572192</v>
      </c>
      <c r="F20" s="6">
        <f t="shared" si="7"/>
        <v>754467.97954791179</v>
      </c>
    </row>
    <row r="21" spans="1:6" x14ac:dyDescent="0.25">
      <c r="A21" s="5">
        <v>6</v>
      </c>
      <c r="B21" s="6">
        <f t="shared" si="8"/>
        <v>754467.97954791179</v>
      </c>
      <c r="C21" s="6">
        <f t="shared" si="5"/>
        <v>964.7637157382992</v>
      </c>
      <c r="D21" s="6">
        <f t="shared" si="6"/>
        <v>3250.49954521892</v>
      </c>
      <c r="E21" s="13">
        <f t="shared" si="9"/>
        <v>4215.2632609572192</v>
      </c>
      <c r="F21" s="6">
        <f t="shared" si="7"/>
        <v>753503.21583217348</v>
      </c>
    </row>
    <row r="22" spans="1:6" x14ac:dyDescent="0.25">
      <c r="A22" s="5">
        <v>7</v>
      </c>
      <c r="B22" s="6">
        <f t="shared" si="8"/>
        <v>753503.21583217348</v>
      </c>
      <c r="C22" s="6">
        <f t="shared" si="5"/>
        <v>968.92023941360503</v>
      </c>
      <c r="D22" s="6">
        <f t="shared" si="6"/>
        <v>3246.3430215436142</v>
      </c>
      <c r="E22" s="13">
        <f t="shared" si="9"/>
        <v>4215.2632609572192</v>
      </c>
      <c r="F22" s="6">
        <f t="shared" si="7"/>
        <v>752534.29559275985</v>
      </c>
    </row>
    <row r="23" spans="1:6" x14ac:dyDescent="0.25">
      <c r="A23" s="5">
        <v>8</v>
      </c>
      <c r="B23" s="6">
        <f t="shared" si="8"/>
        <v>752534.29559275985</v>
      </c>
      <c r="C23" s="6">
        <f t="shared" si="5"/>
        <v>973.09467077841236</v>
      </c>
      <c r="D23" s="6">
        <f t="shared" si="6"/>
        <v>3242.1685901788069</v>
      </c>
      <c r="E23" s="13">
        <f t="shared" si="9"/>
        <v>4215.2632609572192</v>
      </c>
      <c r="F23" s="6">
        <f t="shared" si="7"/>
        <v>751561.20092198148</v>
      </c>
    </row>
    <row r="24" spans="1:6" x14ac:dyDescent="0.25">
      <c r="A24" s="5">
        <v>9</v>
      </c>
      <c r="B24" s="6">
        <f t="shared" si="8"/>
        <v>751561.20092198148</v>
      </c>
      <c r="C24" s="6">
        <f t="shared" si="5"/>
        <v>977.28708698501578</v>
      </c>
      <c r="D24" s="6">
        <f t="shared" si="6"/>
        <v>3237.9761739722035</v>
      </c>
      <c r="E24" s="13">
        <f t="shared" si="9"/>
        <v>4215.2632609572192</v>
      </c>
      <c r="F24" s="6">
        <f t="shared" si="7"/>
        <v>750583.91383499652</v>
      </c>
    </row>
    <row r="25" spans="1:6" x14ac:dyDescent="0.25">
      <c r="A25" s="5">
        <v>10</v>
      </c>
      <c r="B25" s="6">
        <f t="shared" si="8"/>
        <v>750583.91383499652</v>
      </c>
      <c r="C25" s="6">
        <f t="shared" si="5"/>
        <v>981.49756551810924</v>
      </c>
      <c r="D25" s="6">
        <f t="shared" si="6"/>
        <v>3233.76569543911</v>
      </c>
      <c r="E25" s="13">
        <f t="shared" si="9"/>
        <v>4215.2632609572192</v>
      </c>
      <c r="F25" s="6">
        <f t="shared" si="7"/>
        <v>749602.41626947839</v>
      </c>
    </row>
    <row r="26" spans="1:6" x14ac:dyDescent="0.25">
      <c r="A26" s="5">
        <v>11</v>
      </c>
      <c r="B26" s="6">
        <f t="shared" si="8"/>
        <v>749602.41626947839</v>
      </c>
      <c r="C26" s="6">
        <f t="shared" si="5"/>
        <v>985.72618419621676</v>
      </c>
      <c r="D26" s="6">
        <f t="shared" si="6"/>
        <v>3229.5370767610025</v>
      </c>
      <c r="E26" s="13">
        <f t="shared" si="9"/>
        <v>4215.2632609572192</v>
      </c>
      <c r="F26" s="6">
        <f t="shared" si="7"/>
        <v>748616.6900852822</v>
      </c>
    </row>
    <row r="27" spans="1:6" x14ac:dyDescent="0.25">
      <c r="A27" s="5">
        <v>12</v>
      </c>
      <c r="B27" s="6">
        <f t="shared" si="8"/>
        <v>748616.6900852822</v>
      </c>
      <c r="C27" s="6">
        <f t="shared" si="5"/>
        <v>989.97302117312847</v>
      </c>
      <c r="D27" s="6">
        <f t="shared" si="6"/>
        <v>3225.2902397840908</v>
      </c>
      <c r="E27" s="13">
        <f t="shared" si="9"/>
        <v>4215.2632609572192</v>
      </c>
      <c r="F27" s="8">
        <f t="shared" si="7"/>
        <v>747626.71706410905</v>
      </c>
    </row>
    <row r="28" spans="1:6" x14ac:dyDescent="0.25">
      <c r="A28" s="9" t="s">
        <v>90</v>
      </c>
      <c r="B28" s="9"/>
      <c r="C28" s="8">
        <f>SUM(C16:C27)</f>
        <v>11603.354617419951</v>
      </c>
      <c r="D28" s="8">
        <f>SUM(D16:D27)</f>
        <v>38979.80451406668</v>
      </c>
      <c r="E28" s="6"/>
      <c r="F28" s="6"/>
    </row>
    <row r="29" spans="1:6" x14ac:dyDescent="0.25">
      <c r="A29" s="10"/>
      <c r="B29" s="10"/>
      <c r="C29" s="6"/>
      <c r="D29" s="6"/>
      <c r="E29" s="6"/>
      <c r="F29" s="6"/>
    </row>
    <row r="30" spans="1:6" x14ac:dyDescent="0.25">
      <c r="A30" s="5">
        <v>1</v>
      </c>
      <c r="B30" s="6">
        <f>+F27</f>
        <v>747626.71706410905</v>
      </c>
      <c r="C30" s="6">
        <f t="shared" ref="C30:C41" si="10">+E30-D30</f>
        <v>994.23815493934944</v>
      </c>
      <c r="D30" s="6">
        <f t="shared" ref="D30:D41" si="11">B30*$I$2</f>
        <v>3221.0251060178698</v>
      </c>
      <c r="E30" s="13">
        <f>-$I$8</f>
        <v>4215.2632609572192</v>
      </c>
      <c r="F30" s="6">
        <f t="shared" ref="F30:F41" si="12">+B30-C30</f>
        <v>746632.47890916967</v>
      </c>
    </row>
    <row r="31" spans="1:6" x14ac:dyDescent="0.25">
      <c r="A31" s="5">
        <v>2</v>
      </c>
      <c r="B31" s="6">
        <f t="shared" ref="B31:B41" si="13">+F30</f>
        <v>746632.47890916967</v>
      </c>
      <c r="C31" s="6">
        <f t="shared" si="10"/>
        <v>998.5216643235467</v>
      </c>
      <c r="D31" s="6">
        <f t="shared" si="11"/>
        <v>3216.7415966336725</v>
      </c>
      <c r="E31" s="13">
        <f t="shared" ref="E31:E41" si="14">-$I$8</f>
        <v>4215.2632609572192</v>
      </c>
      <c r="F31" s="6">
        <f t="shared" si="12"/>
        <v>745633.95724484615</v>
      </c>
    </row>
    <row r="32" spans="1:6" x14ac:dyDescent="0.25">
      <c r="A32" s="5">
        <v>3</v>
      </c>
      <c r="B32" s="6">
        <f t="shared" si="13"/>
        <v>745633.95724484615</v>
      </c>
      <c r="C32" s="6">
        <f t="shared" si="10"/>
        <v>1002.8236284940072</v>
      </c>
      <c r="D32" s="6">
        <f t="shared" si="11"/>
        <v>3212.4396324632121</v>
      </c>
      <c r="E32" s="13">
        <f t="shared" si="14"/>
        <v>4215.2632609572192</v>
      </c>
      <c r="F32" s="6">
        <f t="shared" si="12"/>
        <v>744631.1336163521</v>
      </c>
    </row>
    <row r="33" spans="1:6" x14ac:dyDescent="0.25">
      <c r="A33" s="5">
        <v>4</v>
      </c>
      <c r="B33" s="6">
        <f t="shared" si="13"/>
        <v>744631.1336163521</v>
      </c>
      <c r="C33" s="6">
        <f t="shared" si="10"/>
        <v>1007.1441269601023</v>
      </c>
      <c r="D33" s="6">
        <f t="shared" si="11"/>
        <v>3208.1191339971169</v>
      </c>
      <c r="E33" s="13">
        <f t="shared" si="14"/>
        <v>4215.2632609572192</v>
      </c>
      <c r="F33" s="6">
        <f t="shared" si="12"/>
        <v>743623.98948939203</v>
      </c>
    </row>
    <row r="34" spans="1:6" x14ac:dyDescent="0.25">
      <c r="A34" s="5">
        <v>5</v>
      </c>
      <c r="B34" s="6">
        <f t="shared" si="13"/>
        <v>743623.98948939203</v>
      </c>
      <c r="C34" s="6">
        <f t="shared" si="10"/>
        <v>1011.4832395737553</v>
      </c>
      <c r="D34" s="6">
        <f t="shared" si="11"/>
        <v>3203.7800213834639</v>
      </c>
      <c r="E34" s="13">
        <f t="shared" si="14"/>
        <v>4215.2632609572192</v>
      </c>
      <c r="F34" s="6">
        <f t="shared" si="12"/>
        <v>742612.50624981825</v>
      </c>
    </row>
    <row r="35" spans="1:6" x14ac:dyDescent="0.25">
      <c r="A35" s="5">
        <v>6</v>
      </c>
      <c r="B35" s="6">
        <f t="shared" si="13"/>
        <v>742612.50624981825</v>
      </c>
      <c r="C35" s="6">
        <f t="shared" si="10"/>
        <v>1015.8410465309189</v>
      </c>
      <c r="D35" s="6">
        <f t="shared" si="11"/>
        <v>3199.4222144263003</v>
      </c>
      <c r="E35" s="13">
        <f t="shared" si="14"/>
        <v>4215.2632609572192</v>
      </c>
      <c r="F35" s="6">
        <f t="shared" si="12"/>
        <v>741596.66520328738</v>
      </c>
    </row>
    <row r="36" spans="1:6" x14ac:dyDescent="0.25">
      <c r="A36" s="5">
        <v>7</v>
      </c>
      <c r="B36" s="6">
        <f t="shared" si="13"/>
        <v>741596.66520328738</v>
      </c>
      <c r="C36" s="6">
        <f t="shared" si="10"/>
        <v>1020.217628373056</v>
      </c>
      <c r="D36" s="6">
        <f t="shared" si="11"/>
        <v>3195.0456325841633</v>
      </c>
      <c r="E36" s="13">
        <f t="shared" si="14"/>
        <v>4215.2632609572192</v>
      </c>
      <c r="F36" s="6">
        <f t="shared" si="12"/>
        <v>740576.44757491432</v>
      </c>
    </row>
    <row r="37" spans="1:6" x14ac:dyDescent="0.25">
      <c r="A37" s="5">
        <v>8</v>
      </c>
      <c r="B37" s="6">
        <f t="shared" si="13"/>
        <v>740576.44757491432</v>
      </c>
      <c r="C37" s="6">
        <f t="shared" si="10"/>
        <v>1024.6130659886303</v>
      </c>
      <c r="D37" s="6">
        <f t="shared" si="11"/>
        <v>3190.6501949685889</v>
      </c>
      <c r="E37" s="13">
        <f t="shared" si="14"/>
        <v>4215.2632609572192</v>
      </c>
      <c r="F37" s="6">
        <f t="shared" si="12"/>
        <v>739551.83450892568</v>
      </c>
    </row>
    <row r="38" spans="1:6" x14ac:dyDescent="0.25">
      <c r="A38" s="5">
        <v>9</v>
      </c>
      <c r="B38" s="6">
        <f t="shared" si="13"/>
        <v>739551.83450892568</v>
      </c>
      <c r="C38" s="6">
        <f t="shared" si="10"/>
        <v>1029.0274406145977</v>
      </c>
      <c r="D38" s="6">
        <f t="shared" si="11"/>
        <v>3186.2358203426215</v>
      </c>
      <c r="E38" s="13">
        <f t="shared" si="14"/>
        <v>4215.2632609572192</v>
      </c>
      <c r="F38" s="6">
        <f t="shared" si="12"/>
        <v>738522.80706831103</v>
      </c>
    </row>
    <row r="39" spans="1:6" x14ac:dyDescent="0.25">
      <c r="A39" s="5">
        <v>10</v>
      </c>
      <c r="B39" s="6">
        <f t="shared" si="13"/>
        <v>738522.80706831103</v>
      </c>
      <c r="C39" s="6">
        <f t="shared" si="10"/>
        <v>1033.4608338379126</v>
      </c>
      <c r="D39" s="6">
        <f t="shared" si="11"/>
        <v>3181.8024271193067</v>
      </c>
      <c r="E39" s="13">
        <f t="shared" si="14"/>
        <v>4215.2632609572192</v>
      </c>
      <c r="F39" s="6">
        <f t="shared" si="12"/>
        <v>737489.34623447317</v>
      </c>
    </row>
    <row r="40" spans="1:6" x14ac:dyDescent="0.25">
      <c r="A40" s="5">
        <v>11</v>
      </c>
      <c r="B40" s="6">
        <f t="shared" si="13"/>
        <v>737489.34623447317</v>
      </c>
      <c r="C40" s="6">
        <f t="shared" si="10"/>
        <v>1037.9133275970307</v>
      </c>
      <c r="D40" s="6">
        <f t="shared" si="11"/>
        <v>3177.3499333601885</v>
      </c>
      <c r="E40" s="13">
        <f t="shared" si="14"/>
        <v>4215.2632609572192</v>
      </c>
      <c r="F40" s="6">
        <f t="shared" si="12"/>
        <v>736451.43290687609</v>
      </c>
    </row>
    <row r="41" spans="1:6" x14ac:dyDescent="0.25">
      <c r="A41" s="5">
        <v>12</v>
      </c>
      <c r="B41" s="6">
        <f t="shared" si="13"/>
        <v>736451.43290687609</v>
      </c>
      <c r="C41" s="6">
        <f t="shared" si="10"/>
        <v>1042.385004183428</v>
      </c>
      <c r="D41" s="6">
        <f t="shared" si="11"/>
        <v>3172.8782567737912</v>
      </c>
      <c r="E41" s="13">
        <f t="shared" si="14"/>
        <v>4215.2632609572192</v>
      </c>
      <c r="F41" s="8">
        <f t="shared" si="12"/>
        <v>735409.04790269269</v>
      </c>
    </row>
    <row r="42" spans="1:6" x14ac:dyDescent="0.25">
      <c r="A42" s="9" t="s">
        <v>90</v>
      </c>
      <c r="B42" s="9"/>
      <c r="C42" s="8">
        <f>SUM(C30:C41)</f>
        <v>12217.669161416336</v>
      </c>
      <c r="D42" s="8">
        <f>SUM(D30:D41)</f>
        <v>38365.489970070303</v>
      </c>
      <c r="E42" s="6"/>
      <c r="F42" s="6"/>
    </row>
    <row r="43" spans="1:6" x14ac:dyDescent="0.25">
      <c r="A43" s="10"/>
      <c r="B43" s="10"/>
      <c r="C43" s="6"/>
      <c r="D43" s="6"/>
      <c r="E43" s="6"/>
      <c r="F43" s="6"/>
    </row>
    <row r="44" spans="1:6" x14ac:dyDescent="0.25">
      <c r="A44" s="5">
        <v>1</v>
      </c>
      <c r="B44" s="6">
        <f>+F41</f>
        <v>735409.04790269269</v>
      </c>
      <c r="C44" s="6">
        <f t="shared" ref="C44:C55" si="15">+E44-D44</f>
        <v>1046.8759462431181</v>
      </c>
      <c r="D44" s="6">
        <f t="shared" ref="D44:D55" si="16">B44*$I$2</f>
        <v>3168.3873147141012</v>
      </c>
      <c r="E44" s="13">
        <f>-$I$8</f>
        <v>4215.2632609572192</v>
      </c>
      <c r="F44" s="6">
        <f t="shared" ref="F44:F55" si="17">+B44-C44</f>
        <v>734362.17195644963</v>
      </c>
    </row>
    <row r="45" spans="1:6" x14ac:dyDescent="0.25">
      <c r="A45" s="5">
        <v>2</v>
      </c>
      <c r="B45" s="6">
        <f t="shared" ref="B45:B55" si="18">+F44</f>
        <v>734362.17195644963</v>
      </c>
      <c r="C45" s="6">
        <f t="shared" si="15"/>
        <v>1051.3862367781821</v>
      </c>
      <c r="D45" s="6">
        <f t="shared" si="16"/>
        <v>3163.8770241790371</v>
      </c>
      <c r="E45" s="13">
        <f t="shared" ref="E45:E55" si="19">-$I$8</f>
        <v>4215.2632609572192</v>
      </c>
      <c r="F45" s="6">
        <f t="shared" si="17"/>
        <v>733310.7857196714</v>
      </c>
    </row>
    <row r="46" spans="1:6" x14ac:dyDescent="0.25">
      <c r="A46" s="5">
        <v>3</v>
      </c>
      <c r="B46" s="6">
        <f t="shared" si="18"/>
        <v>733310.7857196714</v>
      </c>
      <c r="C46" s="6">
        <f t="shared" si="15"/>
        <v>1055.9159591483017</v>
      </c>
      <c r="D46" s="6">
        <f t="shared" si="16"/>
        <v>3159.3473018089176</v>
      </c>
      <c r="E46" s="13">
        <f t="shared" si="19"/>
        <v>4215.2632609572192</v>
      </c>
      <c r="F46" s="6">
        <f t="shared" si="17"/>
        <v>732254.86976052308</v>
      </c>
    </row>
    <row r="47" spans="1:6" x14ac:dyDescent="0.25">
      <c r="A47" s="5">
        <v>4</v>
      </c>
      <c r="B47" s="6">
        <f t="shared" si="18"/>
        <v>732254.86976052308</v>
      </c>
      <c r="C47" s="6">
        <f t="shared" si="15"/>
        <v>1060.4651970722989</v>
      </c>
      <c r="D47" s="6">
        <f t="shared" si="16"/>
        <v>3154.7980638849203</v>
      </c>
      <c r="E47" s="13">
        <f t="shared" si="19"/>
        <v>4215.2632609572192</v>
      </c>
      <c r="F47" s="6">
        <f t="shared" si="17"/>
        <v>731194.40456345084</v>
      </c>
    </row>
    <row r="48" spans="1:6" x14ac:dyDescent="0.25">
      <c r="A48" s="5">
        <v>5</v>
      </c>
      <c r="B48" s="6">
        <f t="shared" si="18"/>
        <v>731194.40456345084</v>
      </c>
      <c r="C48" s="6">
        <f t="shared" si="15"/>
        <v>1065.0340346296853</v>
      </c>
      <c r="D48" s="6">
        <f t="shared" si="16"/>
        <v>3150.229226327534</v>
      </c>
      <c r="E48" s="13">
        <f t="shared" si="19"/>
        <v>4215.2632609572192</v>
      </c>
      <c r="F48" s="6">
        <f t="shared" si="17"/>
        <v>730129.37052882113</v>
      </c>
    </row>
    <row r="49" spans="1:7" x14ac:dyDescent="0.25">
      <c r="A49" s="5">
        <v>6</v>
      </c>
      <c r="B49" s="6">
        <f t="shared" si="18"/>
        <v>730129.37052882113</v>
      </c>
      <c r="C49" s="6">
        <f t="shared" si="15"/>
        <v>1069.6225562622149</v>
      </c>
      <c r="D49" s="6">
        <f t="shared" si="16"/>
        <v>3145.6407046950044</v>
      </c>
      <c r="E49" s="13">
        <f t="shared" si="19"/>
        <v>4215.2632609572192</v>
      </c>
      <c r="F49" s="6">
        <f t="shared" si="17"/>
        <v>729059.74797255895</v>
      </c>
    </row>
    <row r="50" spans="1:7" x14ac:dyDescent="0.25">
      <c r="A50" s="5">
        <v>7</v>
      </c>
      <c r="B50" s="6">
        <f t="shared" si="18"/>
        <v>729059.74797255895</v>
      </c>
      <c r="C50" s="6">
        <f t="shared" si="15"/>
        <v>1074.2308467754447</v>
      </c>
      <c r="D50" s="6">
        <f t="shared" si="16"/>
        <v>3141.0324141817746</v>
      </c>
      <c r="E50" s="13">
        <f t="shared" si="19"/>
        <v>4215.2632609572192</v>
      </c>
      <c r="F50" s="6">
        <f t="shared" si="17"/>
        <v>727985.51712578349</v>
      </c>
    </row>
    <row r="51" spans="1:7" x14ac:dyDescent="0.25">
      <c r="A51" s="5">
        <v>8</v>
      </c>
      <c r="B51" s="6">
        <f t="shared" si="18"/>
        <v>727985.51712578349</v>
      </c>
      <c r="C51" s="6">
        <f t="shared" si="15"/>
        <v>1078.8589913403021</v>
      </c>
      <c r="D51" s="6">
        <f t="shared" si="16"/>
        <v>3136.4042696169172</v>
      </c>
      <c r="E51" s="13">
        <f t="shared" si="19"/>
        <v>4215.2632609572192</v>
      </c>
      <c r="F51" s="6">
        <f t="shared" si="17"/>
        <v>726906.65813444322</v>
      </c>
    </row>
    <row r="52" spans="1:7" x14ac:dyDescent="0.25">
      <c r="A52" s="5">
        <v>9</v>
      </c>
      <c r="B52" s="6">
        <f t="shared" si="18"/>
        <v>726906.65813444322</v>
      </c>
      <c r="C52" s="6">
        <f t="shared" si="15"/>
        <v>1083.5070754946596</v>
      </c>
      <c r="D52" s="6">
        <f t="shared" si="16"/>
        <v>3131.7561854625596</v>
      </c>
      <c r="E52" s="13">
        <f t="shared" si="19"/>
        <v>4215.2632609572192</v>
      </c>
      <c r="F52" s="6">
        <f t="shared" si="17"/>
        <v>725823.1510589486</v>
      </c>
    </row>
    <row r="53" spans="1:7" x14ac:dyDescent="0.25">
      <c r="A53" s="5">
        <v>10</v>
      </c>
      <c r="B53" s="6">
        <f t="shared" si="18"/>
        <v>725823.1510589486</v>
      </c>
      <c r="C53" s="6">
        <f t="shared" si="15"/>
        <v>1088.1751851449158</v>
      </c>
      <c r="D53" s="6">
        <f t="shared" si="16"/>
        <v>3127.0880758123035</v>
      </c>
      <c r="E53" s="13">
        <f t="shared" si="19"/>
        <v>4215.2632609572192</v>
      </c>
      <c r="F53" s="6">
        <f t="shared" si="17"/>
        <v>724734.97587380372</v>
      </c>
    </row>
    <row r="54" spans="1:7" x14ac:dyDescent="0.25">
      <c r="A54" s="5">
        <v>11</v>
      </c>
      <c r="B54" s="6">
        <f t="shared" si="18"/>
        <v>724734.97587380372</v>
      </c>
      <c r="C54" s="6">
        <f t="shared" si="15"/>
        <v>1092.8634065675815</v>
      </c>
      <c r="D54" s="6">
        <f t="shared" si="16"/>
        <v>3122.3998543896378</v>
      </c>
      <c r="E54" s="13">
        <f t="shared" si="19"/>
        <v>4215.2632609572192</v>
      </c>
      <c r="F54" s="6">
        <f t="shared" si="17"/>
        <v>723642.11246723612</v>
      </c>
    </row>
    <row r="55" spans="1:7" x14ac:dyDescent="0.25">
      <c r="A55" s="5">
        <v>12</v>
      </c>
      <c r="B55" s="6">
        <f t="shared" si="18"/>
        <v>723642.11246723612</v>
      </c>
      <c r="C55" s="6">
        <f t="shared" si="15"/>
        <v>1097.5718264108768</v>
      </c>
      <c r="D55" s="6">
        <f t="shared" si="16"/>
        <v>3117.6914345463424</v>
      </c>
      <c r="E55" s="13">
        <f t="shared" si="19"/>
        <v>4215.2632609572192</v>
      </c>
      <c r="F55" s="8">
        <f t="shared" si="17"/>
        <v>722544.54064082529</v>
      </c>
      <c r="G55" s="6"/>
    </row>
    <row r="56" spans="1:7" x14ac:dyDescent="0.25">
      <c r="A56" s="9" t="s">
        <v>90</v>
      </c>
      <c r="B56" s="11"/>
      <c r="C56" s="8">
        <f>SUM(C44:C55)</f>
        <v>12864.50726186758</v>
      </c>
      <c r="D56" s="8">
        <f>SUM(D44:D55)</f>
        <v>37718.651869619047</v>
      </c>
    </row>
    <row r="58" spans="1:7" x14ac:dyDescent="0.25">
      <c r="A58" s="5">
        <v>1</v>
      </c>
      <c r="B58" s="6">
        <f>+F55</f>
        <v>722544.54064082529</v>
      </c>
      <c r="C58" s="6">
        <f t="shared" ref="C58:C69" si="20">+E58-D58</f>
        <v>1102.3005316963304</v>
      </c>
      <c r="D58" s="6">
        <f t="shared" ref="D58:D69" si="21">B58*$I$2</f>
        <v>3112.9627292608889</v>
      </c>
      <c r="E58" s="13">
        <f>-$I$8</f>
        <v>4215.2632609572192</v>
      </c>
      <c r="F58" s="6">
        <f t="shared" ref="F58:F69" si="22">+B58-C58</f>
        <v>721442.24010912899</v>
      </c>
    </row>
    <row r="59" spans="1:7" x14ac:dyDescent="0.25">
      <c r="A59" s="5">
        <v>2</v>
      </c>
      <c r="B59" s="6">
        <f t="shared" ref="B59:B69" si="23">+F58</f>
        <v>721442.24010912899</v>
      </c>
      <c r="C59" s="6">
        <f t="shared" si="20"/>
        <v>1107.0496098203885</v>
      </c>
      <c r="D59" s="6">
        <f t="shared" si="21"/>
        <v>3108.2136511368308</v>
      </c>
      <c r="E59" s="13">
        <f t="shared" ref="E59:E69" si="24">-$I$8</f>
        <v>4215.2632609572192</v>
      </c>
      <c r="F59" s="6">
        <f t="shared" si="22"/>
        <v>720335.19049930864</v>
      </c>
    </row>
    <row r="60" spans="1:7" x14ac:dyDescent="0.25">
      <c r="A60" s="5">
        <v>3</v>
      </c>
      <c r="B60" s="6">
        <f t="shared" si="23"/>
        <v>720335.19049930864</v>
      </c>
      <c r="C60" s="6">
        <f t="shared" si="20"/>
        <v>1111.8191485560315</v>
      </c>
      <c r="D60" s="6">
        <f t="shared" si="21"/>
        <v>3103.4441124011878</v>
      </c>
      <c r="E60" s="13">
        <f t="shared" si="24"/>
        <v>4215.2632609572192</v>
      </c>
      <c r="F60" s="6">
        <f t="shared" si="22"/>
        <v>719223.37135075266</v>
      </c>
    </row>
    <row r="61" spans="1:7" x14ac:dyDescent="0.25">
      <c r="A61" s="5">
        <v>4</v>
      </c>
      <c r="B61" s="6">
        <f t="shared" si="23"/>
        <v>719223.37135075266</v>
      </c>
      <c r="C61" s="6">
        <f t="shared" si="20"/>
        <v>1116.6092360543935</v>
      </c>
      <c r="D61" s="6">
        <f t="shared" si="21"/>
        <v>3098.6540249028258</v>
      </c>
      <c r="E61" s="13">
        <f t="shared" si="24"/>
        <v>4215.2632609572192</v>
      </c>
      <c r="F61" s="6">
        <f t="shared" si="22"/>
        <v>718106.7621146983</v>
      </c>
    </row>
    <row r="62" spans="1:7" x14ac:dyDescent="0.25">
      <c r="A62" s="5">
        <v>5</v>
      </c>
      <c r="B62" s="6">
        <f t="shared" si="23"/>
        <v>718106.7621146983</v>
      </c>
      <c r="C62" s="6">
        <f t="shared" si="20"/>
        <v>1121.4199608463941</v>
      </c>
      <c r="D62" s="6">
        <f t="shared" si="21"/>
        <v>3093.8433001108251</v>
      </c>
      <c r="E62" s="13">
        <f t="shared" si="24"/>
        <v>4215.2632609572192</v>
      </c>
      <c r="F62" s="6">
        <f t="shared" si="22"/>
        <v>716985.34215385187</v>
      </c>
    </row>
    <row r="63" spans="1:7" x14ac:dyDescent="0.25">
      <c r="A63" s="5">
        <v>6</v>
      </c>
      <c r="B63" s="6">
        <f t="shared" si="23"/>
        <v>716985.34215385187</v>
      </c>
      <c r="C63" s="6">
        <f t="shared" si="20"/>
        <v>1126.2514118443742</v>
      </c>
      <c r="D63" s="6">
        <f t="shared" si="21"/>
        <v>3089.0118491128451</v>
      </c>
      <c r="E63" s="13">
        <f t="shared" si="24"/>
        <v>4215.2632609572192</v>
      </c>
      <c r="F63" s="6">
        <f t="shared" si="22"/>
        <v>715859.09074200748</v>
      </c>
    </row>
    <row r="64" spans="1:7" x14ac:dyDescent="0.25">
      <c r="A64" s="5">
        <v>7</v>
      </c>
      <c r="B64" s="6">
        <f t="shared" si="23"/>
        <v>715859.09074200748</v>
      </c>
      <c r="C64" s="6">
        <f t="shared" si="20"/>
        <v>1131.1036783437371</v>
      </c>
      <c r="D64" s="6">
        <f t="shared" si="21"/>
        <v>3084.1595826134821</v>
      </c>
      <c r="E64" s="13">
        <f t="shared" si="24"/>
        <v>4215.2632609572192</v>
      </c>
      <c r="F64" s="6">
        <f t="shared" si="22"/>
        <v>714727.98706366378</v>
      </c>
    </row>
    <row r="65" spans="1:6" x14ac:dyDescent="0.25">
      <c r="A65" s="5">
        <v>8</v>
      </c>
      <c r="B65" s="6">
        <f t="shared" si="23"/>
        <v>714727.98706366378</v>
      </c>
      <c r="C65" s="6">
        <f t="shared" si="20"/>
        <v>1135.9768500246014</v>
      </c>
      <c r="D65" s="6">
        <f t="shared" si="21"/>
        <v>3079.2864109326179</v>
      </c>
      <c r="E65" s="13">
        <f t="shared" si="24"/>
        <v>4215.2632609572192</v>
      </c>
      <c r="F65" s="6">
        <f t="shared" si="22"/>
        <v>713592.01021363912</v>
      </c>
    </row>
    <row r="66" spans="1:6" x14ac:dyDescent="0.25">
      <c r="A66" s="5">
        <v>9</v>
      </c>
      <c r="B66" s="6">
        <f t="shared" si="23"/>
        <v>713592.01021363912</v>
      </c>
      <c r="C66" s="6">
        <f t="shared" si="20"/>
        <v>1140.8710169534575</v>
      </c>
      <c r="D66" s="6">
        <f t="shared" si="21"/>
        <v>3074.3922440037618</v>
      </c>
      <c r="E66" s="13">
        <f t="shared" si="24"/>
        <v>4215.2632609572192</v>
      </c>
      <c r="F66" s="6">
        <f t="shared" si="22"/>
        <v>712451.13919668563</v>
      </c>
    </row>
    <row r="67" spans="1:6" x14ac:dyDescent="0.25">
      <c r="A67" s="5">
        <v>10</v>
      </c>
      <c r="B67" s="6">
        <f t="shared" si="23"/>
        <v>712451.13919668563</v>
      </c>
      <c r="C67" s="6">
        <f t="shared" si="20"/>
        <v>1145.7862695848321</v>
      </c>
      <c r="D67" s="6">
        <f t="shared" si="21"/>
        <v>3069.4769913723871</v>
      </c>
      <c r="E67" s="13">
        <f t="shared" si="24"/>
        <v>4215.2632609572192</v>
      </c>
      <c r="F67" s="6">
        <f t="shared" si="22"/>
        <v>711305.35292710084</v>
      </c>
    </row>
    <row r="68" spans="1:6" x14ac:dyDescent="0.25">
      <c r="A68" s="5">
        <v>11</v>
      </c>
      <c r="B68" s="6">
        <f t="shared" si="23"/>
        <v>711305.35292710084</v>
      </c>
      <c r="C68" s="6">
        <f t="shared" si="20"/>
        <v>1150.7226987629597</v>
      </c>
      <c r="D68" s="6">
        <f t="shared" si="21"/>
        <v>3064.5405621942596</v>
      </c>
      <c r="E68" s="13">
        <f t="shared" si="24"/>
        <v>4215.2632609572192</v>
      </c>
      <c r="F68" s="6">
        <f t="shared" si="22"/>
        <v>710154.63022833783</v>
      </c>
    </row>
    <row r="69" spans="1:6" x14ac:dyDescent="0.25">
      <c r="A69" s="5">
        <v>12</v>
      </c>
      <c r="B69" s="6">
        <f t="shared" si="23"/>
        <v>710154.63022833783</v>
      </c>
      <c r="C69" s="6">
        <f t="shared" si="20"/>
        <v>1155.6803957234638</v>
      </c>
      <c r="D69" s="6">
        <f t="shared" si="21"/>
        <v>3059.5828652337555</v>
      </c>
      <c r="E69" s="13">
        <f t="shared" si="24"/>
        <v>4215.2632609572192</v>
      </c>
      <c r="F69" s="8">
        <f t="shared" si="22"/>
        <v>708998.94983261439</v>
      </c>
    </row>
    <row r="70" spans="1:6" x14ac:dyDescent="0.25">
      <c r="A70" s="9" t="s">
        <v>90</v>
      </c>
      <c r="B70" s="11"/>
      <c r="C70" s="8">
        <f>SUM(C58:C69)</f>
        <v>13545.590808210964</v>
      </c>
      <c r="D70" s="8">
        <f>SUM(D58:D69)</f>
        <v>37037.568323275671</v>
      </c>
    </row>
    <row r="72" spans="1:6" x14ac:dyDescent="0.25">
      <c r="A72" s="5">
        <v>1</v>
      </c>
      <c r="B72" s="6">
        <f>+F69</f>
        <v>708998.94983261439</v>
      </c>
      <c r="C72" s="6">
        <f t="shared" ref="C72:C83" si="25">+E72-D72</f>
        <v>1160.6594520950389</v>
      </c>
      <c r="D72" s="6">
        <f t="shared" ref="D72:D83" si="26">B72*$I$2</f>
        <v>3054.6038088621804</v>
      </c>
      <c r="E72" s="13">
        <f>-$I$8</f>
        <v>4215.2632609572192</v>
      </c>
      <c r="F72" s="6">
        <f t="shared" ref="F72:F83" si="27">+B72-C72</f>
        <v>707838.29038051935</v>
      </c>
    </row>
    <row r="73" spans="1:6" x14ac:dyDescent="0.25">
      <c r="A73" s="5">
        <v>2</v>
      </c>
      <c r="B73" s="6">
        <f t="shared" ref="B73:B83" si="28">+F72</f>
        <v>707838.29038051935</v>
      </c>
      <c r="C73" s="6">
        <f t="shared" si="25"/>
        <v>1165.6599599011483</v>
      </c>
      <c r="D73" s="6">
        <f t="shared" si="26"/>
        <v>3049.6033010560709</v>
      </c>
      <c r="E73" s="13">
        <f t="shared" ref="E73:E83" si="29">-$I$8</f>
        <v>4215.2632609572192</v>
      </c>
      <c r="F73" s="6">
        <f t="shared" si="27"/>
        <v>706672.63042061822</v>
      </c>
    </row>
    <row r="74" spans="1:6" x14ac:dyDescent="0.25">
      <c r="A74" s="5">
        <v>3</v>
      </c>
      <c r="B74" s="6">
        <f t="shared" si="28"/>
        <v>706672.63042061822</v>
      </c>
      <c r="C74" s="6">
        <f t="shared" si="25"/>
        <v>1170.6820115617224</v>
      </c>
      <c r="D74" s="6">
        <f t="shared" si="26"/>
        <v>3044.5812493954968</v>
      </c>
      <c r="E74" s="13">
        <f t="shared" si="29"/>
        <v>4215.2632609572192</v>
      </c>
      <c r="F74" s="6">
        <f t="shared" si="27"/>
        <v>705501.94840905652</v>
      </c>
    </row>
    <row r="75" spans="1:6" x14ac:dyDescent="0.25">
      <c r="A75" s="5">
        <v>4</v>
      </c>
      <c r="B75" s="6">
        <f t="shared" si="28"/>
        <v>705501.94840905652</v>
      </c>
      <c r="C75" s="6">
        <f t="shared" si="25"/>
        <v>1175.7256998948674</v>
      </c>
      <c r="D75" s="6">
        <f t="shared" si="26"/>
        <v>3039.5375610623519</v>
      </c>
      <c r="E75" s="13">
        <f t="shared" si="29"/>
        <v>4215.2632609572192</v>
      </c>
      <c r="F75" s="6">
        <f t="shared" si="27"/>
        <v>704326.2227091617</v>
      </c>
    </row>
    <row r="76" spans="1:6" x14ac:dyDescent="0.25">
      <c r="A76" s="5">
        <v>5</v>
      </c>
      <c r="B76" s="6">
        <f t="shared" si="28"/>
        <v>704326.2227091617</v>
      </c>
      <c r="C76" s="6">
        <f t="shared" si="25"/>
        <v>1180.7911181185809</v>
      </c>
      <c r="D76" s="6">
        <f t="shared" si="26"/>
        <v>3034.4721428386383</v>
      </c>
      <c r="E76" s="13">
        <f t="shared" si="29"/>
        <v>4215.2632609572192</v>
      </c>
      <c r="F76" s="6">
        <f t="shared" si="27"/>
        <v>703145.43159104313</v>
      </c>
    </row>
    <row r="77" spans="1:6" x14ac:dyDescent="0.25">
      <c r="A77" s="5">
        <v>6</v>
      </c>
      <c r="B77" s="6">
        <f t="shared" si="28"/>
        <v>703145.43159104313</v>
      </c>
      <c r="C77" s="6">
        <f t="shared" si="25"/>
        <v>1185.8783598524751</v>
      </c>
      <c r="D77" s="6">
        <f t="shared" si="26"/>
        <v>3029.3849011047441</v>
      </c>
      <c r="E77" s="13">
        <f t="shared" si="29"/>
        <v>4215.2632609572192</v>
      </c>
      <c r="F77" s="6">
        <f t="shared" si="27"/>
        <v>701959.55323119066</v>
      </c>
    </row>
    <row r="78" spans="1:6" x14ac:dyDescent="0.25">
      <c r="A78" s="5">
        <v>7</v>
      </c>
      <c r="B78" s="6">
        <f t="shared" si="28"/>
        <v>701959.55323119066</v>
      </c>
      <c r="C78" s="6">
        <f t="shared" si="25"/>
        <v>1190.987519119506</v>
      </c>
      <c r="D78" s="6">
        <f t="shared" si="26"/>
        <v>3024.2757418377132</v>
      </c>
      <c r="E78" s="13">
        <f t="shared" si="29"/>
        <v>4215.2632609572192</v>
      </c>
      <c r="F78" s="6">
        <f t="shared" si="27"/>
        <v>700768.56571207114</v>
      </c>
    </row>
    <row r="79" spans="1:6" x14ac:dyDescent="0.25">
      <c r="A79" s="5">
        <v>8</v>
      </c>
      <c r="B79" s="6">
        <f t="shared" si="28"/>
        <v>700768.56571207114</v>
      </c>
      <c r="C79" s="6">
        <f t="shared" si="25"/>
        <v>1196.1186903477128</v>
      </c>
      <c r="D79" s="6">
        <f t="shared" si="26"/>
        <v>3019.1445706095064</v>
      </c>
      <c r="E79" s="13">
        <f t="shared" si="29"/>
        <v>4215.2632609572192</v>
      </c>
      <c r="F79" s="6">
        <f t="shared" si="27"/>
        <v>699572.44702172338</v>
      </c>
    </row>
    <row r="80" spans="1:6" x14ac:dyDescent="0.25">
      <c r="A80" s="5">
        <v>9</v>
      </c>
      <c r="B80" s="6">
        <f t="shared" si="28"/>
        <v>699572.44702172338</v>
      </c>
      <c r="C80" s="6">
        <f t="shared" si="25"/>
        <v>1201.2719683719611</v>
      </c>
      <c r="D80" s="6">
        <f t="shared" si="26"/>
        <v>3013.9912925852582</v>
      </c>
      <c r="E80" s="13">
        <f t="shared" si="29"/>
        <v>4215.2632609572192</v>
      </c>
      <c r="F80" s="6">
        <f t="shared" si="27"/>
        <v>698371.17505335144</v>
      </c>
    </row>
    <row r="81" spans="1:6" x14ac:dyDescent="0.25">
      <c r="A81" s="5">
        <v>10</v>
      </c>
      <c r="B81" s="6">
        <f t="shared" si="28"/>
        <v>698371.17505335144</v>
      </c>
      <c r="C81" s="6">
        <f t="shared" si="25"/>
        <v>1206.447448435697</v>
      </c>
      <c r="D81" s="6">
        <f t="shared" si="26"/>
        <v>3008.8158125215223</v>
      </c>
      <c r="E81" s="13">
        <f t="shared" si="29"/>
        <v>4215.2632609572192</v>
      </c>
      <c r="F81" s="6">
        <f t="shared" si="27"/>
        <v>697164.72760491574</v>
      </c>
    </row>
    <row r="82" spans="1:6" x14ac:dyDescent="0.25">
      <c r="A82" s="5">
        <v>11</v>
      </c>
      <c r="B82" s="6">
        <f t="shared" si="28"/>
        <v>697164.72760491574</v>
      </c>
      <c r="C82" s="6">
        <f t="shared" si="25"/>
        <v>1211.6452261927075</v>
      </c>
      <c r="D82" s="6">
        <f t="shared" si="26"/>
        <v>3003.6180347645118</v>
      </c>
      <c r="E82" s="13">
        <f t="shared" si="29"/>
        <v>4215.2632609572192</v>
      </c>
      <c r="F82" s="6">
        <f t="shared" si="27"/>
        <v>695953.08237872308</v>
      </c>
    </row>
    <row r="83" spans="1:6" x14ac:dyDescent="0.25">
      <c r="A83" s="5">
        <v>12</v>
      </c>
      <c r="B83" s="6">
        <f t="shared" si="28"/>
        <v>695953.08237872308</v>
      </c>
      <c r="C83" s="6">
        <f t="shared" si="25"/>
        <v>1216.8653977088875</v>
      </c>
      <c r="D83" s="6">
        <f t="shared" si="26"/>
        <v>2998.3978632483318</v>
      </c>
      <c r="E83" s="13">
        <f t="shared" si="29"/>
        <v>4215.2632609572192</v>
      </c>
      <c r="F83" s="8">
        <f t="shared" si="27"/>
        <v>694736.21698101424</v>
      </c>
    </row>
    <row r="84" spans="1:6" x14ac:dyDescent="0.25">
      <c r="A84" s="9" t="s">
        <v>90</v>
      </c>
      <c r="B84" s="11"/>
      <c r="C84" s="8">
        <f>SUM(C72:C83)</f>
        <v>14262.732851600304</v>
      </c>
      <c r="D84" s="8">
        <f>SUM(D72:D83)</f>
        <v>36320.426279886327</v>
      </c>
    </row>
    <row r="86" spans="1:6" x14ac:dyDescent="0.25">
      <c r="A86" s="5">
        <v>1</v>
      </c>
      <c r="B86" s="6">
        <f>+F83</f>
        <v>694736.21698101424</v>
      </c>
      <c r="C86" s="6">
        <f t="shared" ref="C86:C97" si="30">+E86-D86</f>
        <v>1222.1080594640162</v>
      </c>
      <c r="D86" s="6">
        <f t="shared" ref="D86:D97" si="31">B86*$I$2</f>
        <v>2993.1552014932031</v>
      </c>
      <c r="E86" s="13">
        <f>-$I$8</f>
        <v>4215.2632609572192</v>
      </c>
      <c r="F86" s="6">
        <f t="shared" ref="F86:F97" si="32">+B86-C86</f>
        <v>693514.10892155021</v>
      </c>
    </row>
    <row r="87" spans="1:6" x14ac:dyDescent="0.25">
      <c r="A87" s="5">
        <v>2</v>
      </c>
      <c r="B87" s="6">
        <f t="shared" ref="B87:B97" si="33">+F86</f>
        <v>693514.10892155021</v>
      </c>
      <c r="C87" s="6">
        <f t="shared" si="30"/>
        <v>1227.3733083535403</v>
      </c>
      <c r="D87" s="6">
        <f t="shared" si="31"/>
        <v>2987.8899526036789</v>
      </c>
      <c r="E87" s="13">
        <f t="shared" ref="E87:E97" si="34">-$I$8</f>
        <v>4215.2632609572192</v>
      </c>
      <c r="F87" s="6">
        <f t="shared" si="32"/>
        <v>692286.73561319662</v>
      </c>
    </row>
    <row r="88" spans="1:6" x14ac:dyDescent="0.25">
      <c r="A88" s="5">
        <v>3</v>
      </c>
      <c r="B88" s="6">
        <f t="shared" si="33"/>
        <v>692286.73561319662</v>
      </c>
      <c r="C88" s="6">
        <f t="shared" si="30"/>
        <v>1232.661241690364</v>
      </c>
      <c r="D88" s="6">
        <f t="shared" si="31"/>
        <v>2982.6020192668552</v>
      </c>
      <c r="E88" s="13">
        <f t="shared" si="34"/>
        <v>4215.2632609572192</v>
      </c>
      <c r="F88" s="6">
        <f t="shared" si="32"/>
        <v>691054.07437150623</v>
      </c>
    </row>
    <row r="89" spans="1:6" x14ac:dyDescent="0.25">
      <c r="A89" s="5">
        <v>4</v>
      </c>
      <c r="B89" s="6">
        <f t="shared" si="33"/>
        <v>691054.07437150623</v>
      </c>
      <c r="C89" s="6">
        <f t="shared" si="30"/>
        <v>1237.9719572066465</v>
      </c>
      <c r="D89" s="6">
        <f t="shared" si="31"/>
        <v>2977.2913037505728</v>
      </c>
      <c r="E89" s="13">
        <f t="shared" si="34"/>
        <v>4215.2632609572192</v>
      </c>
      <c r="F89" s="6">
        <f t="shared" si="32"/>
        <v>689816.10241429962</v>
      </c>
    </row>
    <row r="90" spans="1:6" x14ac:dyDescent="0.25">
      <c r="A90" s="5">
        <v>5</v>
      </c>
      <c r="B90" s="6">
        <f t="shared" si="33"/>
        <v>689816.10241429962</v>
      </c>
      <c r="C90" s="6">
        <f t="shared" si="30"/>
        <v>1243.3055530556117</v>
      </c>
      <c r="D90" s="6">
        <f t="shared" si="31"/>
        <v>2971.9577079016076</v>
      </c>
      <c r="E90" s="13">
        <f t="shared" si="34"/>
        <v>4215.2632609572192</v>
      </c>
      <c r="F90" s="6">
        <f t="shared" si="32"/>
        <v>688572.79686124402</v>
      </c>
    </row>
    <row r="91" spans="1:6" x14ac:dyDescent="0.25">
      <c r="A91" s="5">
        <v>6</v>
      </c>
      <c r="B91" s="6">
        <f t="shared" si="33"/>
        <v>688572.79686124402</v>
      </c>
      <c r="C91" s="6">
        <f t="shared" si="30"/>
        <v>1248.6621278133598</v>
      </c>
      <c r="D91" s="6">
        <f t="shared" si="31"/>
        <v>2966.6011331438594</v>
      </c>
      <c r="E91" s="13">
        <f t="shared" si="34"/>
        <v>4215.2632609572192</v>
      </c>
      <c r="F91" s="6">
        <f t="shared" si="32"/>
        <v>687324.13473343069</v>
      </c>
    </row>
    <row r="92" spans="1:6" x14ac:dyDescent="0.25">
      <c r="A92" s="5">
        <v>7</v>
      </c>
      <c r="B92" s="6">
        <f t="shared" si="33"/>
        <v>687324.13473343069</v>
      </c>
      <c r="C92" s="6">
        <f t="shared" si="30"/>
        <v>1254.0417804806889</v>
      </c>
      <c r="D92" s="6">
        <f t="shared" si="31"/>
        <v>2961.2214804765304</v>
      </c>
      <c r="E92" s="13">
        <f t="shared" si="34"/>
        <v>4215.2632609572192</v>
      </c>
      <c r="F92" s="6">
        <f t="shared" si="32"/>
        <v>686070.09295295004</v>
      </c>
    </row>
    <row r="93" spans="1:6" x14ac:dyDescent="0.25">
      <c r="A93" s="5">
        <v>8</v>
      </c>
      <c r="B93" s="6">
        <f t="shared" si="33"/>
        <v>686070.09295295004</v>
      </c>
      <c r="C93" s="6">
        <f t="shared" si="30"/>
        <v>1259.4446104849262</v>
      </c>
      <c r="D93" s="6">
        <f t="shared" si="31"/>
        <v>2955.818650472293</v>
      </c>
      <c r="E93" s="13">
        <f t="shared" si="34"/>
        <v>4215.2632609572192</v>
      </c>
      <c r="F93" s="6">
        <f t="shared" si="32"/>
        <v>684810.64834246517</v>
      </c>
    </row>
    <row r="94" spans="1:6" x14ac:dyDescent="0.25">
      <c r="A94" s="5">
        <v>9</v>
      </c>
      <c r="B94" s="6">
        <f t="shared" si="33"/>
        <v>684810.64834246517</v>
      </c>
      <c r="C94" s="6">
        <f t="shared" si="30"/>
        <v>1264.8707176817652</v>
      </c>
      <c r="D94" s="6">
        <f t="shared" si="31"/>
        <v>2950.392543275454</v>
      </c>
      <c r="E94" s="13">
        <f t="shared" si="34"/>
        <v>4215.2632609572192</v>
      </c>
      <c r="F94" s="6">
        <f t="shared" si="32"/>
        <v>683545.77762478346</v>
      </c>
    </row>
    <row r="95" spans="1:6" x14ac:dyDescent="0.25">
      <c r="A95" s="5">
        <v>10</v>
      </c>
      <c r="B95" s="6">
        <f t="shared" si="33"/>
        <v>683545.77762478346</v>
      </c>
      <c r="C95" s="6">
        <f t="shared" si="30"/>
        <v>1270.3202023571107</v>
      </c>
      <c r="D95" s="6">
        <f t="shared" si="31"/>
        <v>2944.9430586001085</v>
      </c>
      <c r="E95" s="13">
        <f t="shared" si="34"/>
        <v>4215.2632609572192</v>
      </c>
      <c r="F95" s="6">
        <f t="shared" si="32"/>
        <v>682275.45742242632</v>
      </c>
    </row>
    <row r="96" spans="1:6" x14ac:dyDescent="0.25">
      <c r="A96" s="5">
        <v>11</v>
      </c>
      <c r="B96" s="6">
        <f t="shared" si="33"/>
        <v>682275.45742242632</v>
      </c>
      <c r="C96" s="6">
        <f t="shared" si="30"/>
        <v>1275.7931652289326</v>
      </c>
      <c r="D96" s="6">
        <f t="shared" si="31"/>
        <v>2939.4700957282867</v>
      </c>
      <c r="E96" s="13">
        <f t="shared" si="34"/>
        <v>4215.2632609572192</v>
      </c>
      <c r="F96" s="6">
        <f t="shared" si="32"/>
        <v>680999.66425719741</v>
      </c>
    </row>
    <row r="97" spans="1:6" x14ac:dyDescent="0.25">
      <c r="A97" s="5">
        <v>12</v>
      </c>
      <c r="B97" s="6">
        <f t="shared" si="33"/>
        <v>680999.66425719741</v>
      </c>
      <c r="C97" s="6">
        <f t="shared" si="30"/>
        <v>1281.289707449127</v>
      </c>
      <c r="D97" s="6">
        <f t="shared" si="31"/>
        <v>2933.9735535080922</v>
      </c>
      <c r="E97" s="13">
        <f t="shared" si="34"/>
        <v>4215.2632609572192</v>
      </c>
      <c r="F97" s="8">
        <f t="shared" si="32"/>
        <v>679718.37454974826</v>
      </c>
    </row>
    <row r="98" spans="1:6" x14ac:dyDescent="0.25">
      <c r="A98" s="9" t="s">
        <v>90</v>
      </c>
      <c r="B98" s="11"/>
      <c r="C98" s="8">
        <f>SUM(C86:C97)</f>
        <v>15017.84243126609</v>
      </c>
      <c r="D98" s="8">
        <f>SUM(D86:D97)</f>
        <v>35565.316700220545</v>
      </c>
    </row>
    <row r="100" spans="1:6" x14ac:dyDescent="0.25">
      <c r="A100" s="5">
        <v>1</v>
      </c>
      <c r="B100" s="6">
        <f>+F97</f>
        <v>679718.37454974826</v>
      </c>
      <c r="C100" s="6">
        <f t="shared" ref="C100:C111" si="35">+E100-D100</f>
        <v>1286.8099306053873</v>
      </c>
      <c r="D100" s="6">
        <f t="shared" ref="D100:D111" si="36">B100*$I$2</f>
        <v>2928.4533303518319</v>
      </c>
      <c r="E100" s="13">
        <f>-$I$8</f>
        <v>4215.2632609572192</v>
      </c>
      <c r="F100" s="6">
        <f t="shared" ref="F100:F111" si="37">+B100-C100</f>
        <v>678431.56461914291</v>
      </c>
    </row>
    <row r="101" spans="1:6" x14ac:dyDescent="0.25">
      <c r="A101" s="5">
        <v>2</v>
      </c>
      <c r="B101" s="6">
        <f t="shared" ref="B101:B111" si="38">+F100</f>
        <v>678431.56461914291</v>
      </c>
      <c r="C101" s="6">
        <f t="shared" si="35"/>
        <v>1292.3539367230787</v>
      </c>
      <c r="D101" s="6">
        <f t="shared" si="36"/>
        <v>2922.9093242341405</v>
      </c>
      <c r="E101" s="13">
        <f t="shared" ref="E101:E111" si="39">-$I$8</f>
        <v>4215.2632609572192</v>
      </c>
      <c r="F101" s="6">
        <f t="shared" si="37"/>
        <v>677139.21068241983</v>
      </c>
    </row>
    <row r="102" spans="1:6" x14ac:dyDescent="0.25">
      <c r="A102" s="5">
        <v>3</v>
      </c>
      <c r="B102" s="6">
        <f t="shared" si="38"/>
        <v>677139.21068241983</v>
      </c>
      <c r="C102" s="6">
        <f t="shared" si="35"/>
        <v>1297.9218282671272</v>
      </c>
      <c r="D102" s="6">
        <f t="shared" si="36"/>
        <v>2917.341432690092</v>
      </c>
      <c r="E102" s="13">
        <f t="shared" si="39"/>
        <v>4215.2632609572192</v>
      </c>
      <c r="F102" s="6">
        <f t="shared" si="37"/>
        <v>675841.28885415266</v>
      </c>
    </row>
    <row r="103" spans="1:6" x14ac:dyDescent="0.25">
      <c r="A103" s="5">
        <v>4</v>
      </c>
      <c r="B103" s="6">
        <f t="shared" si="38"/>
        <v>675841.28885415266</v>
      </c>
      <c r="C103" s="6">
        <f t="shared" si="35"/>
        <v>1303.5137081439116</v>
      </c>
      <c r="D103" s="6">
        <f t="shared" si="36"/>
        <v>2911.7495528133077</v>
      </c>
      <c r="E103" s="13">
        <f t="shared" si="39"/>
        <v>4215.2632609572192</v>
      </c>
      <c r="F103" s="6">
        <f t="shared" si="37"/>
        <v>674537.7751460087</v>
      </c>
    </row>
    <row r="104" spans="1:6" x14ac:dyDescent="0.25">
      <c r="A104" s="5">
        <v>5</v>
      </c>
      <c r="B104" s="6">
        <f t="shared" si="38"/>
        <v>674537.7751460087</v>
      </c>
      <c r="C104" s="6">
        <f t="shared" si="35"/>
        <v>1309.129679703165</v>
      </c>
      <c r="D104" s="6">
        <f t="shared" si="36"/>
        <v>2906.1335812540542</v>
      </c>
      <c r="E104" s="13">
        <f t="shared" si="39"/>
        <v>4215.2632609572192</v>
      </c>
      <c r="F104" s="6">
        <f t="shared" si="37"/>
        <v>673228.64546630555</v>
      </c>
    </row>
    <row r="105" spans="1:6" x14ac:dyDescent="0.25">
      <c r="A105" s="5">
        <v>6</v>
      </c>
      <c r="B105" s="6">
        <f t="shared" si="38"/>
        <v>673228.64546630555</v>
      </c>
      <c r="C105" s="6">
        <f t="shared" si="35"/>
        <v>1314.7698467398864</v>
      </c>
      <c r="D105" s="6">
        <f t="shared" si="36"/>
        <v>2900.4934142173329</v>
      </c>
      <c r="E105" s="13">
        <f t="shared" si="39"/>
        <v>4215.2632609572192</v>
      </c>
      <c r="F105" s="6">
        <f t="shared" si="37"/>
        <v>671913.87561956572</v>
      </c>
    </row>
    <row r="106" spans="1:6" x14ac:dyDescent="0.25">
      <c r="A106" s="5">
        <v>7</v>
      </c>
      <c r="B106" s="6">
        <f t="shared" si="38"/>
        <v>671913.87561956572</v>
      </c>
      <c r="C106" s="6">
        <f t="shared" si="35"/>
        <v>1320.4343134962569</v>
      </c>
      <c r="D106" s="6">
        <f t="shared" si="36"/>
        <v>2894.8289474609624</v>
      </c>
      <c r="E106" s="13">
        <f t="shared" si="39"/>
        <v>4215.2632609572192</v>
      </c>
      <c r="F106" s="6">
        <f t="shared" si="37"/>
        <v>670593.44130606949</v>
      </c>
    </row>
    <row r="107" spans="1:6" x14ac:dyDescent="0.25">
      <c r="A107" s="5">
        <v>8</v>
      </c>
      <c r="B107" s="6">
        <f t="shared" si="38"/>
        <v>670593.44130606949</v>
      </c>
      <c r="C107" s="6">
        <f t="shared" si="35"/>
        <v>1326.1231846635701</v>
      </c>
      <c r="D107" s="6">
        <f t="shared" si="36"/>
        <v>2889.1400762936491</v>
      </c>
      <c r="E107" s="13">
        <f t="shared" si="39"/>
        <v>4215.2632609572192</v>
      </c>
      <c r="F107" s="6">
        <f t="shared" si="37"/>
        <v>669267.3181214059</v>
      </c>
    </row>
    <row r="108" spans="1:6" x14ac:dyDescent="0.25">
      <c r="A108" s="5">
        <v>9</v>
      </c>
      <c r="B108" s="6">
        <f t="shared" si="38"/>
        <v>669267.3181214059</v>
      </c>
      <c r="C108" s="6">
        <f t="shared" si="35"/>
        <v>1331.836565384162</v>
      </c>
      <c r="D108" s="6">
        <f t="shared" si="36"/>
        <v>2883.4266955730573</v>
      </c>
      <c r="E108" s="13">
        <f t="shared" si="39"/>
        <v>4215.2632609572192</v>
      </c>
      <c r="F108" s="6">
        <f t="shared" si="37"/>
        <v>667935.48155602172</v>
      </c>
    </row>
    <row r="109" spans="1:6" x14ac:dyDescent="0.25">
      <c r="A109" s="5">
        <v>10</v>
      </c>
      <c r="B109" s="6">
        <f t="shared" si="38"/>
        <v>667935.48155602172</v>
      </c>
      <c r="C109" s="6">
        <f t="shared" si="35"/>
        <v>1337.5745612533592</v>
      </c>
      <c r="D109" s="6">
        <f t="shared" si="36"/>
        <v>2877.68869970386</v>
      </c>
      <c r="E109" s="13">
        <f t="shared" si="39"/>
        <v>4215.2632609572192</v>
      </c>
      <c r="F109" s="6">
        <f t="shared" si="37"/>
        <v>666597.90699476842</v>
      </c>
    </row>
    <row r="110" spans="1:6" x14ac:dyDescent="0.25">
      <c r="A110" s="5">
        <v>11</v>
      </c>
      <c r="B110" s="6">
        <f t="shared" si="38"/>
        <v>666597.90699476842</v>
      </c>
      <c r="C110" s="6">
        <f t="shared" si="35"/>
        <v>1343.3372783214254</v>
      </c>
      <c r="D110" s="6">
        <f t="shared" si="36"/>
        <v>2871.9259826357938</v>
      </c>
      <c r="E110" s="13">
        <f t="shared" si="39"/>
        <v>4215.2632609572192</v>
      </c>
      <c r="F110" s="6">
        <f t="shared" si="37"/>
        <v>665254.56971644703</v>
      </c>
    </row>
    <row r="111" spans="1:6" x14ac:dyDescent="0.25">
      <c r="A111" s="5">
        <v>12</v>
      </c>
      <c r="B111" s="6">
        <f t="shared" si="38"/>
        <v>665254.56971644703</v>
      </c>
      <c r="C111" s="6">
        <f t="shared" si="35"/>
        <v>1349.1248230955266</v>
      </c>
      <c r="D111" s="6">
        <f t="shared" si="36"/>
        <v>2866.1384378616926</v>
      </c>
      <c r="E111" s="13">
        <f t="shared" si="39"/>
        <v>4215.2632609572192</v>
      </c>
      <c r="F111" s="8">
        <f t="shared" si="37"/>
        <v>663905.44489335152</v>
      </c>
    </row>
    <row r="112" spans="1:6" x14ac:dyDescent="0.25">
      <c r="A112" s="9" t="s">
        <v>90</v>
      </c>
      <c r="B112" s="11"/>
      <c r="C112" s="8">
        <f>SUM(C100:C111)</f>
        <v>15812.929656396853</v>
      </c>
      <c r="D112" s="8">
        <f>SUM(D100:D111)</f>
        <v>34770.229475089778</v>
      </c>
    </row>
    <row r="114" spans="1:6" x14ac:dyDescent="0.25">
      <c r="A114" s="5">
        <v>1</v>
      </c>
      <c r="B114" s="6">
        <f>+F111</f>
        <v>663905.44489335152</v>
      </c>
      <c r="C114" s="6">
        <f t="shared" ref="C114:C125" si="40">+E114-D114</f>
        <v>1354.9373025416967</v>
      </c>
      <c r="D114" s="6">
        <f t="shared" ref="D114:D125" si="41">B114*$I$2</f>
        <v>2860.3259584155226</v>
      </c>
      <c r="E114" s="13">
        <f>-$I$8</f>
        <v>4215.2632609572192</v>
      </c>
      <c r="F114" s="6">
        <f t="shared" ref="F114:F125" si="42">+B114-C114</f>
        <v>662550.50759080984</v>
      </c>
    </row>
    <row r="115" spans="1:6" x14ac:dyDescent="0.25">
      <c r="A115" s="5">
        <v>2</v>
      </c>
      <c r="B115" s="6">
        <f t="shared" ref="B115:B125" si="43">+F114</f>
        <v>662550.50759080984</v>
      </c>
      <c r="C115" s="6">
        <f t="shared" si="40"/>
        <v>1360.7748240868136</v>
      </c>
      <c r="D115" s="6">
        <f t="shared" si="41"/>
        <v>2854.4884368704056</v>
      </c>
      <c r="E115" s="13">
        <f t="shared" ref="E115:E125" si="44">-$I$8</f>
        <v>4215.2632609572192</v>
      </c>
      <c r="F115" s="6">
        <f t="shared" si="42"/>
        <v>661189.73276672303</v>
      </c>
    </row>
    <row r="116" spans="1:6" x14ac:dyDescent="0.25">
      <c r="A116" s="5">
        <v>3</v>
      </c>
      <c r="B116" s="6">
        <f t="shared" si="43"/>
        <v>661189.73276672303</v>
      </c>
      <c r="C116" s="6">
        <f t="shared" si="40"/>
        <v>1366.6374956205877</v>
      </c>
      <c r="D116" s="6">
        <f t="shared" si="41"/>
        <v>2848.6257653366315</v>
      </c>
      <c r="E116" s="13">
        <f t="shared" si="44"/>
        <v>4215.2632609572192</v>
      </c>
      <c r="F116" s="6">
        <f t="shared" si="42"/>
        <v>659823.09527110239</v>
      </c>
    </row>
    <row r="117" spans="1:6" x14ac:dyDescent="0.25">
      <c r="A117" s="5">
        <v>4</v>
      </c>
      <c r="B117" s="6">
        <f t="shared" si="43"/>
        <v>659823.09527110239</v>
      </c>
      <c r="C117" s="6">
        <f t="shared" si="40"/>
        <v>1372.525425497553</v>
      </c>
      <c r="D117" s="6">
        <f t="shared" si="41"/>
        <v>2842.7378354596663</v>
      </c>
      <c r="E117" s="13">
        <f t="shared" si="44"/>
        <v>4215.2632609572192</v>
      </c>
      <c r="F117" s="6">
        <f t="shared" si="42"/>
        <v>658450.56984560483</v>
      </c>
    </row>
    <row r="118" spans="1:6" x14ac:dyDescent="0.25">
      <c r="A118" s="5">
        <v>5</v>
      </c>
      <c r="B118" s="6">
        <f t="shared" si="43"/>
        <v>658450.56984560483</v>
      </c>
      <c r="C118" s="6">
        <f t="shared" si="40"/>
        <v>1378.4387225390719</v>
      </c>
      <c r="D118" s="6">
        <f t="shared" si="41"/>
        <v>2836.8245384181473</v>
      </c>
      <c r="E118" s="13">
        <f t="shared" si="44"/>
        <v>4215.2632609572192</v>
      </c>
      <c r="F118" s="6">
        <f t="shared" si="42"/>
        <v>657072.13112306572</v>
      </c>
    </row>
    <row r="119" spans="1:6" x14ac:dyDescent="0.25">
      <c r="A119" s="5">
        <v>6</v>
      </c>
      <c r="B119" s="6">
        <f t="shared" si="43"/>
        <v>657072.13112306572</v>
      </c>
      <c r="C119" s="6">
        <f t="shared" si="40"/>
        <v>1384.3774960353444</v>
      </c>
      <c r="D119" s="6">
        <f t="shared" si="41"/>
        <v>2830.8857649218749</v>
      </c>
      <c r="E119" s="13">
        <f t="shared" si="44"/>
        <v>4215.2632609572192</v>
      </c>
      <c r="F119" s="6">
        <f t="shared" si="42"/>
        <v>655687.75362703041</v>
      </c>
    </row>
    <row r="120" spans="1:6" x14ac:dyDescent="0.25">
      <c r="A120" s="5">
        <v>7</v>
      </c>
      <c r="B120" s="6">
        <f t="shared" si="43"/>
        <v>655687.75362703041</v>
      </c>
      <c r="C120" s="6">
        <f t="shared" si="40"/>
        <v>1390.3418557474301</v>
      </c>
      <c r="D120" s="6">
        <f t="shared" si="41"/>
        <v>2824.9214052097891</v>
      </c>
      <c r="E120" s="13">
        <f t="shared" si="44"/>
        <v>4215.2632609572192</v>
      </c>
      <c r="F120" s="6">
        <f t="shared" si="42"/>
        <v>654297.41177128302</v>
      </c>
    </row>
    <row r="121" spans="1:6" x14ac:dyDescent="0.25">
      <c r="A121" s="5">
        <v>8</v>
      </c>
      <c r="B121" s="6">
        <f t="shared" si="43"/>
        <v>654297.41177128302</v>
      </c>
      <c r="C121" s="6">
        <f t="shared" si="40"/>
        <v>1396.3319119092748</v>
      </c>
      <c r="D121" s="6">
        <f t="shared" si="41"/>
        <v>2818.9313490479444</v>
      </c>
      <c r="E121" s="13">
        <f t="shared" si="44"/>
        <v>4215.2632609572192</v>
      </c>
      <c r="F121" s="6">
        <f t="shared" si="42"/>
        <v>652901.07985937374</v>
      </c>
    </row>
    <row r="122" spans="1:6" x14ac:dyDescent="0.25">
      <c r="A122" s="5">
        <v>9</v>
      </c>
      <c r="B122" s="6">
        <f t="shared" si="43"/>
        <v>652901.07985937374</v>
      </c>
      <c r="C122" s="6">
        <f t="shared" si="40"/>
        <v>1402.3477752297508</v>
      </c>
      <c r="D122" s="6">
        <f t="shared" si="41"/>
        <v>2812.9154857274684</v>
      </c>
      <c r="E122" s="13">
        <f t="shared" si="44"/>
        <v>4215.2632609572192</v>
      </c>
      <c r="F122" s="6">
        <f t="shared" si="42"/>
        <v>651498.73208414402</v>
      </c>
    </row>
    <row r="123" spans="1:6" x14ac:dyDescent="0.25">
      <c r="A123" s="5">
        <v>10</v>
      </c>
      <c r="B123" s="6">
        <f t="shared" si="43"/>
        <v>651498.73208414402</v>
      </c>
      <c r="C123" s="6">
        <f t="shared" si="40"/>
        <v>1408.3895568946987</v>
      </c>
      <c r="D123" s="6">
        <f t="shared" si="41"/>
        <v>2806.8737040625206</v>
      </c>
      <c r="E123" s="13">
        <f t="shared" si="44"/>
        <v>4215.2632609572192</v>
      </c>
      <c r="F123" s="6">
        <f t="shared" si="42"/>
        <v>650090.34252724936</v>
      </c>
    </row>
    <row r="124" spans="1:6" x14ac:dyDescent="0.25">
      <c r="A124" s="5">
        <v>11</v>
      </c>
      <c r="B124" s="6">
        <f t="shared" si="43"/>
        <v>650090.34252724936</v>
      </c>
      <c r="C124" s="6">
        <f t="shared" si="40"/>
        <v>1414.4573685689866</v>
      </c>
      <c r="D124" s="6">
        <f t="shared" si="41"/>
        <v>2800.8058923882327</v>
      </c>
      <c r="E124" s="13">
        <f t="shared" si="44"/>
        <v>4215.2632609572192</v>
      </c>
      <c r="F124" s="6">
        <f t="shared" si="42"/>
        <v>648675.88515868038</v>
      </c>
    </row>
    <row r="125" spans="1:6" x14ac:dyDescent="0.25">
      <c r="A125" s="5">
        <v>12</v>
      </c>
      <c r="B125" s="6">
        <f t="shared" si="43"/>
        <v>648675.88515868038</v>
      </c>
      <c r="C125" s="6">
        <f t="shared" si="40"/>
        <v>1420.5513223985713</v>
      </c>
      <c r="D125" s="6">
        <f t="shared" si="41"/>
        <v>2794.7119385586479</v>
      </c>
      <c r="E125" s="13">
        <f t="shared" si="44"/>
        <v>4215.2632609572192</v>
      </c>
      <c r="F125" s="8">
        <f t="shared" si="42"/>
        <v>647255.33383628179</v>
      </c>
    </row>
    <row r="126" spans="1:6" x14ac:dyDescent="0.25">
      <c r="A126" s="9" t="s">
        <v>90</v>
      </c>
      <c r="B126" s="11"/>
      <c r="C126" s="8">
        <f>SUM(C114:C125)</f>
        <v>16650.111057069782</v>
      </c>
      <c r="D126" s="8">
        <f>SUM(D114:D125)</f>
        <v>33933.048074416853</v>
      </c>
    </row>
    <row r="128" spans="1:6" x14ac:dyDescent="0.25">
      <c r="A128" s="5">
        <v>1</v>
      </c>
      <c r="B128" s="6">
        <f>+F125</f>
        <v>647255.33383628179</v>
      </c>
      <c r="C128" s="6">
        <f t="shared" ref="C128:C139" si="45">+E128-D128</f>
        <v>1426.6715310125719</v>
      </c>
      <c r="D128" s="6">
        <f t="shared" ref="D128:D139" si="46">B128*$I$2</f>
        <v>2788.5917299446473</v>
      </c>
      <c r="E128" s="13">
        <f>-$I$8</f>
        <v>4215.2632609572192</v>
      </c>
      <c r="F128" s="6">
        <f t="shared" ref="F128:F139" si="47">+B128-C128</f>
        <v>645828.66230526927</v>
      </c>
    </row>
    <row r="129" spans="1:6" x14ac:dyDescent="0.25">
      <c r="A129" s="5">
        <v>2</v>
      </c>
      <c r="B129" s="6">
        <f t="shared" ref="B129:B139" si="48">+F128</f>
        <v>645828.66230526927</v>
      </c>
      <c r="C129" s="6">
        <f t="shared" si="45"/>
        <v>1432.818107525351</v>
      </c>
      <c r="D129" s="6">
        <f t="shared" si="46"/>
        <v>2782.4451534318682</v>
      </c>
      <c r="E129" s="13">
        <f t="shared" ref="E129:E139" si="49">-$I$8</f>
        <v>4215.2632609572192</v>
      </c>
      <c r="F129" s="6">
        <f t="shared" si="47"/>
        <v>644395.84419774392</v>
      </c>
    </row>
    <row r="130" spans="1:6" x14ac:dyDescent="0.25">
      <c r="A130" s="5">
        <v>3</v>
      </c>
      <c r="B130" s="6">
        <f t="shared" si="48"/>
        <v>644395.84419774392</v>
      </c>
      <c r="C130" s="6">
        <f t="shared" si="45"/>
        <v>1438.9911655386059</v>
      </c>
      <c r="D130" s="6">
        <f t="shared" si="46"/>
        <v>2776.2720954186134</v>
      </c>
      <c r="E130" s="13">
        <f t="shared" si="49"/>
        <v>4215.2632609572192</v>
      </c>
      <c r="F130" s="6">
        <f t="shared" si="47"/>
        <v>642956.85303220537</v>
      </c>
    </row>
    <row r="131" spans="1:6" x14ac:dyDescent="0.25">
      <c r="A131" s="5">
        <v>4</v>
      </c>
      <c r="B131" s="6">
        <f t="shared" si="48"/>
        <v>642956.85303220537</v>
      </c>
      <c r="C131" s="6">
        <f t="shared" si="45"/>
        <v>1445.1908191434677</v>
      </c>
      <c r="D131" s="6">
        <f t="shared" si="46"/>
        <v>2770.0724418137515</v>
      </c>
      <c r="E131" s="13">
        <f t="shared" si="49"/>
        <v>4215.2632609572192</v>
      </c>
      <c r="F131" s="6">
        <f t="shared" si="47"/>
        <v>641511.66221306194</v>
      </c>
    </row>
    <row r="132" spans="1:6" x14ac:dyDescent="0.25">
      <c r="A132" s="5">
        <v>5</v>
      </c>
      <c r="B132" s="6">
        <f t="shared" si="48"/>
        <v>641511.66221306194</v>
      </c>
      <c r="C132" s="6">
        <f t="shared" si="45"/>
        <v>1451.4171829226107</v>
      </c>
      <c r="D132" s="6">
        <f t="shared" si="46"/>
        <v>2763.8460780346086</v>
      </c>
      <c r="E132" s="13">
        <f t="shared" si="49"/>
        <v>4215.2632609572192</v>
      </c>
      <c r="F132" s="6">
        <f t="shared" si="47"/>
        <v>640060.24503013934</v>
      </c>
    </row>
    <row r="133" spans="1:6" x14ac:dyDescent="0.25">
      <c r="A133" s="5">
        <v>6</v>
      </c>
      <c r="B133" s="6">
        <f t="shared" si="48"/>
        <v>640060.24503013934</v>
      </c>
      <c r="C133" s="6">
        <f t="shared" si="45"/>
        <v>1457.6703719523689</v>
      </c>
      <c r="D133" s="6">
        <f t="shared" si="46"/>
        <v>2757.5928890048503</v>
      </c>
      <c r="E133" s="13">
        <f t="shared" si="49"/>
        <v>4215.2632609572192</v>
      </c>
      <c r="F133" s="6">
        <f t="shared" si="47"/>
        <v>638602.57465818699</v>
      </c>
    </row>
    <row r="134" spans="1:6" x14ac:dyDescent="0.25">
      <c r="A134" s="5">
        <v>7</v>
      </c>
      <c r="B134" s="6">
        <f t="shared" si="48"/>
        <v>638602.57465818699</v>
      </c>
      <c r="C134" s="6">
        <f t="shared" si="45"/>
        <v>1463.9505018048635</v>
      </c>
      <c r="D134" s="6">
        <f t="shared" si="46"/>
        <v>2751.3127591523557</v>
      </c>
      <c r="E134" s="13">
        <f t="shared" si="49"/>
        <v>4215.2632609572192</v>
      </c>
      <c r="F134" s="6">
        <f t="shared" si="47"/>
        <v>637138.62415638217</v>
      </c>
    </row>
    <row r="135" spans="1:6" x14ac:dyDescent="0.25">
      <c r="A135" s="5">
        <v>8</v>
      </c>
      <c r="B135" s="6">
        <f t="shared" si="48"/>
        <v>637138.62415638217</v>
      </c>
      <c r="C135" s="6">
        <f t="shared" si="45"/>
        <v>1470.2576885501394</v>
      </c>
      <c r="D135" s="6">
        <f t="shared" si="46"/>
        <v>2745.0055724070799</v>
      </c>
      <c r="E135" s="13">
        <f t="shared" si="49"/>
        <v>4215.2632609572192</v>
      </c>
      <c r="F135" s="6">
        <f t="shared" si="47"/>
        <v>635668.36646783201</v>
      </c>
    </row>
    <row r="136" spans="1:6" x14ac:dyDescent="0.25">
      <c r="A136" s="5">
        <v>9</v>
      </c>
      <c r="B136" s="6">
        <f t="shared" si="48"/>
        <v>635668.36646783201</v>
      </c>
      <c r="C136" s="6">
        <f t="shared" si="45"/>
        <v>1476.5920487583098</v>
      </c>
      <c r="D136" s="6">
        <f t="shared" si="46"/>
        <v>2738.6712121989094</v>
      </c>
      <c r="E136" s="13">
        <f t="shared" si="49"/>
        <v>4215.2632609572192</v>
      </c>
      <c r="F136" s="6">
        <f t="shared" si="47"/>
        <v>634191.77441907371</v>
      </c>
    </row>
    <row r="137" spans="1:6" x14ac:dyDescent="0.25">
      <c r="A137" s="5">
        <v>10</v>
      </c>
      <c r="B137" s="6">
        <f t="shared" si="48"/>
        <v>634191.77441907371</v>
      </c>
      <c r="C137" s="6">
        <f t="shared" si="45"/>
        <v>1482.9536995017102</v>
      </c>
      <c r="D137" s="6">
        <f t="shared" si="46"/>
        <v>2732.3095614555091</v>
      </c>
      <c r="E137" s="13">
        <f t="shared" si="49"/>
        <v>4215.2632609572192</v>
      </c>
      <c r="F137" s="6">
        <f t="shared" si="47"/>
        <v>632708.82071957202</v>
      </c>
    </row>
    <row r="138" spans="1:6" x14ac:dyDescent="0.25">
      <c r="A138" s="5">
        <v>11</v>
      </c>
      <c r="B138" s="6">
        <f t="shared" si="48"/>
        <v>632708.82071957202</v>
      </c>
      <c r="C138" s="6">
        <f t="shared" si="45"/>
        <v>1489.3427583570633</v>
      </c>
      <c r="D138" s="6">
        <f t="shared" si="46"/>
        <v>2725.9205026001559</v>
      </c>
      <c r="E138" s="13">
        <f t="shared" si="49"/>
        <v>4215.2632609572192</v>
      </c>
      <c r="F138" s="6">
        <f t="shared" si="47"/>
        <v>631219.47796121496</v>
      </c>
    </row>
    <row r="139" spans="1:6" x14ac:dyDescent="0.25">
      <c r="A139" s="5">
        <v>12</v>
      </c>
      <c r="B139" s="6">
        <f t="shared" si="48"/>
        <v>631219.47796121496</v>
      </c>
      <c r="C139" s="6">
        <f t="shared" si="45"/>
        <v>1495.7593434076516</v>
      </c>
      <c r="D139" s="6">
        <f t="shared" si="46"/>
        <v>2719.5039175495676</v>
      </c>
      <c r="E139" s="13">
        <f t="shared" si="49"/>
        <v>4215.2632609572192</v>
      </c>
      <c r="F139" s="8">
        <f t="shared" si="47"/>
        <v>629723.71861780726</v>
      </c>
    </row>
    <row r="140" spans="1:6" x14ac:dyDescent="0.25">
      <c r="A140" s="9" t="s">
        <v>90</v>
      </c>
      <c r="B140" s="11"/>
      <c r="C140" s="8">
        <f>SUM(C128:C139)</f>
        <v>17531.615218474712</v>
      </c>
      <c r="D140" s="8">
        <f>SUM(D128:D139)</f>
        <v>33051.543913011919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1"/>
  <sheetViews>
    <sheetView topLeftCell="A32" workbookViewId="0">
      <selection activeCell="J144" sqref="J144:J146"/>
    </sheetView>
  </sheetViews>
  <sheetFormatPr defaultColWidth="11" defaultRowHeight="15.75" x14ac:dyDescent="0.25"/>
  <cols>
    <col min="2" max="2" width="27.625" bestFit="1" customWidth="1"/>
    <col min="3" max="3" width="0" hidden="1" customWidth="1"/>
    <col min="4" max="4" width="19.625" bestFit="1" customWidth="1"/>
    <col min="5" max="5" width="15.875" bestFit="1" customWidth="1"/>
    <col min="6" max="6" width="24.375" bestFit="1" customWidth="1"/>
    <col min="7" max="9" width="23.5" bestFit="1" customWidth="1"/>
    <col min="10" max="10" width="17.625" bestFit="1" customWidth="1"/>
    <col min="11" max="14" width="14.125" customWidth="1"/>
    <col min="15" max="15" width="16.875" bestFit="1" customWidth="1"/>
    <col min="16" max="16" width="20.125" customWidth="1"/>
    <col min="17" max="17" width="12.875" customWidth="1"/>
    <col min="18" max="18" width="12.875" bestFit="1" customWidth="1"/>
    <col min="19" max="19" width="14.375" customWidth="1"/>
    <col min="20" max="20" width="16.875" bestFit="1" customWidth="1"/>
    <col min="21" max="21" width="14.375" bestFit="1" customWidth="1"/>
    <col min="23" max="23" width="12.875" bestFit="1" customWidth="1"/>
    <col min="26" max="26" width="14.125" bestFit="1" customWidth="1"/>
  </cols>
  <sheetData>
    <row r="1" spans="1:19" ht="23.25" x14ac:dyDescent="0.35">
      <c r="A1" s="208" t="s">
        <v>35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 t="s">
        <v>47</v>
      </c>
      <c r="P1" s="209"/>
      <c r="Q1" s="209"/>
      <c r="R1" s="209"/>
      <c r="S1" s="60"/>
    </row>
    <row r="2" spans="1:19" x14ac:dyDescent="0.25">
      <c r="A2" s="42"/>
      <c r="B2" s="42"/>
      <c r="C2" s="42"/>
      <c r="D2" s="42" t="s">
        <v>137</v>
      </c>
      <c r="E2" s="43">
        <v>2015</v>
      </c>
      <c r="F2" s="43">
        <v>2016</v>
      </c>
      <c r="G2" s="43">
        <v>2017</v>
      </c>
      <c r="H2" s="43">
        <v>2018</v>
      </c>
      <c r="I2" s="43">
        <v>2019</v>
      </c>
      <c r="J2" s="1"/>
      <c r="K2" s="1"/>
      <c r="L2" s="1"/>
      <c r="M2" s="1"/>
      <c r="N2" s="1"/>
    </row>
    <row r="3" spans="1:19" x14ac:dyDescent="0.25">
      <c r="A3" s="44" t="s">
        <v>0</v>
      </c>
      <c r="B3" s="42"/>
      <c r="C3" s="42" t="s">
        <v>138</v>
      </c>
      <c r="D3" s="42"/>
      <c r="E3" s="45"/>
      <c r="F3" s="45"/>
      <c r="G3" s="45"/>
      <c r="H3" s="45"/>
      <c r="I3" s="2"/>
      <c r="J3" s="1"/>
      <c r="K3" s="1"/>
      <c r="L3" s="1"/>
      <c r="M3" s="1"/>
      <c r="N3" s="1"/>
    </row>
    <row r="4" spans="1:19" x14ac:dyDescent="0.25">
      <c r="A4" s="44" t="s">
        <v>2</v>
      </c>
      <c r="B4" s="42"/>
      <c r="C4" s="42"/>
      <c r="D4" s="42"/>
      <c r="E4" s="46"/>
      <c r="F4" s="46"/>
      <c r="G4" s="46"/>
      <c r="H4" s="46"/>
      <c r="I4" s="47"/>
      <c r="J4" s="1"/>
      <c r="K4" s="1"/>
      <c r="L4" s="1"/>
      <c r="M4" s="1"/>
      <c r="N4" s="1"/>
    </row>
    <row r="5" spans="1:19" x14ac:dyDescent="0.25">
      <c r="A5" s="1"/>
      <c r="B5" s="42" t="s">
        <v>31</v>
      </c>
      <c r="C5" s="42"/>
      <c r="D5" s="42"/>
      <c r="E5" s="48">
        <f>$J$5</f>
        <v>3</v>
      </c>
      <c r="F5" s="48">
        <f t="shared" ref="F5:I5" si="0">$J$5</f>
        <v>3</v>
      </c>
      <c r="G5" s="48">
        <f t="shared" si="0"/>
        <v>3</v>
      </c>
      <c r="H5" s="48">
        <f t="shared" si="0"/>
        <v>3</v>
      </c>
      <c r="I5" s="48">
        <f t="shared" si="0"/>
        <v>3</v>
      </c>
      <c r="J5" s="48">
        <v>3</v>
      </c>
      <c r="K5" s="1" t="s">
        <v>76</v>
      </c>
      <c r="L5" s="1"/>
      <c r="M5" s="1"/>
      <c r="N5" s="1"/>
    </row>
    <row r="6" spans="1:19" x14ac:dyDescent="0.25">
      <c r="A6" s="1"/>
      <c r="B6" s="42" t="s">
        <v>32</v>
      </c>
      <c r="C6" s="42"/>
      <c r="D6" s="42"/>
      <c r="E6" s="48">
        <f>$J$6</f>
        <v>15</v>
      </c>
      <c r="F6" s="48">
        <f t="shared" ref="F6:I6" si="1">$J$6</f>
        <v>15</v>
      </c>
      <c r="G6" s="48">
        <f t="shared" si="1"/>
        <v>15</v>
      </c>
      <c r="H6" s="48">
        <f t="shared" si="1"/>
        <v>15</v>
      </c>
      <c r="I6" s="48">
        <f t="shared" si="1"/>
        <v>15</v>
      </c>
      <c r="J6" s="48">
        <v>15</v>
      </c>
      <c r="K6" s="1" t="s">
        <v>77</v>
      </c>
      <c r="L6" s="1"/>
      <c r="M6" s="1"/>
      <c r="N6" s="1"/>
    </row>
    <row r="7" spans="1:19" x14ac:dyDescent="0.25">
      <c r="A7" s="1"/>
      <c r="B7" s="42" t="s">
        <v>3</v>
      </c>
      <c r="C7" s="42"/>
      <c r="D7" s="42"/>
      <c r="E7" s="48">
        <v>7</v>
      </c>
      <c r="F7" s="48">
        <f>E7+$J$7</f>
        <v>7.25</v>
      </c>
      <c r="G7" s="48">
        <f>F7+$J$7</f>
        <v>7.5</v>
      </c>
      <c r="H7" s="48">
        <f>G7+$J$7</f>
        <v>7.75</v>
      </c>
      <c r="I7" s="48">
        <f>H7+$J$7</f>
        <v>8</v>
      </c>
      <c r="J7" s="48">
        <v>0.25</v>
      </c>
      <c r="K7" s="1" t="s">
        <v>120</v>
      </c>
      <c r="L7" s="1"/>
      <c r="M7" s="1"/>
      <c r="N7" s="1"/>
    </row>
    <row r="8" spans="1:19" x14ac:dyDescent="0.25">
      <c r="A8" s="1"/>
      <c r="B8" s="42" t="s">
        <v>4</v>
      </c>
      <c r="C8" s="42"/>
      <c r="D8" s="42"/>
      <c r="E8" s="91">
        <f>365/E7</f>
        <v>52.142857142857146</v>
      </c>
      <c r="F8" s="91">
        <f t="shared" ref="F8:I8" si="2">365/F7</f>
        <v>50.344827586206897</v>
      </c>
      <c r="G8" s="91">
        <f t="shared" si="2"/>
        <v>48.666666666666664</v>
      </c>
      <c r="H8" s="91">
        <f t="shared" si="2"/>
        <v>47.096774193548384</v>
      </c>
      <c r="I8" s="91">
        <f t="shared" si="2"/>
        <v>45.625</v>
      </c>
      <c r="J8" s="1"/>
      <c r="K8" s="1"/>
      <c r="L8" s="1"/>
      <c r="M8" s="1"/>
      <c r="N8" s="1"/>
    </row>
    <row r="9" spans="1:19" x14ac:dyDescent="0.25">
      <c r="A9" s="44" t="s">
        <v>92</v>
      </c>
      <c r="B9" s="42"/>
      <c r="C9" s="42"/>
      <c r="D9" s="42"/>
      <c r="E9" s="49"/>
      <c r="F9" s="49"/>
      <c r="G9" s="49"/>
      <c r="H9" s="49"/>
      <c r="I9" s="49"/>
      <c r="J9" s="1"/>
      <c r="K9" s="1"/>
      <c r="L9" s="1"/>
      <c r="M9" s="1"/>
      <c r="N9" s="1"/>
    </row>
    <row r="10" spans="1:19" x14ac:dyDescent="0.25">
      <c r="A10" s="1"/>
      <c r="B10" s="42" t="s">
        <v>56</v>
      </c>
      <c r="C10" s="1" t="s">
        <v>94</v>
      </c>
      <c r="D10" s="1"/>
      <c r="E10" s="74">
        <v>6000</v>
      </c>
      <c r="F10" s="74">
        <f>E10*(1+$J$10)</f>
        <v>6180</v>
      </c>
      <c r="G10" s="74">
        <f>F10*(1+$J$10)</f>
        <v>6365.4000000000005</v>
      </c>
      <c r="H10" s="74">
        <f>G10*(1+$J$10)</f>
        <v>6556.362000000001</v>
      </c>
      <c r="I10" s="74">
        <f>H10*(1+$J$10)</f>
        <v>6753.0528600000016</v>
      </c>
      <c r="J10" s="50">
        <v>0.03</v>
      </c>
      <c r="K10" s="1" t="s">
        <v>1</v>
      </c>
      <c r="L10" s="1"/>
      <c r="M10" s="1"/>
      <c r="N10" s="1"/>
    </row>
    <row r="11" spans="1:19" x14ac:dyDescent="0.25">
      <c r="A11" s="1"/>
      <c r="B11" s="42" t="s">
        <v>57</v>
      </c>
      <c r="C11" s="1" t="s">
        <v>94</v>
      </c>
      <c r="D11" s="1"/>
      <c r="E11" s="74">
        <v>50000</v>
      </c>
      <c r="F11" s="74">
        <f>E11*(1+$J$11)</f>
        <v>51500</v>
      </c>
      <c r="G11" s="74">
        <f>F11*(1+$J$11)</f>
        <v>53045</v>
      </c>
      <c r="H11" s="74">
        <f>G11*(1+$J$11)</f>
        <v>54636.35</v>
      </c>
      <c r="I11" s="74">
        <f>H11*(1+$J$11)</f>
        <v>56275.440499999997</v>
      </c>
      <c r="J11" s="50">
        <v>0.03</v>
      </c>
      <c r="K11" s="1" t="s">
        <v>1</v>
      </c>
      <c r="L11" s="1"/>
      <c r="M11" s="1"/>
      <c r="N11" s="1"/>
    </row>
    <row r="12" spans="1:19" x14ac:dyDescent="0.25">
      <c r="A12" s="1"/>
      <c r="B12" s="42" t="s">
        <v>58</v>
      </c>
      <c r="C12" s="1" t="s">
        <v>94</v>
      </c>
      <c r="D12" s="1"/>
      <c r="E12" s="74">
        <v>4500</v>
      </c>
      <c r="F12" s="74">
        <f>E12*(1+$J$12)</f>
        <v>4635</v>
      </c>
      <c r="G12" s="74">
        <f>F12*(1+$J$12)</f>
        <v>4774.05</v>
      </c>
      <c r="H12" s="74">
        <f>G12*(1+$J$12)</f>
        <v>4917.2715000000007</v>
      </c>
      <c r="I12" s="74">
        <f>H12*(1+$J$12)</f>
        <v>5064.7896450000007</v>
      </c>
      <c r="J12" s="50">
        <v>0.03</v>
      </c>
      <c r="K12" s="1" t="s">
        <v>1</v>
      </c>
      <c r="L12" s="1"/>
      <c r="M12" s="1"/>
      <c r="N12" s="1"/>
    </row>
    <row r="13" spans="1:19" x14ac:dyDescent="0.25">
      <c r="A13" s="1"/>
      <c r="B13" s="42" t="s">
        <v>59</v>
      </c>
      <c r="C13" s="1" t="s">
        <v>94</v>
      </c>
      <c r="D13" s="1"/>
      <c r="E13" s="74">
        <v>25000</v>
      </c>
      <c r="F13" s="74">
        <f>E13*(1+$J$13)</f>
        <v>25750</v>
      </c>
      <c r="G13" s="74">
        <f>F13*(1+$J$13)</f>
        <v>26522.5</v>
      </c>
      <c r="H13" s="74">
        <f>G13*(1+$J$13)</f>
        <v>27318.174999999999</v>
      </c>
      <c r="I13" s="74">
        <f>H13*(1+$J$13)</f>
        <v>28137.720249999998</v>
      </c>
      <c r="J13" s="50">
        <v>0.03</v>
      </c>
      <c r="K13" s="1" t="s">
        <v>1</v>
      </c>
      <c r="L13" s="1"/>
      <c r="M13" s="1"/>
      <c r="N13" s="1"/>
    </row>
    <row r="14" spans="1:19" x14ac:dyDescent="0.25">
      <c r="A14" s="1"/>
      <c r="B14" s="42" t="s">
        <v>60</v>
      </c>
      <c r="C14" s="1" t="s">
        <v>94</v>
      </c>
      <c r="D14" s="1"/>
      <c r="E14" s="74">
        <v>115000</v>
      </c>
      <c r="F14" s="74">
        <f>E14*(1+$J$14)</f>
        <v>118450</v>
      </c>
      <c r="G14" s="74">
        <f>F14*(1+$J$14)</f>
        <v>122003.5</v>
      </c>
      <c r="H14" s="74">
        <f>G14*(1+$J$14)</f>
        <v>125663.60500000001</v>
      </c>
      <c r="I14" s="74">
        <f>H14*(1+$J$14)</f>
        <v>129433.51315000001</v>
      </c>
      <c r="J14" s="50">
        <v>0.03</v>
      </c>
      <c r="K14" s="1" t="s">
        <v>1</v>
      </c>
      <c r="L14" s="1"/>
      <c r="M14" s="1"/>
      <c r="N14" s="1"/>
    </row>
    <row r="15" spans="1:19" x14ac:dyDescent="0.25">
      <c r="A15" s="1"/>
      <c r="B15" s="42" t="s">
        <v>61</v>
      </c>
      <c r="C15" s="1" t="s">
        <v>94</v>
      </c>
      <c r="D15" s="1"/>
      <c r="E15" s="74">
        <v>12000</v>
      </c>
      <c r="F15" s="74">
        <f>E15*(1+$J$15)</f>
        <v>12360</v>
      </c>
      <c r="G15" s="74">
        <f>F15*(1+$J$15)</f>
        <v>12730.800000000001</v>
      </c>
      <c r="H15" s="74">
        <f>G15*(1+$J$15)</f>
        <v>13112.724000000002</v>
      </c>
      <c r="I15" s="74">
        <f>H15*(1+$J$15)</f>
        <v>13506.105720000003</v>
      </c>
      <c r="J15" s="50">
        <v>0.03</v>
      </c>
      <c r="K15" s="1" t="s">
        <v>1</v>
      </c>
      <c r="L15" s="1"/>
      <c r="M15" s="1"/>
      <c r="N15" s="1"/>
    </row>
    <row r="16" spans="1:19" x14ac:dyDescent="0.25">
      <c r="A16" s="1"/>
      <c r="B16" s="42" t="s">
        <v>62</v>
      </c>
      <c r="C16" s="1" t="s">
        <v>94</v>
      </c>
      <c r="D16" s="1"/>
      <c r="E16" s="74">
        <v>125</v>
      </c>
      <c r="F16" s="74">
        <f>E16*(1+$J$16)</f>
        <v>128.75</v>
      </c>
      <c r="G16" s="74">
        <f>F16*(1+$J$16)</f>
        <v>132.61250000000001</v>
      </c>
      <c r="H16" s="74">
        <f>G16*(1+$J$16)</f>
        <v>136.59087500000001</v>
      </c>
      <c r="I16" s="74">
        <f>H16*(1+$J$16)</f>
        <v>140.68860125</v>
      </c>
      <c r="J16" s="50">
        <v>0.03</v>
      </c>
      <c r="K16" s="1" t="s">
        <v>1</v>
      </c>
      <c r="L16" s="1"/>
      <c r="M16" s="1"/>
      <c r="N16" s="1"/>
    </row>
    <row r="17" spans="1:14" x14ac:dyDescent="0.25">
      <c r="A17" s="44" t="s">
        <v>91</v>
      </c>
      <c r="B17" s="42"/>
      <c r="C17" s="42"/>
      <c r="D17" s="42"/>
      <c r="E17" s="74"/>
      <c r="F17" s="74"/>
      <c r="G17" s="74"/>
      <c r="H17" s="74"/>
      <c r="I17" s="74"/>
      <c r="J17" s="50"/>
      <c r="K17" s="1"/>
      <c r="L17" s="1"/>
      <c r="M17" s="1"/>
      <c r="N17" s="1"/>
    </row>
    <row r="18" spans="1:14" x14ac:dyDescent="0.25">
      <c r="A18" s="1"/>
      <c r="B18" s="42" t="s">
        <v>65</v>
      </c>
      <c r="C18" s="42"/>
      <c r="D18" s="42"/>
      <c r="E18" s="74">
        <v>52</v>
      </c>
      <c r="F18" s="74">
        <f>E18*(1+$J$18)</f>
        <v>53.04</v>
      </c>
      <c r="G18" s="74">
        <f>F18*(1+$J$18)</f>
        <v>54.1008</v>
      </c>
      <c r="H18" s="74">
        <f>G18*(1+$J$18)</f>
        <v>55.182816000000003</v>
      </c>
      <c r="I18" s="74">
        <f>H18*(1+$J$18)</f>
        <v>56.286472320000001</v>
      </c>
      <c r="J18" s="50">
        <v>0.02</v>
      </c>
      <c r="K18" s="1" t="s">
        <v>72</v>
      </c>
      <c r="L18" s="1"/>
      <c r="M18" s="1"/>
      <c r="N18" s="1"/>
    </row>
    <row r="19" spans="1:14" x14ac:dyDescent="0.25">
      <c r="A19" s="1"/>
      <c r="B19" s="42" t="s">
        <v>66</v>
      </c>
      <c r="C19" s="42"/>
      <c r="D19" s="42"/>
      <c r="E19" s="74">
        <v>2</v>
      </c>
      <c r="F19" s="74">
        <f>E19*(1+$J$19)</f>
        <v>2.04</v>
      </c>
      <c r="G19" s="74">
        <f>F19*(1+$J$19)</f>
        <v>2.0808</v>
      </c>
      <c r="H19" s="74">
        <f>G19*(1+$J$19)</f>
        <v>2.1224159999999999</v>
      </c>
      <c r="I19" s="74">
        <f>H19*(1+$J$19)</f>
        <v>2.16486432</v>
      </c>
      <c r="J19" s="50">
        <v>0.02</v>
      </c>
      <c r="K19" s="1" t="s">
        <v>72</v>
      </c>
      <c r="L19" s="1"/>
      <c r="M19" s="1"/>
      <c r="N19" s="1"/>
    </row>
    <row r="20" spans="1:14" x14ac:dyDescent="0.25">
      <c r="A20" s="1"/>
      <c r="B20" s="42" t="s">
        <v>67</v>
      </c>
      <c r="C20" s="42"/>
      <c r="D20" s="42"/>
      <c r="E20" s="74">
        <v>52</v>
      </c>
      <c r="F20" s="74">
        <f>E20*(1+$J$20)</f>
        <v>53.04</v>
      </c>
      <c r="G20" s="74">
        <f>F20*(1+$J$20)</f>
        <v>54.1008</v>
      </c>
      <c r="H20" s="74">
        <f>G20*(1+$J$20)</f>
        <v>55.182816000000003</v>
      </c>
      <c r="I20" s="74">
        <f>H20*(1+$J$20)</f>
        <v>56.286472320000001</v>
      </c>
      <c r="J20" s="50">
        <v>0.02</v>
      </c>
      <c r="K20" s="1" t="s">
        <v>72</v>
      </c>
      <c r="L20" s="1"/>
      <c r="M20" s="1"/>
      <c r="N20" s="1"/>
    </row>
    <row r="21" spans="1:14" x14ac:dyDescent="0.25">
      <c r="A21" s="1"/>
      <c r="B21" s="42" t="s">
        <v>68</v>
      </c>
      <c r="C21" s="42"/>
      <c r="D21" s="42"/>
      <c r="E21" s="74">
        <v>24</v>
      </c>
      <c r="F21" s="74">
        <f>E21*(1+$J$21)</f>
        <v>24.48</v>
      </c>
      <c r="G21" s="74">
        <f>F21*(1+$J$21)</f>
        <v>24.9696</v>
      </c>
      <c r="H21" s="74">
        <f>G21*(1+$J$21)</f>
        <v>25.468992</v>
      </c>
      <c r="I21" s="74">
        <f>H21*(1+$J$21)</f>
        <v>25.978371840000001</v>
      </c>
      <c r="J21" s="50">
        <v>0.02</v>
      </c>
      <c r="K21" s="1" t="s">
        <v>72</v>
      </c>
      <c r="L21" s="1"/>
      <c r="M21" s="1"/>
      <c r="N21" s="1"/>
    </row>
    <row r="22" spans="1:14" x14ac:dyDescent="0.25">
      <c r="A22" s="1"/>
      <c r="B22" s="42" t="s">
        <v>69</v>
      </c>
      <c r="C22" s="42"/>
      <c r="D22" s="42"/>
      <c r="E22" s="74">
        <v>12</v>
      </c>
      <c r="F22" s="74">
        <f>E22*(1+$J$22)</f>
        <v>12.24</v>
      </c>
      <c r="G22" s="74">
        <f>F22*(1+$J$22)</f>
        <v>12.4848</v>
      </c>
      <c r="H22" s="74">
        <f>G22*(1+$J$22)</f>
        <v>12.734496</v>
      </c>
      <c r="I22" s="74">
        <f>H22*(1+$J$22)</f>
        <v>12.989185920000001</v>
      </c>
      <c r="J22" s="50">
        <v>0.02</v>
      </c>
      <c r="K22" s="1" t="s">
        <v>72</v>
      </c>
      <c r="L22" s="1"/>
      <c r="M22" s="1"/>
      <c r="N22" s="1"/>
    </row>
    <row r="23" spans="1:14" x14ac:dyDescent="0.25">
      <c r="A23" s="1"/>
      <c r="B23" s="42" t="s">
        <v>70</v>
      </c>
      <c r="C23" s="42"/>
      <c r="D23" s="42"/>
      <c r="E23" s="74">
        <v>2</v>
      </c>
      <c r="F23" s="74">
        <f>E23*(1+$J$23)</f>
        <v>2.04</v>
      </c>
      <c r="G23" s="74">
        <f>F23*(1+$J$23)</f>
        <v>2.0808</v>
      </c>
      <c r="H23" s="74">
        <f>G23*(1+$J$23)</f>
        <v>2.1224159999999999</v>
      </c>
      <c r="I23" s="74">
        <f>H23*(1+$J$23)</f>
        <v>2.16486432</v>
      </c>
      <c r="J23" s="50">
        <v>0.02</v>
      </c>
      <c r="K23" s="1" t="s">
        <v>72</v>
      </c>
      <c r="L23" s="1"/>
      <c r="M23" s="1"/>
      <c r="N23" s="1"/>
    </row>
    <row r="24" spans="1:14" x14ac:dyDescent="0.25">
      <c r="A24" s="1"/>
      <c r="B24" s="42" t="s">
        <v>71</v>
      </c>
      <c r="C24" s="42"/>
      <c r="D24" s="42"/>
      <c r="E24" s="74">
        <v>100</v>
      </c>
      <c r="F24" s="74">
        <f>E24*(1+$J$24)</f>
        <v>102</v>
      </c>
      <c r="G24" s="74">
        <f>F24*(1+$J$24)</f>
        <v>104.04</v>
      </c>
      <c r="H24" s="74">
        <f>G24*(1+$J$24)</f>
        <v>106.1208</v>
      </c>
      <c r="I24" s="74">
        <f>H24*(1+$J$24)</f>
        <v>108.243216</v>
      </c>
      <c r="J24" s="50">
        <v>0.02</v>
      </c>
      <c r="K24" s="1" t="s">
        <v>72</v>
      </c>
      <c r="L24" s="1"/>
      <c r="M24" s="1"/>
      <c r="N24" s="1"/>
    </row>
    <row r="25" spans="1:14" x14ac:dyDescent="0.25">
      <c r="A25" s="42"/>
      <c r="B25" s="42"/>
      <c r="C25" s="42"/>
      <c r="D25" s="42"/>
      <c r="E25" s="75"/>
      <c r="F25" s="75"/>
      <c r="G25" s="75"/>
      <c r="H25" s="75"/>
      <c r="I25" s="76"/>
      <c r="J25" s="50"/>
      <c r="K25" s="1"/>
      <c r="L25" s="1"/>
      <c r="M25" s="1"/>
      <c r="N25" s="1"/>
    </row>
    <row r="26" spans="1:14" x14ac:dyDescent="0.25">
      <c r="A26" s="44" t="s">
        <v>5</v>
      </c>
      <c r="B26" s="42"/>
      <c r="C26" s="42"/>
      <c r="D26" s="42"/>
      <c r="E26" s="75"/>
      <c r="F26" s="75"/>
      <c r="G26" s="75"/>
      <c r="H26" s="75"/>
      <c r="I26" s="76"/>
      <c r="J26" s="50"/>
      <c r="K26" s="1"/>
      <c r="L26" s="1"/>
      <c r="M26" s="1"/>
      <c r="N26" s="1"/>
    </row>
    <row r="27" spans="1:14" x14ac:dyDescent="0.25">
      <c r="A27" s="42" t="s">
        <v>6</v>
      </c>
      <c r="B27" s="42"/>
      <c r="C27" s="42"/>
      <c r="D27" s="42"/>
      <c r="E27" s="78"/>
      <c r="F27" s="78"/>
      <c r="G27" s="78"/>
      <c r="H27" s="78"/>
      <c r="I27" s="76"/>
      <c r="J27" s="1"/>
      <c r="K27" s="1"/>
      <c r="L27" s="1"/>
      <c r="M27" s="1"/>
      <c r="N27" s="1"/>
    </row>
    <row r="28" spans="1:14" x14ac:dyDescent="0.25">
      <c r="A28" s="42"/>
      <c r="B28" s="42" t="s">
        <v>37</v>
      </c>
      <c r="C28" s="52"/>
      <c r="D28" s="52"/>
      <c r="E28" s="78">
        <f>E10*E18</f>
        <v>312000</v>
      </c>
      <c r="F28" s="78">
        <f t="shared" ref="F28:I31" si="3">F10*F18</f>
        <v>327787.2</v>
      </c>
      <c r="G28" s="78">
        <f t="shared" si="3"/>
        <v>344373.23232000001</v>
      </c>
      <c r="H28" s="78">
        <f t="shared" si="3"/>
        <v>361798.51787539205</v>
      </c>
      <c r="I28" s="78">
        <f t="shared" si="3"/>
        <v>380105.52287988691</v>
      </c>
      <c r="J28" s="1"/>
      <c r="K28" s="1"/>
      <c r="L28" s="1"/>
      <c r="M28" s="1"/>
      <c r="N28" s="1"/>
    </row>
    <row r="29" spans="1:14" x14ac:dyDescent="0.25">
      <c r="A29" s="42"/>
      <c r="B29" s="42" t="s">
        <v>38</v>
      </c>
      <c r="C29" s="52"/>
      <c r="D29" s="52"/>
      <c r="E29" s="78">
        <f>E11*E19</f>
        <v>100000</v>
      </c>
      <c r="F29" s="78">
        <f t="shared" si="3"/>
        <v>105060</v>
      </c>
      <c r="G29" s="78">
        <f t="shared" si="3"/>
        <v>110376.03599999999</v>
      </c>
      <c r="H29" s="78">
        <f t="shared" si="3"/>
        <v>115961.06342159999</v>
      </c>
      <c r="I29" s="78">
        <f t="shared" si="3"/>
        <v>121828.69323073296</v>
      </c>
      <c r="J29" s="1"/>
      <c r="K29" s="1"/>
      <c r="L29" s="1"/>
      <c r="M29" s="1"/>
      <c r="N29" s="1"/>
    </row>
    <row r="30" spans="1:14" x14ac:dyDescent="0.25">
      <c r="A30" s="42"/>
      <c r="B30" s="42" t="s">
        <v>39</v>
      </c>
      <c r="C30" s="52"/>
      <c r="D30" s="52"/>
      <c r="E30" s="78">
        <f>E12*E20</f>
        <v>234000</v>
      </c>
      <c r="F30" s="78">
        <f t="shared" si="3"/>
        <v>245840.4</v>
      </c>
      <c r="G30" s="78">
        <f t="shared" si="3"/>
        <v>258279.92424000002</v>
      </c>
      <c r="H30" s="78">
        <f t="shared" si="3"/>
        <v>271348.88840654405</v>
      </c>
      <c r="I30" s="78">
        <f t="shared" si="3"/>
        <v>285079.14215991518</v>
      </c>
      <c r="J30" s="1"/>
      <c r="K30" s="1"/>
      <c r="L30" s="1"/>
      <c r="M30" s="1"/>
      <c r="N30" s="1"/>
    </row>
    <row r="31" spans="1:14" x14ac:dyDescent="0.25">
      <c r="A31" s="42"/>
      <c r="B31" s="42" t="s">
        <v>40</v>
      </c>
      <c r="C31" s="52"/>
      <c r="D31" s="52"/>
      <c r="E31" s="78">
        <f>E13*E21</f>
        <v>600000</v>
      </c>
      <c r="F31" s="78">
        <f t="shared" si="3"/>
        <v>630360</v>
      </c>
      <c r="G31" s="78">
        <f t="shared" si="3"/>
        <v>662256.21600000001</v>
      </c>
      <c r="H31" s="78">
        <f t="shared" si="3"/>
        <v>695766.38052959996</v>
      </c>
      <c r="I31" s="78">
        <f t="shared" si="3"/>
        <v>730972.15938439779</v>
      </c>
      <c r="J31" s="1"/>
      <c r="K31" s="1"/>
      <c r="L31" s="1"/>
      <c r="M31" s="1"/>
      <c r="N31" s="1"/>
    </row>
    <row r="32" spans="1:14" x14ac:dyDescent="0.25">
      <c r="A32" s="42"/>
      <c r="B32" s="42" t="s">
        <v>41</v>
      </c>
      <c r="C32" s="52"/>
      <c r="D32" s="52"/>
      <c r="E32" s="78">
        <f>E22*E14</f>
        <v>1380000</v>
      </c>
      <c r="F32" s="78">
        <f t="shared" ref="F32:I32" si="4">F22*F14</f>
        <v>1449828</v>
      </c>
      <c r="G32" s="78">
        <f t="shared" si="4"/>
        <v>1523189.2967999999</v>
      </c>
      <c r="H32" s="78">
        <f t="shared" si="4"/>
        <v>1600262.6752180802</v>
      </c>
      <c r="I32" s="78">
        <f t="shared" si="4"/>
        <v>1681235.9665841151</v>
      </c>
      <c r="J32" s="1"/>
      <c r="K32" s="1"/>
      <c r="L32" s="1"/>
      <c r="M32" s="1"/>
      <c r="N32" s="1"/>
    </row>
    <row r="33" spans="1:27" x14ac:dyDescent="0.25">
      <c r="A33" s="42"/>
      <c r="B33" s="42" t="s">
        <v>42</v>
      </c>
      <c r="C33" s="52"/>
      <c r="D33" s="52"/>
      <c r="E33" s="78">
        <f>E15*E23</f>
        <v>24000</v>
      </c>
      <c r="F33" s="78">
        <f t="shared" ref="F33:I34" si="5">F15*F23</f>
        <v>25214.400000000001</v>
      </c>
      <c r="G33" s="78">
        <f t="shared" si="5"/>
        <v>26490.248640000002</v>
      </c>
      <c r="H33" s="78">
        <f t="shared" si="5"/>
        <v>27830.655221184003</v>
      </c>
      <c r="I33" s="78">
        <f t="shared" si="5"/>
        <v>29238.886375375918</v>
      </c>
      <c r="J33" s="1"/>
      <c r="K33" s="1"/>
      <c r="L33" s="1"/>
      <c r="M33" s="1"/>
      <c r="N33" s="1"/>
    </row>
    <row r="34" spans="1:27" x14ac:dyDescent="0.25">
      <c r="A34" s="42"/>
      <c r="B34" s="42" t="s">
        <v>43</v>
      </c>
      <c r="C34" s="42"/>
      <c r="D34" s="42"/>
      <c r="E34" s="78">
        <f>E16*E24</f>
        <v>12500</v>
      </c>
      <c r="F34" s="78">
        <f t="shared" si="5"/>
        <v>13132.5</v>
      </c>
      <c r="G34" s="78">
        <f t="shared" si="5"/>
        <v>13797.004500000003</v>
      </c>
      <c r="H34" s="78">
        <f t="shared" si="5"/>
        <v>14495.132927700002</v>
      </c>
      <c r="I34" s="78">
        <f t="shared" si="5"/>
        <v>15228.586653841621</v>
      </c>
      <c r="J34" s="1"/>
      <c r="K34" s="1"/>
      <c r="L34" s="1"/>
      <c r="M34" s="1"/>
      <c r="N34" s="1"/>
    </row>
    <row r="35" spans="1:27" x14ac:dyDescent="0.25">
      <c r="A35" s="92" t="s">
        <v>7</v>
      </c>
      <c r="B35" s="92"/>
      <c r="C35" s="92"/>
      <c r="D35" s="92"/>
      <c r="E35" s="85">
        <f>SUM(E28:E34)</f>
        <v>2662500</v>
      </c>
      <c r="F35" s="85">
        <f>E35*(1-$J$35)</f>
        <v>1597500</v>
      </c>
      <c r="G35" s="85">
        <f>F35*(1-$J$35)</f>
        <v>958500</v>
      </c>
      <c r="H35" s="85">
        <f>G35*(1-$J$35)</f>
        <v>575100</v>
      </c>
      <c r="I35" s="85">
        <f>H35*(1-$J$35)</f>
        <v>345060</v>
      </c>
      <c r="J35" s="93">
        <v>0.4</v>
      </c>
      <c r="K35" s="94" t="s">
        <v>165</v>
      </c>
      <c r="L35" s="1"/>
      <c r="M35" s="1"/>
      <c r="N35" s="1"/>
    </row>
    <row r="36" spans="1:27" x14ac:dyDescent="0.25">
      <c r="A36" s="42"/>
      <c r="B36" s="42"/>
      <c r="C36" s="42"/>
      <c r="D36" s="42"/>
      <c r="E36" s="79"/>
      <c r="F36" s="79"/>
      <c r="G36" s="79"/>
      <c r="H36" s="79"/>
      <c r="I36" s="76"/>
      <c r="J36" s="1"/>
      <c r="K36" s="1"/>
      <c r="L36" s="1"/>
      <c r="M36" s="1"/>
      <c r="N36" s="1"/>
    </row>
    <row r="37" spans="1:27" x14ac:dyDescent="0.25">
      <c r="A37" s="42" t="s">
        <v>8</v>
      </c>
      <c r="B37" s="42"/>
      <c r="C37" s="42"/>
      <c r="D37" s="42"/>
      <c r="E37" s="77"/>
      <c r="F37" s="77"/>
      <c r="G37" s="77"/>
      <c r="H37" s="77"/>
      <c r="I37" s="77"/>
      <c r="J37" s="1"/>
      <c r="K37" s="1"/>
      <c r="L37" s="1"/>
      <c r="M37" s="1"/>
      <c r="N37" s="1"/>
    </row>
    <row r="38" spans="1:27" x14ac:dyDescent="0.25">
      <c r="A38" s="42"/>
      <c r="B38" s="42" t="s">
        <v>37</v>
      </c>
      <c r="C38" s="42"/>
      <c r="D38" s="42"/>
      <c r="E38" s="75">
        <f>E28*$J$38</f>
        <v>234000</v>
      </c>
      <c r="F38" s="75">
        <f>F28*$J$38</f>
        <v>245840.40000000002</v>
      </c>
      <c r="G38" s="75">
        <f>G28*$J$38</f>
        <v>258279.92424000002</v>
      </c>
      <c r="H38" s="75">
        <f>H28*$J$38</f>
        <v>271348.88840654405</v>
      </c>
      <c r="I38" s="75">
        <f>I28*$J$38</f>
        <v>285079.14215991518</v>
      </c>
      <c r="J38" s="50">
        <v>0.75</v>
      </c>
      <c r="K38" s="1" t="s">
        <v>64</v>
      </c>
      <c r="L38" s="1"/>
      <c r="M38" s="1"/>
      <c r="N38" s="1"/>
    </row>
    <row r="39" spans="1:27" x14ac:dyDescent="0.25">
      <c r="A39" s="42"/>
      <c r="B39" s="42" t="s">
        <v>38</v>
      </c>
      <c r="C39" s="42"/>
      <c r="D39" s="42"/>
      <c r="E39" s="75">
        <f>E29*$J$39</f>
        <v>75000</v>
      </c>
      <c r="F39" s="75">
        <f>F29*$J$39</f>
        <v>78795</v>
      </c>
      <c r="G39" s="75">
        <f>G29*$J$39</f>
        <v>82782.027000000002</v>
      </c>
      <c r="H39" s="75">
        <f>H29*$J$39</f>
        <v>86970.797566199995</v>
      </c>
      <c r="I39" s="75">
        <f>I29*$J$39</f>
        <v>91371.519923049724</v>
      </c>
      <c r="J39" s="50">
        <v>0.75</v>
      </c>
      <c r="K39" s="1" t="s">
        <v>64</v>
      </c>
      <c r="L39" s="1"/>
      <c r="M39" s="1"/>
      <c r="N39" s="1"/>
    </row>
    <row r="40" spans="1:27" x14ac:dyDescent="0.25">
      <c r="A40" s="42"/>
      <c r="B40" s="42" t="s">
        <v>39</v>
      </c>
      <c r="C40" s="42"/>
      <c r="D40" s="42"/>
      <c r="E40" s="75">
        <f>E1+E30*$J$40</f>
        <v>175500</v>
      </c>
      <c r="F40" s="75">
        <f>F1+F30*$J$40</f>
        <v>184380.3</v>
      </c>
      <c r="G40" s="75">
        <f>G1+G30*$J$40</f>
        <v>193709.94318</v>
      </c>
      <c r="H40" s="75">
        <f>H1+H30*$J$40</f>
        <v>203511.66630490805</v>
      </c>
      <c r="I40" s="75">
        <f>I1+I30*$J$40</f>
        <v>213809.35661993638</v>
      </c>
      <c r="J40" s="50">
        <v>0.75</v>
      </c>
      <c r="K40" s="1" t="s">
        <v>64</v>
      </c>
      <c r="L40" s="1"/>
      <c r="M40" s="1"/>
      <c r="N40" s="1"/>
    </row>
    <row r="41" spans="1:27" x14ac:dyDescent="0.25">
      <c r="A41" s="42"/>
      <c r="B41" s="42" t="s">
        <v>40</v>
      </c>
      <c r="C41" s="42"/>
      <c r="D41" s="42"/>
      <c r="E41" s="75">
        <f>E31*$J$41</f>
        <v>450000</v>
      </c>
      <c r="F41" s="75">
        <f>F31*$J$41</f>
        <v>472770</v>
      </c>
      <c r="G41" s="75">
        <f>G31*$J$41</f>
        <v>496692.16200000001</v>
      </c>
      <c r="H41" s="75">
        <f>H31*$J$41</f>
        <v>521824.78539719997</v>
      </c>
      <c r="I41" s="75">
        <f>I31*$J$41</f>
        <v>548229.11953829834</v>
      </c>
      <c r="J41" s="50">
        <v>0.75</v>
      </c>
      <c r="K41" s="1" t="s">
        <v>64</v>
      </c>
      <c r="L41" s="1"/>
      <c r="M41" s="1"/>
      <c r="N41" s="1"/>
    </row>
    <row r="42" spans="1:27" x14ac:dyDescent="0.25">
      <c r="A42" s="42"/>
      <c r="B42" s="42" t="s">
        <v>41</v>
      </c>
      <c r="C42" s="42"/>
      <c r="D42" s="42"/>
      <c r="E42" s="75">
        <f>E32*$J$42</f>
        <v>1035000</v>
      </c>
      <c r="F42" s="75">
        <f>F32*$J$42</f>
        <v>1087371</v>
      </c>
      <c r="G42" s="75">
        <f>G32*$J$42</f>
        <v>1142391.9726</v>
      </c>
      <c r="H42" s="75">
        <f>H32*$J$42</f>
        <v>1200197.0064135601</v>
      </c>
      <c r="I42" s="75">
        <f>I32*$J$42</f>
        <v>1260926.9749380862</v>
      </c>
      <c r="J42" s="50">
        <v>0.75</v>
      </c>
      <c r="K42" s="1" t="s">
        <v>64</v>
      </c>
      <c r="L42" s="1"/>
      <c r="M42" s="1"/>
      <c r="N42" s="1"/>
      <c r="O42" s="1"/>
      <c r="P42" s="1"/>
      <c r="Q42" s="1"/>
      <c r="R42" s="1"/>
      <c r="S42" s="1"/>
    </row>
    <row r="43" spans="1:27" x14ac:dyDescent="0.25">
      <c r="A43" s="42"/>
      <c r="B43" s="42" t="s">
        <v>42</v>
      </c>
      <c r="C43" s="42"/>
      <c r="D43" s="42"/>
      <c r="E43" s="75">
        <f>E33*$J$43</f>
        <v>18000</v>
      </c>
      <c r="F43" s="75">
        <f>F33*$J$43</f>
        <v>18910.800000000003</v>
      </c>
      <c r="G43" s="75">
        <f>G33*$J$43</f>
        <v>19867.68648</v>
      </c>
      <c r="H43" s="75">
        <f>H33*$J$43</f>
        <v>20872.991415888002</v>
      </c>
      <c r="I43" s="75">
        <f>I33*$J$43</f>
        <v>21929.164781531937</v>
      </c>
      <c r="J43" s="50">
        <v>0.75</v>
      </c>
      <c r="K43" s="1" t="s">
        <v>64</v>
      </c>
      <c r="L43" s="1"/>
      <c r="M43" s="1"/>
      <c r="N43" s="1"/>
      <c r="O43" s="1"/>
      <c r="P43" s="1"/>
      <c r="Q43" s="1"/>
      <c r="R43" s="1"/>
      <c r="S43" s="1"/>
    </row>
    <row r="44" spans="1:27" x14ac:dyDescent="0.25">
      <c r="A44" s="42"/>
      <c r="B44" s="42" t="s">
        <v>43</v>
      </c>
      <c r="C44" s="42"/>
      <c r="D44" s="42"/>
      <c r="E44" s="80">
        <f>E34*$J$44</f>
        <v>9375</v>
      </c>
      <c r="F44" s="80">
        <f>F34*$J$44</f>
        <v>9849.375</v>
      </c>
      <c r="G44" s="80">
        <f>G34*$J$44</f>
        <v>10347.753375000002</v>
      </c>
      <c r="H44" s="80">
        <f>H34*$J$44</f>
        <v>10871.349695775001</v>
      </c>
      <c r="I44" s="80">
        <f>I34*$J$44</f>
        <v>11421.439990381215</v>
      </c>
      <c r="J44" s="50">
        <v>0.75</v>
      </c>
      <c r="K44" s="1" t="s">
        <v>64</v>
      </c>
      <c r="L44" s="1"/>
      <c r="M44" s="1"/>
      <c r="N44" s="1"/>
      <c r="O44" s="1"/>
      <c r="P44" s="1"/>
      <c r="Q44" s="1"/>
      <c r="R44" s="1"/>
      <c r="S44" s="1"/>
    </row>
    <row r="45" spans="1:27" x14ac:dyDescent="0.25">
      <c r="A45" s="42" t="s">
        <v>9</v>
      </c>
      <c r="B45" s="42"/>
      <c r="C45" s="42"/>
      <c r="D45" s="42"/>
      <c r="E45" s="79">
        <f>SUM(E38:E44)</f>
        <v>1996875</v>
      </c>
      <c r="F45" s="79">
        <f t="shared" ref="F45:I45" si="6">SUM(F38:F44)</f>
        <v>2097916.875</v>
      </c>
      <c r="G45" s="79">
        <f t="shared" si="6"/>
        <v>2204071.4688750003</v>
      </c>
      <c r="H45" s="79">
        <f t="shared" si="6"/>
        <v>2315597.4852000754</v>
      </c>
      <c r="I45" s="79">
        <f t="shared" si="6"/>
        <v>2432766.717951199</v>
      </c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7" x14ac:dyDescent="0.25">
      <c r="A46" s="42"/>
      <c r="B46" s="42"/>
      <c r="C46" s="42"/>
      <c r="D46" s="42"/>
      <c r="E46" s="79"/>
      <c r="F46" s="79"/>
      <c r="G46" s="79"/>
      <c r="H46" s="79"/>
      <c r="I46" s="7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42" t="s">
        <v>10</v>
      </c>
      <c r="B47" s="42"/>
      <c r="C47" s="1"/>
      <c r="D47" s="1"/>
      <c r="E47" s="79"/>
      <c r="F47" s="79"/>
      <c r="G47" s="79"/>
      <c r="H47" s="79"/>
      <c r="I47" s="7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42"/>
      <c r="B48" s="42" t="s">
        <v>63</v>
      </c>
      <c r="C48" s="1" t="s">
        <v>102</v>
      </c>
      <c r="D48" s="1"/>
      <c r="E48" s="81">
        <f>(303750+100000)*(1+$J$48)</f>
        <v>415862.5</v>
      </c>
      <c r="F48" s="81">
        <f t="shared" ref="F48:I48" si="7">(303750+100000)*(1+$J$48)</f>
        <v>415862.5</v>
      </c>
      <c r="G48" s="81">
        <f t="shared" si="7"/>
        <v>415862.5</v>
      </c>
      <c r="H48" s="81">
        <f t="shared" si="7"/>
        <v>415862.5</v>
      </c>
      <c r="I48" s="81">
        <f t="shared" si="7"/>
        <v>415862.5</v>
      </c>
      <c r="J48" s="50">
        <v>0.03</v>
      </c>
      <c r="K48" s="1" t="s">
        <v>55</v>
      </c>
      <c r="L48" s="51" t="s">
        <v>95</v>
      </c>
      <c r="M48" s="90">
        <v>50000</v>
      </c>
      <c r="N48" s="12"/>
      <c r="O48" s="1"/>
      <c r="P48" s="1"/>
      <c r="Q48" s="1"/>
      <c r="R48" s="1"/>
    </row>
    <row r="49" spans="1:27" x14ac:dyDescent="0.25">
      <c r="A49" s="42"/>
      <c r="B49" s="55" t="s">
        <v>34</v>
      </c>
      <c r="C49" s="1" t="s">
        <v>102</v>
      </c>
      <c r="D49" s="1"/>
      <c r="E49" s="82">
        <f>85440*(1+$J$49)</f>
        <v>88003.199999999997</v>
      </c>
      <c r="F49" s="82">
        <f t="shared" ref="F49:I49" si="8">85440*(1+$J$49)</f>
        <v>88003.199999999997</v>
      </c>
      <c r="G49" s="82">
        <f t="shared" si="8"/>
        <v>88003.199999999997</v>
      </c>
      <c r="H49" s="82">
        <f t="shared" si="8"/>
        <v>88003.199999999997</v>
      </c>
      <c r="I49" s="82">
        <f t="shared" si="8"/>
        <v>88003.199999999997</v>
      </c>
      <c r="J49" s="50">
        <v>0.03</v>
      </c>
      <c r="K49" s="1" t="s">
        <v>55</v>
      </c>
      <c r="L49" s="1" t="s">
        <v>96</v>
      </c>
      <c r="M49" s="81">
        <v>30375</v>
      </c>
      <c r="N49" s="12"/>
      <c r="O49" s="1"/>
      <c r="P49" s="1"/>
      <c r="Q49" s="1"/>
      <c r="R49" s="12"/>
    </row>
    <row r="50" spans="1:27" x14ac:dyDescent="0.25">
      <c r="A50" s="42"/>
      <c r="B50" s="42" t="s">
        <v>53</v>
      </c>
      <c r="C50" s="1" t="s">
        <v>102</v>
      </c>
      <c r="D50" s="1"/>
      <c r="E50" s="79">
        <v>135500</v>
      </c>
      <c r="F50" s="78">
        <f>E50*(1+$J$50)</f>
        <v>138210</v>
      </c>
      <c r="G50" s="78">
        <f>F50*(1+$J$50)</f>
        <v>140974.20000000001</v>
      </c>
      <c r="H50" s="78">
        <f>G50*(1+$J$50)</f>
        <v>143793.68400000001</v>
      </c>
      <c r="I50" s="78">
        <f>H50*(1+$J$50)</f>
        <v>146669.55768</v>
      </c>
      <c r="J50" s="50">
        <v>0.02</v>
      </c>
      <c r="K50" s="1" t="s">
        <v>55</v>
      </c>
      <c r="L50" s="1" t="s">
        <v>95</v>
      </c>
      <c r="M50" s="50">
        <v>0.1</v>
      </c>
      <c r="N50" s="1"/>
      <c r="O50" s="1"/>
      <c r="P50" s="1"/>
      <c r="Q50" s="1"/>
      <c r="R50" s="1"/>
      <c r="S50" s="1"/>
    </row>
    <row r="51" spans="1:27" x14ac:dyDescent="0.25">
      <c r="A51" s="42"/>
      <c r="B51" s="42" t="s">
        <v>54</v>
      </c>
      <c r="C51" s="42"/>
      <c r="D51" s="42"/>
      <c r="E51" s="79">
        <f>200*52</f>
        <v>10400</v>
      </c>
      <c r="F51" s="78">
        <f>E51*(1+$J$51)</f>
        <v>10504</v>
      </c>
      <c r="G51" s="78">
        <f>F51*(1+$J$51)</f>
        <v>10609.04</v>
      </c>
      <c r="H51" s="78">
        <f>G51*(1+$J$51)</f>
        <v>10715.130400000002</v>
      </c>
      <c r="I51" s="78">
        <f>H51*(1+$J$51)</f>
        <v>10822.281704000003</v>
      </c>
      <c r="J51" s="50">
        <v>0.01</v>
      </c>
      <c r="K51" s="1" t="s">
        <v>55</v>
      </c>
      <c r="L51" s="1"/>
      <c r="M51" s="1"/>
      <c r="N51" s="1"/>
    </row>
    <row r="52" spans="1:27" x14ac:dyDescent="0.25">
      <c r="A52" s="42"/>
      <c r="B52" s="42" t="s">
        <v>118</v>
      </c>
      <c r="C52" s="42"/>
      <c r="D52" s="42"/>
      <c r="E52" s="79">
        <v>5000</v>
      </c>
      <c r="F52" s="78">
        <f t="shared" ref="F52:I53" si="9">E52*(1+$J$52)</f>
        <v>5150</v>
      </c>
      <c r="G52" s="78">
        <f t="shared" si="9"/>
        <v>5304.5</v>
      </c>
      <c r="H52" s="78">
        <f t="shared" si="9"/>
        <v>5463.6350000000002</v>
      </c>
      <c r="I52" s="78">
        <f t="shared" si="9"/>
        <v>5627.5440500000004</v>
      </c>
      <c r="J52" s="50">
        <v>0.03</v>
      </c>
      <c r="K52" s="1" t="s">
        <v>55</v>
      </c>
      <c r="L52" s="1"/>
      <c r="M52" s="1"/>
      <c r="N52" s="1"/>
      <c r="W52" s="1"/>
      <c r="X52" s="1"/>
      <c r="Y52" s="1"/>
      <c r="Z52" s="1"/>
      <c r="AA52" s="1"/>
    </row>
    <row r="53" spans="1:27" x14ac:dyDescent="0.25">
      <c r="A53" s="42"/>
      <c r="B53" s="42" t="s">
        <v>119</v>
      </c>
      <c r="C53" s="42"/>
      <c r="D53" s="42"/>
      <c r="E53" s="79">
        <v>15000</v>
      </c>
      <c r="F53" s="78">
        <f t="shared" si="9"/>
        <v>15450</v>
      </c>
      <c r="G53" s="78">
        <f t="shared" si="9"/>
        <v>15913.5</v>
      </c>
      <c r="H53" s="78">
        <f t="shared" si="9"/>
        <v>16390.904999999999</v>
      </c>
      <c r="I53" s="78">
        <f t="shared" si="9"/>
        <v>16882.632149999998</v>
      </c>
      <c r="J53" s="50">
        <v>0.03</v>
      </c>
      <c r="K53" s="1" t="s">
        <v>55</v>
      </c>
      <c r="L53" s="1"/>
      <c r="M53" s="1"/>
      <c r="N53" s="1"/>
      <c r="W53" s="1"/>
      <c r="X53" s="1"/>
      <c r="Y53" s="1"/>
      <c r="Z53" s="1"/>
      <c r="AA53" s="1"/>
    </row>
    <row r="54" spans="1:27" x14ac:dyDescent="0.25">
      <c r="A54" s="42"/>
      <c r="B54" s="42"/>
      <c r="C54" s="42"/>
      <c r="D54" s="42"/>
      <c r="E54" s="79"/>
      <c r="F54" s="78"/>
      <c r="G54" s="78"/>
      <c r="H54" s="78"/>
      <c r="I54" s="83"/>
      <c r="J54" s="1"/>
      <c r="K54" s="1"/>
      <c r="L54" s="1"/>
      <c r="M54" s="1"/>
      <c r="N54" s="1"/>
      <c r="W54" s="1"/>
      <c r="X54" s="1"/>
      <c r="Y54" s="1"/>
      <c r="Z54" s="1"/>
      <c r="AA54" s="1"/>
    </row>
    <row r="55" spans="1:27" x14ac:dyDescent="0.25">
      <c r="A55" s="42" t="s">
        <v>11</v>
      </c>
      <c r="B55" s="42"/>
      <c r="C55" s="42"/>
      <c r="D55" s="42"/>
      <c r="E55" s="79">
        <f>SUM(E48:E53)</f>
        <v>669765.69999999995</v>
      </c>
      <c r="F55" s="79">
        <f>SUM(F48:F53)</f>
        <v>673179.7</v>
      </c>
      <c r="G55" s="79">
        <f>SUM(G48:G53)</f>
        <v>676666.94000000006</v>
      </c>
      <c r="H55" s="79">
        <f>SUM(H48:H53)</f>
        <v>680229.05440000014</v>
      </c>
      <c r="I55" s="79">
        <f>SUM(I48:I53)</f>
        <v>683867.71558399999</v>
      </c>
      <c r="J55" s="1"/>
      <c r="K55" s="1"/>
      <c r="L55" s="1"/>
      <c r="M55" s="1"/>
      <c r="N55" s="1"/>
      <c r="W55" s="1"/>
      <c r="X55" s="1"/>
      <c r="Y55" s="1"/>
      <c r="Z55" s="1"/>
      <c r="AA55" s="1"/>
    </row>
    <row r="56" spans="1:27" x14ac:dyDescent="0.25">
      <c r="A56" s="42" t="s">
        <v>12</v>
      </c>
      <c r="B56" s="42"/>
      <c r="C56" s="42"/>
      <c r="D56" s="42"/>
      <c r="E56" s="79">
        <f>+E35-E45-E55</f>
        <v>-4140.6999999999534</v>
      </c>
      <c r="F56" s="79">
        <f t="shared" ref="F56:I56" si="10">+F35-F45-F55</f>
        <v>-1173596.575</v>
      </c>
      <c r="G56" s="79">
        <f t="shared" si="10"/>
        <v>-1922238.4088750002</v>
      </c>
      <c r="H56" s="79">
        <f t="shared" si="10"/>
        <v>-2420726.5396000757</v>
      </c>
      <c r="I56" s="79">
        <f t="shared" si="10"/>
        <v>-2771574.4335351991</v>
      </c>
      <c r="J56" s="1"/>
      <c r="K56" s="1"/>
      <c r="L56" s="1"/>
      <c r="M56" s="1"/>
      <c r="N56" s="1"/>
    </row>
    <row r="57" spans="1:27" x14ac:dyDescent="0.25">
      <c r="A57" s="42"/>
      <c r="B57" s="42"/>
      <c r="C57" s="42"/>
      <c r="D57" s="42"/>
      <c r="E57" s="79"/>
      <c r="F57" s="79"/>
      <c r="G57" s="79"/>
      <c r="H57" s="79"/>
      <c r="I57" s="76"/>
      <c r="J57" s="1"/>
      <c r="K57" s="1"/>
      <c r="L57" s="1"/>
      <c r="M57" s="1"/>
      <c r="N57" s="1"/>
      <c r="W57" s="1"/>
      <c r="X57" s="1"/>
      <c r="Y57" s="1"/>
      <c r="Z57" s="1"/>
      <c r="AA57" s="1"/>
    </row>
    <row r="58" spans="1:27" x14ac:dyDescent="0.25">
      <c r="A58" s="42" t="s">
        <v>51</v>
      </c>
      <c r="B58" s="42"/>
      <c r="C58" s="42"/>
      <c r="D58" s="42"/>
      <c r="E58" s="79">
        <f>+E97*$J$58</f>
        <v>0</v>
      </c>
      <c r="F58" s="79">
        <f>+F97*$J$58</f>
        <v>89559.487847989381</v>
      </c>
      <c r="G58" s="79">
        <f>+G97*$J$58</f>
        <v>244869.6209100195</v>
      </c>
      <c r="H58" s="79">
        <f>+H97*$J$58</f>
        <v>452074.099307906</v>
      </c>
      <c r="I58" s="79">
        <f>+I97*$J$58</f>
        <v>703903.47924389597</v>
      </c>
      <c r="J58" s="50">
        <v>7.0000000000000007E-2</v>
      </c>
      <c r="K58" s="1" t="s">
        <v>52</v>
      </c>
      <c r="L58" s="1"/>
      <c r="M58" s="1"/>
      <c r="N58" s="1"/>
    </row>
    <row r="59" spans="1:27" x14ac:dyDescent="0.25">
      <c r="A59" s="42" t="s">
        <v>98</v>
      </c>
      <c r="B59" s="42"/>
      <c r="C59" s="1" t="s">
        <v>103</v>
      </c>
      <c r="D59" s="1"/>
      <c r="E59" s="79">
        <f>'Mortgage Table'!D14</f>
        <v>39563.230813015703</v>
      </c>
      <c r="F59" s="79">
        <f>'Mortgage Table'!D28</f>
        <v>38979.80451406668</v>
      </c>
      <c r="G59" s="79">
        <f>'Mortgage Table'!D42</f>
        <v>38365.489970070303</v>
      </c>
      <c r="H59" s="79">
        <f>'Mortgage Table'!D56</f>
        <v>37718.651869619047</v>
      </c>
      <c r="I59" s="84">
        <f>'Mortgage Table'!D70</f>
        <v>37037.568323275671</v>
      </c>
      <c r="J59" s="56"/>
      <c r="K59" s="1"/>
      <c r="L59" s="1"/>
      <c r="M59" s="1"/>
      <c r="N59" s="1"/>
    </row>
    <row r="60" spans="1:27" x14ac:dyDescent="0.25">
      <c r="A60" s="42"/>
      <c r="B60" s="42"/>
      <c r="C60" s="42"/>
      <c r="D60" s="42"/>
      <c r="E60" s="79"/>
      <c r="F60" s="79"/>
      <c r="G60" s="79"/>
      <c r="H60" s="79"/>
      <c r="I60" s="76"/>
      <c r="J60" s="1"/>
      <c r="K60" s="1"/>
      <c r="L60" s="1"/>
      <c r="M60" s="1"/>
      <c r="N60" s="1"/>
      <c r="W60" s="1"/>
      <c r="X60" s="1"/>
      <c r="Y60" s="1"/>
      <c r="Z60" s="1"/>
      <c r="AA60" s="1"/>
    </row>
    <row r="61" spans="1:27" x14ac:dyDescent="0.25">
      <c r="A61" s="42" t="s">
        <v>13</v>
      </c>
      <c r="B61" s="42"/>
      <c r="C61" s="42"/>
      <c r="D61" s="42"/>
      <c r="E61" s="78"/>
      <c r="F61" s="78"/>
      <c r="G61" s="78"/>
      <c r="H61" s="78"/>
      <c r="I61" s="76"/>
      <c r="J61" s="1"/>
      <c r="K61" s="1"/>
      <c r="L61" s="1"/>
      <c r="M61" s="1"/>
      <c r="N61" s="1"/>
      <c r="W61" s="1"/>
      <c r="X61" s="1"/>
      <c r="Y61" s="1"/>
      <c r="Z61" s="1"/>
      <c r="AA61" s="1"/>
    </row>
    <row r="62" spans="1:27" x14ac:dyDescent="0.25">
      <c r="A62" s="42"/>
      <c r="B62" s="42" t="s">
        <v>21</v>
      </c>
      <c r="C62" s="42"/>
      <c r="D62" s="42"/>
      <c r="E62" s="79">
        <f>E80/$J$62</f>
        <v>5833.333333333333</v>
      </c>
      <c r="F62" s="79">
        <f>F80/$J$62</f>
        <v>5833.333333333333</v>
      </c>
      <c r="G62" s="79">
        <f>G80/$J$62</f>
        <v>5833.333333333333</v>
      </c>
      <c r="H62" s="79">
        <f>H80/$J$62</f>
        <v>5833.333333333333</v>
      </c>
      <c r="I62" s="79">
        <f>I80/$J$62</f>
        <v>5833.333333333333</v>
      </c>
      <c r="J62" s="1">
        <v>30</v>
      </c>
      <c r="K62" s="1" t="s">
        <v>49</v>
      </c>
      <c r="L62" s="1"/>
      <c r="M62" s="1"/>
      <c r="N62" s="1"/>
    </row>
    <row r="63" spans="1:27" x14ac:dyDescent="0.25">
      <c r="A63" s="42"/>
      <c r="B63" s="42" t="s">
        <v>44</v>
      </c>
      <c r="C63" s="42"/>
      <c r="D63" s="42"/>
      <c r="E63" s="79">
        <f>E83/$J$63</f>
        <v>21250</v>
      </c>
      <c r="F63" s="79">
        <f>F83/$J$63</f>
        <v>21250</v>
      </c>
      <c r="G63" s="79">
        <f>G83/$J$63</f>
        <v>21250</v>
      </c>
      <c r="H63" s="79">
        <f>H83/$J$63</f>
        <v>21250</v>
      </c>
      <c r="I63" s="79">
        <f>I83/$J$63</f>
        <v>21250</v>
      </c>
      <c r="J63" s="1">
        <v>8</v>
      </c>
      <c r="K63" s="1" t="s">
        <v>49</v>
      </c>
      <c r="L63" s="1"/>
      <c r="M63" s="1"/>
      <c r="N63" s="1"/>
    </row>
    <row r="64" spans="1:27" x14ac:dyDescent="0.25">
      <c r="A64" s="42"/>
      <c r="B64" s="42" t="s">
        <v>45</v>
      </c>
      <c r="C64" s="42"/>
      <c r="D64" s="42"/>
      <c r="E64" s="79">
        <f>E85/$J$64</f>
        <v>15000</v>
      </c>
      <c r="F64" s="79">
        <f>F85/$J$64</f>
        <v>15000</v>
      </c>
      <c r="G64" s="79">
        <f>G85/$J$64</f>
        <v>15000</v>
      </c>
      <c r="H64" s="79">
        <f>H85/$J$64</f>
        <v>15000</v>
      </c>
      <c r="I64" s="79">
        <f>I85/$J$64</f>
        <v>15000</v>
      </c>
      <c r="J64" s="1">
        <v>8</v>
      </c>
      <c r="K64" s="1" t="s">
        <v>49</v>
      </c>
      <c r="L64" s="1"/>
      <c r="M64" s="1"/>
      <c r="N64" s="1"/>
    </row>
    <row r="65" spans="1:27" x14ac:dyDescent="0.25">
      <c r="A65" s="42"/>
      <c r="B65" s="42" t="s">
        <v>46</v>
      </c>
      <c r="C65" s="42"/>
      <c r="D65" s="42"/>
      <c r="E65" s="79">
        <f>E87/$J$65</f>
        <v>2500</v>
      </c>
      <c r="F65" s="79">
        <f>F87/$J$65</f>
        <v>2500</v>
      </c>
      <c r="G65" s="79">
        <f>G87/$J$65</f>
        <v>2500</v>
      </c>
      <c r="H65" s="79">
        <f>H87/$J$65</f>
        <v>2500</v>
      </c>
      <c r="I65" s="79">
        <f>I87/$J$65</f>
        <v>2500</v>
      </c>
      <c r="J65" s="1">
        <v>8</v>
      </c>
      <c r="K65" s="1" t="s">
        <v>49</v>
      </c>
      <c r="L65" s="1"/>
      <c r="M65" s="1"/>
      <c r="N65" s="1"/>
    </row>
    <row r="66" spans="1:27" x14ac:dyDescent="0.25">
      <c r="A66" s="42" t="s">
        <v>48</v>
      </c>
      <c r="B66" s="42"/>
      <c r="C66" s="42"/>
      <c r="D66" s="42"/>
      <c r="E66" s="79">
        <f t="shared" ref="E66:I66" si="11">SUM(E62:E65)</f>
        <v>44583.333333333328</v>
      </c>
      <c r="F66" s="79">
        <f t="shared" si="11"/>
        <v>44583.333333333328</v>
      </c>
      <c r="G66" s="79">
        <f t="shared" si="11"/>
        <v>44583.333333333328</v>
      </c>
      <c r="H66" s="79">
        <f t="shared" si="11"/>
        <v>44583.333333333328</v>
      </c>
      <c r="I66" s="79">
        <f t="shared" si="11"/>
        <v>44583.333333333328</v>
      </c>
      <c r="J66" s="1"/>
      <c r="K66" s="1"/>
      <c r="L66" s="1"/>
      <c r="M66" s="1"/>
      <c r="N66" s="1"/>
    </row>
    <row r="67" spans="1:27" x14ac:dyDescent="0.25">
      <c r="A67" s="42"/>
      <c r="B67" s="42"/>
      <c r="C67" s="42"/>
      <c r="D67" s="42"/>
      <c r="E67" s="79"/>
      <c r="F67" s="79"/>
      <c r="G67" s="79"/>
      <c r="H67" s="79"/>
      <c r="I67" s="76"/>
      <c r="J67" s="1"/>
      <c r="K67" s="1"/>
      <c r="L67" s="1"/>
      <c r="M67" s="1"/>
      <c r="N67" s="1"/>
      <c r="W67" s="1"/>
      <c r="X67" s="1"/>
      <c r="Y67" s="1"/>
      <c r="Z67" s="1"/>
      <c r="AA67" s="1"/>
    </row>
    <row r="68" spans="1:27" x14ac:dyDescent="0.25">
      <c r="A68" s="42" t="s">
        <v>14</v>
      </c>
      <c r="B68" s="42"/>
      <c r="C68" s="42"/>
      <c r="D68" s="42"/>
      <c r="E68" s="78">
        <f>+E56-SUM(E58:E59)-E66</f>
        <v>-88287.264146348985</v>
      </c>
      <c r="F68" s="78">
        <f t="shared" ref="F68:I68" si="12">+F56-SUM(F58:F59)-F66</f>
        <v>-1346719.2006953892</v>
      </c>
      <c r="G68" s="78">
        <f t="shared" si="12"/>
        <v>-2250056.8530884236</v>
      </c>
      <c r="H68" s="78">
        <f t="shared" si="12"/>
        <v>-2955102.6241109343</v>
      </c>
      <c r="I68" s="78">
        <f t="shared" si="12"/>
        <v>-3557098.8144357041</v>
      </c>
      <c r="J68" s="1" t="s">
        <v>99</v>
      </c>
      <c r="K68" s="1"/>
      <c r="L68" s="1"/>
      <c r="M68" s="1"/>
      <c r="N68" s="1"/>
      <c r="O68" s="136"/>
      <c r="P68" s="137" t="s">
        <v>190</v>
      </c>
      <c r="Q68" s="137" t="s">
        <v>191</v>
      </c>
      <c r="R68" s="137" t="s">
        <v>192</v>
      </c>
      <c r="S68" s="138"/>
      <c r="T68" s="138"/>
      <c r="U68" s="138"/>
      <c r="V68" s="139"/>
    </row>
    <row r="69" spans="1:27" x14ac:dyDescent="0.25">
      <c r="A69" s="42" t="s">
        <v>36</v>
      </c>
      <c r="B69" s="42"/>
      <c r="C69" s="42"/>
      <c r="D69" s="42"/>
      <c r="E69" s="79">
        <f>IF(E68&gt;0,E68*$J$69,0)</f>
        <v>0</v>
      </c>
      <c r="F69" s="79">
        <f>IF(F68&gt;0,F68*$J$69,0)</f>
        <v>0</v>
      </c>
      <c r="G69" s="79">
        <f>IF(G68&gt;0,G68*$J$69,0)</f>
        <v>0</v>
      </c>
      <c r="H69" s="79">
        <f>IF(H68&gt;0,H68*$J$69,0)</f>
        <v>0</v>
      </c>
      <c r="I69" s="79">
        <f>IF(I68&gt;0,I68*$J$69,0)</f>
        <v>0</v>
      </c>
      <c r="J69" s="56">
        <v>0.1923</v>
      </c>
      <c r="K69" s="56"/>
      <c r="L69" s="1"/>
      <c r="M69" s="56"/>
      <c r="N69" s="1"/>
      <c r="O69" s="140" t="s">
        <v>199</v>
      </c>
      <c r="P69" s="141">
        <v>1</v>
      </c>
      <c r="Q69" s="142"/>
      <c r="R69" s="143">
        <f>I74*P69</f>
        <v>5000</v>
      </c>
      <c r="S69" s="33"/>
      <c r="T69" s="33"/>
      <c r="U69" s="33"/>
      <c r="V69" s="144"/>
    </row>
    <row r="70" spans="1:27" x14ac:dyDescent="0.25">
      <c r="A70" s="42" t="s">
        <v>15</v>
      </c>
      <c r="B70" s="42"/>
      <c r="C70" s="42"/>
      <c r="D70" s="42"/>
      <c r="E70" s="75">
        <f>E68-E69</f>
        <v>-88287.264146348985</v>
      </c>
      <c r="F70" s="75">
        <f t="shared" ref="F70:I70" si="13">F68-F69</f>
        <v>-1346719.2006953892</v>
      </c>
      <c r="G70" s="75">
        <f t="shared" si="13"/>
        <v>-2250056.8530884236</v>
      </c>
      <c r="H70" s="75">
        <f t="shared" si="13"/>
        <v>-2955102.6241109343</v>
      </c>
      <c r="I70" s="75">
        <f t="shared" si="13"/>
        <v>-3557098.8144357041</v>
      </c>
      <c r="J70" s="1"/>
      <c r="K70" s="1"/>
      <c r="L70" s="1"/>
      <c r="M70" s="1"/>
      <c r="N70" s="1"/>
      <c r="O70" s="145" t="s">
        <v>100</v>
      </c>
      <c r="P70" s="141">
        <v>1</v>
      </c>
      <c r="Q70" s="146"/>
      <c r="R70" s="143">
        <f>I75*P70</f>
        <v>923209.61432440474</v>
      </c>
      <c r="S70" s="33"/>
      <c r="T70" s="33"/>
      <c r="U70" s="33"/>
      <c r="V70" s="144"/>
    </row>
    <row r="71" spans="1:27" x14ac:dyDescent="0.25">
      <c r="A71" s="42"/>
      <c r="B71" s="42"/>
      <c r="C71" s="42"/>
      <c r="D71" s="42"/>
      <c r="E71" s="75"/>
      <c r="F71" s="75"/>
      <c r="G71" s="75"/>
      <c r="H71" s="75"/>
      <c r="I71" s="76"/>
      <c r="J71" s="1"/>
      <c r="K71" s="1"/>
      <c r="L71" s="1"/>
      <c r="M71" s="1"/>
      <c r="N71" s="1"/>
      <c r="O71" s="140" t="s">
        <v>18</v>
      </c>
      <c r="P71" s="141">
        <v>0.8</v>
      </c>
      <c r="Q71" s="142"/>
      <c r="R71" s="143">
        <f>I76*P71</f>
        <v>2268.8876712328765</v>
      </c>
      <c r="S71" s="33"/>
      <c r="T71" s="33"/>
      <c r="U71" s="33"/>
      <c r="V71" s="144"/>
      <c r="W71" s="1"/>
      <c r="X71" s="1"/>
      <c r="Y71" s="1"/>
      <c r="Z71" s="1"/>
      <c r="AA71" s="1"/>
    </row>
    <row r="72" spans="1:27" x14ac:dyDescent="0.25">
      <c r="A72" s="44" t="s">
        <v>16</v>
      </c>
      <c r="B72" s="42"/>
      <c r="C72" s="42"/>
      <c r="D72" s="42"/>
      <c r="E72" s="75"/>
      <c r="F72" s="75"/>
      <c r="G72" s="75"/>
      <c r="H72" s="75"/>
      <c r="I72" s="76"/>
      <c r="J72" s="1"/>
      <c r="K72" s="1"/>
      <c r="L72" s="1"/>
      <c r="M72" s="1"/>
      <c r="N72" s="1"/>
      <c r="O72" s="140" t="s">
        <v>19</v>
      </c>
      <c r="P72" s="141">
        <v>0.8</v>
      </c>
      <c r="Q72" s="142"/>
      <c r="R72" s="143">
        <f>I77*P72</f>
        <v>243276.67179511991</v>
      </c>
      <c r="S72" s="33"/>
      <c r="T72" s="33"/>
      <c r="U72" s="33"/>
      <c r="V72" s="144"/>
      <c r="W72" s="1"/>
      <c r="X72" s="1"/>
      <c r="Y72" s="1"/>
      <c r="Z72" s="1"/>
      <c r="AA72" s="1"/>
    </row>
    <row r="73" spans="1:27" x14ac:dyDescent="0.25">
      <c r="A73" s="44" t="s">
        <v>17</v>
      </c>
      <c r="B73" s="42"/>
      <c r="C73" s="42"/>
      <c r="D73" s="42"/>
      <c r="E73" s="75"/>
      <c r="F73" s="75"/>
      <c r="G73" s="75"/>
      <c r="H73" s="75"/>
      <c r="I73" s="76"/>
      <c r="J73" s="1"/>
      <c r="K73" s="1"/>
      <c r="L73" s="1"/>
      <c r="M73" s="1"/>
      <c r="N73" s="1"/>
      <c r="O73" s="145" t="s">
        <v>20</v>
      </c>
      <c r="P73" s="141">
        <v>0.9</v>
      </c>
      <c r="Q73" s="171">
        <f>P73*I80</f>
        <v>157500</v>
      </c>
      <c r="R73" s="33"/>
      <c r="S73" s="33"/>
      <c r="T73" s="33"/>
      <c r="U73" s="33"/>
      <c r="V73" s="144"/>
      <c r="W73" s="1"/>
      <c r="X73" s="1"/>
      <c r="Y73" s="1"/>
      <c r="Z73" s="1"/>
      <c r="AA73" s="1"/>
    </row>
    <row r="74" spans="1:27" x14ac:dyDescent="0.25">
      <c r="A74" s="44"/>
      <c r="B74" s="42" t="s">
        <v>135</v>
      </c>
      <c r="C74" s="42"/>
      <c r="D74" s="42"/>
      <c r="E74" s="75">
        <v>5000</v>
      </c>
      <c r="F74" s="75">
        <v>5000</v>
      </c>
      <c r="G74" s="75">
        <v>5000</v>
      </c>
      <c r="H74" s="75">
        <v>5000</v>
      </c>
      <c r="I74" s="75">
        <v>5000</v>
      </c>
      <c r="J74" s="1"/>
      <c r="K74" s="1"/>
      <c r="L74" s="1"/>
      <c r="M74" s="1"/>
      <c r="N74" s="1"/>
      <c r="O74" s="140" t="s">
        <v>158</v>
      </c>
      <c r="P74" s="147">
        <v>0.5</v>
      </c>
      <c r="Q74" s="171">
        <f>P74*I81</f>
        <v>385125</v>
      </c>
      <c r="R74" s="33"/>
      <c r="S74" s="33"/>
      <c r="T74" s="33"/>
      <c r="U74" s="33"/>
      <c r="V74" s="144"/>
      <c r="W74" s="1"/>
      <c r="X74" s="1"/>
      <c r="Y74" s="1"/>
      <c r="Z74" s="1"/>
      <c r="AA74" s="1"/>
    </row>
    <row r="75" spans="1:27" x14ac:dyDescent="0.25">
      <c r="A75" s="42"/>
      <c r="B75" s="42" t="s">
        <v>100</v>
      </c>
      <c r="C75" s="42"/>
      <c r="D75" s="42"/>
      <c r="E75" s="79">
        <v>830188.07824620372</v>
      </c>
      <c r="F75" s="79">
        <v>804675.95403272868</v>
      </c>
      <c r="G75" s="79">
        <v>810807.17304526514</v>
      </c>
      <c r="H75" s="79">
        <v>850311.26950615726</v>
      </c>
      <c r="I75" s="79">
        <v>923209.61432440474</v>
      </c>
      <c r="J75" s="1"/>
      <c r="K75" s="1"/>
      <c r="L75" s="1"/>
      <c r="M75" s="1"/>
      <c r="N75" s="1"/>
      <c r="O75" s="140" t="s">
        <v>44</v>
      </c>
      <c r="P75" s="147">
        <v>0.5</v>
      </c>
      <c r="Q75" s="142"/>
      <c r="R75" s="152">
        <f>I83*P75</f>
        <v>85000</v>
      </c>
      <c r="S75" s="33"/>
      <c r="T75" s="33"/>
      <c r="U75" s="33"/>
      <c r="V75" s="144"/>
    </row>
    <row r="76" spans="1:27" x14ac:dyDescent="0.25">
      <c r="A76" s="42"/>
      <c r="B76" s="42" t="s">
        <v>18</v>
      </c>
      <c r="C76" s="42"/>
      <c r="D76" s="42"/>
      <c r="E76" s="78">
        <f>E35/365*E5</f>
        <v>21883.561643835616</v>
      </c>
      <c r="F76" s="78">
        <f t="shared" ref="F76:I76" si="14">F35/365*F5</f>
        <v>13130.136986301368</v>
      </c>
      <c r="G76" s="78">
        <f t="shared" si="14"/>
        <v>7878.0821917808225</v>
      </c>
      <c r="H76" s="78">
        <f t="shared" si="14"/>
        <v>4726.8493150684926</v>
      </c>
      <c r="I76" s="78">
        <f t="shared" si="14"/>
        <v>2836.1095890410957</v>
      </c>
      <c r="J76" s="1"/>
      <c r="K76" s="1"/>
      <c r="L76" s="1"/>
      <c r="M76" s="1"/>
      <c r="N76" s="1"/>
      <c r="O76" s="140" t="s">
        <v>45</v>
      </c>
      <c r="P76" s="141">
        <v>0.6</v>
      </c>
      <c r="Q76" s="142"/>
      <c r="R76" s="143">
        <f>I85*P76</f>
        <v>72000</v>
      </c>
      <c r="S76" s="33"/>
      <c r="T76" s="33"/>
      <c r="U76" s="33"/>
      <c r="V76" s="144"/>
    </row>
    <row r="77" spans="1:27" x14ac:dyDescent="0.25">
      <c r="A77" s="42"/>
      <c r="B77" s="42" t="s">
        <v>19</v>
      </c>
      <c r="C77" s="42"/>
      <c r="D77" s="42"/>
      <c r="E77" s="78">
        <f t="shared" ref="E77:I77" si="15">E45/365*E8</f>
        <v>285267.85714285716</v>
      </c>
      <c r="F77" s="78">
        <f t="shared" si="15"/>
        <v>289367.8448275862</v>
      </c>
      <c r="G77" s="78">
        <f t="shared" si="15"/>
        <v>293876.19585000002</v>
      </c>
      <c r="H77" s="78">
        <f t="shared" si="15"/>
        <v>298786.77228388068</v>
      </c>
      <c r="I77" s="78">
        <f t="shared" si="15"/>
        <v>304095.83974389988</v>
      </c>
      <c r="J77" s="1"/>
      <c r="K77" s="1"/>
      <c r="L77" s="1"/>
      <c r="M77" s="1"/>
      <c r="N77" s="1"/>
      <c r="O77" s="145" t="s">
        <v>46</v>
      </c>
      <c r="P77" s="141">
        <v>0.5</v>
      </c>
      <c r="Q77" s="148"/>
      <c r="R77" s="152">
        <f>P77*I87</f>
        <v>10000</v>
      </c>
      <c r="S77" s="33"/>
      <c r="T77" s="33"/>
      <c r="U77" s="33"/>
      <c r="V77" s="144"/>
    </row>
    <row r="78" spans="1:27" x14ac:dyDescent="0.25">
      <c r="A78" s="42"/>
      <c r="B78" s="42" t="s">
        <v>136</v>
      </c>
      <c r="C78" s="42"/>
      <c r="D78" s="42"/>
      <c r="E78" s="78">
        <v>0</v>
      </c>
      <c r="F78" s="78">
        <f>E78</f>
        <v>0</v>
      </c>
      <c r="G78" s="78">
        <f t="shared" ref="G78:I78" si="16">F78</f>
        <v>0</v>
      </c>
      <c r="H78" s="78">
        <f t="shared" si="16"/>
        <v>0</v>
      </c>
      <c r="I78" s="78">
        <f t="shared" si="16"/>
        <v>0</v>
      </c>
      <c r="J78" s="1"/>
      <c r="K78" s="1"/>
      <c r="L78" s="1"/>
      <c r="M78" s="1"/>
      <c r="N78" s="1"/>
      <c r="O78" s="145" t="s">
        <v>26</v>
      </c>
      <c r="P78" s="141">
        <v>-1</v>
      </c>
      <c r="Q78" s="148"/>
      <c r="R78" s="172">
        <f>I94*P78</f>
        <v>-99976.714436350652</v>
      </c>
      <c r="S78" s="33"/>
      <c r="T78" s="33"/>
      <c r="U78" s="33"/>
      <c r="V78" s="144"/>
    </row>
    <row r="79" spans="1:27" x14ac:dyDescent="0.25">
      <c r="A79" s="42"/>
      <c r="B79" s="42"/>
      <c r="C79" s="42"/>
      <c r="D79" s="42"/>
      <c r="E79" s="75"/>
      <c r="F79" s="75"/>
      <c r="G79" s="75"/>
      <c r="H79" s="75"/>
      <c r="I79" s="76"/>
      <c r="J79" s="1"/>
      <c r="K79" s="1"/>
      <c r="L79" s="1"/>
      <c r="M79" s="1"/>
      <c r="N79" s="1"/>
      <c r="O79" s="149" t="s">
        <v>193</v>
      </c>
      <c r="P79" s="146"/>
      <c r="Q79" s="150">
        <f>SUM(Q69:Q78)</f>
        <v>542625</v>
      </c>
      <c r="R79" s="151">
        <f>SUM(R69:R78)</f>
        <v>1240778.4593544069</v>
      </c>
      <c r="S79" s="33"/>
      <c r="T79" s="33"/>
      <c r="U79" s="33"/>
      <c r="V79" s="144"/>
    </row>
    <row r="80" spans="1:27" x14ac:dyDescent="0.25">
      <c r="A80" s="42"/>
      <c r="B80" s="42" t="s">
        <v>20</v>
      </c>
      <c r="C80" s="1" t="s">
        <v>93</v>
      </c>
      <c r="D80" s="1"/>
      <c r="E80" s="78">
        <f>175000</f>
        <v>175000</v>
      </c>
      <c r="F80" s="78">
        <f>$J$80*$L$80</f>
        <v>175000</v>
      </c>
      <c r="G80" s="78">
        <f t="shared" ref="G80:I80" si="17">$J$80*$L$80</f>
        <v>175000</v>
      </c>
      <c r="H80" s="78">
        <f t="shared" si="17"/>
        <v>175000</v>
      </c>
      <c r="I80" s="78">
        <f t="shared" si="17"/>
        <v>175000</v>
      </c>
      <c r="J80" s="1">
        <v>5</v>
      </c>
      <c r="K80" s="1" t="s">
        <v>73</v>
      </c>
      <c r="L80" s="81">
        <v>35000</v>
      </c>
      <c r="M80" s="1" t="s">
        <v>74</v>
      </c>
      <c r="N80" s="1"/>
      <c r="O80" s="149" t="s">
        <v>194</v>
      </c>
      <c r="P80" s="146"/>
      <c r="Q80" s="142"/>
      <c r="R80" s="143">
        <v>0</v>
      </c>
      <c r="S80" s="33"/>
      <c r="T80" s="33"/>
      <c r="U80" s="33"/>
      <c r="V80" s="144"/>
    </row>
    <row r="81" spans="1:27" x14ac:dyDescent="0.25">
      <c r="A81" s="42"/>
      <c r="B81" s="42" t="s">
        <v>21</v>
      </c>
      <c r="C81" s="1" t="s">
        <v>93</v>
      </c>
      <c r="D81" s="1"/>
      <c r="E81" s="79">
        <f>$J$81*$L$81</f>
        <v>770250</v>
      </c>
      <c r="F81" s="79">
        <f t="shared" ref="F81:I81" si="18">$J$81*$L$81</f>
        <v>770250</v>
      </c>
      <c r="G81" s="79">
        <f t="shared" si="18"/>
        <v>770250</v>
      </c>
      <c r="H81" s="79">
        <f t="shared" si="18"/>
        <v>770250</v>
      </c>
      <c r="I81" s="79">
        <f t="shared" si="18"/>
        <v>770250</v>
      </c>
      <c r="J81" s="1">
        <v>5135</v>
      </c>
      <c r="K81" s="1" t="s">
        <v>75</v>
      </c>
      <c r="L81" s="81">
        <v>150</v>
      </c>
      <c r="M81" s="1" t="s">
        <v>121</v>
      </c>
      <c r="N81" s="1"/>
      <c r="O81" s="149" t="s">
        <v>195</v>
      </c>
      <c r="P81" s="146"/>
      <c r="Q81" s="142"/>
      <c r="R81" s="152">
        <v>10000</v>
      </c>
      <c r="S81" s="33"/>
      <c r="T81" s="33"/>
      <c r="U81" s="33"/>
      <c r="V81" s="144"/>
    </row>
    <row r="82" spans="1:27" x14ac:dyDescent="0.25">
      <c r="A82" s="42"/>
      <c r="B82" s="42" t="s">
        <v>22</v>
      </c>
      <c r="C82" s="42"/>
      <c r="D82" s="42"/>
      <c r="E82" s="79">
        <f>C82+E62</f>
        <v>5833.333333333333</v>
      </c>
      <c r="F82" s="79">
        <f t="shared" ref="F82:I82" si="19">E82+F62</f>
        <v>11666.666666666666</v>
      </c>
      <c r="G82" s="79">
        <f t="shared" si="19"/>
        <v>17500</v>
      </c>
      <c r="H82" s="79">
        <f t="shared" si="19"/>
        <v>23333.333333333332</v>
      </c>
      <c r="I82" s="79">
        <f t="shared" si="19"/>
        <v>29166.666666666664</v>
      </c>
      <c r="J82" s="1"/>
      <c r="K82" s="1"/>
      <c r="L82" s="1"/>
      <c r="M82" s="1"/>
      <c r="N82" s="1"/>
      <c r="O82" s="140"/>
      <c r="P82" s="146"/>
      <c r="Q82" s="142"/>
      <c r="R82" s="153">
        <f>R79+R80-R81</f>
        <v>1230778.4593544069</v>
      </c>
      <c r="S82" s="33"/>
      <c r="T82" s="33"/>
      <c r="U82" s="33"/>
      <c r="V82" s="144"/>
    </row>
    <row r="83" spans="1:27" x14ac:dyDescent="0.25">
      <c r="A83" s="42"/>
      <c r="B83" s="42" t="s">
        <v>44</v>
      </c>
      <c r="C83" s="42"/>
      <c r="D83" s="42"/>
      <c r="E83" s="79">
        <v>170000</v>
      </c>
      <c r="F83" s="79">
        <v>170000</v>
      </c>
      <c r="G83" s="79">
        <v>170000</v>
      </c>
      <c r="H83" s="79">
        <v>170000</v>
      </c>
      <c r="I83" s="79">
        <v>170000</v>
      </c>
      <c r="J83" s="1"/>
      <c r="K83" s="1"/>
      <c r="L83" s="1"/>
      <c r="M83" s="1"/>
      <c r="N83" s="1"/>
      <c r="O83" s="140"/>
      <c r="P83" s="146"/>
      <c r="Q83" s="142"/>
      <c r="R83" s="152"/>
      <c r="S83" s="33"/>
      <c r="T83" s="33"/>
      <c r="U83" s="33"/>
      <c r="V83" s="144"/>
    </row>
    <row r="84" spans="1:27" x14ac:dyDescent="0.25">
      <c r="A84" s="42"/>
      <c r="B84" s="42" t="s">
        <v>22</v>
      </c>
      <c r="C84" s="42"/>
      <c r="D84" s="42"/>
      <c r="E84" s="79">
        <f>C84+E63</f>
        <v>21250</v>
      </c>
      <c r="F84" s="79">
        <f t="shared" ref="F84:I84" si="20">E84+F63</f>
        <v>42500</v>
      </c>
      <c r="G84" s="79">
        <f t="shared" si="20"/>
        <v>63750</v>
      </c>
      <c r="H84" s="79">
        <f t="shared" si="20"/>
        <v>85000</v>
      </c>
      <c r="I84" s="79">
        <f t="shared" si="20"/>
        <v>106250</v>
      </c>
      <c r="J84" s="1"/>
      <c r="K84" s="1"/>
      <c r="L84" s="1"/>
      <c r="M84" s="1"/>
      <c r="N84" s="26"/>
      <c r="O84" s="154"/>
      <c r="P84" s="38"/>
      <c r="Q84" s="155" t="s">
        <v>191</v>
      </c>
      <c r="R84" s="155" t="s">
        <v>196</v>
      </c>
      <c r="S84" s="155" t="s">
        <v>129</v>
      </c>
      <c r="T84" s="155" t="s">
        <v>197</v>
      </c>
      <c r="U84" s="155" t="s">
        <v>193</v>
      </c>
      <c r="V84" s="156" t="s">
        <v>198</v>
      </c>
      <c r="W84" s="26"/>
    </row>
    <row r="85" spans="1:27" x14ac:dyDescent="0.25">
      <c r="A85" s="42"/>
      <c r="B85" s="42" t="s">
        <v>45</v>
      </c>
      <c r="C85" s="42"/>
      <c r="D85" s="42"/>
      <c r="E85" s="75">
        <v>120000</v>
      </c>
      <c r="F85" s="75">
        <v>120000</v>
      </c>
      <c r="G85" s="75">
        <v>120000</v>
      </c>
      <c r="H85" s="75">
        <v>120000</v>
      </c>
      <c r="I85" s="75">
        <v>120000</v>
      </c>
      <c r="J85" s="1"/>
      <c r="K85" s="1"/>
      <c r="L85" s="1"/>
      <c r="M85" s="1"/>
      <c r="N85" s="26"/>
      <c r="O85" s="157"/>
      <c r="P85" s="158"/>
      <c r="Q85" s="158">
        <f>I98</f>
        <v>708998.94983261439</v>
      </c>
      <c r="R85" s="159">
        <f>Q85-Q79</f>
        <v>166373.94983261439</v>
      </c>
      <c r="S85" s="147">
        <f>R85/R86</f>
        <v>1.6545132723016016E-2</v>
      </c>
      <c r="T85" s="160">
        <f>R82*S85</f>
        <v>20363.392962647835</v>
      </c>
      <c r="U85" s="161">
        <f>Q79+T85</f>
        <v>562988.39296264783</v>
      </c>
      <c r="V85" s="162">
        <f>U85/Q85</f>
        <v>0.79406096877232646</v>
      </c>
      <c r="W85" s="26"/>
    </row>
    <row r="86" spans="1:27" x14ac:dyDescent="0.25">
      <c r="A86" s="42"/>
      <c r="B86" s="42" t="s">
        <v>22</v>
      </c>
      <c r="C86" s="42"/>
      <c r="D86" s="42"/>
      <c r="E86" s="75">
        <f>C86+E64</f>
        <v>15000</v>
      </c>
      <c r="F86" s="75">
        <f t="shared" ref="F86:I86" si="21">E86+F64</f>
        <v>30000</v>
      </c>
      <c r="G86" s="75">
        <f t="shared" si="21"/>
        <v>45000</v>
      </c>
      <c r="H86" s="75">
        <f t="shared" si="21"/>
        <v>60000</v>
      </c>
      <c r="I86" s="75">
        <f t="shared" si="21"/>
        <v>75000</v>
      </c>
      <c r="J86" s="1"/>
      <c r="K86" s="1"/>
      <c r="L86" s="1"/>
      <c r="M86" s="1"/>
      <c r="N86" s="26"/>
      <c r="O86" s="145"/>
      <c r="P86" s="158"/>
      <c r="Q86" s="158"/>
      <c r="R86" s="159">
        <f>I97-Q86</f>
        <v>10055763.989198513</v>
      </c>
      <c r="S86" s="147">
        <f>R86/R87</f>
        <v>0.98372415332047614</v>
      </c>
      <c r="T86" s="160">
        <f>R82*S86</f>
        <v>1210746.497853494</v>
      </c>
      <c r="U86" s="161">
        <f>Q86+T86</f>
        <v>1210746.497853494</v>
      </c>
      <c r="V86" s="162">
        <f>U86/R87</f>
        <v>0.11844356875977069</v>
      </c>
      <c r="W86" s="26"/>
    </row>
    <row r="87" spans="1:27" x14ac:dyDescent="0.25">
      <c r="A87" s="42"/>
      <c r="B87" s="42" t="s">
        <v>46</v>
      </c>
      <c r="C87" s="42"/>
      <c r="D87" s="42"/>
      <c r="E87" s="75">
        <v>20000</v>
      </c>
      <c r="F87" s="75">
        <v>20000</v>
      </c>
      <c r="G87" s="75">
        <v>20000</v>
      </c>
      <c r="H87" s="75">
        <v>20000</v>
      </c>
      <c r="I87" s="75">
        <v>20000</v>
      </c>
      <c r="J87" s="1"/>
      <c r="K87" s="1"/>
      <c r="L87" s="1"/>
      <c r="M87" s="1"/>
      <c r="N87" s="26"/>
      <c r="O87" s="163"/>
      <c r="P87" s="164"/>
      <c r="Q87" s="165"/>
      <c r="R87" s="166">
        <f>SUM(R84:R86)</f>
        <v>10222137.939031128</v>
      </c>
      <c r="S87" s="167"/>
      <c r="T87" s="168"/>
      <c r="U87" s="168"/>
      <c r="V87" s="169"/>
      <c r="W87" s="26"/>
    </row>
    <row r="88" spans="1:27" x14ac:dyDescent="0.25">
      <c r="A88" s="42"/>
      <c r="B88" s="42" t="s">
        <v>22</v>
      </c>
      <c r="C88" s="42"/>
      <c r="D88" s="42"/>
      <c r="E88" s="75">
        <f>C88+E65</f>
        <v>2500</v>
      </c>
      <c r="F88" s="75">
        <f t="shared" ref="F88:I88" si="22">E88+F65</f>
        <v>5000</v>
      </c>
      <c r="G88" s="75">
        <f t="shared" si="22"/>
        <v>7500</v>
      </c>
      <c r="H88" s="75">
        <f t="shared" si="22"/>
        <v>10000</v>
      </c>
      <c r="I88" s="75">
        <f t="shared" si="22"/>
        <v>12500</v>
      </c>
      <c r="J88" s="1"/>
      <c r="K88" s="1"/>
      <c r="L88" s="1"/>
      <c r="M88" s="1"/>
      <c r="N88" s="26"/>
      <c r="O88" s="26"/>
      <c r="P88" s="29"/>
      <c r="Q88" s="26"/>
      <c r="R88" s="26"/>
      <c r="S88" s="26"/>
      <c r="T88" s="26"/>
      <c r="U88" s="29"/>
      <c r="V88" s="26"/>
      <c r="W88" s="26"/>
    </row>
    <row r="89" spans="1:27" x14ac:dyDescent="0.25">
      <c r="A89" s="42"/>
      <c r="B89" s="42"/>
      <c r="C89" s="42"/>
      <c r="D89" s="42"/>
      <c r="E89" s="75"/>
      <c r="F89" s="75"/>
      <c r="G89" s="75"/>
      <c r="H89" s="75"/>
      <c r="I89" s="76"/>
      <c r="J89" s="1"/>
      <c r="K89" s="1"/>
      <c r="L89" s="1"/>
      <c r="M89" s="1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1"/>
      <c r="Z89" s="1"/>
      <c r="AA89" s="1"/>
    </row>
    <row r="90" spans="1:27" x14ac:dyDescent="0.25">
      <c r="A90" s="44" t="s">
        <v>23</v>
      </c>
      <c r="B90" s="44"/>
      <c r="C90" s="44"/>
      <c r="D90" s="44"/>
      <c r="E90" s="95">
        <f>SUM(E74:E81)-E82+E83-E84+E85-E86+E87-E88</f>
        <v>2353006.1636995636</v>
      </c>
      <c r="F90" s="95">
        <f t="shared" ref="F90:I90" si="23">SUM(F74:F81)-F82+F83-F84+F85-F86+F87-F88</f>
        <v>2278257.2691799495</v>
      </c>
      <c r="G90" s="95">
        <f t="shared" si="23"/>
        <v>2239061.4510870459</v>
      </c>
      <c r="H90" s="95">
        <f t="shared" si="23"/>
        <v>2235741.5577717731</v>
      </c>
      <c r="I90" s="95">
        <f t="shared" si="23"/>
        <v>2267474.8969906792</v>
      </c>
      <c r="J90" s="57"/>
      <c r="K90" s="57"/>
      <c r="L90" s="57"/>
      <c r="M90" s="57"/>
      <c r="N90" s="26"/>
      <c r="O90" s="26" t="s">
        <v>126</v>
      </c>
      <c r="P90" s="170">
        <v>9.1800000000000007E-2</v>
      </c>
      <c r="Q90" s="26"/>
      <c r="R90" s="26"/>
      <c r="S90" s="26"/>
      <c r="T90" s="30" t="s">
        <v>127</v>
      </c>
      <c r="U90" s="26" t="s">
        <v>126</v>
      </c>
      <c r="V90" s="28">
        <v>1.5900000000000001E-2</v>
      </c>
      <c r="W90" s="26"/>
      <c r="X90" s="26"/>
      <c r="Y90" s="14"/>
      <c r="Z90" s="14"/>
      <c r="AA90" s="14"/>
    </row>
    <row r="91" spans="1:27" x14ac:dyDescent="0.25">
      <c r="A91" s="44"/>
      <c r="B91" s="42"/>
      <c r="C91" s="42"/>
      <c r="D91" s="42"/>
      <c r="E91" s="75"/>
      <c r="F91" s="75"/>
      <c r="G91" s="75"/>
      <c r="H91" s="75"/>
      <c r="I91" s="76"/>
      <c r="J91" s="1"/>
      <c r="K91" s="1"/>
      <c r="L91" s="1"/>
      <c r="M91" s="1"/>
      <c r="N91" s="31" t="s">
        <v>128</v>
      </c>
      <c r="O91" s="32" t="s">
        <v>129</v>
      </c>
      <c r="P91" s="32" t="s">
        <v>84</v>
      </c>
      <c r="Q91" s="32" t="s">
        <v>130</v>
      </c>
      <c r="R91" s="32" t="s">
        <v>131</v>
      </c>
      <c r="S91" s="33"/>
      <c r="T91" s="32" t="s">
        <v>129</v>
      </c>
      <c r="U91" s="32" t="s">
        <v>84</v>
      </c>
      <c r="V91" s="32" t="s">
        <v>132</v>
      </c>
      <c r="W91" s="32" t="s">
        <v>131</v>
      </c>
      <c r="X91" s="26"/>
      <c r="Y91" s="1"/>
      <c r="Z91" s="1"/>
      <c r="AA91" s="1"/>
    </row>
    <row r="92" spans="1:27" x14ac:dyDescent="0.25">
      <c r="A92" s="44" t="s">
        <v>24</v>
      </c>
      <c r="B92" s="42"/>
      <c r="C92" s="42"/>
      <c r="D92" s="42"/>
      <c r="E92" s="75"/>
      <c r="F92" s="75"/>
      <c r="G92" s="75"/>
      <c r="H92" s="75"/>
      <c r="I92" s="76"/>
      <c r="J92" s="1"/>
      <c r="K92" s="1"/>
      <c r="L92" s="1"/>
      <c r="M92" s="1"/>
      <c r="N92" s="34">
        <f>AVERAGE(E97:I97)</f>
        <v>4258304.820885174</v>
      </c>
      <c r="O92" s="35">
        <f>N92/N101</f>
        <v>1.9498543910582689</v>
      </c>
      <c r="P92" s="36">
        <f>'Mortgage Table'!I1</f>
        <v>5.1700000000000003E-2</v>
      </c>
      <c r="Q92" s="35">
        <f>P92*(1-$J$69)</f>
        <v>4.1758089999999998E-2</v>
      </c>
      <c r="R92" s="35">
        <f>O92*Q92</f>
        <v>8.1422195148706383E-2</v>
      </c>
      <c r="S92" s="26"/>
      <c r="T92" s="36">
        <v>0.47510000000000002</v>
      </c>
      <c r="U92" s="36">
        <f>P92</f>
        <v>5.1700000000000003E-2</v>
      </c>
      <c r="V92" s="35">
        <f>U92*(1-$J$69)</f>
        <v>4.1758089999999998E-2</v>
      </c>
      <c r="W92" s="36">
        <f>T92*U92</f>
        <v>2.4562670000000002E-2</v>
      </c>
      <c r="X92" s="26"/>
    </row>
    <row r="93" spans="1:27" x14ac:dyDescent="0.25">
      <c r="A93" s="42" t="s">
        <v>25</v>
      </c>
      <c r="B93" s="42"/>
      <c r="C93" s="42"/>
      <c r="D93" s="42"/>
      <c r="E93" s="79"/>
      <c r="F93" s="79"/>
      <c r="G93" s="79"/>
      <c r="H93" s="79"/>
      <c r="I93" s="76"/>
      <c r="J93" s="1"/>
      <c r="K93" s="1"/>
      <c r="L93" s="1"/>
      <c r="M93" s="1"/>
      <c r="N93" s="34">
        <f>AVERAGE(E98:I98)</f>
        <v>734761.8654243541</v>
      </c>
      <c r="O93" s="35">
        <f>N93/N101</f>
        <v>0.33644342289757234</v>
      </c>
      <c r="P93" s="36">
        <f>J58</f>
        <v>7.0000000000000007E-2</v>
      </c>
      <c r="Q93" s="35">
        <f>P93*(1-$J$69)</f>
        <v>5.6539000000000006E-2</v>
      </c>
      <c r="R93" s="35">
        <f t="shared" ref="R93:R95" si="24">O93*Q93</f>
        <v>1.9022174687205844E-2</v>
      </c>
      <c r="S93" s="26"/>
      <c r="T93" s="36">
        <v>0.1</v>
      </c>
      <c r="U93" s="36">
        <f t="shared" ref="U93:U95" si="25">P93</f>
        <v>7.0000000000000007E-2</v>
      </c>
      <c r="V93" s="35">
        <f>U93*(1-$J$69)</f>
        <v>5.6539000000000006E-2</v>
      </c>
      <c r="W93" s="36">
        <f t="shared" ref="W93:W95" si="26">T93*U93</f>
        <v>7.000000000000001E-3</v>
      </c>
      <c r="X93" s="26"/>
    </row>
    <row r="94" spans="1:27" x14ac:dyDescent="0.25">
      <c r="A94" s="42"/>
      <c r="B94" s="42" t="s">
        <v>26</v>
      </c>
      <c r="C94" s="42"/>
      <c r="D94" s="42"/>
      <c r="E94" s="79">
        <f>E45/365*E6</f>
        <v>82063.356164383556</v>
      </c>
      <c r="F94" s="79">
        <f t="shared" ref="F94:I94" si="27">F45/365*F6</f>
        <v>86215.761986301368</v>
      </c>
      <c r="G94" s="79">
        <f t="shared" si="27"/>
        <v>90578.279542808232</v>
      </c>
      <c r="H94" s="79">
        <f t="shared" si="27"/>
        <v>95161.540487674341</v>
      </c>
      <c r="I94" s="79">
        <f t="shared" si="27"/>
        <v>99976.714436350652</v>
      </c>
      <c r="J94" s="1"/>
      <c r="K94" s="1"/>
      <c r="L94" s="1"/>
      <c r="M94" s="1"/>
      <c r="N94" s="37"/>
      <c r="O94" s="35"/>
      <c r="P94" s="37"/>
      <c r="Q94" s="37"/>
      <c r="R94" s="35"/>
      <c r="S94" s="26"/>
      <c r="T94" s="37"/>
      <c r="U94" s="36"/>
      <c r="V94" s="37"/>
      <c r="W94" s="36"/>
      <c r="X94" s="26"/>
    </row>
    <row r="95" spans="1:27" x14ac:dyDescent="0.25">
      <c r="A95" s="42"/>
      <c r="B95" s="42" t="s">
        <v>27</v>
      </c>
      <c r="C95" s="42"/>
      <c r="D95" s="42"/>
      <c r="E95" s="79">
        <f>E69</f>
        <v>0</v>
      </c>
      <c r="F95" s="79">
        <f t="shared" ref="F95:I95" si="28">F69</f>
        <v>0</v>
      </c>
      <c r="G95" s="79">
        <f t="shared" si="28"/>
        <v>0</v>
      </c>
      <c r="H95" s="79">
        <f t="shared" si="28"/>
        <v>0</v>
      </c>
      <c r="I95" s="79">
        <f t="shared" si="28"/>
        <v>0</v>
      </c>
      <c r="J95" s="1"/>
      <c r="K95" s="1"/>
      <c r="L95" s="1"/>
      <c r="M95" s="1"/>
      <c r="N95" s="34">
        <f>AVERAGE(E101:I101)</f>
        <v>1600000</v>
      </c>
      <c r="O95" s="35">
        <f>SUM(N95:N96)/N101</f>
        <v>-1.286297813955841</v>
      </c>
      <c r="P95" s="36">
        <f>P88</f>
        <v>0</v>
      </c>
      <c r="Q95" s="36">
        <f>P90</f>
        <v>9.1800000000000007E-2</v>
      </c>
      <c r="R95" s="35">
        <f t="shared" si="24"/>
        <v>-0.11808213932114621</v>
      </c>
      <c r="S95" s="26"/>
      <c r="T95" s="36">
        <f>1-T92-T93</f>
        <v>0.42489999999999994</v>
      </c>
      <c r="U95" s="36">
        <f t="shared" si="25"/>
        <v>0</v>
      </c>
      <c r="V95" s="36">
        <f>U95</f>
        <v>0</v>
      </c>
      <c r="W95" s="36">
        <f t="shared" si="26"/>
        <v>0</v>
      </c>
      <c r="X95" s="26"/>
    </row>
    <row r="96" spans="1:27" x14ac:dyDescent="0.25">
      <c r="A96" s="42"/>
      <c r="B96" s="42"/>
      <c r="C96" s="42"/>
      <c r="D96" s="42"/>
      <c r="E96" s="79"/>
      <c r="F96" s="79"/>
      <c r="G96" s="79"/>
      <c r="H96" s="79"/>
      <c r="I96" s="76"/>
      <c r="J96" s="1"/>
      <c r="K96" s="1"/>
      <c r="L96" s="1"/>
      <c r="M96" s="1"/>
      <c r="N96" s="34">
        <f>AVERAGE(E102:I102)</f>
        <v>-4409157.5490872292</v>
      </c>
      <c r="O96" s="35"/>
      <c r="P96" s="37"/>
      <c r="Q96" s="37"/>
      <c r="R96" s="37"/>
      <c r="S96" s="26"/>
      <c r="T96" s="37"/>
      <c r="U96" s="37"/>
      <c r="V96" s="37"/>
      <c r="W96" s="37"/>
      <c r="X96" s="26"/>
      <c r="Y96" s="1"/>
      <c r="Z96" s="1"/>
      <c r="AA96" s="1"/>
    </row>
    <row r="97" spans="1:32" x14ac:dyDescent="0.25">
      <c r="A97" s="42"/>
      <c r="B97" s="42" t="s">
        <v>101</v>
      </c>
      <c r="C97" s="42"/>
      <c r="D97" s="42"/>
      <c r="E97" s="79">
        <v>0</v>
      </c>
      <c r="F97" s="79">
        <v>1279421.2549712767</v>
      </c>
      <c r="G97" s="79">
        <v>3498137.4415717069</v>
      </c>
      <c r="H97" s="79">
        <v>6458201.4186843708</v>
      </c>
      <c r="I97" s="79">
        <v>10055763.989198513</v>
      </c>
      <c r="J97" s="1">
        <v>20</v>
      </c>
      <c r="K97" s="1" t="s">
        <v>50</v>
      </c>
      <c r="L97" s="1"/>
      <c r="M97" s="1"/>
      <c r="N97" s="37"/>
      <c r="O97" s="37"/>
      <c r="P97" s="37"/>
      <c r="Q97" s="37"/>
      <c r="R97" s="37"/>
      <c r="S97" s="26"/>
      <c r="T97" s="37"/>
      <c r="U97" s="37"/>
      <c r="V97" s="37"/>
      <c r="W97" s="37"/>
      <c r="X97" s="26"/>
    </row>
    <row r="98" spans="1:32" x14ac:dyDescent="0.25">
      <c r="A98" s="42"/>
      <c r="B98" s="42" t="s">
        <v>78</v>
      </c>
      <c r="C98" s="58" t="s">
        <v>93</v>
      </c>
      <c r="D98" s="58"/>
      <c r="E98" s="79">
        <f>'Mortgage Table'!F13</f>
        <v>759230.07168152905</v>
      </c>
      <c r="F98" s="79">
        <f>'Mortgage Table'!F27</f>
        <v>747626.71706410905</v>
      </c>
      <c r="G98" s="79">
        <f>'Mortgage Table'!F41</f>
        <v>735409.04790269269</v>
      </c>
      <c r="H98" s="79">
        <f>'Mortgage Table'!F55</f>
        <v>722544.54064082529</v>
      </c>
      <c r="I98" s="84">
        <f>'Mortgage Table'!F69</f>
        <v>708998.94983261439</v>
      </c>
      <c r="J98" s="1">
        <v>30</v>
      </c>
      <c r="K98" s="1" t="s">
        <v>97</v>
      </c>
      <c r="L98" s="1"/>
      <c r="M98" s="1"/>
      <c r="N98" s="37"/>
      <c r="O98" s="37"/>
      <c r="P98" s="37"/>
      <c r="Q98" s="37"/>
      <c r="R98" s="37"/>
      <c r="S98" s="26"/>
      <c r="T98" s="37"/>
      <c r="U98" s="37"/>
      <c r="V98" s="37"/>
      <c r="W98" s="37"/>
      <c r="X98" s="26"/>
    </row>
    <row r="99" spans="1:32" x14ac:dyDescent="0.25">
      <c r="A99" s="42"/>
      <c r="B99" s="42"/>
      <c r="C99" s="42"/>
      <c r="D99" s="42"/>
      <c r="E99" s="79"/>
      <c r="F99" s="79"/>
      <c r="G99" s="79"/>
      <c r="H99" s="79"/>
      <c r="I99" s="76"/>
      <c r="J99" s="1"/>
      <c r="K99" s="1"/>
      <c r="L99" s="1"/>
      <c r="M99" s="1"/>
      <c r="N99" s="32"/>
      <c r="O99" s="32"/>
      <c r="P99" s="32"/>
      <c r="Q99" s="32"/>
      <c r="R99" s="32"/>
      <c r="S99" s="38"/>
      <c r="T99" s="32"/>
      <c r="U99" s="32"/>
      <c r="V99" s="32"/>
      <c r="W99" s="32"/>
      <c r="X99" s="26"/>
      <c r="Y99" s="1"/>
      <c r="Z99" s="1"/>
      <c r="AA99" s="1"/>
    </row>
    <row r="100" spans="1:32" x14ac:dyDescent="0.25">
      <c r="A100" s="42" t="s">
        <v>33</v>
      </c>
      <c r="B100" s="42"/>
      <c r="C100" s="42"/>
      <c r="D100" s="42"/>
      <c r="E100" s="79"/>
      <c r="F100" s="79"/>
      <c r="G100" s="79"/>
      <c r="H100" s="79"/>
      <c r="I100" s="76"/>
      <c r="J100" s="1"/>
      <c r="K100" s="1"/>
      <c r="L100" s="1"/>
      <c r="M100" s="1"/>
      <c r="N100" s="32"/>
      <c r="O100" s="32"/>
      <c r="P100" s="32"/>
      <c r="Q100" s="32"/>
      <c r="R100" s="32"/>
      <c r="S100" s="38"/>
      <c r="T100" s="32"/>
      <c r="U100" s="32"/>
      <c r="V100" s="32"/>
      <c r="W100" s="32"/>
      <c r="X100" s="26"/>
      <c r="Y100" s="1"/>
      <c r="Z100" s="1"/>
      <c r="AA100" s="1"/>
    </row>
    <row r="101" spans="1:32" x14ac:dyDescent="0.25">
      <c r="A101" s="42"/>
      <c r="B101" s="42" t="s">
        <v>122</v>
      </c>
      <c r="C101" s="42"/>
      <c r="D101" s="42"/>
      <c r="E101" s="79">
        <v>1600000</v>
      </c>
      <c r="F101" s="79">
        <f>E101</f>
        <v>1600000</v>
      </c>
      <c r="G101" s="79">
        <f t="shared" ref="G101:I101" si="29">F101</f>
        <v>1600000</v>
      </c>
      <c r="H101" s="79">
        <f t="shared" si="29"/>
        <v>1600000</v>
      </c>
      <c r="I101" s="79">
        <f t="shared" si="29"/>
        <v>1600000</v>
      </c>
      <c r="J101" s="1"/>
      <c r="K101" s="1"/>
      <c r="L101" s="1"/>
      <c r="M101" s="1"/>
      <c r="N101" s="39">
        <f>SUM(N92:N100)</f>
        <v>2183909.1372222984</v>
      </c>
      <c r="O101" s="40">
        <f>SUM(O92:O100)</f>
        <v>1.0000000000000002</v>
      </c>
      <c r="P101" s="32"/>
      <c r="Q101" s="32"/>
      <c r="R101" s="40">
        <f>SUM(R92:R95)</f>
        <v>-1.7637769485233976E-2</v>
      </c>
      <c r="S101" s="38" t="s">
        <v>133</v>
      </c>
      <c r="T101" s="41">
        <f>SUM(T92:T95)</f>
        <v>1</v>
      </c>
      <c r="U101" s="32"/>
      <c r="V101" s="32"/>
      <c r="W101" s="40">
        <f>SUM(W92:W95)</f>
        <v>3.1562670000000001E-2</v>
      </c>
      <c r="X101" s="26"/>
      <c r="Y101" s="1"/>
      <c r="Z101" s="1"/>
      <c r="AA101" s="1"/>
    </row>
    <row r="102" spans="1:32" x14ac:dyDescent="0.25">
      <c r="A102" s="42"/>
      <c r="B102" s="42" t="s">
        <v>28</v>
      </c>
      <c r="C102" s="59"/>
      <c r="D102" s="59"/>
      <c r="E102" s="79">
        <f>C102+E70</f>
        <v>-88287.264146348985</v>
      </c>
      <c r="F102" s="79">
        <f t="shared" ref="F102:I102" si="30">E102+F70</f>
        <v>-1435006.4648417381</v>
      </c>
      <c r="G102" s="79">
        <f t="shared" si="30"/>
        <v>-3685063.317930162</v>
      </c>
      <c r="H102" s="79">
        <f t="shared" si="30"/>
        <v>-6640165.9420410963</v>
      </c>
      <c r="I102" s="79">
        <f t="shared" si="30"/>
        <v>-10197264.756476801</v>
      </c>
      <c r="J102" s="1"/>
      <c r="K102" s="1"/>
      <c r="L102" s="1"/>
      <c r="M102" s="1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38"/>
    </row>
    <row r="103" spans="1:32" x14ac:dyDescent="0.25">
      <c r="A103" s="42"/>
      <c r="B103" s="42"/>
      <c r="C103" s="42"/>
      <c r="D103" s="42"/>
      <c r="E103" s="79"/>
      <c r="F103" s="79"/>
      <c r="G103" s="79"/>
      <c r="H103" s="79"/>
      <c r="I103" s="76"/>
      <c r="J103" s="1"/>
      <c r="K103" s="1"/>
      <c r="L103" s="1"/>
      <c r="M103" s="1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38"/>
      <c r="Y103" s="1"/>
      <c r="Z103" s="1"/>
      <c r="AA103" s="1"/>
    </row>
    <row r="104" spans="1:32" x14ac:dyDescent="0.25">
      <c r="A104" s="44" t="s">
        <v>29</v>
      </c>
      <c r="B104" s="44"/>
      <c r="C104" s="44"/>
      <c r="D104" s="44"/>
      <c r="E104" s="96">
        <f>SUM(E94:E102)</f>
        <v>2353006.1636995636</v>
      </c>
      <c r="F104" s="96">
        <f t="shared" ref="F104:I104" si="31">SUM(F94:F102)</f>
        <v>2278257.2691799486</v>
      </c>
      <c r="G104" s="96">
        <f t="shared" si="31"/>
        <v>2239061.4510870464</v>
      </c>
      <c r="H104" s="96">
        <f t="shared" si="31"/>
        <v>2235741.5577717749</v>
      </c>
      <c r="I104" s="96">
        <f t="shared" si="31"/>
        <v>2267474.8969906773</v>
      </c>
      <c r="J104" s="57"/>
      <c r="K104" s="57"/>
      <c r="L104" s="57"/>
      <c r="M104" s="57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38"/>
      <c r="Y104" s="14"/>
      <c r="Z104" s="14"/>
      <c r="AA104" s="14"/>
    </row>
    <row r="105" spans="1:32" x14ac:dyDescent="0.25">
      <c r="A105" s="44"/>
      <c r="B105" s="42"/>
      <c r="C105" s="42"/>
      <c r="D105" s="42"/>
      <c r="E105" s="79"/>
      <c r="F105" s="79"/>
      <c r="G105" s="79"/>
      <c r="H105" s="79"/>
      <c r="I105" s="79"/>
      <c r="J105" s="1"/>
      <c r="K105" s="1"/>
      <c r="L105" s="1"/>
      <c r="M105" s="1"/>
      <c r="X105" s="38"/>
      <c r="Y105" s="73"/>
      <c r="Z105" s="73"/>
    </row>
    <row r="106" spans="1:32" x14ac:dyDescent="0.25">
      <c r="A106" s="44" t="s">
        <v>30</v>
      </c>
      <c r="B106" s="42"/>
      <c r="C106" s="42"/>
      <c r="D106" s="42"/>
      <c r="E106" s="75">
        <f>E90-E104</f>
        <v>0</v>
      </c>
      <c r="F106" s="75">
        <f t="shared" ref="F106:I106" si="32">F90-F104</f>
        <v>0</v>
      </c>
      <c r="G106" s="75">
        <f t="shared" si="32"/>
        <v>0</v>
      </c>
      <c r="H106" s="75">
        <f t="shared" si="32"/>
        <v>0</v>
      </c>
      <c r="I106" s="75">
        <f t="shared" si="32"/>
        <v>0</v>
      </c>
      <c r="J106" s="1"/>
      <c r="K106" s="1"/>
      <c r="L106" s="1"/>
      <c r="M106" s="1"/>
      <c r="X106" s="38"/>
      <c r="Y106" s="73"/>
      <c r="Z106" s="73"/>
    </row>
    <row r="107" spans="1:32" x14ac:dyDescent="0.25">
      <c r="A107" s="70"/>
      <c r="B107" s="70"/>
      <c r="C107" s="70"/>
      <c r="D107" s="70"/>
      <c r="E107" s="72"/>
      <c r="F107" s="72"/>
      <c r="G107" s="72"/>
      <c r="H107" s="72"/>
      <c r="I107" s="71"/>
      <c r="J107" s="72"/>
      <c r="K107" s="70"/>
      <c r="L107" s="70"/>
      <c r="M107" s="70"/>
      <c r="X107" s="73"/>
      <c r="Y107" s="73"/>
      <c r="Z107" s="73"/>
      <c r="AA107" s="73"/>
    </row>
    <row r="108" spans="1:32" x14ac:dyDescent="0.25">
      <c r="A108" s="135" t="s">
        <v>166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05"/>
      <c r="N108" s="105"/>
      <c r="O108" s="105"/>
      <c r="P108" s="105"/>
      <c r="Q108" s="105"/>
      <c r="R108" s="105"/>
      <c r="S108" s="73"/>
      <c r="AC108" s="73"/>
      <c r="AD108" s="73"/>
      <c r="AE108" s="73"/>
      <c r="AF108" s="73"/>
    </row>
    <row r="109" spans="1:32" x14ac:dyDescent="0.25">
      <c r="A109" s="9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t="s">
        <v>167</v>
      </c>
      <c r="N109" s="73"/>
      <c r="S109" s="73"/>
      <c r="AC109" s="73"/>
      <c r="AD109" s="73"/>
      <c r="AE109" s="73"/>
    </row>
    <row r="110" spans="1:32" x14ac:dyDescent="0.25">
      <c r="A110" s="98" t="s">
        <v>168</v>
      </c>
      <c r="B110" s="38"/>
      <c r="C110" s="73"/>
      <c r="D110" s="73"/>
      <c r="E110" s="73"/>
      <c r="F110" s="38"/>
      <c r="G110" s="38"/>
      <c r="H110" s="38"/>
      <c r="I110" s="38"/>
      <c r="J110" s="38" t="s">
        <v>128</v>
      </c>
      <c r="K110" s="38" t="s">
        <v>169</v>
      </c>
      <c r="L110" s="38" t="s">
        <v>124</v>
      </c>
      <c r="M110" s="38" t="s">
        <v>170</v>
      </c>
      <c r="N110" s="38" t="s">
        <v>171</v>
      </c>
      <c r="S110" s="73"/>
      <c r="AC110" s="73"/>
      <c r="AD110" s="73"/>
      <c r="AE110" s="73"/>
    </row>
    <row r="111" spans="1:32" x14ac:dyDescent="0.25">
      <c r="A111" s="38"/>
      <c r="B111" s="38" t="s">
        <v>172</v>
      </c>
      <c r="C111" s="73"/>
      <c r="D111" s="73"/>
      <c r="E111" s="185">
        <f>(E56-E66)/(E59)</f>
        <v>-1.2315483930929072</v>
      </c>
      <c r="F111" s="185">
        <f t="shared" ref="F111:I111" si="33">(F56-F66)/(F59)</f>
        <v>-31.251565355945473</v>
      </c>
      <c r="G111" s="185">
        <f t="shared" si="33"/>
        <v>-51.265388340998406</v>
      </c>
      <c r="H111" s="185">
        <f t="shared" si="33"/>
        <v>-65.36049807546604</v>
      </c>
      <c r="I111" s="185">
        <f t="shared" si="33"/>
        <v>-76.035169001598931</v>
      </c>
      <c r="J111" s="186">
        <f>AVERAGE(E3:I111)</f>
        <v>187192.64477323959</v>
      </c>
      <c r="K111" s="187" t="s">
        <v>173</v>
      </c>
      <c r="L111" s="188">
        <v>0.03</v>
      </c>
      <c r="M111" s="188">
        <f>$J$134</f>
        <v>2.2499999999999999E-2</v>
      </c>
      <c r="N111" s="188">
        <f>L111+M111</f>
        <v>5.2499999999999998E-2</v>
      </c>
      <c r="O111" s="73"/>
      <c r="P111" s="73"/>
      <c r="Q111" s="73"/>
      <c r="R111" s="73"/>
      <c r="S111" s="73"/>
      <c r="T111" s="73"/>
      <c r="U111" s="73"/>
    </row>
    <row r="112" spans="1:32" x14ac:dyDescent="0.25">
      <c r="A112" s="38"/>
      <c r="B112" s="38" t="s">
        <v>174</v>
      </c>
      <c r="C112" s="38"/>
      <c r="D112" s="38"/>
      <c r="E112" s="189">
        <f>SUM(E97:E98)/SUM(E97:E102)</f>
        <v>0.3343237307264364</v>
      </c>
      <c r="F112" s="189">
        <f t="shared" ref="F112:I112" si="34">SUM(F97:F98)/SUM(F97:F102)</f>
        <v>0.92473065194395243</v>
      </c>
      <c r="G112" s="189">
        <f t="shared" si="34"/>
        <v>1.9704815683669086</v>
      </c>
      <c r="H112" s="189">
        <f t="shared" si="34"/>
        <v>3.3545795538332173</v>
      </c>
      <c r="I112" s="189">
        <f t="shared" si="34"/>
        <v>4.9664461200817254</v>
      </c>
      <c r="J112" s="186">
        <f>AVERAGE(E4:I112)</f>
        <v>184761.60146595503</v>
      </c>
      <c r="K112" s="189" t="s">
        <v>173</v>
      </c>
      <c r="L112" s="190">
        <v>0.03</v>
      </c>
      <c r="M112" s="188">
        <f>$J$134</f>
        <v>2.2499999999999999E-2</v>
      </c>
      <c r="N112" s="188">
        <f>L112+M112</f>
        <v>5.2499999999999998E-2</v>
      </c>
      <c r="O112" s="173"/>
      <c r="P112" s="173"/>
      <c r="Q112" s="173"/>
      <c r="R112" s="173"/>
      <c r="S112" s="73"/>
      <c r="T112" s="73"/>
      <c r="U112" s="73"/>
    </row>
    <row r="113" spans="1:21" x14ac:dyDescent="0.25">
      <c r="A113" s="38"/>
      <c r="B113" s="38"/>
      <c r="C113" s="73"/>
      <c r="D113" s="73"/>
      <c r="E113" s="191"/>
      <c r="F113" s="192"/>
      <c r="G113" s="192"/>
      <c r="H113" s="192"/>
      <c r="I113" s="192"/>
      <c r="J113" s="192"/>
      <c r="K113" s="193"/>
      <c r="L113" s="194"/>
      <c r="M113" s="194"/>
      <c r="N113" s="194"/>
      <c r="O113" s="73"/>
      <c r="P113" s="73"/>
      <c r="Q113" s="73"/>
      <c r="R113" s="73"/>
      <c r="S113" s="73"/>
      <c r="T113" s="73"/>
      <c r="U113" s="73"/>
    </row>
    <row r="114" spans="1:21" x14ac:dyDescent="0.25">
      <c r="C114" s="73"/>
      <c r="D114" s="73"/>
      <c r="E114" s="191"/>
      <c r="F114" s="195"/>
      <c r="G114" s="195"/>
      <c r="H114" s="195"/>
      <c r="I114" s="195"/>
      <c r="J114" s="196"/>
      <c r="K114" s="195"/>
      <c r="L114" s="197"/>
      <c r="M114" s="198" t="s">
        <v>128</v>
      </c>
      <c r="N114" s="199">
        <f>AVERAGE(N111:N112)</f>
        <v>5.2499999999999998E-2</v>
      </c>
      <c r="O114" s="73"/>
      <c r="P114" s="73"/>
      <c r="Q114" s="73"/>
      <c r="R114" s="73"/>
      <c r="S114" s="73"/>
      <c r="T114" s="73"/>
      <c r="U114" s="73"/>
    </row>
    <row r="115" spans="1:21" x14ac:dyDescent="0.25">
      <c r="A115" s="98"/>
      <c r="B115" s="38"/>
      <c r="C115" s="38"/>
      <c r="D115" s="38"/>
      <c r="E115" s="193"/>
      <c r="F115" s="193"/>
      <c r="G115" s="193"/>
      <c r="H115" s="193"/>
      <c r="I115" s="193"/>
      <c r="J115" s="193"/>
      <c r="K115" s="193"/>
      <c r="L115" s="193"/>
      <c r="M115" s="195"/>
      <c r="N115" s="191"/>
      <c r="O115" s="73"/>
      <c r="P115" s="73"/>
      <c r="Q115" s="73"/>
      <c r="R115" s="73"/>
      <c r="S115" s="73"/>
      <c r="T115" s="73"/>
      <c r="U115" s="73"/>
    </row>
    <row r="116" spans="1:21" x14ac:dyDescent="0.25">
      <c r="A116" s="98"/>
      <c r="B116" s="38"/>
      <c r="C116" s="38"/>
      <c r="D116" s="38"/>
      <c r="E116" s="193"/>
      <c r="F116" s="193"/>
      <c r="G116" s="193"/>
      <c r="H116" s="193"/>
      <c r="I116" s="193"/>
      <c r="J116" s="193"/>
      <c r="K116" s="193"/>
      <c r="L116" s="193"/>
      <c r="M116" s="195"/>
      <c r="N116" s="191"/>
      <c r="O116" s="73"/>
      <c r="P116" s="73"/>
      <c r="Q116" s="73"/>
      <c r="R116" s="73"/>
      <c r="S116" s="73"/>
      <c r="T116" s="73"/>
      <c r="U116" s="73"/>
    </row>
    <row r="117" spans="1:21" x14ac:dyDescent="0.25">
      <c r="A117" s="98"/>
      <c r="B117" s="38"/>
      <c r="C117" s="38"/>
      <c r="D117" s="38"/>
      <c r="E117" s="193"/>
      <c r="F117" s="193"/>
      <c r="G117" s="193"/>
      <c r="H117" s="193"/>
      <c r="I117" s="193"/>
      <c r="J117" s="193"/>
      <c r="K117" s="193"/>
      <c r="L117" s="193"/>
      <c r="M117" s="195" t="s">
        <v>175</v>
      </c>
      <c r="N117" s="191"/>
      <c r="O117" s="73"/>
      <c r="P117" s="73"/>
      <c r="Q117" s="73"/>
      <c r="R117" s="73"/>
      <c r="S117" s="73"/>
      <c r="T117" s="73"/>
      <c r="U117" s="73"/>
    </row>
    <row r="118" spans="1:21" x14ac:dyDescent="0.25">
      <c r="A118" s="98" t="s">
        <v>176</v>
      </c>
      <c r="B118" s="38"/>
      <c r="C118" s="73"/>
      <c r="D118" s="73"/>
      <c r="E118" s="191"/>
      <c r="F118" s="193"/>
      <c r="G118" s="193"/>
      <c r="H118" s="193"/>
      <c r="I118" s="193"/>
      <c r="J118" s="193" t="s">
        <v>128</v>
      </c>
      <c r="K118" s="193" t="s">
        <v>169</v>
      </c>
      <c r="L118" s="193" t="s">
        <v>124</v>
      </c>
      <c r="M118" s="193" t="s">
        <v>177</v>
      </c>
      <c r="N118" s="193" t="s">
        <v>171</v>
      </c>
      <c r="O118" s="73"/>
      <c r="P118" s="73"/>
      <c r="Q118" s="73"/>
      <c r="R118" s="73"/>
      <c r="S118" s="73"/>
      <c r="T118" s="73"/>
      <c r="U118" s="73"/>
    </row>
    <row r="119" spans="1:21" x14ac:dyDescent="0.25">
      <c r="A119" s="38"/>
      <c r="B119" s="38" t="s">
        <v>172</v>
      </c>
      <c r="C119" s="73"/>
      <c r="D119" s="73"/>
      <c r="E119" s="200"/>
      <c r="F119" s="201">
        <f t="shared" ref="F119:I119" si="35">(F56-F66)/(F58)</f>
        <v>-13.601907934098145</v>
      </c>
      <c r="G119" s="201">
        <f t="shared" si="35"/>
        <v>-8.0321182141702572</v>
      </c>
      <c r="H119" s="201">
        <f t="shared" si="35"/>
        <v>-5.4533313824163496</v>
      </c>
      <c r="I119" s="201">
        <f t="shared" si="35"/>
        <v>-4.0007726199812694</v>
      </c>
      <c r="J119" s="202">
        <f>AVERAGE(E11:I119)</f>
        <v>195332.30572878278</v>
      </c>
      <c r="K119" s="200" t="s">
        <v>173</v>
      </c>
      <c r="L119" s="188">
        <v>0.03</v>
      </c>
      <c r="M119" s="188">
        <f>$J$135</f>
        <v>4.4999999999999998E-2</v>
      </c>
      <c r="N119" s="188">
        <f>L119+M119</f>
        <v>7.4999999999999997E-2</v>
      </c>
      <c r="O119" s="183"/>
      <c r="P119" s="174"/>
      <c r="Q119" s="174"/>
      <c r="R119" s="174"/>
      <c r="S119" s="73"/>
      <c r="T119" s="73"/>
      <c r="U119" s="73"/>
    </row>
    <row r="120" spans="1:21" x14ac:dyDescent="0.25">
      <c r="A120" s="38"/>
      <c r="B120" s="38" t="s">
        <v>174</v>
      </c>
      <c r="C120" s="38"/>
      <c r="D120" s="38"/>
      <c r="E120" s="189">
        <f>SUM(E97:E98)/SUM(E97:E102)</f>
        <v>0.3343237307264364</v>
      </c>
      <c r="F120" s="189">
        <f t="shared" ref="F120:I120" si="36">SUM(F97:F98)/SUM(F97:F102)</f>
        <v>0.92473065194395243</v>
      </c>
      <c r="G120" s="189">
        <f t="shared" si="36"/>
        <v>1.9704815683669086</v>
      </c>
      <c r="H120" s="189">
        <f t="shared" si="36"/>
        <v>3.3545795538332173</v>
      </c>
      <c r="I120" s="189">
        <f t="shared" si="36"/>
        <v>4.9664461200817254</v>
      </c>
      <c r="J120" s="202">
        <f>AVERAGE(E12:I120)</f>
        <v>194603.06056411698</v>
      </c>
      <c r="K120" s="203" t="s">
        <v>173</v>
      </c>
      <c r="L120" s="188">
        <v>0.03</v>
      </c>
      <c r="M120" s="188">
        <f>$J$135</f>
        <v>4.4999999999999998E-2</v>
      </c>
      <c r="N120" s="204">
        <f>L120+M120</f>
        <v>7.4999999999999997E-2</v>
      </c>
      <c r="O120" s="184"/>
      <c r="P120" s="73"/>
      <c r="Q120" s="73"/>
      <c r="R120" s="73"/>
      <c r="S120" s="73"/>
      <c r="T120" s="73"/>
      <c r="U120" s="73"/>
    </row>
    <row r="121" spans="1:21" x14ac:dyDescent="0.25">
      <c r="A121" s="38"/>
      <c r="B121" s="38"/>
      <c r="C121" s="73"/>
      <c r="D121" s="73"/>
      <c r="E121" s="191"/>
      <c r="F121" s="192"/>
      <c r="G121" s="192"/>
      <c r="H121" s="192"/>
      <c r="I121" s="192"/>
      <c r="J121" s="192"/>
      <c r="K121" s="193"/>
      <c r="L121" s="194"/>
      <c r="M121" s="194"/>
      <c r="N121" s="194"/>
      <c r="O121" s="73"/>
      <c r="P121" s="73"/>
      <c r="Q121" s="73"/>
      <c r="R121" s="73"/>
      <c r="S121" s="73"/>
      <c r="T121" s="73"/>
      <c r="U121" s="73"/>
    </row>
    <row r="122" spans="1:21" x14ac:dyDescent="0.25">
      <c r="C122" s="73"/>
      <c r="D122" s="73"/>
      <c r="E122" s="191"/>
      <c r="F122" s="195"/>
      <c r="G122" s="195"/>
      <c r="H122" s="195"/>
      <c r="I122" s="195"/>
      <c r="J122" s="196"/>
      <c r="K122" s="195"/>
      <c r="L122" s="197"/>
      <c r="M122" s="198" t="s">
        <v>128</v>
      </c>
      <c r="N122" s="199">
        <f>AVERAGE(N119:N120)</f>
        <v>7.4999999999999997E-2</v>
      </c>
      <c r="O122" s="73"/>
      <c r="P122" s="73"/>
      <c r="Q122" s="73"/>
      <c r="R122" s="73"/>
      <c r="S122" s="73"/>
      <c r="T122" s="73"/>
      <c r="U122" s="73"/>
    </row>
    <row r="123" spans="1:21" x14ac:dyDescent="0.25">
      <c r="A123" s="98" t="s">
        <v>178</v>
      </c>
      <c r="C123" s="73"/>
      <c r="D123" s="73"/>
      <c r="E123" s="191"/>
      <c r="F123" s="195"/>
      <c r="G123" s="195"/>
      <c r="H123" s="195"/>
      <c r="I123" s="195"/>
      <c r="J123" s="196"/>
      <c r="K123" s="195"/>
      <c r="L123" s="197"/>
      <c r="M123" s="198"/>
      <c r="N123" s="205"/>
      <c r="O123" s="73"/>
      <c r="P123" s="73"/>
      <c r="Q123" s="73"/>
      <c r="R123" s="73"/>
      <c r="S123" s="73"/>
      <c r="T123" s="73"/>
      <c r="U123" s="73"/>
    </row>
    <row r="124" spans="1:2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K124" s="102"/>
      <c r="L124" s="26"/>
      <c r="N124" s="73"/>
      <c r="O124" s="73"/>
      <c r="P124" s="73"/>
      <c r="Q124" s="73"/>
      <c r="R124" s="73"/>
      <c r="S124" s="73"/>
      <c r="T124" s="73"/>
      <c r="U124" s="73"/>
    </row>
    <row r="125" spans="1:21" x14ac:dyDescent="0.25">
      <c r="A125" s="26"/>
      <c r="B125" s="103" t="s">
        <v>179</v>
      </c>
      <c r="C125" s="104"/>
      <c r="D125" s="105"/>
      <c r="E125" s="106"/>
      <c r="F125" s="106"/>
      <c r="G125" s="106"/>
      <c r="H125" s="106"/>
      <c r="I125" s="106"/>
      <c r="J125" s="107"/>
      <c r="K125" s="26"/>
      <c r="L125" s="26"/>
      <c r="N125" s="73"/>
    </row>
    <row r="126" spans="1:21" x14ac:dyDescent="0.25">
      <c r="A126" s="26"/>
      <c r="B126" s="108"/>
      <c r="C126" s="109"/>
      <c r="D126" s="73"/>
      <c r="E126" s="97"/>
      <c r="F126" s="97"/>
      <c r="G126" s="97"/>
      <c r="H126" s="97"/>
      <c r="I126" s="97"/>
      <c r="J126" s="110"/>
      <c r="K126" s="26"/>
      <c r="L126" s="26"/>
      <c r="N126" s="73"/>
    </row>
    <row r="127" spans="1:21" x14ac:dyDescent="0.25">
      <c r="A127" s="26"/>
      <c r="B127" s="111"/>
      <c r="C127" s="73"/>
      <c r="D127" s="73"/>
      <c r="E127" s="112" t="s">
        <v>180</v>
      </c>
      <c r="F127" s="113" t="s">
        <v>181</v>
      </c>
      <c r="G127" s="113" t="s">
        <v>182</v>
      </c>
      <c r="H127" s="112" t="s">
        <v>183</v>
      </c>
      <c r="I127" s="112" t="s">
        <v>184</v>
      </c>
      <c r="J127" s="114" t="s">
        <v>173</v>
      </c>
      <c r="K127" s="26"/>
      <c r="L127" s="26"/>
      <c r="N127" s="73"/>
    </row>
    <row r="128" spans="1:21" x14ac:dyDescent="0.25">
      <c r="A128" s="26"/>
      <c r="B128" s="111" t="s">
        <v>185</v>
      </c>
      <c r="C128" s="73"/>
      <c r="D128" s="73"/>
      <c r="E128" s="115">
        <v>20</v>
      </c>
      <c r="F128" s="115">
        <v>15</v>
      </c>
      <c r="G128" s="115">
        <v>10</v>
      </c>
      <c r="H128" s="115">
        <v>5</v>
      </c>
      <c r="I128" s="115">
        <v>4</v>
      </c>
      <c r="J128" s="116">
        <v>2</v>
      </c>
      <c r="K128" s="26"/>
      <c r="L128" s="26"/>
      <c r="N128" s="73"/>
    </row>
    <row r="129" spans="1:19" x14ac:dyDescent="0.25">
      <c r="A129" s="26"/>
      <c r="B129" s="111" t="s">
        <v>186</v>
      </c>
      <c r="C129" s="73"/>
      <c r="D129" s="73"/>
      <c r="E129" s="117">
        <v>0.25</v>
      </c>
      <c r="F129" s="117">
        <v>0.35</v>
      </c>
      <c r="G129" s="117">
        <v>0.45</v>
      </c>
      <c r="H129" s="117">
        <v>0.5</v>
      </c>
      <c r="I129" s="117">
        <v>0.6</v>
      </c>
      <c r="J129" s="118">
        <v>0.75</v>
      </c>
      <c r="K129" s="26"/>
      <c r="L129" s="26"/>
      <c r="N129" s="73"/>
    </row>
    <row r="130" spans="1:19" x14ac:dyDescent="0.25">
      <c r="A130" s="26"/>
      <c r="B130" s="119"/>
      <c r="C130" s="120"/>
      <c r="D130" s="70"/>
      <c r="E130" s="120"/>
      <c r="F130" s="120"/>
      <c r="G130" s="120"/>
      <c r="H130" s="120"/>
      <c r="I130" s="120"/>
      <c r="J130" s="121"/>
      <c r="K130" s="26"/>
      <c r="L130" s="26"/>
      <c r="N130" s="73"/>
      <c r="S130" s="73"/>
    </row>
    <row r="131" spans="1:19" x14ac:dyDescent="0.25">
      <c r="A131" s="26"/>
      <c r="B131" s="103" t="s">
        <v>187</v>
      </c>
      <c r="C131" s="122"/>
      <c r="D131" s="123"/>
      <c r="E131" s="123"/>
      <c r="F131" s="123"/>
      <c r="G131" s="123"/>
      <c r="H131" s="123"/>
      <c r="I131" s="124"/>
      <c r="J131" s="125"/>
      <c r="K131" s="102"/>
      <c r="L131" s="26"/>
      <c r="N131" s="73"/>
      <c r="S131" s="73"/>
    </row>
    <row r="132" spans="1:19" x14ac:dyDescent="0.25">
      <c r="A132" s="26"/>
      <c r="B132" s="108"/>
      <c r="C132" s="112"/>
      <c r="D132" s="113"/>
      <c r="E132" s="113"/>
      <c r="F132" s="113"/>
      <c r="G132" s="113"/>
      <c r="H132" s="113"/>
      <c r="I132" s="38"/>
      <c r="J132" s="126"/>
      <c r="K132" s="102"/>
      <c r="L132" s="26"/>
      <c r="N132" s="73"/>
      <c r="S132" s="73"/>
    </row>
    <row r="133" spans="1:19" x14ac:dyDescent="0.25">
      <c r="A133" s="26"/>
      <c r="B133" s="127"/>
      <c r="C133" s="73"/>
      <c r="D133" s="73"/>
      <c r="E133" s="112" t="s">
        <v>180</v>
      </c>
      <c r="F133" s="113" t="s">
        <v>181</v>
      </c>
      <c r="G133" s="113" t="s">
        <v>182</v>
      </c>
      <c r="H133" s="112" t="s">
        <v>183</v>
      </c>
      <c r="I133" s="112" t="s">
        <v>184</v>
      </c>
      <c r="J133" s="114" t="s">
        <v>173</v>
      </c>
      <c r="K133" s="26"/>
      <c r="L133" s="26"/>
      <c r="N133" s="73"/>
      <c r="S133" s="73"/>
    </row>
    <row r="134" spans="1:19" x14ac:dyDescent="0.25">
      <c r="A134" s="26"/>
      <c r="B134" s="111" t="s">
        <v>188</v>
      </c>
      <c r="C134" s="73"/>
      <c r="D134" s="73"/>
      <c r="E134" s="128">
        <v>0.01</v>
      </c>
      <c r="F134" s="129">
        <v>1.2500000000000001E-2</v>
      </c>
      <c r="G134" s="129">
        <v>1.4999999999999999E-2</v>
      </c>
      <c r="H134" s="129">
        <v>1.7500000000000002E-2</v>
      </c>
      <c r="I134" s="129">
        <v>0.02</v>
      </c>
      <c r="J134" s="130">
        <v>2.2499999999999999E-2</v>
      </c>
      <c r="K134" s="26"/>
      <c r="L134" s="26"/>
      <c r="N134" s="73"/>
      <c r="S134" s="73"/>
    </row>
    <row r="135" spans="1:19" x14ac:dyDescent="0.25">
      <c r="A135" s="26"/>
      <c r="B135" s="111" t="s">
        <v>189</v>
      </c>
      <c r="C135" s="73"/>
      <c r="D135" s="73"/>
      <c r="E135" s="128">
        <v>0.03</v>
      </c>
      <c r="F135" s="129">
        <v>3.2500000000000001E-2</v>
      </c>
      <c r="G135" s="129">
        <v>3.7499999999999999E-2</v>
      </c>
      <c r="H135" s="129">
        <v>0.04</v>
      </c>
      <c r="I135" s="129">
        <v>4.2500000000000003E-2</v>
      </c>
      <c r="J135" s="130">
        <v>4.4999999999999998E-2</v>
      </c>
      <c r="K135" s="26"/>
      <c r="L135" s="26"/>
      <c r="N135" s="73"/>
      <c r="S135" s="73"/>
    </row>
    <row r="136" spans="1:19" x14ac:dyDescent="0.25">
      <c r="A136" s="26"/>
      <c r="B136" s="131"/>
      <c r="C136" s="132"/>
      <c r="D136" s="72"/>
      <c r="E136" s="72"/>
      <c r="F136" s="72"/>
      <c r="G136" s="72"/>
      <c r="H136" s="72"/>
      <c r="I136" s="133"/>
      <c r="J136" s="134"/>
      <c r="K136" s="73"/>
      <c r="L136" s="73"/>
      <c r="M136" s="73"/>
      <c r="N136" s="73"/>
      <c r="O136" s="73"/>
      <c r="P136" s="73"/>
      <c r="Q136" s="73"/>
      <c r="R136" s="73"/>
      <c r="S136" s="73"/>
    </row>
    <row r="137" spans="1:19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K137" s="73"/>
      <c r="L137" s="73"/>
      <c r="M137" s="73"/>
      <c r="N137" s="73"/>
      <c r="O137" s="73"/>
      <c r="P137" s="73"/>
      <c r="Q137" s="73"/>
      <c r="R137" s="73"/>
      <c r="S137" s="73"/>
    </row>
    <row r="138" spans="1:19" x14ac:dyDescent="0.25">
      <c r="A138" s="133"/>
      <c r="B138" s="133"/>
      <c r="C138" s="133"/>
      <c r="D138" s="133"/>
      <c r="E138" s="133"/>
      <c r="F138" s="133"/>
      <c r="G138" s="133"/>
      <c r="H138" s="133"/>
      <c r="I138" s="133"/>
      <c r="J138" s="70"/>
      <c r="K138" s="70"/>
      <c r="L138" s="70"/>
      <c r="M138" s="70"/>
      <c r="N138" s="73"/>
      <c r="O138" s="73"/>
      <c r="P138" s="73"/>
      <c r="Q138" s="73"/>
      <c r="R138" s="73"/>
      <c r="S138" s="73"/>
    </row>
    <row r="139" spans="1:19" x14ac:dyDescent="0.25">
      <c r="A139" s="98" t="s">
        <v>200</v>
      </c>
      <c r="B139" s="38"/>
      <c r="C139" s="38"/>
      <c r="D139" s="38"/>
      <c r="E139" s="38"/>
      <c r="F139" s="38"/>
      <c r="G139" s="38"/>
      <c r="H139" s="38"/>
      <c r="N139" s="73"/>
      <c r="O139" s="73"/>
      <c r="P139" s="73"/>
      <c r="Q139" s="73"/>
      <c r="R139" s="73"/>
      <c r="S139" s="73"/>
    </row>
    <row r="140" spans="1:19" x14ac:dyDescent="0.25">
      <c r="A140" s="38"/>
      <c r="B140" s="38"/>
      <c r="C140" s="38"/>
      <c r="D140" s="101"/>
      <c r="E140" s="101"/>
      <c r="F140" s="101"/>
      <c r="G140" s="101"/>
      <c r="H140" s="38"/>
      <c r="N140" s="73"/>
      <c r="O140" s="73"/>
      <c r="P140" s="73"/>
      <c r="Q140" s="73"/>
      <c r="R140" s="73"/>
      <c r="S140" s="73"/>
    </row>
    <row r="141" spans="1:19" x14ac:dyDescent="0.25">
      <c r="A141" s="98" t="s">
        <v>201</v>
      </c>
      <c r="B141" s="38"/>
      <c r="C141" s="38"/>
      <c r="D141" s="101"/>
      <c r="E141" s="101"/>
      <c r="F141" s="101"/>
      <c r="G141" s="101"/>
      <c r="H141" s="38"/>
      <c r="N141" s="73"/>
      <c r="O141" s="73"/>
      <c r="P141" s="73"/>
      <c r="Q141" s="73"/>
      <c r="R141" s="73"/>
      <c r="S141" s="73"/>
    </row>
    <row r="142" spans="1:19" x14ac:dyDescent="0.25">
      <c r="A142" s="38" t="s">
        <v>147</v>
      </c>
      <c r="B142" s="38" t="s">
        <v>202</v>
      </c>
      <c r="C142" s="175">
        <f>-(D129-C129)</f>
        <v>0</v>
      </c>
      <c r="D142" s="175">
        <f>-(E98-D98)</f>
        <v>-759230.07168152905</v>
      </c>
      <c r="E142" s="175">
        <f>-(F98-E98)</f>
        <v>11603.354617420002</v>
      </c>
      <c r="F142" s="175">
        <f>-(G98-F98)</f>
        <v>12217.669161416357</v>
      </c>
      <c r="G142" s="175">
        <f>-(H98-G98)</f>
        <v>12864.507261867402</v>
      </c>
      <c r="H142" s="175">
        <f>-(I98-H98)</f>
        <v>13545.590808210894</v>
      </c>
      <c r="I142" s="69">
        <f>$U$85</f>
        <v>562988.39296264783</v>
      </c>
      <c r="J142" s="175"/>
      <c r="K142" s="175"/>
      <c r="N142" s="73"/>
      <c r="O142" s="73"/>
      <c r="P142" s="73"/>
      <c r="Q142" s="73"/>
      <c r="R142" s="73"/>
      <c r="S142" s="73"/>
    </row>
    <row r="143" spans="1:19" x14ac:dyDescent="0.25">
      <c r="A143" s="38" t="s">
        <v>149</v>
      </c>
      <c r="B143" s="38" t="s">
        <v>203</v>
      </c>
      <c r="C143" s="38"/>
      <c r="D143" s="176"/>
      <c r="E143" s="176">
        <f>E59</f>
        <v>39563.230813015703</v>
      </c>
      <c r="F143" s="176">
        <f>F59</f>
        <v>38979.80451406668</v>
      </c>
      <c r="G143" s="176">
        <f>G59</f>
        <v>38365.489970070303</v>
      </c>
      <c r="H143" s="176">
        <f>H59</f>
        <v>37718.651869619047</v>
      </c>
      <c r="I143" s="176">
        <f>I59</f>
        <v>37037.568323275671</v>
      </c>
      <c r="N143" s="73"/>
      <c r="O143" s="73"/>
      <c r="P143" s="73"/>
      <c r="Q143" s="73"/>
      <c r="R143" s="73"/>
      <c r="S143" s="73"/>
    </row>
    <row r="144" spans="1:19" x14ac:dyDescent="0.25">
      <c r="A144" s="38"/>
      <c r="B144" s="38" t="s">
        <v>193</v>
      </c>
      <c r="C144" s="175">
        <f t="shared" ref="C144:I144" si="37">SUM(C142:C143)</f>
        <v>0</v>
      </c>
      <c r="D144" s="175">
        <f t="shared" si="37"/>
        <v>-759230.07168152905</v>
      </c>
      <c r="E144" s="175">
        <f t="shared" si="37"/>
        <v>51166.585430435705</v>
      </c>
      <c r="F144" s="175">
        <f t="shared" si="37"/>
        <v>51197.473675483037</v>
      </c>
      <c r="G144" s="175">
        <f t="shared" si="37"/>
        <v>51229.997231937705</v>
      </c>
      <c r="H144" s="175">
        <f t="shared" si="37"/>
        <v>51264.242677829941</v>
      </c>
      <c r="I144" s="175">
        <f t="shared" si="37"/>
        <v>600025.96128592349</v>
      </c>
      <c r="J144" s="38"/>
      <c r="N144" s="73"/>
      <c r="O144" s="73"/>
      <c r="P144" s="73"/>
      <c r="Q144" s="73"/>
      <c r="R144" s="73"/>
      <c r="S144" s="73"/>
    </row>
    <row r="145" spans="1:81" x14ac:dyDescent="0.25">
      <c r="A145" s="38"/>
      <c r="B145" s="98" t="s">
        <v>161</v>
      </c>
      <c r="C145" s="102">
        <f>IRR(C144:G144)</f>
        <v>-0.51162414117089106</v>
      </c>
      <c r="D145" s="182">
        <f>IRR(D144:I144)</f>
        <v>1.3502683474993393E-2</v>
      </c>
      <c r="E145" s="101"/>
      <c r="F145" s="101"/>
      <c r="G145" s="101"/>
      <c r="J145" s="177"/>
      <c r="S145" s="73"/>
    </row>
    <row r="146" spans="1:81" x14ac:dyDescent="0.25">
      <c r="A146" s="38"/>
      <c r="B146" s="38"/>
      <c r="C146" s="99"/>
      <c r="D146" s="182"/>
      <c r="E146" s="101"/>
      <c r="F146" s="101"/>
      <c r="G146" s="101"/>
      <c r="J146" s="177"/>
      <c r="S146" s="73"/>
    </row>
    <row r="147" spans="1:81" x14ac:dyDescent="0.25">
      <c r="A147" s="38"/>
      <c r="B147" s="38"/>
      <c r="C147" s="101"/>
      <c r="D147" s="182"/>
      <c r="E147" s="101"/>
      <c r="F147" s="101"/>
      <c r="G147" s="101"/>
      <c r="H147" s="38"/>
      <c r="S147" s="73"/>
    </row>
    <row r="148" spans="1:81" x14ac:dyDescent="0.25">
      <c r="A148" s="98"/>
      <c r="B148" s="98"/>
      <c r="C148" s="178"/>
      <c r="D148" s="179"/>
      <c r="E148" s="101"/>
      <c r="F148" s="101"/>
      <c r="G148" s="101"/>
      <c r="H148" s="38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</row>
    <row r="149" spans="1:81" x14ac:dyDescent="0.25">
      <c r="A149" s="38"/>
      <c r="B149" s="38"/>
      <c r="C149" s="99"/>
      <c r="D149" s="101"/>
      <c r="E149" s="101"/>
      <c r="F149" s="101"/>
      <c r="G149" s="101"/>
      <c r="H149" s="38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</row>
    <row r="150" spans="1:81" x14ac:dyDescent="0.25">
      <c r="A150" s="98" t="s">
        <v>101</v>
      </c>
      <c r="B150" s="38"/>
      <c r="C150" s="99"/>
      <c r="D150" s="101"/>
      <c r="E150" s="101"/>
      <c r="F150" s="101"/>
      <c r="G150" s="101"/>
      <c r="H150" s="38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</row>
    <row r="151" spans="1:81" x14ac:dyDescent="0.25">
      <c r="A151" s="38" t="s">
        <v>147</v>
      </c>
      <c r="B151" s="38" t="s">
        <v>202</v>
      </c>
      <c r="C151" s="175">
        <f>-(D130-C130)</f>
        <v>0</v>
      </c>
      <c r="D151" s="175">
        <f>-(E97-D97)</f>
        <v>0</v>
      </c>
      <c r="E151" s="175">
        <f>-(F97-E97)</f>
        <v>-1279421.2549712767</v>
      </c>
      <c r="F151" s="175">
        <f>-(G97-F97)</f>
        <v>-2218716.1866004299</v>
      </c>
      <c r="G151" s="175">
        <f>-(H97-G97)</f>
        <v>-2960063.9771126639</v>
      </c>
      <c r="H151" s="175">
        <f>-(I97-H97)</f>
        <v>-3597562.5705141425</v>
      </c>
      <c r="I151" s="69">
        <f>$U$86</f>
        <v>1210746.497853494</v>
      </c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</row>
    <row r="152" spans="1:81" x14ac:dyDescent="0.25">
      <c r="A152" s="38" t="s">
        <v>149</v>
      </c>
      <c r="B152" s="38" t="s">
        <v>203</v>
      </c>
      <c r="C152" s="99"/>
      <c r="D152" s="176"/>
      <c r="E152" s="176">
        <f>E58</f>
        <v>0</v>
      </c>
      <c r="F152" s="176">
        <f>F58</f>
        <v>89559.487847989381</v>
      </c>
      <c r="G152" s="176">
        <f>G58</f>
        <v>244869.6209100195</v>
      </c>
      <c r="H152" s="176">
        <f>H58</f>
        <v>452074.099307906</v>
      </c>
      <c r="I152" s="176">
        <f>I58</f>
        <v>703903.47924389597</v>
      </c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</row>
    <row r="153" spans="1:81" x14ac:dyDescent="0.25">
      <c r="A153" s="38"/>
      <c r="B153" s="38" t="s">
        <v>193</v>
      </c>
      <c r="C153" s="175">
        <f t="shared" ref="C153:I153" si="38">SUM(C151:C152)</f>
        <v>0</v>
      </c>
      <c r="D153" s="175">
        <f t="shared" si="38"/>
        <v>0</v>
      </c>
      <c r="E153" s="175">
        <f t="shared" si="38"/>
        <v>-1279421.2549712767</v>
      </c>
      <c r="F153" s="175">
        <f t="shared" si="38"/>
        <v>-2129156.6987524405</v>
      </c>
      <c r="G153" s="175">
        <f t="shared" si="38"/>
        <v>-2715194.3562026443</v>
      </c>
      <c r="H153" s="175">
        <f t="shared" si="38"/>
        <v>-3145488.4712062366</v>
      </c>
      <c r="I153" s="175">
        <f t="shared" si="38"/>
        <v>1914649.97709739</v>
      </c>
      <c r="J153" s="38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</row>
    <row r="154" spans="1:81" x14ac:dyDescent="0.25">
      <c r="A154" s="38"/>
      <c r="B154" s="98" t="s">
        <v>161</v>
      </c>
      <c r="C154" s="102" t="e">
        <f>IRR(C153:G153)</f>
        <v>#NUM!</v>
      </c>
      <c r="D154" s="182">
        <f>IRR(D153:I153,-50%)</f>
        <v>-0.59211093012801574</v>
      </c>
      <c r="E154" s="101"/>
      <c r="F154" s="101"/>
      <c r="G154" s="101"/>
      <c r="H154" s="177"/>
      <c r="J154" s="177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</row>
    <row r="155" spans="1:81" s="105" customFormat="1" x14ac:dyDescent="0.25">
      <c r="A155" s="38"/>
      <c r="B155" s="38"/>
      <c r="C155" s="99"/>
      <c r="D155" s="100"/>
      <c r="E155" s="147"/>
      <c r="F155" s="147"/>
      <c r="G155" s="147"/>
      <c r="H155" s="177"/>
      <c r="I155"/>
      <c r="J155" s="177"/>
      <c r="K155"/>
      <c r="L155"/>
      <c r="M155"/>
      <c r="N155"/>
      <c r="O155"/>
      <c r="P155"/>
      <c r="Q155"/>
      <c r="R155"/>
      <c r="S155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</row>
    <row r="156" spans="1:81" x14ac:dyDescent="0.25">
      <c r="A156" s="98"/>
      <c r="B156" s="38"/>
      <c r="C156" s="101"/>
      <c r="D156" s="182"/>
      <c r="E156" s="147"/>
      <c r="F156" s="147"/>
      <c r="G156" s="147"/>
      <c r="H156" s="38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</row>
    <row r="157" spans="1:81" x14ac:dyDescent="0.25">
      <c r="A157" s="98"/>
      <c r="B157" s="155"/>
      <c r="C157" s="180"/>
      <c r="D157" s="181"/>
      <c r="E157" s="181"/>
      <c r="F157" s="181"/>
      <c r="G157" s="181"/>
      <c r="H157" s="38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</row>
    <row r="158" spans="1:81" x14ac:dyDescent="0.25"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</row>
    <row r="159" spans="1:81" x14ac:dyDescent="0.25"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</row>
    <row r="160" spans="1:81" x14ac:dyDescent="0.25"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</row>
    <row r="161" spans="20:81" x14ac:dyDescent="0.25"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</row>
    <row r="162" spans="20:81" x14ac:dyDescent="0.25"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</row>
    <row r="163" spans="20:81" x14ac:dyDescent="0.25"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</row>
    <row r="164" spans="20:81" x14ac:dyDescent="0.25"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</row>
    <row r="165" spans="20:81" x14ac:dyDescent="0.25"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</row>
    <row r="166" spans="20:81" x14ac:dyDescent="0.25"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</row>
    <row r="177" spans="1:92" x14ac:dyDescent="0.25"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</row>
    <row r="178" spans="1:92" x14ac:dyDescent="0.25"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</row>
    <row r="179" spans="1:92" x14ac:dyDescent="0.25"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</row>
    <row r="180" spans="1:92" x14ac:dyDescent="0.25"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</row>
    <row r="181" spans="1:92" x14ac:dyDescent="0.25"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</row>
    <row r="182" spans="1:92" x14ac:dyDescent="0.25"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</row>
    <row r="183" spans="1:92" x14ac:dyDescent="0.25"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  <c r="BX183" s="73"/>
      <c r="BY183" s="73"/>
      <c r="BZ183" s="73"/>
      <c r="CA183" s="73"/>
      <c r="CB183" s="73"/>
      <c r="CC183" s="73"/>
      <c r="CD183" s="73"/>
      <c r="CE183" s="73"/>
      <c r="CF183" s="73"/>
      <c r="CG183" s="73"/>
      <c r="CH183" s="73"/>
      <c r="CI183" s="73"/>
      <c r="CJ183" s="73"/>
      <c r="CK183" s="73"/>
      <c r="CL183" s="73"/>
      <c r="CM183" s="73"/>
      <c r="CN183" s="73"/>
    </row>
    <row r="184" spans="1:92" x14ac:dyDescent="0.25"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  <c r="BX184" s="73"/>
      <c r="BY184" s="73"/>
      <c r="BZ184" s="73"/>
      <c r="CA184" s="73"/>
      <c r="CB184" s="73"/>
      <c r="CC184" s="73"/>
      <c r="CD184" s="73"/>
      <c r="CE184" s="73"/>
      <c r="CF184" s="73"/>
      <c r="CG184" s="73"/>
      <c r="CH184" s="73"/>
      <c r="CI184" s="73"/>
      <c r="CJ184" s="73"/>
      <c r="CK184" s="73"/>
      <c r="CL184" s="73"/>
      <c r="CM184" s="73"/>
      <c r="CN184" s="73"/>
    </row>
    <row r="185" spans="1:92" s="70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  <c r="BX185" s="73"/>
      <c r="BY185" s="73"/>
      <c r="BZ185" s="73"/>
      <c r="CA185" s="73"/>
      <c r="CB185" s="73"/>
      <c r="CC185" s="73"/>
      <c r="CD185" s="73"/>
      <c r="CE185" s="73"/>
      <c r="CF185" s="73"/>
      <c r="CG185" s="73"/>
      <c r="CH185" s="73"/>
      <c r="CI185" s="73"/>
      <c r="CJ185" s="73"/>
      <c r="CK185" s="73"/>
      <c r="CL185" s="73"/>
      <c r="CM185" s="73"/>
      <c r="CN185" s="73"/>
    </row>
    <row r="186" spans="1:92" x14ac:dyDescent="0.25"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  <c r="BX186" s="73"/>
      <c r="BY186" s="73"/>
      <c r="BZ186" s="73"/>
      <c r="CA186" s="73"/>
      <c r="CB186" s="73"/>
      <c r="CC186" s="73"/>
      <c r="CD186" s="73"/>
      <c r="CE186" s="73"/>
      <c r="CF186" s="73"/>
      <c r="CG186" s="73"/>
      <c r="CH186" s="73"/>
      <c r="CI186" s="73"/>
      <c r="CJ186" s="73"/>
      <c r="CK186" s="73"/>
      <c r="CL186" s="73"/>
      <c r="CM186" s="73"/>
      <c r="CN186" s="73"/>
    </row>
    <row r="187" spans="1:92" x14ac:dyDescent="0.25"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  <c r="BX187" s="73"/>
      <c r="BY187" s="73"/>
      <c r="BZ187" s="73"/>
      <c r="CA187" s="73"/>
      <c r="CB187" s="73"/>
      <c r="CC187" s="73"/>
      <c r="CD187" s="73"/>
      <c r="CE187" s="73"/>
      <c r="CF187" s="73"/>
      <c r="CG187" s="73"/>
      <c r="CH187" s="73"/>
      <c r="CI187" s="73"/>
      <c r="CJ187" s="73"/>
      <c r="CK187" s="73"/>
      <c r="CL187" s="73"/>
      <c r="CM187" s="73"/>
      <c r="CN187" s="73"/>
    </row>
    <row r="188" spans="1:92" x14ac:dyDescent="0.25"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  <c r="BX188" s="73"/>
      <c r="BY188" s="73"/>
      <c r="BZ188" s="73"/>
      <c r="CA188" s="73"/>
      <c r="CB188" s="73"/>
      <c r="CC188" s="73"/>
      <c r="CD188" s="73"/>
      <c r="CE188" s="73"/>
      <c r="CF188" s="73"/>
      <c r="CG188" s="73"/>
      <c r="CH188" s="73"/>
      <c r="CI188" s="73"/>
      <c r="CJ188" s="73"/>
      <c r="CK188" s="73"/>
      <c r="CL188" s="73"/>
      <c r="CM188" s="73"/>
      <c r="CN188" s="73"/>
    </row>
    <row r="189" spans="1:92" x14ac:dyDescent="0.25"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  <c r="BX189" s="73"/>
      <c r="BY189" s="73"/>
      <c r="BZ189" s="73"/>
      <c r="CA189" s="73"/>
      <c r="CB189" s="73"/>
      <c r="CC189" s="73"/>
      <c r="CD189" s="73"/>
      <c r="CE189" s="73"/>
      <c r="CF189" s="73"/>
      <c r="CG189" s="73"/>
      <c r="CH189" s="73"/>
      <c r="CI189" s="73"/>
      <c r="CJ189" s="73"/>
      <c r="CK189" s="73"/>
      <c r="CL189" s="73"/>
      <c r="CM189" s="73"/>
      <c r="CN189" s="73"/>
    </row>
    <row r="190" spans="1:92" x14ac:dyDescent="0.25"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  <c r="BX190" s="73"/>
      <c r="BY190" s="73"/>
      <c r="BZ190" s="73"/>
      <c r="CA190" s="73"/>
      <c r="CB190" s="73"/>
      <c r="CC190" s="73"/>
      <c r="CD190" s="73"/>
      <c r="CE190" s="73"/>
      <c r="CF190" s="73"/>
      <c r="CG190" s="73"/>
      <c r="CH190" s="73"/>
      <c r="CI190" s="73"/>
      <c r="CJ190" s="73"/>
      <c r="CK190" s="73"/>
      <c r="CL190" s="73"/>
      <c r="CM190" s="73"/>
      <c r="CN190" s="73"/>
    </row>
    <row r="191" spans="1:92" x14ac:dyDescent="0.25"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  <c r="BX191" s="73"/>
      <c r="BY191" s="73"/>
      <c r="BZ191" s="73"/>
      <c r="CA191" s="73"/>
      <c r="CB191" s="73"/>
      <c r="CC191" s="73"/>
      <c r="CD191" s="73"/>
      <c r="CE191" s="73"/>
      <c r="CF191" s="73"/>
      <c r="CG191" s="73"/>
      <c r="CH191" s="73"/>
      <c r="CI191" s="73"/>
      <c r="CJ191" s="73"/>
      <c r="CK191" s="73"/>
      <c r="CL191" s="73"/>
      <c r="CM191" s="73"/>
      <c r="CN191" s="73"/>
    </row>
    <row r="192" spans="1:92" x14ac:dyDescent="0.25"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  <c r="BX192" s="73"/>
      <c r="BY192" s="73"/>
      <c r="BZ192" s="73"/>
      <c r="CA192" s="73"/>
      <c r="CB192" s="73"/>
      <c r="CC192" s="73"/>
      <c r="CD192" s="73"/>
      <c r="CE192" s="73"/>
      <c r="CF192" s="73"/>
      <c r="CG192" s="73"/>
      <c r="CH192" s="73"/>
      <c r="CI192" s="73"/>
      <c r="CJ192" s="73"/>
      <c r="CK192" s="73"/>
      <c r="CL192" s="73"/>
      <c r="CM192" s="73"/>
      <c r="CN192" s="73"/>
    </row>
    <row r="193" spans="20:44" x14ac:dyDescent="0.25"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</row>
    <row r="194" spans="20:44" x14ac:dyDescent="0.25"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</row>
    <row r="195" spans="20:44" x14ac:dyDescent="0.25"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</row>
    <row r="196" spans="20:44" x14ac:dyDescent="0.25"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</row>
    <row r="197" spans="20:44" x14ac:dyDescent="0.25"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</row>
    <row r="198" spans="20:44" x14ac:dyDescent="0.25"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</row>
    <row r="199" spans="20:44" x14ac:dyDescent="0.25"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</row>
    <row r="200" spans="20:44" x14ac:dyDescent="0.25"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</row>
    <row r="201" spans="20:44" x14ac:dyDescent="0.25"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</row>
  </sheetData>
  <mergeCells count="2">
    <mergeCell ref="A1:N1"/>
    <mergeCell ref="O1:R1"/>
  </mergeCells>
  <phoneticPr fontId="2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E21" sqref="E21"/>
    </sheetView>
  </sheetViews>
  <sheetFormatPr defaultColWidth="8.875" defaultRowHeight="15" x14ac:dyDescent="0.25"/>
  <cols>
    <col min="1" max="1" width="15.5" style="15" bestFit="1" customWidth="1"/>
    <col min="2" max="2" width="16.5" style="15" customWidth="1"/>
    <col min="3" max="3" width="15.875" style="15" bestFit="1" customWidth="1"/>
    <col min="4" max="4" width="17.5" style="15" bestFit="1" customWidth="1"/>
    <col min="5" max="5" width="10.875" style="15" customWidth="1"/>
    <col min="6" max="6" width="11" style="15" bestFit="1" customWidth="1"/>
    <col min="7" max="16384" width="8.875" style="15"/>
  </cols>
  <sheetData>
    <row r="2" spans="1:7" x14ac:dyDescent="0.25">
      <c r="A2" s="210" t="s">
        <v>117</v>
      </c>
      <c r="B2" s="210"/>
    </row>
    <row r="3" spans="1:7" x14ac:dyDescent="0.25">
      <c r="B3" s="23" t="s">
        <v>116</v>
      </c>
      <c r="C3" s="15">
        <v>10000</v>
      </c>
      <c r="D3" s="23" t="s">
        <v>115</v>
      </c>
    </row>
    <row r="4" spans="1:7" ht="15.75" x14ac:dyDescent="0.25">
      <c r="B4" s="24">
        <v>0.96299999999999997</v>
      </c>
      <c r="C4" s="15">
        <v>2500</v>
      </c>
      <c r="D4" s="23" t="s">
        <v>114</v>
      </c>
    </row>
    <row r="5" spans="1:7" x14ac:dyDescent="0.25">
      <c r="A5" s="15">
        <f>C8</f>
        <v>140684.9315068493</v>
      </c>
      <c r="B5" s="17">
        <f>A5*B4</f>
        <v>135479.58904109587</v>
      </c>
      <c r="C5" s="15">
        <v>1210</v>
      </c>
      <c r="D5" s="23" t="s">
        <v>114</v>
      </c>
    </row>
    <row r="6" spans="1:7" x14ac:dyDescent="0.25">
      <c r="C6" s="15">
        <v>1425</v>
      </c>
      <c r="D6" s="23" t="s">
        <v>114</v>
      </c>
    </row>
    <row r="7" spans="1:7" x14ac:dyDescent="0.25">
      <c r="C7" s="22">
        <f>SUM(C4:C6)</f>
        <v>5135</v>
      </c>
      <c r="D7" s="21" t="s">
        <v>113</v>
      </c>
    </row>
    <row r="8" spans="1:7" x14ac:dyDescent="0.25">
      <c r="C8" s="20">
        <f>(C3*C7)/365</f>
        <v>140684.9315068493</v>
      </c>
      <c r="D8" s="19" t="s">
        <v>112</v>
      </c>
    </row>
    <row r="10" spans="1:7" x14ac:dyDescent="0.25">
      <c r="A10" s="210" t="s">
        <v>111</v>
      </c>
      <c r="B10" s="210"/>
    </row>
    <row r="11" spans="1:7" x14ac:dyDescent="0.25">
      <c r="B11" s="15" t="s">
        <v>110</v>
      </c>
      <c r="C11" s="15" t="s">
        <v>109</v>
      </c>
    </row>
    <row r="12" spans="1:7" ht="15.75" x14ac:dyDescent="0.25">
      <c r="A12" s="15" t="s">
        <v>108</v>
      </c>
      <c r="B12" s="15">
        <v>10</v>
      </c>
      <c r="C12" s="15">
        <v>30375</v>
      </c>
      <c r="D12" s="18">
        <f>B12*C12</f>
        <v>303750</v>
      </c>
      <c r="E12" s="15" t="s">
        <v>107</v>
      </c>
    </row>
    <row r="13" spans="1:7" ht="15.75" x14ac:dyDescent="0.25">
      <c r="A13" s="15" t="s">
        <v>106</v>
      </c>
      <c r="B13" s="15">
        <v>2</v>
      </c>
      <c r="C13" s="15">
        <f>E14</f>
        <v>42720</v>
      </c>
      <c r="D13" s="18">
        <f>B13*C13</f>
        <v>85440</v>
      </c>
      <c r="E13" s="15">
        <f>F14*4</f>
        <v>3560</v>
      </c>
      <c r="F13" s="15">
        <f>40*7.25</f>
        <v>290</v>
      </c>
      <c r="G13" s="15" t="s">
        <v>105</v>
      </c>
    </row>
    <row r="14" spans="1:7" ht="15.75" x14ac:dyDescent="0.25">
      <c r="A14" s="15" t="s">
        <v>104</v>
      </c>
      <c r="B14" s="15">
        <v>2</v>
      </c>
      <c r="C14" s="15">
        <v>50000</v>
      </c>
      <c r="D14" s="18">
        <f>B14*C14</f>
        <v>100000</v>
      </c>
      <c r="E14" s="15">
        <f>E13*12</f>
        <v>42720</v>
      </c>
      <c r="F14" s="15">
        <f>290+(0.1*6000)</f>
        <v>890</v>
      </c>
    </row>
    <row r="15" spans="1:7" x14ac:dyDescent="0.25">
      <c r="D15" s="17">
        <f>SUM(D12:D14)</f>
        <v>489190</v>
      </c>
    </row>
    <row r="30" spans="3:3" x14ac:dyDescent="0.25">
      <c r="C30" s="16"/>
    </row>
  </sheetData>
  <mergeCells count="2">
    <mergeCell ref="A2:B2"/>
    <mergeCell ref="A10:B10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 Year Forecast</vt:lpstr>
      <vt:lpstr>Mortgage Table</vt:lpstr>
      <vt:lpstr>Bankruptcy</vt:lpstr>
      <vt:lpstr>Assumption 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2014-07-18T22:03:45Z</dcterms:created>
  <dcterms:modified xsi:type="dcterms:W3CDTF">2019-08-23T21:31:21Z</dcterms:modified>
</cp:coreProperties>
</file>