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0170" windowHeight="6885"/>
  </bookViews>
  <sheets>
    <sheet name="Answer" sheetId="4" r:id="rId1"/>
    <sheet name="Mortgage" sheetId="8" r:id="rId2"/>
    <sheet name="Bankruptcy" sheetId="9" r:id="rId3"/>
    <sheet name="Sheet3" sheetId="7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I83" i="9" l="1"/>
  <c r="J83" i="9"/>
  <c r="K83" i="9"/>
  <c r="L83" i="9"/>
  <c r="G83" i="9"/>
  <c r="H83" i="9"/>
  <c r="R69" i="9"/>
  <c r="P64" i="4"/>
  <c r="D67" i="4"/>
  <c r="L84" i="4"/>
  <c r="K84" i="4"/>
  <c r="J84" i="4"/>
  <c r="I84" i="4"/>
  <c r="H84" i="4"/>
  <c r="G84" i="4"/>
  <c r="F84" i="4"/>
  <c r="E84" i="4"/>
  <c r="D84" i="4"/>
  <c r="R45" i="9"/>
  <c r="F83" i="9" l="1"/>
  <c r="E83" i="9"/>
  <c r="D83" i="9"/>
  <c r="C83" i="9"/>
  <c r="C85" i="9" s="1"/>
  <c r="D67" i="9" l="1"/>
  <c r="K67" i="9" s="1"/>
  <c r="D53" i="9"/>
  <c r="D51" i="9"/>
  <c r="D50" i="9"/>
  <c r="M37" i="9"/>
  <c r="M84" i="9" s="1"/>
  <c r="L37" i="9"/>
  <c r="L84" i="9" s="1"/>
  <c r="L85" i="9" s="1"/>
  <c r="K37" i="9"/>
  <c r="K84" i="9" s="1"/>
  <c r="K85" i="9" s="1"/>
  <c r="J37" i="9"/>
  <c r="J84" i="9" s="1"/>
  <c r="J85" i="9" s="1"/>
  <c r="I37" i="9"/>
  <c r="I84" i="9" s="1"/>
  <c r="I85" i="9" s="1"/>
  <c r="H37" i="9"/>
  <c r="H84" i="9" s="1"/>
  <c r="H85" i="9" s="1"/>
  <c r="G37" i="9"/>
  <c r="G84" i="9" s="1"/>
  <c r="G85" i="9" s="1"/>
  <c r="F37" i="9"/>
  <c r="F84" i="9" s="1"/>
  <c r="F85" i="9" s="1"/>
  <c r="E37" i="9"/>
  <c r="E84" i="9" s="1"/>
  <c r="E85" i="9" s="1"/>
  <c r="D37" i="9"/>
  <c r="D84" i="9" s="1"/>
  <c r="D85" i="9" s="1"/>
  <c r="E31" i="9"/>
  <c r="F31" i="9" s="1"/>
  <c r="G31" i="9" s="1"/>
  <c r="H31" i="9" s="1"/>
  <c r="I31" i="9" s="1"/>
  <c r="J31" i="9" s="1"/>
  <c r="K31" i="9" s="1"/>
  <c r="L31" i="9" s="1"/>
  <c r="M31" i="9" s="1"/>
  <c r="D23" i="9"/>
  <c r="E14" i="9"/>
  <c r="F14" i="9" s="1"/>
  <c r="G14" i="9" s="1"/>
  <c r="H14" i="9" s="1"/>
  <c r="I14" i="9" s="1"/>
  <c r="J14" i="9" s="1"/>
  <c r="K14" i="9" s="1"/>
  <c r="L14" i="9" s="1"/>
  <c r="M14" i="9" s="1"/>
  <c r="E11" i="9"/>
  <c r="F11" i="9" s="1"/>
  <c r="G11" i="9" s="1"/>
  <c r="H11" i="9" s="1"/>
  <c r="I11" i="9" s="1"/>
  <c r="J11" i="9" s="1"/>
  <c r="K11" i="9" s="1"/>
  <c r="L11" i="9" s="1"/>
  <c r="M11" i="9" s="1"/>
  <c r="E9" i="9"/>
  <c r="F9" i="9" s="1"/>
  <c r="G9" i="9" s="1"/>
  <c r="H9" i="9" s="1"/>
  <c r="I9" i="9" s="1"/>
  <c r="J9" i="9" s="1"/>
  <c r="K9" i="9" s="1"/>
  <c r="L9" i="9" s="1"/>
  <c r="M9" i="9" s="1"/>
  <c r="E6" i="9"/>
  <c r="F6" i="9" s="1"/>
  <c r="G6" i="9" s="1"/>
  <c r="H6" i="9" s="1"/>
  <c r="I6" i="9" s="1"/>
  <c r="J6" i="9" s="1"/>
  <c r="K6" i="9" s="1"/>
  <c r="L6" i="9" s="1"/>
  <c r="M6" i="9" s="1"/>
  <c r="E5" i="9"/>
  <c r="F5" i="9" s="1"/>
  <c r="G5" i="9" s="1"/>
  <c r="H5" i="9" s="1"/>
  <c r="I5" i="9" s="1"/>
  <c r="J5" i="9" s="1"/>
  <c r="K5" i="9" s="1"/>
  <c r="L5" i="9" s="1"/>
  <c r="M5" i="9" s="1"/>
  <c r="E4" i="9"/>
  <c r="H51" i="9" l="1"/>
  <c r="E53" i="9"/>
  <c r="F53" i="9" s="1"/>
  <c r="D47" i="9"/>
  <c r="L50" i="9"/>
  <c r="D34" i="9"/>
  <c r="D54" i="9" s="1"/>
  <c r="D33" i="9"/>
  <c r="F50" i="9"/>
  <c r="J67" i="9"/>
  <c r="G50" i="9"/>
  <c r="E51" i="9"/>
  <c r="E67" i="9"/>
  <c r="M67" i="9"/>
  <c r="J50" i="9"/>
  <c r="I51" i="9"/>
  <c r="I33" i="9" s="1"/>
  <c r="F67" i="9"/>
  <c r="K50" i="9"/>
  <c r="M51" i="9"/>
  <c r="I67" i="9"/>
  <c r="H33" i="9"/>
  <c r="F4" i="9"/>
  <c r="E23" i="9"/>
  <c r="D25" i="9"/>
  <c r="N29" i="9"/>
  <c r="D52" i="9"/>
  <c r="J51" i="9"/>
  <c r="F51" i="9"/>
  <c r="K51" i="9"/>
  <c r="G51" i="9"/>
  <c r="L51" i="9"/>
  <c r="E50" i="9"/>
  <c r="I50" i="9"/>
  <c r="M50" i="9"/>
  <c r="H67" i="9"/>
  <c r="L67" i="9"/>
  <c r="H50" i="9"/>
  <c r="G67" i="9"/>
  <c r="E33" i="9" l="1"/>
  <c r="Q50" i="9"/>
  <c r="Q51" i="9"/>
  <c r="M33" i="9"/>
  <c r="E34" i="9"/>
  <c r="D61" i="9"/>
  <c r="D48" i="9"/>
  <c r="D30" i="9"/>
  <c r="E47" i="9"/>
  <c r="E25" i="9"/>
  <c r="E28" i="9"/>
  <c r="E52" i="9"/>
  <c r="D55" i="9"/>
  <c r="L33" i="9"/>
  <c r="F33" i="9"/>
  <c r="G53" i="9"/>
  <c r="F23" i="9"/>
  <c r="G4" i="9"/>
  <c r="G33" i="9"/>
  <c r="J33" i="9"/>
  <c r="K33" i="9"/>
  <c r="E29" i="9"/>
  <c r="D23" i="4"/>
  <c r="F29" i="9" l="1"/>
  <c r="Q62" i="9"/>
  <c r="D57" i="9"/>
  <c r="F52" i="9"/>
  <c r="G23" i="9"/>
  <c r="H4" i="9"/>
  <c r="H53" i="9"/>
  <c r="E54" i="9"/>
  <c r="F47" i="9"/>
  <c r="F28" i="9"/>
  <c r="F25" i="9"/>
  <c r="E61" i="9"/>
  <c r="E30" i="9"/>
  <c r="E48" i="9"/>
  <c r="F34" i="9" l="1"/>
  <c r="H23" i="9"/>
  <c r="I4" i="9"/>
  <c r="E55" i="9"/>
  <c r="E57" i="9" s="1"/>
  <c r="G28" i="9"/>
  <c r="G47" i="9"/>
  <c r="G25" i="9"/>
  <c r="G29" i="9"/>
  <c r="F48" i="9"/>
  <c r="F61" i="9"/>
  <c r="F30" i="9"/>
  <c r="I53" i="9"/>
  <c r="G52" i="9"/>
  <c r="G67" i="4"/>
  <c r="D85" i="4"/>
  <c r="G85" i="4"/>
  <c r="H85" i="4"/>
  <c r="I85" i="4"/>
  <c r="J85" i="4"/>
  <c r="K85" i="4"/>
  <c r="L85" i="4"/>
  <c r="M85" i="4"/>
  <c r="C85" i="4"/>
  <c r="C84" i="4"/>
  <c r="P65" i="4"/>
  <c r="Q65" i="4" s="1"/>
  <c r="Q64" i="4"/>
  <c r="L4" i="8"/>
  <c r="J4" i="8"/>
  <c r="C3" i="8" s="1"/>
  <c r="J6" i="8"/>
  <c r="J2" i="8"/>
  <c r="J5" i="8" s="1"/>
  <c r="D53" i="4"/>
  <c r="C101" i="4" s="1"/>
  <c r="D51" i="4"/>
  <c r="H51" i="4" s="1"/>
  <c r="H33" i="4" s="1"/>
  <c r="D50" i="4"/>
  <c r="G50" i="4" s="1"/>
  <c r="N65" i="4"/>
  <c r="F54" i="9" l="1"/>
  <c r="F55" i="9" s="1"/>
  <c r="G48" i="9"/>
  <c r="G30" i="9"/>
  <c r="G61" i="9"/>
  <c r="H52" i="9"/>
  <c r="J4" i="9"/>
  <c r="I23" i="9"/>
  <c r="H47" i="9"/>
  <c r="H28" i="9"/>
  <c r="H25" i="9"/>
  <c r="H29" i="9"/>
  <c r="J53" i="9"/>
  <c r="J50" i="4"/>
  <c r="C93" i="4"/>
  <c r="M50" i="4"/>
  <c r="E67" i="4"/>
  <c r="C97" i="4"/>
  <c r="L51" i="4"/>
  <c r="M67" i="4"/>
  <c r="I50" i="4"/>
  <c r="J67" i="4"/>
  <c r="E50" i="4"/>
  <c r="D93" i="4" s="1"/>
  <c r="F50" i="4"/>
  <c r="F67" i="4"/>
  <c r="K51" i="4"/>
  <c r="I67" i="4"/>
  <c r="D33" i="4"/>
  <c r="L50" i="4"/>
  <c r="H50" i="4"/>
  <c r="G93" i="4" s="1"/>
  <c r="E51" i="4"/>
  <c r="D97" i="4" s="1"/>
  <c r="J51" i="4"/>
  <c r="F51" i="4"/>
  <c r="L67" i="4"/>
  <c r="H67" i="4"/>
  <c r="G51" i="4"/>
  <c r="G97" i="4" s="1"/>
  <c r="K50" i="4"/>
  <c r="J93" i="4" s="1"/>
  <c r="M51" i="4"/>
  <c r="I51" i="4"/>
  <c r="K67" i="4"/>
  <c r="E3" i="8"/>
  <c r="J7" i="8"/>
  <c r="D52" i="4" l="1"/>
  <c r="G34" i="9"/>
  <c r="J23" i="9"/>
  <c r="K4" i="9"/>
  <c r="H30" i="9"/>
  <c r="H61" i="9"/>
  <c r="H48" i="9"/>
  <c r="K53" i="9"/>
  <c r="I47" i="9"/>
  <c r="I25" i="9"/>
  <c r="I28" i="9"/>
  <c r="I29" i="9"/>
  <c r="I52" i="9"/>
  <c r="H93" i="4"/>
  <c r="E93" i="4"/>
  <c r="F33" i="4"/>
  <c r="E97" i="4"/>
  <c r="F93" i="4"/>
  <c r="I33" i="4"/>
  <c r="H97" i="4"/>
  <c r="L33" i="4"/>
  <c r="K97" i="4"/>
  <c r="M33" i="4"/>
  <c r="L97" i="4"/>
  <c r="M97" i="4"/>
  <c r="M98" i="4" s="1"/>
  <c r="K33" i="4"/>
  <c r="J97" i="4"/>
  <c r="M93" i="4"/>
  <c r="L93" i="4"/>
  <c r="I93" i="4"/>
  <c r="K93" i="4"/>
  <c r="G33" i="4"/>
  <c r="F97" i="4"/>
  <c r="J33" i="4"/>
  <c r="I97" i="4"/>
  <c r="N67" i="4"/>
  <c r="E33" i="4"/>
  <c r="D62" i="8"/>
  <c r="D66" i="8"/>
  <c r="D70" i="8"/>
  <c r="D76" i="8"/>
  <c r="D80" i="8"/>
  <c r="D84" i="8"/>
  <c r="D90" i="8"/>
  <c r="D94" i="8"/>
  <c r="D98" i="8"/>
  <c r="D104" i="8"/>
  <c r="D108" i="8"/>
  <c r="D112" i="8"/>
  <c r="D118" i="8"/>
  <c r="D122" i="8"/>
  <c r="D126" i="8"/>
  <c r="D132" i="8"/>
  <c r="D136" i="8"/>
  <c r="D140" i="8"/>
  <c r="D64" i="8"/>
  <c r="D68" i="8"/>
  <c r="D78" i="8"/>
  <c r="D88" i="8"/>
  <c r="D92" i="8"/>
  <c r="D102" i="8"/>
  <c r="D110" i="8"/>
  <c r="D120" i="8"/>
  <c r="D130" i="8"/>
  <c r="D138" i="8"/>
  <c r="D61" i="8"/>
  <c r="D65" i="8"/>
  <c r="D69" i="8"/>
  <c r="D75" i="8"/>
  <c r="D79" i="8"/>
  <c r="D83" i="8"/>
  <c r="D89" i="8"/>
  <c r="D93" i="8"/>
  <c r="D97" i="8"/>
  <c r="D103" i="8"/>
  <c r="D107" i="8"/>
  <c r="D111" i="8"/>
  <c r="D117" i="8"/>
  <c r="D125" i="8"/>
  <c r="D131" i="8"/>
  <c r="D139" i="8"/>
  <c r="D59" i="8"/>
  <c r="D63" i="8"/>
  <c r="D67" i="8"/>
  <c r="D73" i="8"/>
  <c r="D77" i="8"/>
  <c r="D81" i="8"/>
  <c r="D87" i="8"/>
  <c r="D91" i="8"/>
  <c r="D95" i="8"/>
  <c r="D101" i="8"/>
  <c r="D105" i="8"/>
  <c r="D109" i="8"/>
  <c r="D115" i="8"/>
  <c r="D119" i="8"/>
  <c r="D123" i="8"/>
  <c r="D129" i="8"/>
  <c r="D133" i="8"/>
  <c r="D137" i="8"/>
  <c r="D60" i="8"/>
  <c r="D74" i="8"/>
  <c r="D82" i="8"/>
  <c r="D96" i="8"/>
  <c r="D106" i="8"/>
  <c r="D116" i="8"/>
  <c r="D124" i="8"/>
  <c r="D134" i="8"/>
  <c r="D121" i="8"/>
  <c r="D135" i="8"/>
  <c r="D56" i="8"/>
  <c r="D52" i="8"/>
  <c r="D48" i="8"/>
  <c r="D39" i="8"/>
  <c r="D35" i="8"/>
  <c r="D31" i="8"/>
  <c r="D26" i="8"/>
  <c r="D22" i="8"/>
  <c r="D18" i="8"/>
  <c r="D14" i="8"/>
  <c r="D10" i="8"/>
  <c r="D7" i="8"/>
  <c r="D5" i="8"/>
  <c r="D54" i="8"/>
  <c r="D50" i="8"/>
  <c r="D46" i="8"/>
  <c r="D41" i="8"/>
  <c r="D33" i="8"/>
  <c r="D28" i="8"/>
  <c r="D55" i="8"/>
  <c r="D51" i="8"/>
  <c r="D47" i="8"/>
  <c r="D42" i="8"/>
  <c r="D38" i="8"/>
  <c r="D34" i="8"/>
  <c r="D25" i="8"/>
  <c r="D21" i="8"/>
  <c r="D17" i="8"/>
  <c r="D13" i="8"/>
  <c r="D9" i="8"/>
  <c r="D37" i="8"/>
  <c r="D53" i="8"/>
  <c r="D32" i="8"/>
  <c r="D27" i="8"/>
  <c r="D24" i="8"/>
  <c r="D8" i="8"/>
  <c r="D4" i="8"/>
  <c r="D49" i="8"/>
  <c r="D19" i="8"/>
  <c r="D11" i="8"/>
  <c r="D45" i="8"/>
  <c r="D40" i="8"/>
  <c r="D20" i="8"/>
  <c r="D12" i="8"/>
  <c r="D6" i="8"/>
  <c r="D36" i="8"/>
  <c r="D23" i="8"/>
  <c r="D3" i="8"/>
  <c r="E52" i="4" l="1"/>
  <c r="F52" i="4" s="1"/>
  <c r="G54" i="9"/>
  <c r="F57" i="9"/>
  <c r="I61" i="9"/>
  <c r="I48" i="9"/>
  <c r="I30" i="9"/>
  <c r="L53" i="9"/>
  <c r="K23" i="9"/>
  <c r="L4" i="9"/>
  <c r="J52" i="9"/>
  <c r="J25" i="9"/>
  <c r="J47" i="9"/>
  <c r="J28" i="9"/>
  <c r="J29" i="9"/>
  <c r="O95" i="4"/>
  <c r="M94" i="4"/>
  <c r="D15" i="8"/>
  <c r="F3" i="8"/>
  <c r="G3" i="8" s="1"/>
  <c r="C4" i="8" s="1"/>
  <c r="O96" i="4" l="1"/>
  <c r="M95" i="4" s="1"/>
  <c r="G55" i="9"/>
  <c r="G57" i="9" s="1"/>
  <c r="H34" i="9"/>
  <c r="K47" i="9"/>
  <c r="K28" i="9"/>
  <c r="K25" i="9"/>
  <c r="K29" i="9"/>
  <c r="J48" i="9"/>
  <c r="J61" i="9"/>
  <c r="J30" i="9"/>
  <c r="K52" i="9"/>
  <c r="M53" i="9"/>
  <c r="L23" i="9"/>
  <c r="M4" i="9"/>
  <c r="M23" i="9" s="1"/>
  <c r="G52" i="4"/>
  <c r="E4" i="8"/>
  <c r="H54" i="9" l="1"/>
  <c r="L47" i="9"/>
  <c r="L28" i="9"/>
  <c r="L25" i="9"/>
  <c r="L29" i="9"/>
  <c r="M47" i="9"/>
  <c r="M28" i="9"/>
  <c r="M25" i="9"/>
  <c r="M29" i="9"/>
  <c r="K48" i="9"/>
  <c r="K61" i="9"/>
  <c r="K30" i="9"/>
  <c r="L52" i="9"/>
  <c r="H52" i="4"/>
  <c r="F4" i="8"/>
  <c r="G4" i="8" s="1"/>
  <c r="C5" i="8" s="1"/>
  <c r="R47" i="9" l="1"/>
  <c r="I34" i="9"/>
  <c r="H55" i="9"/>
  <c r="M52" i="9"/>
  <c r="M61" i="9"/>
  <c r="M30" i="9"/>
  <c r="M48" i="9"/>
  <c r="L61" i="9"/>
  <c r="L48" i="9"/>
  <c r="L30" i="9"/>
  <c r="I52" i="4"/>
  <c r="E5" i="8"/>
  <c r="R48" i="9" l="1"/>
  <c r="R61" i="9"/>
  <c r="I54" i="9"/>
  <c r="J52" i="4"/>
  <c r="F5" i="8"/>
  <c r="G5" i="8" s="1"/>
  <c r="C6" i="8" s="1"/>
  <c r="J34" i="9" l="1"/>
  <c r="I55" i="9"/>
  <c r="K52" i="4"/>
  <c r="E6" i="8"/>
  <c r="J54" i="9" l="1"/>
  <c r="L52" i="4"/>
  <c r="F6" i="8"/>
  <c r="G6" i="8" s="1"/>
  <c r="C7" i="8" s="1"/>
  <c r="K34" i="9" l="1"/>
  <c r="K54" i="9"/>
  <c r="J55" i="9"/>
  <c r="M52" i="4"/>
  <c r="O99" i="4" s="1"/>
  <c r="O100" i="4" s="1"/>
  <c r="M99" i="4" s="1"/>
  <c r="E7" i="8"/>
  <c r="L54" i="9" l="1"/>
  <c r="L34" i="9"/>
  <c r="K55" i="9"/>
  <c r="F7" i="8"/>
  <c r="G7" i="8" s="1"/>
  <c r="C8" i="8" s="1"/>
  <c r="M34" i="9" l="1"/>
  <c r="M54" i="9"/>
  <c r="L55" i="9"/>
  <c r="E8" i="8"/>
  <c r="M55" i="9" l="1"/>
  <c r="F8" i="8"/>
  <c r="G8" i="8" s="1"/>
  <c r="C9" i="8" s="1"/>
  <c r="E9" i="8" l="1"/>
  <c r="F9" i="8" s="1"/>
  <c r="G9" i="8" s="1"/>
  <c r="C10" i="8" s="1"/>
  <c r="E10" i="8" l="1"/>
  <c r="F10" i="8" s="1"/>
  <c r="G10" i="8" s="1"/>
  <c r="C11" i="8" s="1"/>
  <c r="E11" i="8" l="1"/>
  <c r="F11" i="8" s="1"/>
  <c r="G11" i="8" s="1"/>
  <c r="C12" i="8" s="1"/>
  <c r="E12" i="8" l="1"/>
  <c r="F12" i="8" s="1"/>
  <c r="G12" i="8" s="1"/>
  <c r="C13" i="8" s="1"/>
  <c r="E13" i="8" l="1"/>
  <c r="F13" i="8" s="1"/>
  <c r="G13" i="8" s="1"/>
  <c r="C14" i="8" s="1"/>
  <c r="E14" i="8" l="1"/>
  <c r="F14" i="8" l="1"/>
  <c r="G14" i="8" s="1"/>
  <c r="D64" i="9" s="1"/>
  <c r="E15" i="8"/>
  <c r="C76" i="9" l="1"/>
  <c r="C78" i="9" s="1"/>
  <c r="D36" i="9"/>
  <c r="D36" i="4"/>
  <c r="C17" i="8"/>
  <c r="E17" i="8" s="1"/>
  <c r="D64" i="4"/>
  <c r="D77" i="9" l="1"/>
  <c r="D39" i="9"/>
  <c r="F17" i="8"/>
  <c r="G17" i="8" s="1"/>
  <c r="C18" i="8" s="1"/>
  <c r="D40" i="9" l="1"/>
  <c r="D60" i="9" s="1"/>
  <c r="E18" i="8"/>
  <c r="D41" i="9" l="1"/>
  <c r="D68" i="9" s="1"/>
  <c r="D70" i="9" s="1"/>
  <c r="D72" i="9" s="1"/>
  <c r="F18" i="8"/>
  <c r="G18" i="8" s="1"/>
  <c r="C19" i="8" s="1"/>
  <c r="E19" i="8" l="1"/>
  <c r="F19" i="8" l="1"/>
  <c r="G19" i="8" s="1"/>
  <c r="C20" i="8" s="1"/>
  <c r="E20" i="8" l="1"/>
  <c r="F20" i="8" l="1"/>
  <c r="G20" i="8" s="1"/>
  <c r="C21" i="8" s="1"/>
  <c r="E21" i="8" l="1"/>
  <c r="F21" i="8" l="1"/>
  <c r="G21" i="8" s="1"/>
  <c r="C22" i="8" s="1"/>
  <c r="E22" i="8" l="1"/>
  <c r="F22" i="8" s="1"/>
  <c r="G22" i="8" s="1"/>
  <c r="C23" i="8" s="1"/>
  <c r="E23" i="8" l="1"/>
  <c r="F23" i="8" s="1"/>
  <c r="G23" i="8" s="1"/>
  <c r="C24" i="8" s="1"/>
  <c r="E24" i="8" l="1"/>
  <c r="F24" i="8" s="1"/>
  <c r="G24" i="8" s="1"/>
  <c r="C25" i="8" s="1"/>
  <c r="E25" i="8" l="1"/>
  <c r="F25" i="8" s="1"/>
  <c r="G25" i="8" s="1"/>
  <c r="C26" i="8" s="1"/>
  <c r="E26" i="8" l="1"/>
  <c r="F26" i="8" s="1"/>
  <c r="G26" i="8" s="1"/>
  <c r="C27" i="8" s="1"/>
  <c r="E27" i="8" l="1"/>
  <c r="F27" i="8" s="1"/>
  <c r="G27" i="8" s="1"/>
  <c r="C28" i="8" s="1"/>
  <c r="E28" i="8" l="1"/>
  <c r="F28" i="8" l="1"/>
  <c r="G28" i="8" s="1"/>
  <c r="E64" i="9" s="1"/>
  <c r="E29" i="8"/>
  <c r="D76" i="9" l="1"/>
  <c r="D78" i="9" s="1"/>
  <c r="E36" i="4"/>
  <c r="E36" i="9"/>
  <c r="C31" i="8"/>
  <c r="E31" i="8" s="1"/>
  <c r="E64" i="4"/>
  <c r="E77" i="9" l="1"/>
  <c r="E39" i="9"/>
  <c r="F31" i="8"/>
  <c r="G31" i="8" s="1"/>
  <c r="C32" i="8" s="1"/>
  <c r="E40" i="9" l="1"/>
  <c r="E60" i="9" s="1"/>
  <c r="E32" i="8"/>
  <c r="E41" i="9" l="1"/>
  <c r="E68" i="9" s="1"/>
  <c r="F32" i="8"/>
  <c r="G32" i="8" s="1"/>
  <c r="C33" i="8" s="1"/>
  <c r="E70" i="9" l="1"/>
  <c r="E72" i="9" s="1"/>
  <c r="E33" i="8"/>
  <c r="F33" i="8" l="1"/>
  <c r="G33" i="8" s="1"/>
  <c r="C34" i="8" s="1"/>
  <c r="E34" i="8" l="1"/>
  <c r="F34" i="8" l="1"/>
  <c r="G34" i="8" s="1"/>
  <c r="C35" i="8" s="1"/>
  <c r="E35" i="8" l="1"/>
  <c r="F35" i="8" l="1"/>
  <c r="G35" i="8" s="1"/>
  <c r="C36" i="8" s="1"/>
  <c r="E36" i="8" l="1"/>
  <c r="F36" i="8" s="1"/>
  <c r="G36" i="8" s="1"/>
  <c r="C37" i="8" s="1"/>
  <c r="E37" i="8" l="1"/>
  <c r="F37" i="8" s="1"/>
  <c r="G37" i="8" s="1"/>
  <c r="C38" i="8" s="1"/>
  <c r="E38" i="8" l="1"/>
  <c r="F38" i="8" s="1"/>
  <c r="G38" i="8" s="1"/>
  <c r="C39" i="8" s="1"/>
  <c r="E39" i="8" l="1"/>
  <c r="F39" i="8" s="1"/>
  <c r="G39" i="8" s="1"/>
  <c r="C40" i="8" s="1"/>
  <c r="E40" i="8" l="1"/>
  <c r="F40" i="8" s="1"/>
  <c r="G40" i="8" s="1"/>
  <c r="C41" i="8" s="1"/>
  <c r="E41" i="8" l="1"/>
  <c r="F41" i="8" s="1"/>
  <c r="G41" i="8" s="1"/>
  <c r="C42" i="8" s="1"/>
  <c r="E42" i="8" l="1"/>
  <c r="F42" i="8" l="1"/>
  <c r="G42" i="8" s="1"/>
  <c r="F64" i="9" s="1"/>
  <c r="E43" i="8"/>
  <c r="E76" i="9" l="1"/>
  <c r="E78" i="9" s="1"/>
  <c r="F36" i="4"/>
  <c r="F36" i="9"/>
  <c r="C45" i="8"/>
  <c r="E45" i="8" s="1"/>
  <c r="F64" i="4"/>
  <c r="F77" i="9" l="1"/>
  <c r="F39" i="9"/>
  <c r="F45" i="8"/>
  <c r="G45" i="8" s="1"/>
  <c r="C46" i="8" s="1"/>
  <c r="F40" i="9" l="1"/>
  <c r="F60" i="9" s="1"/>
  <c r="E46" i="8"/>
  <c r="F41" i="9" l="1"/>
  <c r="F68" i="9" s="1"/>
  <c r="F46" i="8"/>
  <c r="G46" i="8" s="1"/>
  <c r="C47" i="8" s="1"/>
  <c r="F70" i="9" l="1"/>
  <c r="F72" i="9" s="1"/>
  <c r="E47" i="8"/>
  <c r="F47" i="8" l="1"/>
  <c r="G47" i="8" s="1"/>
  <c r="C48" i="8" s="1"/>
  <c r="E48" i="8" l="1"/>
  <c r="F48" i="8" l="1"/>
  <c r="G48" i="8" s="1"/>
  <c r="C49" i="8" s="1"/>
  <c r="E49" i="8" l="1"/>
  <c r="F49" i="8" l="1"/>
  <c r="G49" i="8" s="1"/>
  <c r="C50" i="8" s="1"/>
  <c r="E50" i="8" l="1"/>
  <c r="F50" i="8" s="1"/>
  <c r="G50" i="8" s="1"/>
  <c r="C51" i="8" s="1"/>
  <c r="E51" i="8" l="1"/>
  <c r="F51" i="8" s="1"/>
  <c r="G51" i="8" s="1"/>
  <c r="C52" i="8" s="1"/>
  <c r="E52" i="8" l="1"/>
  <c r="F52" i="8" s="1"/>
  <c r="G52" i="8" s="1"/>
  <c r="C53" i="8" s="1"/>
  <c r="E53" i="8" l="1"/>
  <c r="F53" i="8" s="1"/>
  <c r="G53" i="8" s="1"/>
  <c r="C54" i="8" s="1"/>
  <c r="E54" i="8" l="1"/>
  <c r="F54" i="8" s="1"/>
  <c r="G54" i="8" s="1"/>
  <c r="C55" i="8" s="1"/>
  <c r="E55" i="8" l="1"/>
  <c r="F55" i="8" s="1"/>
  <c r="G55" i="8" s="1"/>
  <c r="C56" i="8" l="1"/>
  <c r="E56" i="8" s="1"/>
  <c r="C59" i="8"/>
  <c r="E59" i="8" l="1"/>
  <c r="F56" i="8"/>
  <c r="G56" i="8" s="1"/>
  <c r="E57" i="8"/>
  <c r="G36" i="4" l="1"/>
  <c r="G36" i="9"/>
  <c r="G77" i="9" s="1"/>
  <c r="G64" i="4"/>
  <c r="G64" i="9"/>
  <c r="F59" i="8"/>
  <c r="G59" i="8" s="1"/>
  <c r="C60" i="8" s="1"/>
  <c r="E60" i="8" s="1"/>
  <c r="F60" i="8" s="1"/>
  <c r="G60" i="8" s="1"/>
  <c r="C61" i="8" s="1"/>
  <c r="E61" i="8" s="1"/>
  <c r="F61" i="8" s="1"/>
  <c r="G61" i="8" s="1"/>
  <c r="C62" i="8" s="1"/>
  <c r="E62" i="8" s="1"/>
  <c r="F62" i="8" s="1"/>
  <c r="G62" i="8" s="1"/>
  <c r="C63" i="8" s="1"/>
  <c r="E63" i="8" s="1"/>
  <c r="F63" i="8" s="1"/>
  <c r="G63" i="8" s="1"/>
  <c r="C64" i="8" s="1"/>
  <c r="E64" i="8" s="1"/>
  <c r="F64" i="8" s="1"/>
  <c r="G64" i="8" s="1"/>
  <c r="C65" i="8" s="1"/>
  <c r="F76" i="9" l="1"/>
  <c r="F78" i="9" s="1"/>
  <c r="G39" i="9"/>
  <c r="E65" i="8"/>
  <c r="G40" i="9" l="1"/>
  <c r="G60" i="9" s="1"/>
  <c r="F65" i="8"/>
  <c r="G65" i="8" s="1"/>
  <c r="C66" i="8" s="1"/>
  <c r="E66" i="8" s="1"/>
  <c r="F66" i="8" s="1"/>
  <c r="G66" i="8" s="1"/>
  <c r="C67" i="8" s="1"/>
  <c r="E67" i="8" s="1"/>
  <c r="F67" i="8" s="1"/>
  <c r="G67" i="8" s="1"/>
  <c r="C68" i="8" s="1"/>
  <c r="G41" i="9" l="1"/>
  <c r="G68" i="9" s="1"/>
  <c r="G70" i="9" s="1"/>
  <c r="G72" i="9" s="1"/>
  <c r="R62" i="9"/>
  <c r="E68" i="8"/>
  <c r="F68" i="8" l="1"/>
  <c r="G68" i="8" s="1"/>
  <c r="C69" i="8" s="1"/>
  <c r="E69" i="8" l="1"/>
  <c r="F69" i="8" l="1"/>
  <c r="G69" i="8" s="1"/>
  <c r="C73" i="8" l="1"/>
  <c r="E73" i="8" s="1"/>
  <c r="C70" i="8"/>
  <c r="E70" i="8" s="1"/>
  <c r="F70" i="8" l="1"/>
  <c r="G70" i="8" s="1"/>
  <c r="E71" i="8"/>
  <c r="F73" i="8"/>
  <c r="G73" i="8" s="1"/>
  <c r="C74" i="8" s="1"/>
  <c r="E74" i="8" s="1"/>
  <c r="F74" i="8" s="1"/>
  <c r="G74" i="8" s="1"/>
  <c r="C75" i="8" s="1"/>
  <c r="E75" i="8" s="1"/>
  <c r="F75" i="8" s="1"/>
  <c r="G75" i="8" s="1"/>
  <c r="C76" i="8" s="1"/>
  <c r="E76" i="8" s="1"/>
  <c r="F76" i="8" s="1"/>
  <c r="G76" i="8" s="1"/>
  <c r="C77" i="8" s="1"/>
  <c r="E77" i="8" s="1"/>
  <c r="F77" i="8" s="1"/>
  <c r="G77" i="8" s="1"/>
  <c r="C78" i="8" s="1"/>
  <c r="H36" i="4" l="1"/>
  <c r="H36" i="9"/>
  <c r="H64" i="4"/>
  <c r="H64" i="9"/>
  <c r="G76" i="9" s="1"/>
  <c r="G78" i="9" s="1"/>
  <c r="E78" i="8"/>
  <c r="H39" i="9" l="1"/>
  <c r="H77" i="9"/>
  <c r="H40" i="9"/>
  <c r="H60" i="9" s="1"/>
  <c r="F78" i="8"/>
  <c r="G78" i="8" s="1"/>
  <c r="C79" i="8" s="1"/>
  <c r="E79" i="8" s="1"/>
  <c r="F79" i="8" s="1"/>
  <c r="G79" i="8" s="1"/>
  <c r="C80" i="8" s="1"/>
  <c r="E80" i="8" s="1"/>
  <c r="F80" i="8" s="1"/>
  <c r="G80" i="8" s="1"/>
  <c r="C81" i="8" s="1"/>
  <c r="H41" i="9" l="1"/>
  <c r="E81" i="8"/>
  <c r="H68" i="9" l="1"/>
  <c r="F81" i="8"/>
  <c r="G81" i="8" s="1"/>
  <c r="C82" i="8" s="1"/>
  <c r="H70" i="9" l="1"/>
  <c r="H57" i="9"/>
  <c r="E82" i="8"/>
  <c r="H72" i="9" l="1"/>
  <c r="F82" i="8"/>
  <c r="G82" i="8" s="1"/>
  <c r="C83" i="8" s="1"/>
  <c r="E83" i="8" s="1"/>
  <c r="F83" i="8" s="1"/>
  <c r="G83" i="8" s="1"/>
  <c r="G61" i="7"/>
  <c r="D34" i="4"/>
  <c r="D77" i="4" s="1"/>
  <c r="I37" i="4"/>
  <c r="J37" i="4"/>
  <c r="K37" i="4"/>
  <c r="L37" i="4"/>
  <c r="M37" i="4"/>
  <c r="E4" i="4"/>
  <c r="F4" i="4" s="1"/>
  <c r="G4" i="4" s="1"/>
  <c r="H4" i="4" s="1"/>
  <c r="I4" i="4" s="1"/>
  <c r="J4" i="4" s="1"/>
  <c r="K4" i="4" s="1"/>
  <c r="L4" i="4" s="1"/>
  <c r="M4" i="4" s="1"/>
  <c r="E5" i="4"/>
  <c r="F5" i="4" s="1"/>
  <c r="G5" i="4" s="1"/>
  <c r="H5" i="4" s="1"/>
  <c r="I5" i="4" s="1"/>
  <c r="J5" i="4" s="1"/>
  <c r="K5" i="4" s="1"/>
  <c r="L5" i="4" s="1"/>
  <c r="M5" i="4" s="1"/>
  <c r="E6" i="4"/>
  <c r="F6" i="4" s="1"/>
  <c r="G6" i="4" s="1"/>
  <c r="H6" i="4" s="1"/>
  <c r="I6" i="4" s="1"/>
  <c r="J6" i="4" s="1"/>
  <c r="K6" i="4" s="1"/>
  <c r="L6" i="4" s="1"/>
  <c r="M6" i="4" s="1"/>
  <c r="C75" i="7"/>
  <c r="G53" i="7" s="1"/>
  <c r="C87" i="8" l="1"/>
  <c r="E87" i="8" s="1"/>
  <c r="C84" i="8"/>
  <c r="E84" i="8" s="1"/>
  <c r="J23" i="4"/>
  <c r="M23" i="4"/>
  <c r="L23" i="4"/>
  <c r="K23" i="4"/>
  <c r="I23" i="4"/>
  <c r="H37" i="4"/>
  <c r="G37" i="4"/>
  <c r="F37" i="4"/>
  <c r="E37" i="4"/>
  <c r="D37" i="4"/>
  <c r="E53" i="4"/>
  <c r="E31" i="4"/>
  <c r="F31" i="4" s="1"/>
  <c r="G31" i="4" s="1"/>
  <c r="H31" i="4" s="1"/>
  <c r="I31" i="4" s="1"/>
  <c r="J31" i="4" s="1"/>
  <c r="K31" i="4" s="1"/>
  <c r="L31" i="4" s="1"/>
  <c r="M31" i="4" s="1"/>
  <c r="E14" i="4"/>
  <c r="F14" i="4" s="1"/>
  <c r="G14" i="4" s="1"/>
  <c r="H14" i="4" s="1"/>
  <c r="I14" i="4" s="1"/>
  <c r="J14" i="4" s="1"/>
  <c r="K14" i="4" s="1"/>
  <c r="L14" i="4" s="1"/>
  <c r="M14" i="4" s="1"/>
  <c r="E11" i="4"/>
  <c r="F11" i="4" s="1"/>
  <c r="G11" i="4" s="1"/>
  <c r="H11" i="4" s="1"/>
  <c r="I11" i="4" s="1"/>
  <c r="J11" i="4" s="1"/>
  <c r="K11" i="4" s="1"/>
  <c r="L11" i="4" s="1"/>
  <c r="M11" i="4" s="1"/>
  <c r="E9" i="4"/>
  <c r="F9" i="4" s="1"/>
  <c r="G9" i="4" s="1"/>
  <c r="H9" i="4" s="1"/>
  <c r="I9" i="4" s="1"/>
  <c r="J9" i="4" s="1"/>
  <c r="K9" i="4" s="1"/>
  <c r="L9" i="4" s="1"/>
  <c r="M9" i="4" s="1"/>
  <c r="E23" i="4"/>
  <c r="F53" i="4" l="1"/>
  <c r="E101" i="4" s="1"/>
  <c r="D101" i="4"/>
  <c r="F84" i="8"/>
  <c r="G84" i="8" s="1"/>
  <c r="E85" i="8"/>
  <c r="F87" i="8"/>
  <c r="G87" i="8" s="1"/>
  <c r="C88" i="8" s="1"/>
  <c r="E88" i="8" s="1"/>
  <c r="F88" i="8" s="1"/>
  <c r="G88" i="8" s="1"/>
  <c r="C89" i="8" s="1"/>
  <c r="E89" i="8" s="1"/>
  <c r="F89" i="8" s="1"/>
  <c r="G89" i="8" s="1"/>
  <c r="C90" i="8" s="1"/>
  <c r="E90" i="8" s="1"/>
  <c r="F90" i="8" s="1"/>
  <c r="G90" i="8" s="1"/>
  <c r="C91" i="8" s="1"/>
  <c r="E91" i="8" s="1"/>
  <c r="F91" i="8" s="1"/>
  <c r="G91" i="8" s="1"/>
  <c r="C92" i="8" s="1"/>
  <c r="E92" i="8" s="1"/>
  <c r="F92" i="8" s="1"/>
  <c r="G92" i="8" s="1"/>
  <c r="C93" i="8" s="1"/>
  <c r="E93" i="8" s="1"/>
  <c r="F93" i="8" s="1"/>
  <c r="G93" i="8" s="1"/>
  <c r="C94" i="8" s="1"/>
  <c r="D25" i="4"/>
  <c r="N29" i="4"/>
  <c r="M25" i="4"/>
  <c r="M30" i="4" s="1"/>
  <c r="M47" i="4"/>
  <c r="M28" i="4"/>
  <c r="I25" i="4"/>
  <c r="I30" i="4" s="1"/>
  <c r="I47" i="4"/>
  <c r="I28" i="4"/>
  <c r="J25" i="4"/>
  <c r="J30" i="4" s="1"/>
  <c r="J47" i="4"/>
  <c r="J28" i="4"/>
  <c r="K25" i="4"/>
  <c r="K30" i="4" s="1"/>
  <c r="K47" i="4"/>
  <c r="K28" i="4"/>
  <c r="L25" i="4"/>
  <c r="L30" i="4" s="1"/>
  <c r="L28" i="4"/>
  <c r="L47" i="4"/>
  <c r="K86" i="4" s="1"/>
  <c r="E47" i="4"/>
  <c r="E25" i="4"/>
  <c r="E30" i="4" s="1"/>
  <c r="G53" i="4"/>
  <c r="F101" i="4" s="1"/>
  <c r="D61" i="4"/>
  <c r="C88" i="4" s="1"/>
  <c r="D47" i="4"/>
  <c r="E28" i="4"/>
  <c r="I36" i="4" l="1"/>
  <c r="I36" i="9"/>
  <c r="I64" i="4"/>
  <c r="I64" i="9"/>
  <c r="H76" i="9" s="1"/>
  <c r="H78" i="9" s="1"/>
  <c r="D48" i="4"/>
  <c r="C87" i="4" s="1"/>
  <c r="D30" i="4"/>
  <c r="I86" i="4"/>
  <c r="C86" i="4"/>
  <c r="D86" i="4"/>
  <c r="J86" i="4"/>
  <c r="L86" i="4"/>
  <c r="M86" i="4"/>
  <c r="D76" i="4"/>
  <c r="E94" i="8"/>
  <c r="J48" i="4"/>
  <c r="J61" i="4"/>
  <c r="K48" i="4"/>
  <c r="K61" i="4"/>
  <c r="L48" i="4"/>
  <c r="L61" i="4"/>
  <c r="K88" i="4" s="1"/>
  <c r="M48" i="4"/>
  <c r="M61" i="4"/>
  <c r="I48" i="4"/>
  <c r="I61" i="4"/>
  <c r="J29" i="4"/>
  <c r="J76" i="4" s="1"/>
  <c r="K29" i="4"/>
  <c r="K76" i="4" s="1"/>
  <c r="M29" i="4"/>
  <c r="M76" i="4" s="1"/>
  <c r="L29" i="4"/>
  <c r="L76" i="4" s="1"/>
  <c r="I29" i="4"/>
  <c r="I76" i="4" s="1"/>
  <c r="E29" i="4"/>
  <c r="E76" i="4" s="1"/>
  <c r="H53" i="4"/>
  <c r="E61" i="4"/>
  <c r="D88" i="4" s="1"/>
  <c r="E48" i="4"/>
  <c r="D87" i="4" s="1"/>
  <c r="F23" i="4"/>
  <c r="I39" i="9" l="1"/>
  <c r="I40" i="9" s="1"/>
  <c r="I60" i="9" s="1"/>
  <c r="I77" i="9"/>
  <c r="K87" i="4"/>
  <c r="I53" i="4"/>
  <c r="G101" i="4"/>
  <c r="I88" i="4"/>
  <c r="F25" i="4"/>
  <c r="F30" i="4" s="1"/>
  <c r="L88" i="4"/>
  <c r="M88" i="4"/>
  <c r="J88" i="4"/>
  <c r="I87" i="4"/>
  <c r="L87" i="4"/>
  <c r="M87" i="4"/>
  <c r="J87" i="4"/>
  <c r="F94" i="8"/>
  <c r="G94" i="8" s="1"/>
  <c r="C95" i="8" s="1"/>
  <c r="F47" i="4"/>
  <c r="E86" i="4" s="1"/>
  <c r="F48" i="4"/>
  <c r="E87" i="4" s="1"/>
  <c r="F29" i="4"/>
  <c r="F28" i="4"/>
  <c r="G23" i="4"/>
  <c r="I41" i="9" l="1"/>
  <c r="J53" i="4"/>
  <c r="H101" i="4"/>
  <c r="F76" i="4"/>
  <c r="G25" i="4"/>
  <c r="G30" i="4" s="1"/>
  <c r="F61" i="4"/>
  <c r="E88" i="4" s="1"/>
  <c r="E95" i="8"/>
  <c r="G47" i="4"/>
  <c r="F86" i="4" s="1"/>
  <c r="G48" i="4"/>
  <c r="F87" i="4" s="1"/>
  <c r="H23" i="4"/>
  <c r="G29" i="4"/>
  <c r="G28" i="4"/>
  <c r="G61" i="4" l="1"/>
  <c r="F88" i="4" s="1"/>
  <c r="I68" i="9"/>
  <c r="K53" i="4"/>
  <c r="I101" i="4"/>
  <c r="G76" i="4"/>
  <c r="F95" i="8"/>
  <c r="G95" i="8" s="1"/>
  <c r="C96" i="8" s="1"/>
  <c r="E96" i="8" s="1"/>
  <c r="F96" i="8" s="1"/>
  <c r="G96" i="8" s="1"/>
  <c r="C97" i="8" s="1"/>
  <c r="E97" i="8" s="1"/>
  <c r="F97" i="8" s="1"/>
  <c r="G97" i="8" s="1"/>
  <c r="H25" i="4"/>
  <c r="H29" i="4"/>
  <c r="H47" i="4"/>
  <c r="H28" i="4"/>
  <c r="I70" i="9" l="1"/>
  <c r="H48" i="4"/>
  <c r="H87" i="4" s="1"/>
  <c r="H30" i="4"/>
  <c r="H76" i="4" s="1"/>
  <c r="I57" i="9"/>
  <c r="L53" i="4"/>
  <c r="J101" i="4"/>
  <c r="G86" i="4"/>
  <c r="H86" i="4"/>
  <c r="C98" i="8"/>
  <c r="E98" i="8" s="1"/>
  <c r="C101" i="8"/>
  <c r="E101" i="8" s="1"/>
  <c r="H61" i="4"/>
  <c r="I72" i="9" l="1"/>
  <c r="G87" i="4"/>
  <c r="M53" i="4"/>
  <c r="K101" i="4"/>
  <c r="G88" i="4"/>
  <c r="H88" i="4"/>
  <c r="F101" i="8"/>
  <c r="G101" i="8" s="1"/>
  <c r="C102" i="8" s="1"/>
  <c r="E102" i="8" s="1"/>
  <c r="F102" i="8" s="1"/>
  <c r="G102" i="8" s="1"/>
  <c r="C103" i="8" s="1"/>
  <c r="E103" i="8" s="1"/>
  <c r="F103" i="8" s="1"/>
  <c r="G103" i="8" s="1"/>
  <c r="C104" i="8" s="1"/>
  <c r="E104" i="8" s="1"/>
  <c r="F104" i="8" s="1"/>
  <c r="G104" i="8" s="1"/>
  <c r="C105" i="8" s="1"/>
  <c r="E105" i="8" s="1"/>
  <c r="F105" i="8" s="1"/>
  <c r="G105" i="8" s="1"/>
  <c r="C106" i="8" s="1"/>
  <c r="E106" i="8" s="1"/>
  <c r="F106" i="8" s="1"/>
  <c r="G106" i="8" s="1"/>
  <c r="C107" i="8" s="1"/>
  <c r="F98" i="8"/>
  <c r="G98" i="8" s="1"/>
  <c r="E99" i="8"/>
  <c r="D54" i="4"/>
  <c r="D55" i="4" s="1"/>
  <c r="D39" i="4"/>
  <c r="D40" i="4" s="1"/>
  <c r="D60" i="4" s="1"/>
  <c r="J36" i="4" l="1"/>
  <c r="J36" i="9"/>
  <c r="J64" i="4"/>
  <c r="J64" i="9"/>
  <c r="I76" i="9" s="1"/>
  <c r="I78" i="9" s="1"/>
  <c r="L101" i="4"/>
  <c r="M101" i="4"/>
  <c r="M102" i="4" s="1"/>
  <c r="D78" i="4"/>
  <c r="D79" i="4" s="1"/>
  <c r="D57" i="4"/>
  <c r="E107" i="8"/>
  <c r="E34" i="4"/>
  <c r="D41" i="4"/>
  <c r="D68" i="4" s="1"/>
  <c r="J39" i="9" l="1"/>
  <c r="J77" i="9"/>
  <c r="J40" i="9"/>
  <c r="J60" i="9" s="1"/>
  <c r="E39" i="4"/>
  <c r="E40" i="4" s="1"/>
  <c r="E60" i="4" s="1"/>
  <c r="E77" i="4"/>
  <c r="C89" i="4"/>
  <c r="C105" i="4" s="1"/>
  <c r="D80" i="4"/>
  <c r="F107" i="8"/>
  <c r="G107" i="8" s="1"/>
  <c r="C108" i="8" s="1"/>
  <c r="E54" i="4"/>
  <c r="D70" i="4"/>
  <c r="D72" i="4" s="1"/>
  <c r="J41" i="9" l="1"/>
  <c r="F34" i="4"/>
  <c r="E55" i="4"/>
  <c r="E108" i="8"/>
  <c r="E41" i="4"/>
  <c r="E68" i="4" s="1"/>
  <c r="F39" i="4" l="1"/>
  <c r="F40" i="4" s="1"/>
  <c r="F60" i="4" s="1"/>
  <c r="F77" i="4"/>
  <c r="J68" i="9"/>
  <c r="F54" i="4"/>
  <c r="G34" i="4" s="1"/>
  <c r="G77" i="4" s="1"/>
  <c r="E78" i="4"/>
  <c r="E57" i="4"/>
  <c r="F108" i="8"/>
  <c r="G108" i="8" s="1"/>
  <c r="C109" i="8" s="1"/>
  <c r="E109" i="8" s="1"/>
  <c r="F109" i="8" s="1"/>
  <c r="G109" i="8" s="1"/>
  <c r="C110" i="8" s="1"/>
  <c r="E110" i="8" s="1"/>
  <c r="F110" i="8" s="1"/>
  <c r="G110" i="8" s="1"/>
  <c r="C111" i="8" s="1"/>
  <c r="E70" i="4"/>
  <c r="J70" i="9" l="1"/>
  <c r="J57" i="9"/>
  <c r="F41" i="4"/>
  <c r="F68" i="4" s="1"/>
  <c r="F70" i="4" s="1"/>
  <c r="F55" i="4"/>
  <c r="F78" i="4" s="1"/>
  <c r="F79" i="4" s="1"/>
  <c r="G39" i="4"/>
  <c r="G54" i="4"/>
  <c r="H34" i="4" s="1"/>
  <c r="E79" i="4"/>
  <c r="D89" i="4" s="1"/>
  <c r="D105" i="4" s="1"/>
  <c r="E72" i="4"/>
  <c r="E111" i="8"/>
  <c r="J72" i="9" l="1"/>
  <c r="G55" i="4"/>
  <c r="G78" i="4" s="1"/>
  <c r="H39" i="4"/>
  <c r="H40" i="4" s="1"/>
  <c r="H60" i="4" s="1"/>
  <c r="H77" i="4"/>
  <c r="E89" i="4"/>
  <c r="F80" i="4"/>
  <c r="H54" i="4"/>
  <c r="H55" i="4" s="1"/>
  <c r="H78" i="4" s="1"/>
  <c r="H79" i="4" s="1"/>
  <c r="G40" i="4"/>
  <c r="G60" i="4" s="1"/>
  <c r="E80" i="4"/>
  <c r="G79" i="4"/>
  <c r="F89" i="4" s="1"/>
  <c r="F111" i="8"/>
  <c r="G111" i="8" s="1"/>
  <c r="H41" i="4" l="1"/>
  <c r="I34" i="4"/>
  <c r="I54" i="4" s="1"/>
  <c r="G41" i="4"/>
  <c r="G68" i="4" s="1"/>
  <c r="G89" i="4"/>
  <c r="H80" i="4"/>
  <c r="G80" i="4"/>
  <c r="H57" i="4"/>
  <c r="C112" i="8"/>
  <c r="E112" i="8" s="1"/>
  <c r="C115" i="8"/>
  <c r="E115" i="8" s="1"/>
  <c r="I39" i="4" l="1"/>
  <c r="I40" i="4" s="1"/>
  <c r="I60" i="4" s="1"/>
  <c r="I77" i="4"/>
  <c r="G105" i="4"/>
  <c r="G70" i="4"/>
  <c r="H68" i="4"/>
  <c r="I55" i="4"/>
  <c r="J34" i="4"/>
  <c r="J77" i="4" s="1"/>
  <c r="F115" i="8"/>
  <c r="G115" i="8" s="1"/>
  <c r="C116" i="8" s="1"/>
  <c r="E116" i="8" s="1"/>
  <c r="F116" i="8" s="1"/>
  <c r="G116" i="8" s="1"/>
  <c r="C117" i="8" s="1"/>
  <c r="E117" i="8" s="1"/>
  <c r="F117" i="8" s="1"/>
  <c r="G117" i="8" s="1"/>
  <c r="C118" i="8" s="1"/>
  <c r="E118" i="8" s="1"/>
  <c r="F118" i="8" s="1"/>
  <c r="G118" i="8" s="1"/>
  <c r="C119" i="8" s="1"/>
  <c r="E119" i="8" s="1"/>
  <c r="F119" i="8" s="1"/>
  <c r="G119" i="8" s="1"/>
  <c r="C120" i="8" s="1"/>
  <c r="F112" i="8"/>
  <c r="G112" i="8" s="1"/>
  <c r="E113" i="8"/>
  <c r="G57" i="4" l="1"/>
  <c r="G72" i="4" s="1"/>
  <c r="I41" i="4"/>
  <c r="K36" i="4"/>
  <c r="K36" i="9"/>
  <c r="K64" i="4"/>
  <c r="K64" i="9"/>
  <c r="J76" i="9" s="1"/>
  <c r="J78" i="9" s="1"/>
  <c r="H70" i="4"/>
  <c r="H72" i="4" s="1"/>
  <c r="I78" i="4"/>
  <c r="I57" i="4"/>
  <c r="J39" i="4"/>
  <c r="J54" i="4"/>
  <c r="E120" i="8"/>
  <c r="K39" i="9" l="1"/>
  <c r="K40" i="9" s="1"/>
  <c r="K60" i="9" s="1"/>
  <c r="K77" i="9"/>
  <c r="I68" i="4"/>
  <c r="I70" i="4" s="1"/>
  <c r="I72" i="4" s="1"/>
  <c r="I79" i="4"/>
  <c r="H89" i="4" s="1"/>
  <c r="H105" i="4" s="1"/>
  <c r="J55" i="4"/>
  <c r="J78" i="4" s="1"/>
  <c r="J79" i="4" s="1"/>
  <c r="K34" i="4"/>
  <c r="K54" i="4"/>
  <c r="J40" i="4"/>
  <c r="J60" i="4" s="1"/>
  <c r="F120" i="8"/>
  <c r="G120" i="8" s="1"/>
  <c r="C121" i="8" s="1"/>
  <c r="K39" i="4" l="1"/>
  <c r="K40" i="4" s="1"/>
  <c r="K60" i="4" s="1"/>
  <c r="K77" i="4"/>
  <c r="K41" i="9"/>
  <c r="J41" i="4"/>
  <c r="J68" i="4" s="1"/>
  <c r="I80" i="4"/>
  <c r="K55" i="4"/>
  <c r="K78" i="4" s="1"/>
  <c r="K79" i="4" s="1"/>
  <c r="L34" i="4"/>
  <c r="L77" i="4" s="1"/>
  <c r="L54" i="4"/>
  <c r="I89" i="4"/>
  <c r="J80" i="4"/>
  <c r="E121" i="8"/>
  <c r="K41" i="4" l="1"/>
  <c r="K57" i="4" s="1"/>
  <c r="K68" i="9"/>
  <c r="J57" i="4"/>
  <c r="J70" i="4"/>
  <c r="K68" i="4"/>
  <c r="K70" i="4" s="1"/>
  <c r="L55" i="4"/>
  <c r="L78" i="4" s="1"/>
  <c r="L79" i="4" s="1"/>
  <c r="M54" i="4"/>
  <c r="M34" i="4"/>
  <c r="M77" i="4" s="1"/>
  <c r="J89" i="4"/>
  <c r="K80" i="4"/>
  <c r="F121" i="8"/>
  <c r="G121" i="8" s="1"/>
  <c r="C122" i="8" s="1"/>
  <c r="E122" i="8" s="1"/>
  <c r="F122" i="8" s="1"/>
  <c r="G122" i="8" s="1"/>
  <c r="C123" i="8" s="1"/>
  <c r="E123" i="8" s="1"/>
  <c r="F123" i="8" s="1"/>
  <c r="G123" i="8" s="1"/>
  <c r="C124" i="8" s="1"/>
  <c r="J105" i="4" l="1"/>
  <c r="I105" i="4"/>
  <c r="K70" i="9"/>
  <c r="K57" i="9"/>
  <c r="K72" i="4"/>
  <c r="J72" i="4"/>
  <c r="M55" i="4"/>
  <c r="M78" i="4" s="1"/>
  <c r="M79" i="4" s="1"/>
  <c r="M80" i="4" s="1"/>
  <c r="O103" i="4"/>
  <c r="O104" i="4" s="1"/>
  <c r="M103" i="4" s="1"/>
  <c r="K89" i="4"/>
  <c r="L80" i="4"/>
  <c r="E124" i="8"/>
  <c r="K72" i="9" l="1"/>
  <c r="L89" i="4"/>
  <c r="M89" i="4"/>
  <c r="F124" i="8"/>
  <c r="G124" i="8" s="1"/>
  <c r="C125" i="8" s="1"/>
  <c r="E125" i="8" l="1"/>
  <c r="F125" i="8" l="1"/>
  <c r="G125" i="8" s="1"/>
  <c r="C129" i="8" l="1"/>
  <c r="E129" i="8" s="1"/>
  <c r="C126" i="8"/>
  <c r="E126" i="8" s="1"/>
  <c r="F126" i="8" l="1"/>
  <c r="G126" i="8" s="1"/>
  <c r="E127" i="8"/>
  <c r="F129" i="8"/>
  <c r="G129" i="8" s="1"/>
  <c r="C130" i="8" s="1"/>
  <c r="E130" i="8" s="1"/>
  <c r="F130" i="8" s="1"/>
  <c r="G130" i="8" s="1"/>
  <c r="C131" i="8" s="1"/>
  <c r="E131" i="8" s="1"/>
  <c r="F131" i="8" s="1"/>
  <c r="G131" i="8" s="1"/>
  <c r="C132" i="8" s="1"/>
  <c r="E132" i="8" s="1"/>
  <c r="F132" i="8" s="1"/>
  <c r="G132" i="8" s="1"/>
  <c r="C133" i="8" s="1"/>
  <c r="E133" i="8" s="1"/>
  <c r="F133" i="8" s="1"/>
  <c r="G133" i="8" s="1"/>
  <c r="C134" i="8" s="1"/>
  <c r="E134" i="8" s="1"/>
  <c r="F134" i="8" s="1"/>
  <c r="G134" i="8" s="1"/>
  <c r="C135" i="8" s="1"/>
  <c r="E135" i="8" s="1"/>
  <c r="F135" i="8" s="1"/>
  <c r="G135" i="8" s="1"/>
  <c r="C136" i="8" s="1"/>
  <c r="E136" i="8" s="1"/>
  <c r="F136" i="8" s="1"/>
  <c r="G136" i="8" s="1"/>
  <c r="C137" i="8" s="1"/>
  <c r="L36" i="4" l="1"/>
  <c r="L39" i="4" s="1"/>
  <c r="L40" i="4" s="1"/>
  <c r="L60" i="4" s="1"/>
  <c r="L36" i="9"/>
  <c r="L64" i="4"/>
  <c r="L64" i="9"/>
  <c r="K76" i="9" s="1"/>
  <c r="K78" i="9" s="1"/>
  <c r="E137" i="8"/>
  <c r="L39" i="9" l="1"/>
  <c r="L40" i="9" s="1"/>
  <c r="L60" i="9" s="1"/>
  <c r="L77" i="9"/>
  <c r="L41" i="4"/>
  <c r="F137" i="8"/>
  <c r="G137" i="8" s="1"/>
  <c r="C138" i="8" s="1"/>
  <c r="E138" i="8" s="1"/>
  <c r="F138" i="8" s="1"/>
  <c r="G138" i="8" s="1"/>
  <c r="C139" i="8" s="1"/>
  <c r="E139" i="8" s="1"/>
  <c r="F139" i="8" s="1"/>
  <c r="G139" i="8" s="1"/>
  <c r="C140" i="8" s="1"/>
  <c r="E140" i="8" s="1"/>
  <c r="F140" i="8" s="1"/>
  <c r="G140" i="8" s="1"/>
  <c r="M64" i="4" l="1"/>
  <c r="N64" i="4" s="1"/>
  <c r="M64" i="9"/>
  <c r="L41" i="9"/>
  <c r="L57" i="4"/>
  <c r="K105" i="4"/>
  <c r="L68" i="4"/>
  <c r="L70" i="4" s="1"/>
  <c r="E141" i="8"/>
  <c r="Q68" i="9" l="1"/>
  <c r="L76" i="9"/>
  <c r="L78" i="9" s="1"/>
  <c r="L68" i="9"/>
  <c r="M36" i="4"/>
  <c r="M39" i="4" s="1"/>
  <c r="M40" i="4" s="1"/>
  <c r="M60" i="4" s="1"/>
  <c r="M36" i="9"/>
  <c r="L72" i="4"/>
  <c r="M39" i="9" l="1"/>
  <c r="M40" i="9" s="1"/>
  <c r="M60" i="9" s="1"/>
  <c r="M77" i="9"/>
  <c r="R68" i="9"/>
  <c r="R63" i="9"/>
  <c r="R65" i="9" s="1"/>
  <c r="L70" i="9"/>
  <c r="L57" i="9"/>
  <c r="M41" i="4"/>
  <c r="R70" i="9" l="1"/>
  <c r="S69" i="9" s="1"/>
  <c r="T69" i="9" s="1"/>
  <c r="U69" i="9" s="1"/>
  <c r="L72" i="9"/>
  <c r="M41" i="9"/>
  <c r="M57" i="4"/>
  <c r="L105" i="4"/>
  <c r="M84" i="4"/>
  <c r="M105" i="4" s="1"/>
  <c r="M68" i="4"/>
  <c r="S68" i="9" l="1"/>
  <c r="T68" i="9" s="1"/>
  <c r="U68" i="9" s="1"/>
  <c r="V68" i="9" s="1"/>
  <c r="V69" i="9"/>
  <c r="M83" i="9"/>
  <c r="M85" i="9" s="1"/>
  <c r="C86" i="9" s="1"/>
  <c r="M68" i="9"/>
  <c r="N68" i="4"/>
  <c r="M70" i="4"/>
  <c r="M72" i="4" s="1"/>
  <c r="M76" i="9" l="1"/>
  <c r="M78" i="9" s="1"/>
  <c r="C79" i="9" s="1"/>
  <c r="M70" i="9"/>
  <c r="M57" i="9"/>
  <c r="N69" i="4"/>
  <c r="O68" i="4" s="1"/>
  <c r="M72" i="9" l="1"/>
  <c r="O64" i="4"/>
  <c r="O65" i="4"/>
  <c r="R65" i="4" s="1"/>
  <c r="O69" i="4" l="1"/>
  <c r="R64" i="4"/>
  <c r="R56" i="4"/>
  <c r="P58" i="4" s="1"/>
  <c r="P59" i="4" s="1"/>
  <c r="P68" i="4" s="1"/>
  <c r="Q68" i="4" s="1"/>
  <c r="R68" i="4" s="1"/>
  <c r="R69" i="4" l="1"/>
  <c r="C108" i="4" l="1"/>
  <c r="F85" i="4"/>
  <c r="F105" i="4" s="1"/>
  <c r="E85" i="4"/>
  <c r="E105" i="4" s="1"/>
  <c r="F57" i="4"/>
  <c r="F72" i="4" s="1"/>
  <c r="C107" i="4" l="1"/>
  <c r="C106" i="4"/>
</calcChain>
</file>

<file path=xl/sharedStrings.xml><?xml version="1.0" encoding="utf-8"?>
<sst xmlns="http://schemas.openxmlformats.org/spreadsheetml/2006/main" count="235" uniqueCount="129">
  <si>
    <t>Utilities</t>
  </si>
  <si>
    <t>COGS</t>
  </si>
  <si>
    <t>INCOME STATEMENT</t>
  </si>
  <si>
    <t>Operating Expenses</t>
  </si>
  <si>
    <t>Taxable Income</t>
  </si>
  <si>
    <t>Taxes</t>
  </si>
  <si>
    <t>Net Income</t>
  </si>
  <si>
    <t>BALANCE SHEET</t>
  </si>
  <si>
    <t>Assets</t>
  </si>
  <si>
    <t>Accounts Receivable</t>
  </si>
  <si>
    <t>Inventory</t>
  </si>
  <si>
    <t>Liabilities and Equity</t>
  </si>
  <si>
    <t>Total Assets</t>
  </si>
  <si>
    <t>Taxes Payable</t>
  </si>
  <si>
    <t>Accounts Payable</t>
  </si>
  <si>
    <t>Retained Earnings</t>
  </si>
  <si>
    <t>Total Liabilities and Equity</t>
  </si>
  <si>
    <t>DFN</t>
  </si>
  <si>
    <t>Yearly change</t>
  </si>
  <si>
    <t>% of both sales</t>
  </si>
  <si>
    <t>Depreciation life</t>
  </si>
  <si>
    <t>Bank Interest Rate</t>
  </si>
  <si>
    <t>Tax Rate</t>
  </si>
  <si>
    <t>% growth per year</t>
  </si>
  <si>
    <t>Inventory Days</t>
  </si>
  <si>
    <t>Extra Cash</t>
  </si>
  <si>
    <t>Minimum Cash Inventory</t>
  </si>
  <si>
    <t>Extra Bank Loan</t>
  </si>
  <si>
    <t>Common Stock</t>
  </si>
  <si>
    <t>General and Admin</t>
  </si>
  <si>
    <t>Bank Loan Interest  Expense</t>
  </si>
  <si>
    <t>Cost of Goods Sold</t>
  </si>
  <si>
    <t>Days of Payables (What expense?)</t>
  </si>
  <si>
    <t>Average Selling Price</t>
  </si>
  <si>
    <t>Units Sold</t>
  </si>
  <si>
    <t>Cost of Goods Sold %</t>
  </si>
  <si>
    <t>Product Revenue</t>
  </si>
  <si>
    <t>Insurance</t>
  </si>
  <si>
    <t>Equipment &amp; Furniture</t>
  </si>
  <si>
    <t>Inflation</t>
  </si>
  <si>
    <t>Products</t>
  </si>
  <si>
    <t>growth</t>
  </si>
  <si>
    <t>Gold Nugget Army Surplus</t>
  </si>
  <si>
    <t>Days of Receivables</t>
  </si>
  <si>
    <t>Average unit price</t>
  </si>
  <si>
    <t>Rent Guesstimate</t>
  </si>
  <si>
    <t>Total Unit Guesstimate</t>
  </si>
  <si>
    <t>Building</t>
  </si>
  <si>
    <t>Land</t>
  </si>
  <si>
    <t>Average debt</t>
  </si>
  <si>
    <t>Proportion</t>
  </si>
  <si>
    <t>Rate</t>
  </si>
  <si>
    <t>After Tax</t>
  </si>
  <si>
    <t>Weighted</t>
  </si>
  <si>
    <t>CAPM</t>
  </si>
  <si>
    <t>WACC</t>
  </si>
  <si>
    <t>Mortgage Loan</t>
  </si>
  <si>
    <t>Price Per Acre</t>
  </si>
  <si>
    <t>Acres Bought</t>
  </si>
  <si>
    <t>Equipment</t>
  </si>
  <si>
    <t>Mortgage Amortization Schedule</t>
  </si>
  <si>
    <t>Prin Balance</t>
  </si>
  <si>
    <t>Payment</t>
  </si>
  <si>
    <t>Interest Pd</t>
  </si>
  <si>
    <t>Principle Pd</t>
  </si>
  <si>
    <t>Remaining Bal</t>
  </si>
  <si>
    <t>Mortgage Terms</t>
  </si>
  <si>
    <t>Years</t>
  </si>
  <si>
    <t>Starting Prin</t>
  </si>
  <si>
    <t>Months</t>
  </si>
  <si>
    <t>Monthly Rate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</si>
  <si>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</si>
  <si>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</si>
  <si>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</si>
  <si>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</si>
  <si>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</si>
  <si>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</si>
  <si>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</si>
  <si>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</si>
  <si>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</si>
  <si>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</si>
  <si>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Tbill</t>
  </si>
  <si>
    <t>S&amp;P</t>
  </si>
  <si>
    <t>Relevered Beta</t>
  </si>
  <si>
    <t>Mortgage Loan Interest Exp</t>
  </si>
  <si>
    <t>Depreciation: Equip</t>
  </si>
  <si>
    <t>Depreciation: Building</t>
  </si>
  <si>
    <t>Accumulated Depreciation (Building)</t>
  </si>
  <si>
    <t>Accumulated Depreciation (Equip)</t>
  </si>
  <si>
    <t>Total Accumulated Depreciation</t>
  </si>
  <si>
    <t>Unlevered Beta</t>
  </si>
  <si>
    <t>FREE CASH FLOWS</t>
  </si>
  <si>
    <t>Cash from Operations</t>
  </si>
  <si>
    <t>Operating Profit</t>
  </si>
  <si>
    <t>Less: Depreciation</t>
  </si>
  <si>
    <t>Taxable Operating Profit</t>
  </si>
  <si>
    <t>Taxes on Operations</t>
  </si>
  <si>
    <t>Cash form Operations</t>
  </si>
  <si>
    <t>Cash from Changes in Balance Sheet</t>
  </si>
  <si>
    <t>Working Capital</t>
  </si>
  <si>
    <t>(-)</t>
  </si>
  <si>
    <t>Minimum Cash Balance</t>
  </si>
  <si>
    <t>(+)</t>
  </si>
  <si>
    <t>Income Tax Payable</t>
  </si>
  <si>
    <t>Fixed and Other Assets</t>
  </si>
  <si>
    <t>Adjustment for Resale</t>
  </si>
  <si>
    <t>Taxes on Resale</t>
  </si>
  <si>
    <t>Buildings</t>
  </si>
  <si>
    <t>TOTAL FREE CASH FLOWS</t>
  </si>
  <si>
    <t>IRR</t>
  </si>
  <si>
    <t>Book</t>
  </si>
  <si>
    <t>Gain</t>
  </si>
  <si>
    <t>NPV</t>
  </si>
  <si>
    <t>Reparis and Maintanace</t>
  </si>
  <si>
    <t>of COGS</t>
  </si>
  <si>
    <t>% Sale</t>
  </si>
  <si>
    <t>Secured</t>
  </si>
  <si>
    <t>Unsecured</t>
  </si>
  <si>
    <t>Remaining</t>
  </si>
  <si>
    <t>Prop</t>
  </si>
  <si>
    <t>TOTAL</t>
  </si>
  <si>
    <t>On the $</t>
  </si>
  <si>
    <t>Total</t>
  </si>
  <si>
    <t>Extra</t>
  </si>
  <si>
    <t>Admin</t>
  </si>
  <si>
    <t>Principal loans</t>
  </si>
  <si>
    <t>Interest Paid</t>
  </si>
  <si>
    <t>Extra bank loan</t>
  </si>
  <si>
    <t>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</si>
</sst>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0.0%"/>
    <numFmt numFmtId="168" formatCode="_(* #,##0.0_);_(* \(#,##0.0\);_(* \-??_);_(@_)"/>
    <numFmt numFmtId="169" formatCode="_(* #,##0.0000_);_(* \(#,##0.0000\);_(* \-??_);_(@_)"/>
    <numFmt numFmtId="170" formatCode="_(* #,##0_);_(* \(#,##0\);_(* &quot;-&quot;??_);_(@_)"/>
    <numFmt numFmtId="171" formatCode="_(* #,##0_);_(* \(#,##0\);_(* \-??_);_(@_)"/>
    <numFmt numFmtId="172" formatCode="_(&quot;$&quot;* #,##0_);_(&quot;$&quot;* \(#,##0\);_(&quot;$&quot;* &quot;-&quot;??_);_(@_)"/>
    <numFmt numFmtId="173" formatCode="[$$-409]#,##0.00;[Red]\-[$$-409]#,##0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6" fontId="1" fillId="0" borderId="0"/>
    <xf numFmtId="164" fontId="1" fillId="0" borderId="0"/>
    <xf numFmtId="0" fontId="1" fillId="0" borderId="0"/>
    <xf numFmtId="9" fontId="1" fillId="0" borderId="0"/>
  </cellStyleXfs>
  <cellXfs count="74">
    <xf numFmtId="0" fontId="0" fillId="0" borderId="0" xfId="0"/>
    <xf numFmtId="0" fontId="2" fillId="0" borderId="0" xfId="0" applyFont="1"/>
    <xf numFmtId="169" fontId="3" fillId="0" borderId="0" xfId="1" applyNumberFormat="1" applyFont="1"/>
    <xf numFmtId="0" fontId="4" fillId="0" borderId="0" xfId="0" applyFont="1"/>
    <xf numFmtId="166" fontId="3" fillId="0" borderId="0" xfId="1" applyFont="1"/>
    <xf numFmtId="165" fontId="3" fillId="0" borderId="0" xfId="2" applyNumberFormat="1" applyFont="1"/>
    <xf numFmtId="165" fontId="2" fillId="0" borderId="0" xfId="0" applyNumberFormat="1" applyFont="1"/>
    <xf numFmtId="168" fontId="3" fillId="0" borderId="0" xfId="1" applyNumberFormat="1" applyFont="1"/>
    <xf numFmtId="170" fontId="3" fillId="0" borderId="0" xfId="2" applyNumberFormat="1" applyFont="1"/>
    <xf numFmtId="166" fontId="3" fillId="2" borderId="0" xfId="1" applyFont="1" applyFill="1"/>
    <xf numFmtId="0" fontId="2" fillId="2" borderId="0" xfId="0" applyFont="1" applyFill="1"/>
    <xf numFmtId="9" fontId="3" fillId="2" borderId="0" xfId="2" applyNumberFormat="1" applyFont="1" applyFill="1"/>
    <xf numFmtId="9" fontId="3" fillId="0" borderId="0" xfId="1" applyNumberFormat="1" applyFont="1"/>
    <xf numFmtId="3" fontId="3" fillId="2" borderId="0" xfId="2" applyNumberFormat="1" applyFont="1" applyFill="1"/>
    <xf numFmtId="0" fontId="5" fillId="0" borderId="0" xfId="0" applyFont="1"/>
    <xf numFmtId="165" fontId="3" fillId="2" borderId="0" xfId="2" applyNumberFormat="1" applyFont="1" applyFill="1"/>
    <xf numFmtId="171" fontId="3" fillId="2" borderId="0" xfId="1" applyNumberFormat="1" applyFont="1" applyFill="1"/>
    <xf numFmtId="8" fontId="0" fillId="0" borderId="0" xfId="0" applyNumberFormat="1"/>
    <xf numFmtId="3" fontId="0" fillId="0" borderId="0" xfId="0" applyNumberFormat="1"/>
    <xf numFmtId="0" fontId="6" fillId="0" borderId="0" xfId="0" applyFont="1"/>
    <xf numFmtId="44" fontId="1" fillId="0" borderId="0" xfId="2" applyNumberFormat="1"/>
    <xf numFmtId="10" fontId="0" fillId="0" borderId="0" xfId="0" applyNumberFormat="1"/>
    <xf numFmtId="173" fontId="0" fillId="0" borderId="0" xfId="0" applyNumberFormat="1"/>
    <xf numFmtId="171" fontId="3" fillId="0" borderId="0" xfId="1" applyNumberFormat="1" applyFont="1"/>
    <xf numFmtId="9" fontId="2" fillId="0" borderId="0" xfId="0" applyNumberFormat="1" applyFont="1"/>
    <xf numFmtId="2" fontId="2" fillId="0" borderId="0" xfId="0" applyNumberFormat="1" applyFont="1"/>
    <xf numFmtId="10" fontId="2" fillId="0" borderId="0" xfId="0" applyNumberFormat="1" applyFont="1"/>
    <xf numFmtId="167" fontId="3" fillId="0" borderId="0" xfId="4" applyNumberFormat="1" applyFont="1"/>
    <xf numFmtId="10" fontId="3" fillId="0" borderId="0" xfId="4" applyNumberFormat="1" applyFont="1"/>
    <xf numFmtId="0" fontId="2" fillId="0" borderId="0" xfId="0" applyFont="1" applyBorder="1"/>
    <xf numFmtId="10" fontId="3" fillId="0" borderId="0" xfId="4" applyNumberFormat="1" applyFont="1" applyBorder="1"/>
    <xf numFmtId="0" fontId="2" fillId="0" borderId="0" xfId="0" applyFont="1" applyFill="1" applyBorder="1"/>
    <xf numFmtId="172" fontId="2" fillId="0" borderId="0" xfId="0" applyNumberFormat="1" applyFont="1"/>
    <xf numFmtId="9" fontId="3" fillId="0" borderId="0" xfId="4" applyFont="1" applyBorder="1"/>
    <xf numFmtId="172" fontId="3" fillId="0" borderId="0" xfId="2" applyNumberFormat="1" applyFont="1" applyBorder="1"/>
    <xf numFmtId="10" fontId="2" fillId="0" borderId="0" xfId="4" applyNumberFormat="1" applyFont="1" applyBorder="1"/>
    <xf numFmtId="172" fontId="2" fillId="0" borderId="1" xfId="0" applyNumberFormat="1" applyFont="1" applyBorder="1"/>
    <xf numFmtId="10" fontId="3" fillId="2" borderId="1" xfId="4" applyNumberFormat="1" applyFont="1" applyFill="1" applyBorder="1"/>
    <xf numFmtId="10" fontId="4" fillId="0" borderId="0" xfId="4" applyNumberFormat="1" applyFont="1" applyBorder="1"/>
    <xf numFmtId="173" fontId="2" fillId="0" borderId="0" xfId="0" applyNumberFormat="1" applyFont="1"/>
    <xf numFmtId="9" fontId="1" fillId="0" borderId="0" xfId="4"/>
    <xf numFmtId="165" fontId="1" fillId="0" borderId="0" xfId="2" applyNumberFormat="1" applyBorder="1"/>
    <xf numFmtId="0" fontId="1" fillId="0" borderId="0" xfId="3" applyBorder="1"/>
    <xf numFmtId="0" fontId="1" fillId="0" borderId="0" xfId="3"/>
    <xf numFmtId="9" fontId="1" fillId="0" borderId="0" xfId="4" applyBorder="1"/>
    <xf numFmtId="165" fontId="1" fillId="0" borderId="0" xfId="3" applyNumberFormat="1" applyBorder="1"/>
    <xf numFmtId="165" fontId="1" fillId="0" borderId="0" xfId="2" applyNumberFormat="1" applyFill="1" applyBorder="1"/>
    <xf numFmtId="0" fontId="1" fillId="0" borderId="0" xfId="3" applyFill="1" applyBorder="1"/>
    <xf numFmtId="165" fontId="1" fillId="0" borderId="0" xfId="3" applyNumberFormat="1" applyFill="1" applyBorder="1"/>
    <xf numFmtId="165" fontId="1" fillId="0" borderId="0" xfId="2" applyNumberFormat="1" applyFill="1"/>
    <xf numFmtId="165" fontId="1" fillId="0" borderId="0" xfId="4" applyNumberFormat="1" applyFill="1" applyBorder="1"/>
    <xf numFmtId="167" fontId="1" fillId="0" borderId="0" xfId="3" applyNumberFormat="1" applyFill="1" applyBorder="1"/>
    <xf numFmtId="164" fontId="1" fillId="0" borderId="0" xfId="2"/>
    <xf numFmtId="167" fontId="1" fillId="0" borderId="0" xfId="4" applyNumberFormat="1" applyFill="1" applyBorder="1"/>
    <xf numFmtId="165" fontId="1" fillId="0" borderId="0" xfId="2" applyNumberFormat="1"/>
    <xf numFmtId="167" fontId="1" fillId="0" borderId="0" xfId="4" applyNumberFormat="1" applyFill="1"/>
    <xf numFmtId="0" fontId="1" fillId="0" borderId="0" xfId="3" applyNumberFormat="1"/>
    <xf numFmtId="167" fontId="1" fillId="0" borderId="0" xfId="3" applyNumberFormat="1"/>
    <xf numFmtId="167" fontId="1" fillId="0" borderId="0" xfId="4" applyNumberFormat="1" applyFont="1" applyBorder="1"/>
    <xf numFmtId="43" fontId="1" fillId="0" borderId="0" xfId="3" applyNumberFormat="1" applyBorder="1"/>
    <xf numFmtId="165" fontId="1" fillId="0" borderId="1" xfId="2" applyNumberFormat="1" applyFill="1" applyBorder="1"/>
    <xf numFmtId="10" fontId="2" fillId="2" borderId="0" xfId="0" applyNumberFormat="1" applyFont="1" applyFill="1"/>
    <xf numFmtId="43" fontId="7" fillId="2" borderId="0" xfId="3" applyNumberFormat="1" applyFont="1" applyFill="1" applyBorder="1"/>
    <xf numFmtId="165" fontId="5" fillId="0" borderId="0" xfId="2" applyNumberFormat="1" applyFont="1"/>
    <xf numFmtId="170" fontId="2" fillId="0" borderId="0" xfId="0" applyNumberFormat="1" applyFont="1"/>
    <xf numFmtId="171" fontId="1" fillId="0" borderId="0" xfId="1" applyNumberFormat="1"/>
    <xf numFmtId="165" fontId="3" fillId="0" borderId="0" xfId="2" applyNumberFormat="1" applyFont="1" applyFill="1"/>
    <xf numFmtId="8" fontId="2" fillId="2" borderId="0" xfId="0" applyNumberFormat="1" applyFont="1" applyFill="1"/>
    <xf numFmtId="166" fontId="2" fillId="0" borderId="0" xfId="1" applyFont="1"/>
    <xf numFmtId="9" fontId="2" fillId="0" borderId="0" xfId="1" applyNumberFormat="1" applyFont="1"/>
    <xf numFmtId="165" fontId="2" fillId="0" borderId="0" xfId="2" applyNumberFormat="1" applyFont="1"/>
    <xf numFmtId="165" fontId="8" fillId="0" borderId="0" xfId="2" applyNumberFormat="1" applyFont="1"/>
    <xf numFmtId="165" fontId="2" fillId="2" borderId="0" xfId="2" applyNumberFormat="1" applyFont="1" applyFill="1"/>
    <xf numFmtId="170" fontId="2" fillId="0" borderId="0" xfId="2" applyNumberFormat="1" applyFont="1"/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saem/Documents/School/14%20Spring/B401/Consulting%20Project/B401%20Whaleys%20Case%20Starting%20Spread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3"/>
    </sheetNames>
    <sheetDataSet>
      <sheetData sheetId="0">
        <row r="26">
          <cell r="D26">
            <v>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6"/>
  <sheetViews>
    <sheetView tabSelected="1" zoomScale="85" zoomScaleNormal="85" workbookViewId="0">
      <pane ySplit="2" topLeftCell="A96" activePane="bottomLeft" state="frozen"/>
      <selection pane="bottomLeft" activeCell="A55" sqref="A55"/>
    </sheetView>
  </sheetViews>
  <sheetFormatPr defaultRowHeight="15.75" x14ac:dyDescent="0.25"/>
  <cols>
    <col min="1" max="1" width="18.85546875" style="1" customWidth="1"/>
    <col min="2" max="2" width="16.28515625" style="1" customWidth="1"/>
    <col min="3" max="3" width="20.85546875" style="1" customWidth="1"/>
    <col min="4" max="13" width="14.7109375" style="1" customWidth="1"/>
    <col min="14" max="14" width="12.7109375" style="2" customWidth="1"/>
    <col min="15" max="15" width="14.5703125" style="1" customWidth="1"/>
    <col min="16" max="16" width="9.140625" style="1"/>
    <col min="17" max="17" width="11" style="1" bestFit="1" customWidth="1"/>
    <col min="18" max="16384" width="9.140625" style="1"/>
  </cols>
  <sheetData>
    <row r="1" spans="1:15" x14ac:dyDescent="0.25">
      <c r="A1" s="3" t="s">
        <v>42</v>
      </c>
    </row>
    <row r="2" spans="1:15" x14ac:dyDescent="0.25">
      <c r="D2" s="1">
        <v>2015</v>
      </c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1">
        <v>2021</v>
      </c>
      <c r="K2" s="1">
        <v>2022</v>
      </c>
      <c r="L2" s="1">
        <v>2023</v>
      </c>
      <c r="M2" s="1">
        <v>2024</v>
      </c>
    </row>
    <row r="4" spans="1:15" x14ac:dyDescent="0.25">
      <c r="A4" s="1" t="s">
        <v>33</v>
      </c>
      <c r="D4" s="9">
        <v>28.95</v>
      </c>
      <c r="E4" s="4">
        <f t="shared" ref="E4:M4" si="0">+D4*(1+$N4)</f>
        <v>30.397500000000001</v>
      </c>
      <c r="F4" s="4">
        <f t="shared" si="0"/>
        <v>31.917375000000003</v>
      </c>
      <c r="G4" s="4">
        <f t="shared" si="0"/>
        <v>33.513243750000008</v>
      </c>
      <c r="H4" s="4">
        <f t="shared" si="0"/>
        <v>35.18890593750001</v>
      </c>
      <c r="I4" s="4">
        <f t="shared" si="0"/>
        <v>36.948351234375011</v>
      </c>
      <c r="J4" s="4">
        <f t="shared" si="0"/>
        <v>38.79576879609376</v>
      </c>
      <c r="K4" s="4">
        <f t="shared" si="0"/>
        <v>40.735557235898447</v>
      </c>
      <c r="L4" s="4">
        <f t="shared" si="0"/>
        <v>42.772335097693372</v>
      </c>
      <c r="M4" s="4">
        <f t="shared" si="0"/>
        <v>44.910951852578044</v>
      </c>
      <c r="N4" s="27">
        <v>0.05</v>
      </c>
      <c r="O4" s="1" t="s">
        <v>18</v>
      </c>
    </row>
    <row r="5" spans="1:15" x14ac:dyDescent="0.25">
      <c r="A5" s="1" t="s">
        <v>34</v>
      </c>
      <c r="D5" s="13">
        <v>4000</v>
      </c>
      <c r="E5" s="4">
        <f t="shared" ref="E5:M5" si="1">+D5*(1+$N5)</f>
        <v>4003.9999999999995</v>
      </c>
      <c r="F5" s="4">
        <f t="shared" si="1"/>
        <v>4008.003999999999</v>
      </c>
      <c r="G5" s="4">
        <f t="shared" si="1"/>
        <v>4012.0120039999983</v>
      </c>
      <c r="H5" s="4">
        <f t="shared" si="1"/>
        <v>4016.024016003998</v>
      </c>
      <c r="I5" s="4">
        <f t="shared" si="1"/>
        <v>4020.0400400200015</v>
      </c>
      <c r="J5" s="4">
        <f t="shared" si="1"/>
        <v>4024.0600800600209</v>
      </c>
      <c r="K5" s="4">
        <f t="shared" si="1"/>
        <v>4028.0841401400803</v>
      </c>
      <c r="L5" s="4">
        <f t="shared" si="1"/>
        <v>4032.1122242802198</v>
      </c>
      <c r="M5" s="4">
        <f t="shared" si="1"/>
        <v>4036.1443365044997</v>
      </c>
      <c r="N5" s="27">
        <v>1E-3</v>
      </c>
      <c r="O5" s="1" t="s">
        <v>18</v>
      </c>
    </row>
    <row r="6" spans="1:15" x14ac:dyDescent="0.25">
      <c r="A6" s="1" t="s">
        <v>35</v>
      </c>
      <c r="D6" s="11">
        <v>0.5</v>
      </c>
      <c r="E6" s="12">
        <f t="shared" ref="E6:M6" si="2">+D6*(1+$N6)</f>
        <v>0.5</v>
      </c>
      <c r="F6" s="12">
        <f t="shared" si="2"/>
        <v>0.5</v>
      </c>
      <c r="G6" s="12">
        <f t="shared" si="2"/>
        <v>0.5</v>
      </c>
      <c r="H6" s="12">
        <f t="shared" si="2"/>
        <v>0.5</v>
      </c>
      <c r="I6" s="12">
        <f t="shared" si="2"/>
        <v>0.5</v>
      </c>
      <c r="J6" s="12">
        <f t="shared" si="2"/>
        <v>0.5</v>
      </c>
      <c r="K6" s="12">
        <f t="shared" si="2"/>
        <v>0.5</v>
      </c>
      <c r="L6" s="12">
        <f t="shared" si="2"/>
        <v>0.5</v>
      </c>
      <c r="M6" s="12">
        <f t="shared" si="2"/>
        <v>0.5</v>
      </c>
      <c r="N6" s="27">
        <v>0</v>
      </c>
      <c r="O6" s="1" t="s">
        <v>18</v>
      </c>
    </row>
    <row r="8" spans="1:15" x14ac:dyDescent="0.25">
      <c r="A8" s="1" t="s">
        <v>43</v>
      </c>
    </row>
    <row r="9" spans="1:15" x14ac:dyDescent="0.25">
      <c r="B9" s="1" t="s">
        <v>40</v>
      </c>
      <c r="D9" s="16">
        <v>30</v>
      </c>
      <c r="E9" s="4">
        <f>D9*(1+$N9)</f>
        <v>30</v>
      </c>
      <c r="F9" s="4">
        <f>E9*(1+$N9)</f>
        <v>30</v>
      </c>
      <c r="G9" s="4">
        <f>F9*(1+$N9)</f>
        <v>30</v>
      </c>
      <c r="H9" s="4">
        <f>G9*(1+$N9)</f>
        <v>30</v>
      </c>
      <c r="I9" s="4">
        <f t="shared" ref="I9:M9" si="3">H9*(1+$N9)</f>
        <v>30</v>
      </c>
      <c r="J9" s="4">
        <f t="shared" si="3"/>
        <v>30</v>
      </c>
      <c r="K9" s="4">
        <f t="shared" si="3"/>
        <v>30</v>
      </c>
      <c r="L9" s="4">
        <f t="shared" si="3"/>
        <v>30</v>
      </c>
      <c r="M9" s="4">
        <f t="shared" si="3"/>
        <v>30</v>
      </c>
      <c r="N9" s="27">
        <v>0</v>
      </c>
      <c r="O9" s="1" t="s">
        <v>18</v>
      </c>
    </row>
    <row r="10" spans="1:15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27"/>
    </row>
    <row r="11" spans="1:15" x14ac:dyDescent="0.25">
      <c r="A11" s="1" t="s">
        <v>24</v>
      </c>
      <c r="D11" s="16">
        <v>30</v>
      </c>
      <c r="E11" s="4">
        <f>D11*(1+$N11)</f>
        <v>30</v>
      </c>
      <c r="F11" s="4">
        <f>E11*(1+$N11)</f>
        <v>30</v>
      </c>
      <c r="G11" s="4">
        <f>F11*(1+$N11)</f>
        <v>30</v>
      </c>
      <c r="H11" s="4">
        <f>G11*(1+$N11)</f>
        <v>30</v>
      </c>
      <c r="I11" s="4">
        <f t="shared" ref="I11:L11" si="4">H11*(1+$N11)</f>
        <v>30</v>
      </c>
      <c r="J11" s="4">
        <f t="shared" si="4"/>
        <v>30</v>
      </c>
      <c r="K11" s="4">
        <f t="shared" si="4"/>
        <v>30</v>
      </c>
      <c r="L11" s="4">
        <f t="shared" si="4"/>
        <v>30</v>
      </c>
      <c r="M11" s="4">
        <f>L11*(1+$N11)</f>
        <v>30</v>
      </c>
      <c r="N11" s="27">
        <v>0</v>
      </c>
      <c r="O11" s="1" t="s">
        <v>18</v>
      </c>
    </row>
    <row r="13" spans="1:15" x14ac:dyDescent="0.25">
      <c r="A13" s="1" t="s">
        <v>32</v>
      </c>
    </row>
    <row r="14" spans="1:15" x14ac:dyDescent="0.25">
      <c r="B14" s="1" t="s">
        <v>1</v>
      </c>
      <c r="D14" s="10">
        <v>30</v>
      </c>
      <c r="E14" s="4">
        <f>D14*(1+$N14)</f>
        <v>30</v>
      </c>
      <c r="F14" s="4">
        <f>E14*(1+$N14)</f>
        <v>30</v>
      </c>
      <c r="G14" s="4">
        <f>F14*(1+$N14)</f>
        <v>30</v>
      </c>
      <c r="H14" s="4">
        <f>G14*(1+$N14)</f>
        <v>30</v>
      </c>
      <c r="I14" s="4">
        <f t="shared" ref="I14:M14" si="5">H14*(1+$N14)</f>
        <v>30</v>
      </c>
      <c r="J14" s="4">
        <f t="shared" si="5"/>
        <v>30</v>
      </c>
      <c r="K14" s="4">
        <f t="shared" si="5"/>
        <v>30</v>
      </c>
      <c r="L14" s="4">
        <f t="shared" si="5"/>
        <v>30</v>
      </c>
      <c r="M14" s="4">
        <f t="shared" si="5"/>
        <v>30</v>
      </c>
      <c r="N14" s="27">
        <v>0</v>
      </c>
      <c r="O14" s="1" t="s">
        <v>18</v>
      </c>
    </row>
    <row r="15" spans="1:15" x14ac:dyDescent="0.25">
      <c r="A15" s="1" t="s">
        <v>57</v>
      </c>
      <c r="D15" s="10">
        <v>21400</v>
      </c>
      <c r="E15" s="4"/>
      <c r="F15" s="4"/>
      <c r="G15" s="4"/>
      <c r="H15" s="4"/>
      <c r="I15" s="4"/>
      <c r="J15" s="4"/>
      <c r="K15" s="4"/>
      <c r="L15" s="4"/>
      <c r="M15" s="4"/>
      <c r="N15" s="27"/>
    </row>
    <row r="16" spans="1:15" x14ac:dyDescent="0.25">
      <c r="A16" s="1" t="s">
        <v>58</v>
      </c>
      <c r="D16" s="10">
        <v>0.5</v>
      </c>
      <c r="E16" s="4"/>
      <c r="F16" s="4"/>
      <c r="G16" s="4"/>
      <c r="H16" s="4"/>
      <c r="I16" s="4"/>
      <c r="J16" s="4"/>
      <c r="K16" s="4"/>
      <c r="L16" s="4"/>
      <c r="M16" s="4"/>
      <c r="N16" s="27"/>
    </row>
    <row r="17" spans="1:17" x14ac:dyDescent="0.25">
      <c r="A17" s="1" t="s">
        <v>47</v>
      </c>
      <c r="D17" s="10">
        <v>200000</v>
      </c>
      <c r="E17" s="4"/>
      <c r="F17" s="4"/>
      <c r="G17" s="4"/>
      <c r="H17" s="4"/>
      <c r="I17" s="4"/>
      <c r="J17" s="4"/>
      <c r="K17" s="4"/>
      <c r="L17" s="4"/>
      <c r="M17" s="4"/>
      <c r="N17" s="27"/>
    </row>
    <row r="18" spans="1:17" x14ac:dyDescent="0.25">
      <c r="A18" s="1" t="s">
        <v>59</v>
      </c>
      <c r="D18" s="10">
        <v>80000</v>
      </c>
      <c r="E18" s="4"/>
      <c r="F18" s="4"/>
      <c r="G18" s="4"/>
      <c r="H18" s="4"/>
      <c r="I18" s="4"/>
      <c r="J18" s="4"/>
      <c r="K18" s="4"/>
      <c r="L18" s="4"/>
      <c r="M18" s="4"/>
      <c r="N18" s="27"/>
    </row>
    <row r="19" spans="1:17" x14ac:dyDescent="0.25">
      <c r="D19" s="10"/>
      <c r="E19" s="4"/>
      <c r="F19" s="4"/>
      <c r="G19" s="4"/>
      <c r="H19" s="4"/>
      <c r="I19" s="4"/>
      <c r="J19" s="4"/>
      <c r="K19" s="4"/>
      <c r="L19" s="4"/>
      <c r="M19" s="4"/>
      <c r="N19" s="27"/>
    </row>
    <row r="20" spans="1:17" x14ac:dyDescent="0.25">
      <c r="D20" s="10"/>
      <c r="E20" s="4"/>
      <c r="F20" s="4"/>
      <c r="G20" s="4"/>
      <c r="H20" s="4"/>
      <c r="I20" s="4"/>
      <c r="J20" s="4"/>
      <c r="K20" s="4"/>
      <c r="L20" s="4"/>
      <c r="M20" s="4"/>
      <c r="N20" s="27"/>
    </row>
    <row r="22" spans="1:17" x14ac:dyDescent="0.25">
      <c r="A22" s="3" t="s">
        <v>2</v>
      </c>
    </row>
    <row r="23" spans="1:17" x14ac:dyDescent="0.25">
      <c r="A23" s="1" t="s">
        <v>36</v>
      </c>
      <c r="D23" s="5">
        <f>D4*D5</f>
        <v>115800</v>
      </c>
      <c r="E23" s="5">
        <f t="shared" ref="E23:M23" si="6">E4*E5</f>
        <v>121711.59</v>
      </c>
      <c r="F23" s="5">
        <f t="shared" si="6"/>
        <v>127924.96666949998</v>
      </c>
      <c r="G23" s="5">
        <f t="shared" si="6"/>
        <v>134455.53621797796</v>
      </c>
      <c r="H23" s="5">
        <f t="shared" si="6"/>
        <v>141319.49134190573</v>
      </c>
      <c r="I23" s="5">
        <f t="shared" si="6"/>
        <v>148533.85137490998</v>
      </c>
      <c r="J23" s="5">
        <f t="shared" si="6"/>
        <v>156116.50448759913</v>
      </c>
      <c r="K23" s="5">
        <f t="shared" si="6"/>
        <v>164086.25204169101</v>
      </c>
      <c r="L23" s="5">
        <f t="shared" si="6"/>
        <v>172462.85520841932</v>
      </c>
      <c r="M23" s="5">
        <f t="shared" si="6"/>
        <v>181267.08396680915</v>
      </c>
    </row>
    <row r="24" spans="1:17" x14ac:dyDescent="0.25"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7" x14ac:dyDescent="0.25">
      <c r="A25" s="1" t="s">
        <v>31</v>
      </c>
      <c r="D25" s="5">
        <f t="shared" ref="D25:M25" si="7">D23*D6</f>
        <v>57900</v>
      </c>
      <c r="E25" s="5">
        <f t="shared" si="7"/>
        <v>60855.794999999998</v>
      </c>
      <c r="F25" s="5">
        <f t="shared" si="7"/>
        <v>63962.483334749988</v>
      </c>
      <c r="G25" s="5">
        <f t="shared" si="7"/>
        <v>67227.768108988981</v>
      </c>
      <c r="H25" s="5">
        <f t="shared" si="7"/>
        <v>70659.745670952863</v>
      </c>
      <c r="I25" s="5">
        <f t="shared" si="7"/>
        <v>74266.92568745499</v>
      </c>
      <c r="J25" s="5">
        <f t="shared" si="7"/>
        <v>78058.252243799565</v>
      </c>
      <c r="K25" s="5">
        <f t="shared" si="7"/>
        <v>82043.126020845506</v>
      </c>
      <c r="L25" s="5">
        <f t="shared" si="7"/>
        <v>86231.427604209661</v>
      </c>
      <c r="M25" s="5">
        <f t="shared" si="7"/>
        <v>90633.541983404575</v>
      </c>
    </row>
    <row r="26" spans="1:17" x14ac:dyDescent="0.25"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7" x14ac:dyDescent="0.25">
      <c r="A27" s="1" t="s">
        <v>3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7" x14ac:dyDescent="0.25">
      <c r="B28" s="1" t="s">
        <v>37</v>
      </c>
      <c r="D28" s="15">
        <v>10000</v>
      </c>
      <c r="E28" s="5">
        <f>$N$28*E23</f>
        <v>3651.3476999999998</v>
      </c>
      <c r="F28" s="5">
        <f>$N$28*F23</f>
        <v>3837.7490000849994</v>
      </c>
      <c r="G28" s="5">
        <f>$N$28*G23</f>
        <v>4033.6660865393387</v>
      </c>
      <c r="H28" s="5">
        <f>$N$28*H23</f>
        <v>4239.5847402571717</v>
      </c>
      <c r="I28" s="5">
        <f t="shared" ref="I28:M28" si="8">$N$28*I23</f>
        <v>4456.0155412472996</v>
      </c>
      <c r="J28" s="5">
        <f t="shared" si="8"/>
        <v>4683.495134627974</v>
      </c>
      <c r="K28" s="5">
        <f t="shared" si="8"/>
        <v>4922.5875612507298</v>
      </c>
      <c r="L28" s="5">
        <f t="shared" si="8"/>
        <v>5173.8856562525798</v>
      </c>
      <c r="M28" s="5">
        <f t="shared" si="8"/>
        <v>5438.0125190042745</v>
      </c>
      <c r="N28" s="28">
        <v>0.03</v>
      </c>
      <c r="O28" s="1" t="s">
        <v>39</v>
      </c>
    </row>
    <row r="29" spans="1:17" x14ac:dyDescent="0.25">
      <c r="B29" s="1" t="s">
        <v>29</v>
      </c>
      <c r="D29" s="15">
        <v>15000</v>
      </c>
      <c r="E29" s="5">
        <f t="shared" ref="E29:M29" si="9">$N$29*SUM(E23:E23)</f>
        <v>15765.749999999998</v>
      </c>
      <c r="F29" s="5">
        <f t="shared" si="9"/>
        <v>16570.591537499997</v>
      </c>
      <c r="G29" s="5">
        <f t="shared" si="9"/>
        <v>17416.520235489374</v>
      </c>
      <c r="H29" s="5">
        <f t="shared" si="9"/>
        <v>18305.633593511102</v>
      </c>
      <c r="I29" s="5">
        <f t="shared" si="9"/>
        <v>19240.136188459841</v>
      </c>
      <c r="J29" s="5">
        <f t="shared" si="9"/>
        <v>20222.345140880716</v>
      </c>
      <c r="K29" s="5">
        <f t="shared" si="9"/>
        <v>21254.695860322667</v>
      </c>
      <c r="L29" s="5">
        <f t="shared" si="9"/>
        <v>22339.748083992137</v>
      </c>
      <c r="M29" s="5">
        <f t="shared" si="9"/>
        <v>23480.19222367994</v>
      </c>
      <c r="N29" s="28">
        <f>D29/SUM(D23:D23)</f>
        <v>0.12953367875647667</v>
      </c>
      <c r="O29" s="1" t="s">
        <v>19</v>
      </c>
      <c r="Q29" s="14"/>
    </row>
    <row r="30" spans="1:17" x14ac:dyDescent="0.25">
      <c r="B30" s="1" t="s">
        <v>113</v>
      </c>
      <c r="D30" s="15">
        <f>D25*0.01</f>
        <v>579</v>
      </c>
      <c r="E30" s="4">
        <f t="shared" ref="E30:M30" si="10">E25*0.01</f>
        <v>608.55795000000001</v>
      </c>
      <c r="F30" s="4">
        <f t="shared" si="10"/>
        <v>639.62483334749993</v>
      </c>
      <c r="G30" s="4">
        <f t="shared" si="10"/>
        <v>672.27768108988982</v>
      </c>
      <c r="H30" s="4">
        <f t="shared" si="10"/>
        <v>706.59745670952861</v>
      </c>
      <c r="I30" s="4">
        <f t="shared" si="10"/>
        <v>742.66925687454989</v>
      </c>
      <c r="J30" s="4">
        <f t="shared" si="10"/>
        <v>780.58252243799564</v>
      </c>
      <c r="K30" s="4">
        <f t="shared" si="10"/>
        <v>820.43126020845511</v>
      </c>
      <c r="L30" s="4">
        <f t="shared" si="10"/>
        <v>862.31427604209659</v>
      </c>
      <c r="M30" s="4">
        <f t="shared" si="10"/>
        <v>906.33541983404575</v>
      </c>
      <c r="N30" s="28">
        <v>0.01</v>
      </c>
      <c r="O30" s="1" t="s">
        <v>114</v>
      </c>
      <c r="Q30" s="14"/>
    </row>
    <row r="31" spans="1:17" x14ac:dyDescent="0.25">
      <c r="B31" s="1" t="s">
        <v>0</v>
      </c>
      <c r="D31" s="15">
        <v>1200</v>
      </c>
      <c r="E31" s="4">
        <f>D31*(1+$N31)</f>
        <v>1236</v>
      </c>
      <c r="F31" s="4">
        <f>E31*(1+$N31)</f>
        <v>1273.08</v>
      </c>
      <c r="G31" s="4">
        <f>F31*(1+$N31)</f>
        <v>1311.2724000000001</v>
      </c>
      <c r="H31" s="4">
        <f>G31*(1+$N31)</f>
        <v>1350.610572</v>
      </c>
      <c r="I31" s="4">
        <f t="shared" ref="I31:M31" si="11">H31*(1+$N31)</f>
        <v>1391.12888916</v>
      </c>
      <c r="J31" s="4">
        <f t="shared" si="11"/>
        <v>1432.8627558348001</v>
      </c>
      <c r="K31" s="4">
        <f t="shared" si="11"/>
        <v>1475.848638509844</v>
      </c>
      <c r="L31" s="4">
        <f t="shared" si="11"/>
        <v>1520.1240976651393</v>
      </c>
      <c r="M31" s="4">
        <f t="shared" si="11"/>
        <v>1565.7278205950936</v>
      </c>
      <c r="N31" s="28">
        <v>0.03</v>
      </c>
      <c r="O31" s="1" t="s">
        <v>23</v>
      </c>
      <c r="Q31" s="14"/>
    </row>
    <row r="32" spans="1:17" x14ac:dyDescent="0.25"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5" x14ac:dyDescent="0.25">
      <c r="A33" s="1" t="s">
        <v>86</v>
      </c>
      <c r="D33" s="54">
        <f>+D51/$N$33</f>
        <v>6666.666666666667</v>
      </c>
      <c r="E33" s="54">
        <f t="shared" ref="E33:M33" si="12">+E51/$N$33</f>
        <v>6666.666666666667</v>
      </c>
      <c r="F33" s="54">
        <f t="shared" si="12"/>
        <v>6666.666666666667</v>
      </c>
      <c r="G33" s="54">
        <f t="shared" si="12"/>
        <v>6666.666666666667</v>
      </c>
      <c r="H33" s="54">
        <f t="shared" si="12"/>
        <v>6666.666666666667</v>
      </c>
      <c r="I33" s="54">
        <f t="shared" si="12"/>
        <v>6666.666666666667</v>
      </c>
      <c r="J33" s="54">
        <f t="shared" si="12"/>
        <v>6666.666666666667</v>
      </c>
      <c r="K33" s="54">
        <f t="shared" si="12"/>
        <v>6666.666666666667</v>
      </c>
      <c r="L33" s="54">
        <f t="shared" si="12"/>
        <v>6666.666666666667</v>
      </c>
      <c r="M33" s="54">
        <f t="shared" si="12"/>
        <v>6666.666666666667</v>
      </c>
      <c r="N33" s="23">
        <v>30</v>
      </c>
      <c r="O33" s="1" t="s">
        <v>20</v>
      </c>
    </row>
    <row r="34" spans="1:15" x14ac:dyDescent="0.25">
      <c r="A34" s="1" t="s">
        <v>85</v>
      </c>
      <c r="D34" s="5">
        <f>D53/$N$34</f>
        <v>11428.571428571429</v>
      </c>
      <c r="E34" s="5">
        <f t="shared" ref="E34:M34" si="13">IF(D54=D53,0,E53/$N$34)</f>
        <v>11428.571428571429</v>
      </c>
      <c r="F34" s="5">
        <f t="shared" si="13"/>
        <v>11428.571428571429</v>
      </c>
      <c r="G34" s="5">
        <f t="shared" si="13"/>
        <v>11428.571428571429</v>
      </c>
      <c r="H34" s="5">
        <f t="shared" si="13"/>
        <v>11428.571428571429</v>
      </c>
      <c r="I34" s="5">
        <f t="shared" si="13"/>
        <v>11428.571428571429</v>
      </c>
      <c r="J34" s="5">
        <f t="shared" si="13"/>
        <v>11428.571428571429</v>
      </c>
      <c r="K34" s="5">
        <f t="shared" si="13"/>
        <v>0</v>
      </c>
      <c r="L34" s="5">
        <f t="shared" si="13"/>
        <v>0</v>
      </c>
      <c r="M34" s="5">
        <f t="shared" si="13"/>
        <v>0</v>
      </c>
      <c r="N34" s="7">
        <v>7</v>
      </c>
      <c r="O34" s="1" t="s">
        <v>20</v>
      </c>
    </row>
    <row r="35" spans="1:15" x14ac:dyDescent="0.25">
      <c r="N35" s="1"/>
    </row>
    <row r="36" spans="1:15" x14ac:dyDescent="0.25">
      <c r="A36" s="1" t="s">
        <v>84</v>
      </c>
      <c r="D36" s="5">
        <f>+Mortgage!E15</f>
        <v>15959.968423683988</v>
      </c>
      <c r="E36" s="5">
        <f>+Mortgage!E29</f>
        <v>15866.836022331328</v>
      </c>
      <c r="F36" s="5">
        <f>+Mortgage!E43</f>
        <v>15763.951441554869</v>
      </c>
      <c r="G36" s="5">
        <f>+Mortgage!E57</f>
        <v>15650.293500732889</v>
      </c>
      <c r="H36" s="5">
        <f>+Mortgage!E71</f>
        <v>15535.681526779423</v>
      </c>
      <c r="I36" s="5">
        <f>+Mortgage!E85</f>
        <v>15410.114572751356</v>
      </c>
      <c r="J36" s="5">
        <f>+Mortgage!E99</f>
        <v>15272.545526516376</v>
      </c>
      <c r="K36" s="5">
        <f>+Mortgage!E113</f>
        <v>15121.827189606076</v>
      </c>
      <c r="L36" s="5">
        <f>+Mortgage!E127</f>
        <v>14956.702710642941</v>
      </c>
      <c r="M36" s="5">
        <f>+Mortgage!E141</f>
        <v>14775.795104363593</v>
      </c>
    </row>
    <row r="37" spans="1:15" x14ac:dyDescent="0.25">
      <c r="A37" s="1" t="s">
        <v>30</v>
      </c>
      <c r="D37" s="5">
        <f t="shared" ref="D37:M37" si="14">D65*$N$37</f>
        <v>8514.0321820381887</v>
      </c>
      <c r="E37" s="5">
        <f t="shared" si="14"/>
        <v>6088.4706092144515</v>
      </c>
      <c r="F37" s="5">
        <f t="shared" si="14"/>
        <v>2877.9580123589426</v>
      </c>
      <c r="G37" s="5">
        <f t="shared" si="14"/>
        <v>0</v>
      </c>
      <c r="H37" s="5">
        <f t="shared" si="14"/>
        <v>0</v>
      </c>
      <c r="I37" s="5">
        <f t="shared" si="14"/>
        <v>0</v>
      </c>
      <c r="J37" s="5">
        <f t="shared" si="14"/>
        <v>0</v>
      </c>
      <c r="K37" s="5">
        <f t="shared" si="14"/>
        <v>0</v>
      </c>
      <c r="L37" s="5">
        <f t="shared" si="14"/>
        <v>0</v>
      </c>
      <c r="M37" s="5">
        <f t="shared" si="14"/>
        <v>0</v>
      </c>
      <c r="N37" s="28">
        <v>0.15</v>
      </c>
      <c r="O37" s="1" t="s">
        <v>21</v>
      </c>
    </row>
    <row r="38" spans="1:15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5" x14ac:dyDescent="0.25">
      <c r="A39" s="1" t="s">
        <v>4</v>
      </c>
      <c r="D39" s="5">
        <f t="shared" ref="D39:M39" si="15">SUM(D23:D23)-SUM(D25:D37)</f>
        <v>-11448.238700960283</v>
      </c>
      <c r="E39" s="5">
        <f t="shared" si="15"/>
        <v>-456.40537678389228</v>
      </c>
      <c r="F39" s="5">
        <f t="shared" si="15"/>
        <v>4904.2904146655637</v>
      </c>
      <c r="G39" s="5">
        <f t="shared" si="15"/>
        <v>10048.500109899382</v>
      </c>
      <c r="H39" s="5">
        <f t="shared" si="15"/>
        <v>12426.399686457531</v>
      </c>
      <c r="I39" s="5">
        <f t="shared" si="15"/>
        <v>14931.623143723846</v>
      </c>
      <c r="J39" s="5">
        <f t="shared" si="15"/>
        <v>17571.183068263606</v>
      </c>
      <c r="K39" s="5">
        <f t="shared" si="15"/>
        <v>31781.06884428105</v>
      </c>
      <c r="L39" s="5">
        <f t="shared" si="15"/>
        <v>34711.9861129481</v>
      </c>
      <c r="M39" s="5">
        <f t="shared" si="15"/>
        <v>37800.812229260948</v>
      </c>
    </row>
    <row r="40" spans="1:15" x14ac:dyDescent="0.25">
      <c r="A40" s="1" t="s">
        <v>5</v>
      </c>
      <c r="D40" s="5">
        <f>IF(D39&lt;0,0,D39*$N$40)</f>
        <v>0</v>
      </c>
      <c r="E40" s="5">
        <f>IF(E39&lt;0,0,E39*$N$40)</f>
        <v>0</v>
      </c>
      <c r="F40" s="5">
        <f>IF(F39&lt;0,0,F39*$N$40)</f>
        <v>882.77227463980148</v>
      </c>
      <c r="G40" s="5">
        <f>IF(G39&lt;0,0,G39*$N$40)</f>
        <v>1808.7300197818886</v>
      </c>
      <c r="H40" s="5">
        <f>IF(H39&lt;0,0,H39*$N$40)</f>
        <v>2236.7519435623553</v>
      </c>
      <c r="I40" s="5">
        <f t="shared" ref="I40:M40" si="16">IF(I39&lt;0,0,I39*$N$40)</f>
        <v>2687.6921658702922</v>
      </c>
      <c r="J40" s="5">
        <f t="shared" si="16"/>
        <v>3162.8129522874492</v>
      </c>
      <c r="K40" s="5">
        <f t="shared" si="16"/>
        <v>5720.5923919705883</v>
      </c>
      <c r="L40" s="5">
        <f t="shared" si="16"/>
        <v>6248.157500330658</v>
      </c>
      <c r="M40" s="5">
        <f t="shared" si="16"/>
        <v>6804.1462012669699</v>
      </c>
      <c r="N40" s="28">
        <v>0.18</v>
      </c>
      <c r="O40" s="1" t="s">
        <v>22</v>
      </c>
    </row>
    <row r="41" spans="1:15" x14ac:dyDescent="0.25">
      <c r="A41" s="3" t="s">
        <v>6</v>
      </c>
      <c r="D41" s="5">
        <f>D39-D40</f>
        <v>-11448.238700960283</v>
      </c>
      <c r="E41" s="5">
        <f t="shared" ref="E41:H41" si="17">E39-E40</f>
        <v>-456.40537678389228</v>
      </c>
      <c r="F41" s="5">
        <f t="shared" si="17"/>
        <v>4021.5181400257625</v>
      </c>
      <c r="G41" s="5">
        <f t="shared" si="17"/>
        <v>8239.770090117494</v>
      </c>
      <c r="H41" s="5">
        <f t="shared" si="17"/>
        <v>10189.647742895177</v>
      </c>
      <c r="I41" s="5">
        <f t="shared" ref="I41:M41" si="18">I39-I40</f>
        <v>12243.930977853553</v>
      </c>
      <c r="J41" s="5">
        <f t="shared" si="18"/>
        <v>14408.370115976157</v>
      </c>
      <c r="K41" s="5">
        <f t="shared" si="18"/>
        <v>26060.47645231046</v>
      </c>
      <c r="L41" s="5">
        <f t="shared" si="18"/>
        <v>28463.828612617443</v>
      </c>
      <c r="M41" s="5">
        <f t="shared" si="18"/>
        <v>30996.666027993979</v>
      </c>
    </row>
    <row r="42" spans="1:15" x14ac:dyDescent="0.25"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5" x14ac:dyDescent="0.25">
      <c r="A43" s="3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5" x14ac:dyDescent="0.25">
      <c r="A44" s="3" t="s">
        <v>8</v>
      </c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5" x14ac:dyDescent="0.25">
      <c r="A45" s="1" t="s">
        <v>26</v>
      </c>
      <c r="D45" s="66">
        <v>2000</v>
      </c>
      <c r="E45" s="66">
        <v>2000</v>
      </c>
      <c r="F45" s="66">
        <v>2000</v>
      </c>
      <c r="G45" s="66">
        <v>2000</v>
      </c>
      <c r="H45" s="66">
        <v>2000</v>
      </c>
      <c r="I45" s="66">
        <v>2000</v>
      </c>
      <c r="J45" s="66">
        <v>2000</v>
      </c>
      <c r="K45" s="66">
        <v>2000</v>
      </c>
      <c r="L45" s="66">
        <v>2000</v>
      </c>
      <c r="M45" s="66">
        <v>2000</v>
      </c>
      <c r="N45" s="12"/>
    </row>
    <row r="46" spans="1:15" x14ac:dyDescent="0.25">
      <c r="A46" s="1" t="s">
        <v>25</v>
      </c>
      <c r="D46" s="5">
        <v>0</v>
      </c>
      <c r="E46" s="5">
        <v>0</v>
      </c>
      <c r="F46" s="5">
        <v>0</v>
      </c>
      <c r="G46" s="5">
        <v>6339</v>
      </c>
      <c r="H46" s="5">
        <v>33278</v>
      </c>
      <c r="I46" s="5">
        <v>62151</v>
      </c>
      <c r="J46" s="5">
        <v>93055</v>
      </c>
      <c r="K46" s="5">
        <v>126095</v>
      </c>
      <c r="L46" s="5">
        <v>159322</v>
      </c>
      <c r="M46" s="5">
        <v>194909</v>
      </c>
      <c r="N46" s="28"/>
    </row>
    <row r="47" spans="1:15" x14ac:dyDescent="0.25">
      <c r="A47" s="1" t="s">
        <v>9</v>
      </c>
      <c r="D47" s="8">
        <f t="shared" ref="D47:M47" si="19">D23/365*D9</f>
        <v>9517.8082191780832</v>
      </c>
      <c r="E47" s="8">
        <f t="shared" si="19"/>
        <v>10003.692328767123</v>
      </c>
      <c r="F47" s="8">
        <f t="shared" si="19"/>
        <v>10514.380822150682</v>
      </c>
      <c r="G47" s="8">
        <f t="shared" si="19"/>
        <v>11051.139963121475</v>
      </c>
      <c r="H47" s="8">
        <f t="shared" si="19"/>
        <v>11615.300658238826</v>
      </c>
      <c r="I47" s="8">
        <f t="shared" si="19"/>
        <v>12208.261756841917</v>
      </c>
      <c r="J47" s="8">
        <f t="shared" si="19"/>
        <v>12831.493519528696</v>
      </c>
      <c r="K47" s="8">
        <f t="shared" si="19"/>
        <v>13486.541263700632</v>
      </c>
      <c r="L47" s="8">
        <f t="shared" si="19"/>
        <v>14175.029195212546</v>
      </c>
      <c r="M47" s="8">
        <f t="shared" si="19"/>
        <v>14898.664435628149</v>
      </c>
    </row>
    <row r="48" spans="1:15" x14ac:dyDescent="0.25">
      <c r="A48" s="1" t="s">
        <v>10</v>
      </c>
      <c r="D48" s="8">
        <f t="shared" ref="D48:M48" si="20">D25/365*D11</f>
        <v>4758.9041095890416</v>
      </c>
      <c r="E48" s="8">
        <f t="shared" si="20"/>
        <v>5001.8461643835617</v>
      </c>
      <c r="F48" s="8">
        <f t="shared" si="20"/>
        <v>5257.1904110753412</v>
      </c>
      <c r="G48" s="8">
        <f t="shared" si="20"/>
        <v>5525.5699815607377</v>
      </c>
      <c r="H48" s="8">
        <f t="shared" si="20"/>
        <v>5807.6503291194131</v>
      </c>
      <c r="I48" s="8">
        <f t="shared" si="20"/>
        <v>6104.1308784209587</v>
      </c>
      <c r="J48" s="8">
        <f t="shared" si="20"/>
        <v>6415.7467597643481</v>
      </c>
      <c r="K48" s="8">
        <f t="shared" si="20"/>
        <v>6743.270631850316</v>
      </c>
      <c r="L48" s="8">
        <f t="shared" si="20"/>
        <v>7087.5145976062731</v>
      </c>
      <c r="M48" s="8">
        <f t="shared" si="20"/>
        <v>7449.3322178140743</v>
      </c>
      <c r="O48" s="14"/>
    </row>
    <row r="49" spans="1:19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O49" s="14"/>
    </row>
    <row r="50" spans="1:19" x14ac:dyDescent="0.25">
      <c r="A50" s="1" t="s">
        <v>48</v>
      </c>
      <c r="D50" s="8">
        <f>+D15*D16</f>
        <v>10700</v>
      </c>
      <c r="E50" s="8">
        <f>+$D$50</f>
        <v>10700</v>
      </c>
      <c r="F50" s="8">
        <f t="shared" ref="F50:M50" si="21">+$D$50</f>
        <v>10700</v>
      </c>
      <c r="G50" s="8">
        <f t="shared" si="21"/>
        <v>10700</v>
      </c>
      <c r="H50" s="8">
        <f t="shared" si="21"/>
        <v>10700</v>
      </c>
      <c r="I50" s="8">
        <f t="shared" si="21"/>
        <v>10700</v>
      </c>
      <c r="J50" s="8">
        <f t="shared" si="21"/>
        <v>10700</v>
      </c>
      <c r="K50" s="8">
        <f t="shared" si="21"/>
        <v>10700</v>
      </c>
      <c r="L50" s="8">
        <f t="shared" si="21"/>
        <v>10700</v>
      </c>
      <c r="M50" s="8">
        <f t="shared" si="21"/>
        <v>10700</v>
      </c>
      <c r="O50" s="29"/>
    </row>
    <row r="51" spans="1:19" x14ac:dyDescent="0.25">
      <c r="A51" s="1" t="s">
        <v>47</v>
      </c>
      <c r="D51" s="5">
        <f>+D17</f>
        <v>200000</v>
      </c>
      <c r="E51" s="5">
        <f>+$D$51</f>
        <v>200000</v>
      </c>
      <c r="F51" s="5">
        <f t="shared" ref="F51:M51" si="22">+$D$51</f>
        <v>200000</v>
      </c>
      <c r="G51" s="5">
        <f t="shared" si="22"/>
        <v>200000</v>
      </c>
      <c r="H51" s="5">
        <f t="shared" si="22"/>
        <v>200000</v>
      </c>
      <c r="I51" s="5">
        <f t="shared" si="22"/>
        <v>200000</v>
      </c>
      <c r="J51" s="5">
        <f t="shared" si="22"/>
        <v>200000</v>
      </c>
      <c r="K51" s="5">
        <f t="shared" si="22"/>
        <v>200000</v>
      </c>
      <c r="L51" s="5">
        <f t="shared" si="22"/>
        <v>200000</v>
      </c>
      <c r="M51" s="5">
        <f t="shared" si="22"/>
        <v>200000</v>
      </c>
    </row>
    <row r="52" spans="1:19" x14ac:dyDescent="0.25">
      <c r="A52" s="1" t="s">
        <v>87</v>
      </c>
      <c r="D52" s="5">
        <f>IF(C52&gt;=D51,D51,C52+D33)</f>
        <v>6666.666666666667</v>
      </c>
      <c r="E52" s="5">
        <f t="shared" ref="E52:M52" si="23">IF(D52&gt;=E51,E51,D52+E33)</f>
        <v>13333.333333333334</v>
      </c>
      <c r="F52" s="5">
        <f t="shared" si="23"/>
        <v>20000</v>
      </c>
      <c r="G52" s="5">
        <f t="shared" si="23"/>
        <v>26666.666666666668</v>
      </c>
      <c r="H52" s="5">
        <f t="shared" si="23"/>
        <v>33333.333333333336</v>
      </c>
      <c r="I52" s="5">
        <f t="shared" si="23"/>
        <v>40000</v>
      </c>
      <c r="J52" s="5">
        <f t="shared" si="23"/>
        <v>46666.666666666664</v>
      </c>
      <c r="K52" s="5">
        <f t="shared" si="23"/>
        <v>53333.333333333328</v>
      </c>
      <c r="L52" s="5">
        <f t="shared" si="23"/>
        <v>59999.999999999993</v>
      </c>
      <c r="M52" s="5">
        <f t="shared" si="23"/>
        <v>66666.666666666657</v>
      </c>
    </row>
    <row r="53" spans="1:19" x14ac:dyDescent="0.25">
      <c r="A53" s="1" t="s">
        <v>38</v>
      </c>
      <c r="D53" s="5">
        <f>+D18</f>
        <v>80000</v>
      </c>
      <c r="E53" s="5">
        <f>D53</f>
        <v>80000</v>
      </c>
      <c r="F53" s="5">
        <f>E53</f>
        <v>80000</v>
      </c>
      <c r="G53" s="5">
        <f>F53</f>
        <v>80000</v>
      </c>
      <c r="H53" s="5">
        <f>G53</f>
        <v>80000</v>
      </c>
      <c r="I53" s="5">
        <f t="shared" ref="I53:M53" si="24">H53</f>
        <v>80000</v>
      </c>
      <c r="J53" s="5">
        <f t="shared" si="24"/>
        <v>80000</v>
      </c>
      <c r="K53" s="5">
        <f t="shared" si="24"/>
        <v>80000</v>
      </c>
      <c r="L53" s="5">
        <f t="shared" si="24"/>
        <v>80000</v>
      </c>
      <c r="M53" s="5">
        <f t="shared" si="24"/>
        <v>80000</v>
      </c>
      <c r="R53" s="1" t="s">
        <v>90</v>
      </c>
    </row>
    <row r="54" spans="1:19" x14ac:dyDescent="0.25">
      <c r="A54" s="1" t="s">
        <v>88</v>
      </c>
      <c r="D54" s="5">
        <f t="shared" ref="D54:M54" si="25">IF(C54&gt;=D53,D53,C54+D34)</f>
        <v>11428.571428571429</v>
      </c>
      <c r="E54" s="5">
        <f t="shared" si="25"/>
        <v>22857.142857142859</v>
      </c>
      <c r="F54" s="5">
        <f t="shared" si="25"/>
        <v>34285.71428571429</v>
      </c>
      <c r="G54" s="5">
        <f t="shared" si="25"/>
        <v>45714.285714285717</v>
      </c>
      <c r="H54" s="5">
        <f t="shared" si="25"/>
        <v>57142.857142857145</v>
      </c>
      <c r="I54" s="5">
        <f t="shared" si="25"/>
        <v>68571.42857142858</v>
      </c>
      <c r="J54" s="5">
        <f t="shared" si="25"/>
        <v>80000.000000000015</v>
      </c>
      <c r="K54" s="5">
        <f t="shared" si="25"/>
        <v>80000</v>
      </c>
      <c r="L54" s="5">
        <f t="shared" si="25"/>
        <v>80000</v>
      </c>
      <c r="M54" s="5">
        <f t="shared" si="25"/>
        <v>80000</v>
      </c>
      <c r="O54" s="6"/>
      <c r="R54" s="1">
        <v>0.62</v>
      </c>
    </row>
    <row r="55" spans="1:19" x14ac:dyDescent="0.25">
      <c r="A55" s="1" t="s">
        <v>89</v>
      </c>
      <c r="D55" s="5">
        <f>+D52+D54</f>
        <v>18095.238095238095</v>
      </c>
      <c r="E55" s="5">
        <f t="shared" ref="E55:M55" si="26">+E52+E54</f>
        <v>36190.476190476191</v>
      </c>
      <c r="F55" s="5">
        <f t="shared" si="26"/>
        <v>54285.71428571429</v>
      </c>
      <c r="G55" s="5">
        <f t="shared" si="26"/>
        <v>72380.952380952382</v>
      </c>
      <c r="H55" s="5">
        <f t="shared" si="26"/>
        <v>90476.190476190473</v>
      </c>
      <c r="I55" s="5">
        <f t="shared" si="26"/>
        <v>108571.42857142858</v>
      </c>
      <c r="J55" s="5">
        <f t="shared" si="26"/>
        <v>126666.66666666669</v>
      </c>
      <c r="K55" s="5">
        <f t="shared" si="26"/>
        <v>133333.33333333331</v>
      </c>
      <c r="L55" s="5">
        <f t="shared" si="26"/>
        <v>140000</v>
      </c>
      <c r="M55" s="5">
        <f t="shared" si="26"/>
        <v>146666.66666666666</v>
      </c>
    </row>
    <row r="56" spans="1:19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  <c r="O56" s="1" t="s">
        <v>81</v>
      </c>
      <c r="P56" s="26">
        <v>2.5000000000000001E-2</v>
      </c>
      <c r="R56" s="1">
        <f>+R54*(1+(1-N40)*(O64+O65)/O68)</f>
        <v>1.3736305593467686</v>
      </c>
    </row>
    <row r="57" spans="1:19" ht="15" customHeight="1" x14ac:dyDescent="0.25">
      <c r="A57" s="3" t="s">
        <v>12</v>
      </c>
      <c r="D57" s="5">
        <f>+SUM(D45:D51,D53)-D55</f>
        <v>288881.47423352901</v>
      </c>
      <c r="E57" s="5">
        <f t="shared" ref="E57:M57" si="27">+SUM(E45:E51,E53)-E55</f>
        <v>271515.06230267446</v>
      </c>
      <c r="F57" s="5">
        <f t="shared" si="27"/>
        <v>254185.8569475117</v>
      </c>
      <c r="G57" s="5">
        <f t="shared" si="27"/>
        <v>243234.75756372983</v>
      </c>
      <c r="H57" s="5">
        <f t="shared" si="27"/>
        <v>252924.76051116775</v>
      </c>
      <c r="I57" s="5">
        <f t="shared" si="27"/>
        <v>264591.96406383428</v>
      </c>
      <c r="J57" s="5">
        <f t="shared" si="27"/>
        <v>278335.57361262635</v>
      </c>
      <c r="K57" s="5">
        <f t="shared" si="27"/>
        <v>305691.47856221761</v>
      </c>
      <c r="L57" s="5">
        <f t="shared" si="27"/>
        <v>333284.54379281879</v>
      </c>
      <c r="M57" s="5">
        <f t="shared" si="27"/>
        <v>363290.32998677564</v>
      </c>
      <c r="O57" s="1" t="s">
        <v>82</v>
      </c>
      <c r="P57" s="24">
        <v>0.09</v>
      </c>
    </row>
    <row r="58" spans="1:19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O58" s="1" t="s">
        <v>83</v>
      </c>
      <c r="P58" s="25">
        <f>+R56</f>
        <v>1.3736305593467686</v>
      </c>
    </row>
    <row r="59" spans="1:19" x14ac:dyDescent="0.25">
      <c r="A59" s="3" t="s">
        <v>11</v>
      </c>
      <c r="D59" s="5"/>
      <c r="E59" s="5"/>
      <c r="F59" s="5"/>
      <c r="G59" s="5"/>
      <c r="H59" s="5"/>
      <c r="I59" s="5"/>
      <c r="J59" s="5"/>
      <c r="K59" s="5"/>
      <c r="L59" s="5"/>
      <c r="M59" s="5"/>
      <c r="O59" s="1" t="s">
        <v>54</v>
      </c>
      <c r="P59" s="26">
        <f>+P56+(P58)*(P57-P56)</f>
        <v>0.11428598635753998</v>
      </c>
    </row>
    <row r="60" spans="1:19" x14ac:dyDescent="0.25">
      <c r="A60" s="1" t="s">
        <v>13</v>
      </c>
      <c r="D60" s="5">
        <f t="shared" ref="D60:M60" si="28">D40</f>
        <v>0</v>
      </c>
      <c r="E60" s="5">
        <f t="shared" si="28"/>
        <v>0</v>
      </c>
      <c r="F60" s="5">
        <f t="shared" si="28"/>
        <v>882.77227463980148</v>
      </c>
      <c r="G60" s="5">
        <f t="shared" si="28"/>
        <v>1808.7300197818886</v>
      </c>
      <c r="H60" s="5">
        <f t="shared" si="28"/>
        <v>2236.7519435623553</v>
      </c>
      <c r="I60" s="5">
        <f t="shared" si="28"/>
        <v>2687.6921658702922</v>
      </c>
      <c r="J60" s="5">
        <f t="shared" si="28"/>
        <v>3162.8129522874492</v>
      </c>
      <c r="K60" s="5">
        <f t="shared" si="28"/>
        <v>5720.5923919705883</v>
      </c>
      <c r="L60" s="5">
        <f t="shared" si="28"/>
        <v>6248.157500330658</v>
      </c>
      <c r="M60" s="5">
        <f t="shared" si="28"/>
        <v>6804.1462012669699</v>
      </c>
      <c r="N60" s="1"/>
      <c r="S60" s="29"/>
    </row>
    <row r="61" spans="1:19" x14ac:dyDescent="0.25">
      <c r="A61" s="1" t="s">
        <v>14</v>
      </c>
      <c r="D61" s="8">
        <f t="shared" ref="D61:M61" si="29">D25/365*D14</f>
        <v>4758.9041095890416</v>
      </c>
      <c r="E61" s="8">
        <f t="shared" si="29"/>
        <v>5001.8461643835617</v>
      </c>
      <c r="F61" s="8">
        <f t="shared" si="29"/>
        <v>5257.1904110753412</v>
      </c>
      <c r="G61" s="8">
        <f t="shared" si="29"/>
        <v>5525.5699815607377</v>
      </c>
      <c r="H61" s="8">
        <f t="shared" si="29"/>
        <v>5807.6503291194131</v>
      </c>
      <c r="I61" s="8">
        <f t="shared" si="29"/>
        <v>6104.1308784209587</v>
      </c>
      <c r="J61" s="8">
        <f t="shared" si="29"/>
        <v>6415.7467597643481</v>
      </c>
      <c r="K61" s="8">
        <f t="shared" si="29"/>
        <v>6743.270631850316</v>
      </c>
      <c r="L61" s="8">
        <f t="shared" si="29"/>
        <v>7087.5145976062731</v>
      </c>
      <c r="M61" s="8">
        <f t="shared" si="29"/>
        <v>7449.3322178140743</v>
      </c>
      <c r="N61" s="1"/>
      <c r="S61" s="30"/>
    </row>
    <row r="62" spans="1:19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  <c r="N62" s="1"/>
    </row>
    <row r="63" spans="1:19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  <c r="N63" s="1" t="s">
        <v>49</v>
      </c>
      <c r="O63" s="29" t="s">
        <v>50</v>
      </c>
      <c r="P63" s="29" t="s">
        <v>51</v>
      </c>
      <c r="Q63" s="31" t="s">
        <v>52</v>
      </c>
      <c r="R63" s="31" t="s">
        <v>53</v>
      </c>
      <c r="S63" s="30"/>
    </row>
    <row r="64" spans="1:19" x14ac:dyDescent="0.25">
      <c r="A64" s="1" t="s">
        <v>56</v>
      </c>
      <c r="D64" s="8">
        <f>+Mortgage!G14</f>
        <v>159110.59427797905</v>
      </c>
      <c r="E64" s="8">
        <f>+Mortgage!G28</f>
        <v>158128.05615460547</v>
      </c>
      <c r="F64" s="8">
        <f>+Mortgage!G42</f>
        <v>157042.63345045544</v>
      </c>
      <c r="G64" s="8">
        <f>+Mortgage!G56</f>
        <v>155843.5528054834</v>
      </c>
      <c r="H64" s="8">
        <f>+Mortgage!G70</f>
        <v>154634.40720020721</v>
      </c>
      <c r="I64" s="8">
        <f>+Mortgage!G84</f>
        <v>153309.68757978955</v>
      </c>
      <c r="J64" s="8">
        <f>+Mortgage!G98</f>
        <v>151858.34700917339</v>
      </c>
      <c r="K64" s="8">
        <f>+Mortgage!G112</f>
        <v>150268.28265181734</v>
      </c>
      <c r="L64" s="8">
        <f>+Mortgage!G126</f>
        <v>148526.23484324489</v>
      </c>
      <c r="M64" s="8">
        <f>+Mortgage!G140</f>
        <v>146617.6765177201</v>
      </c>
      <c r="N64" s="32">
        <f>+AVERAGE(D64:M64)</f>
        <v>153533.94724904763</v>
      </c>
      <c r="O64" s="33">
        <f>+N64/$N$69</f>
        <v>0.55502894650686874</v>
      </c>
      <c r="P64" s="30">
        <f>+Mortgage!J3</f>
        <v>0.1</v>
      </c>
      <c r="Q64" s="30">
        <f>P64*(1-0.35)</f>
        <v>6.5000000000000002E-2</v>
      </c>
      <c r="R64" s="30">
        <f>Q64*O64</f>
        <v>3.6076881522946469E-2</v>
      </c>
      <c r="S64" s="30"/>
    </row>
    <row r="65" spans="1:19" x14ac:dyDescent="0.25">
      <c r="A65" s="1" t="s">
        <v>27</v>
      </c>
      <c r="D65" s="5">
        <v>56760.214546921256</v>
      </c>
      <c r="E65" s="5">
        <v>40589.804061429677</v>
      </c>
      <c r="F65" s="5">
        <v>19186.386749059617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2">
        <f t="shared" ref="N65:N68" si="30">+AVERAGE(D65:M65)</f>
        <v>11653.640535741055</v>
      </c>
      <c r="O65" s="33">
        <f>+N65/$N$69</f>
        <v>4.2128193441351262E-2</v>
      </c>
      <c r="P65" s="30">
        <f>+N37</f>
        <v>0.15</v>
      </c>
      <c r="Q65" s="30">
        <f t="shared" ref="Q65" si="31">P65*(1-0.35)</f>
        <v>9.7500000000000003E-2</v>
      </c>
      <c r="R65" s="30">
        <f t="shared" ref="R65:R68" si="32">Q65*O65</f>
        <v>4.1074988605317485E-3</v>
      </c>
      <c r="S65" s="30"/>
    </row>
    <row r="66" spans="1:19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32"/>
      <c r="O66" s="34"/>
      <c r="P66" s="30"/>
      <c r="Q66" s="30"/>
      <c r="R66" s="30"/>
      <c r="S66" s="30"/>
    </row>
    <row r="67" spans="1:19" x14ac:dyDescent="0.25">
      <c r="A67" s="1" t="s">
        <v>28</v>
      </c>
      <c r="D67" s="5">
        <f>10700+69000</f>
        <v>79700</v>
      </c>
      <c r="E67" s="5">
        <f>+$D$67</f>
        <v>79700</v>
      </c>
      <c r="F67" s="5">
        <f t="shared" ref="F67:M67" si="33">+$D$67</f>
        <v>79700</v>
      </c>
      <c r="G67" s="5">
        <f t="shared" si="33"/>
        <v>79700</v>
      </c>
      <c r="H67" s="5">
        <f t="shared" si="33"/>
        <v>79700</v>
      </c>
      <c r="I67" s="5">
        <f t="shared" si="33"/>
        <v>79700</v>
      </c>
      <c r="J67" s="5">
        <f t="shared" si="33"/>
        <v>79700</v>
      </c>
      <c r="K67" s="5">
        <f t="shared" si="33"/>
        <v>79700</v>
      </c>
      <c r="L67" s="5">
        <f t="shared" si="33"/>
        <v>79700</v>
      </c>
      <c r="M67" s="5">
        <f t="shared" si="33"/>
        <v>79700</v>
      </c>
      <c r="N67" s="32">
        <f t="shared" si="30"/>
        <v>79700</v>
      </c>
      <c r="O67" s="34"/>
      <c r="P67" s="35" t="s">
        <v>54</v>
      </c>
      <c r="Q67" s="30"/>
      <c r="R67" s="30"/>
      <c r="S67" s="30"/>
    </row>
    <row r="68" spans="1:19" x14ac:dyDescent="0.25">
      <c r="A68" s="1" t="s">
        <v>15</v>
      </c>
      <c r="D68" s="5">
        <f t="shared" ref="D68:M68" si="34">C68+D41</f>
        <v>-11448.238700960283</v>
      </c>
      <c r="E68" s="5">
        <f t="shared" si="34"/>
        <v>-11904.644077744175</v>
      </c>
      <c r="F68" s="5">
        <f t="shared" si="34"/>
        <v>-7883.1259377184124</v>
      </c>
      <c r="G68" s="5">
        <f t="shared" si="34"/>
        <v>356.64415239908158</v>
      </c>
      <c r="H68" s="5">
        <f t="shared" si="34"/>
        <v>10546.291895294258</v>
      </c>
      <c r="I68" s="5">
        <f t="shared" si="34"/>
        <v>22790.22287314781</v>
      </c>
      <c r="J68" s="5">
        <f t="shared" si="34"/>
        <v>37198.592989123965</v>
      </c>
      <c r="K68" s="5">
        <f t="shared" si="34"/>
        <v>63259.069441434425</v>
      </c>
      <c r="L68" s="5">
        <f t="shared" si="34"/>
        <v>91722.898054051868</v>
      </c>
      <c r="M68" s="5">
        <f t="shared" si="34"/>
        <v>122719.56408204585</v>
      </c>
      <c r="N68" s="32">
        <f t="shared" si="30"/>
        <v>31735.727477107441</v>
      </c>
      <c r="O68" s="33">
        <f>(N67+N68)/N69</f>
        <v>0.40284286005178005</v>
      </c>
      <c r="P68" s="30">
        <f>+P59</f>
        <v>0.11428598635753998</v>
      </c>
      <c r="Q68" s="30">
        <f>P68</f>
        <v>0.11428598635753998</v>
      </c>
      <c r="R68" s="30">
        <f t="shared" si="32"/>
        <v>4.603929360811012E-2</v>
      </c>
      <c r="S68" s="30"/>
    </row>
    <row r="69" spans="1:19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36">
        <f>SUM(N64:N68)</f>
        <v>276623.31526189612</v>
      </c>
      <c r="O69" s="40">
        <f>SUM(O64:O68)</f>
        <v>1</v>
      </c>
      <c r="P69" s="30"/>
      <c r="Q69" s="30"/>
      <c r="R69" s="37">
        <f>SUM(R64:R68)</f>
        <v>8.622367399158834E-2</v>
      </c>
      <c r="S69" s="38" t="s">
        <v>55</v>
      </c>
    </row>
    <row r="70" spans="1:19" x14ac:dyDescent="0.25">
      <c r="A70" s="3" t="s">
        <v>16</v>
      </c>
      <c r="D70" s="5">
        <f t="shared" ref="D70:M70" si="35">SUM(D60:D68)</f>
        <v>288881.47423352906</v>
      </c>
      <c r="E70" s="5">
        <f t="shared" si="35"/>
        <v>271515.06230267457</v>
      </c>
      <c r="F70" s="5">
        <f t="shared" si="35"/>
        <v>254185.85694751181</v>
      </c>
      <c r="G70" s="5">
        <f t="shared" si="35"/>
        <v>243234.49695922513</v>
      </c>
      <c r="H70" s="5">
        <f t="shared" si="35"/>
        <v>252925.10136818324</v>
      </c>
      <c r="I70" s="5">
        <f t="shared" si="35"/>
        <v>264591.73349722859</v>
      </c>
      <c r="J70" s="5">
        <f t="shared" si="35"/>
        <v>278335.49971034913</v>
      </c>
      <c r="K70" s="5">
        <f t="shared" si="35"/>
        <v>305691.21511707269</v>
      </c>
      <c r="L70" s="5">
        <f t="shared" si="35"/>
        <v>333284.80499523372</v>
      </c>
      <c r="M70" s="5">
        <f t="shared" si="35"/>
        <v>363290.71901884698</v>
      </c>
      <c r="N70" s="1"/>
    </row>
    <row r="71" spans="1:19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</row>
    <row r="72" spans="1:19" x14ac:dyDescent="0.25">
      <c r="A72" s="1" t="s">
        <v>17</v>
      </c>
      <c r="D72" s="5">
        <f t="shared" ref="D72:M72" si="36">D57-D70</f>
        <v>0</v>
      </c>
      <c r="E72" s="5">
        <f t="shared" si="36"/>
        <v>0</v>
      </c>
      <c r="F72" s="5">
        <f t="shared" si="36"/>
        <v>0</v>
      </c>
      <c r="G72" s="5">
        <f t="shared" si="36"/>
        <v>0.26060450469958596</v>
      </c>
      <c r="H72" s="5">
        <f t="shared" si="36"/>
        <v>-0.34085701548610814</v>
      </c>
      <c r="I72" s="5">
        <f t="shared" si="36"/>
        <v>0.23056660569272935</v>
      </c>
      <c r="J72" s="5">
        <f t="shared" si="36"/>
        <v>7.3902277217712253E-2</v>
      </c>
      <c r="K72" s="5">
        <f t="shared" si="36"/>
        <v>0.26344514492666349</v>
      </c>
      <c r="L72" s="5">
        <f t="shared" si="36"/>
        <v>-0.26120241492753848</v>
      </c>
      <c r="M72" s="5">
        <f t="shared" si="36"/>
        <v>-0.38903207133989781</v>
      </c>
    </row>
    <row r="73" spans="1:19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9" x14ac:dyDescent="0.25">
      <c r="A74" s="3" t="s">
        <v>91</v>
      </c>
      <c r="C74" s="1">
        <v>0</v>
      </c>
      <c r="D74" s="1">
        <v>1</v>
      </c>
      <c r="E74" s="1">
        <v>2</v>
      </c>
      <c r="F74" s="1">
        <v>3</v>
      </c>
      <c r="G74" s="1">
        <v>4</v>
      </c>
      <c r="H74" s="1">
        <v>5</v>
      </c>
      <c r="I74" s="1">
        <v>6</v>
      </c>
      <c r="J74" s="1">
        <v>7</v>
      </c>
      <c r="K74" s="1">
        <v>8</v>
      </c>
      <c r="L74" s="1">
        <v>9</v>
      </c>
      <c r="M74" s="1">
        <v>10</v>
      </c>
      <c r="N74" s="5"/>
      <c r="O74" s="5"/>
      <c r="P74" s="5"/>
    </row>
    <row r="75" spans="1:19" x14ac:dyDescent="0.25">
      <c r="A75" s="1" t="s">
        <v>92</v>
      </c>
      <c r="D75" s="39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9" x14ac:dyDescent="0.25">
      <c r="B76" s="1" t="s">
        <v>93</v>
      </c>
      <c r="D76" s="39">
        <f t="shared" ref="D76:M76" si="37">D23-D25-SUM(D28:D31)</f>
        <v>31121</v>
      </c>
      <c r="E76" s="39">
        <f t="shared" si="37"/>
        <v>39594.139349999998</v>
      </c>
      <c r="F76" s="39">
        <f t="shared" si="37"/>
        <v>41641.437963817487</v>
      </c>
      <c r="G76" s="39">
        <f t="shared" si="37"/>
        <v>43794.03170587038</v>
      </c>
      <c r="H76" s="39">
        <f t="shared" si="37"/>
        <v>46057.31930847506</v>
      </c>
      <c r="I76" s="39">
        <f t="shared" si="37"/>
        <v>48436.975811713302</v>
      </c>
      <c r="J76" s="39">
        <f t="shared" si="37"/>
        <v>50938.966690018075</v>
      </c>
      <c r="K76" s="39">
        <f t="shared" si="37"/>
        <v>53569.562700553812</v>
      </c>
      <c r="L76" s="39">
        <f t="shared" si="37"/>
        <v>56335.355490257709</v>
      </c>
      <c r="M76" s="39">
        <f t="shared" si="37"/>
        <v>59243.274000291218</v>
      </c>
      <c r="N76" s="5"/>
      <c r="O76" s="5"/>
      <c r="P76" s="5"/>
    </row>
    <row r="77" spans="1:19" x14ac:dyDescent="0.25">
      <c r="B77" s="1" t="s">
        <v>94</v>
      </c>
      <c r="D77" s="39">
        <f>D33+D34</f>
        <v>18095.238095238095</v>
      </c>
      <c r="E77" s="39">
        <f t="shared" ref="E77:M77" si="38">E33+E34</f>
        <v>18095.238095238095</v>
      </c>
      <c r="F77" s="39">
        <f t="shared" si="38"/>
        <v>18095.238095238095</v>
      </c>
      <c r="G77" s="39">
        <f t="shared" si="38"/>
        <v>18095.238095238095</v>
      </c>
      <c r="H77" s="39">
        <f t="shared" si="38"/>
        <v>18095.238095238095</v>
      </c>
      <c r="I77" s="39">
        <f t="shared" si="38"/>
        <v>18095.238095238095</v>
      </c>
      <c r="J77" s="39">
        <f t="shared" si="38"/>
        <v>18095.238095238095</v>
      </c>
      <c r="K77" s="39">
        <f t="shared" si="38"/>
        <v>6666.666666666667</v>
      </c>
      <c r="L77" s="39">
        <f t="shared" si="38"/>
        <v>6666.666666666667</v>
      </c>
      <c r="M77" s="39">
        <f t="shared" si="38"/>
        <v>6666.666666666667</v>
      </c>
      <c r="N77" s="5"/>
      <c r="O77" s="5"/>
      <c r="P77" s="5"/>
    </row>
    <row r="78" spans="1:19" x14ac:dyDescent="0.25">
      <c r="B78" s="1" t="s">
        <v>95</v>
      </c>
      <c r="D78" s="39">
        <f>D76-D77</f>
        <v>13025.761904761905</v>
      </c>
      <c r="E78" s="39">
        <f t="shared" ref="E78:M78" si="39">E76-E77</f>
        <v>21498.901254761902</v>
      </c>
      <c r="F78" s="39">
        <f t="shared" si="39"/>
        <v>23546.199868579391</v>
      </c>
      <c r="G78" s="39">
        <f t="shared" si="39"/>
        <v>25698.793610632285</v>
      </c>
      <c r="H78" s="39">
        <f t="shared" si="39"/>
        <v>27962.081213236965</v>
      </c>
      <c r="I78" s="39">
        <f t="shared" si="39"/>
        <v>30341.737716475207</v>
      </c>
      <c r="J78" s="39">
        <f t="shared" si="39"/>
        <v>32843.728594779983</v>
      </c>
      <c r="K78" s="39">
        <f t="shared" si="39"/>
        <v>46902.896033887147</v>
      </c>
      <c r="L78" s="39">
        <f t="shared" si="39"/>
        <v>49668.688823591045</v>
      </c>
      <c r="M78" s="39">
        <f t="shared" si="39"/>
        <v>52576.607333624554</v>
      </c>
      <c r="N78" s="5"/>
      <c r="O78" s="5"/>
      <c r="P78" s="5"/>
    </row>
    <row r="79" spans="1:19" x14ac:dyDescent="0.25">
      <c r="B79" s="1" t="s">
        <v>96</v>
      </c>
      <c r="D79" s="39">
        <f>IF(D78&gt;0,D78*$N$40,0)</f>
        <v>2344.6371428571429</v>
      </c>
      <c r="E79" s="39">
        <f t="shared" ref="E79:M79" si="40">IF(E78&gt;0,E78*$N$40,0)</f>
        <v>3869.8022258571423</v>
      </c>
      <c r="F79" s="39">
        <f t="shared" si="40"/>
        <v>4238.31597634429</v>
      </c>
      <c r="G79" s="39">
        <f t="shared" si="40"/>
        <v>4625.7828499138113</v>
      </c>
      <c r="H79" s="39">
        <f t="shared" si="40"/>
        <v>5033.1746183826535</v>
      </c>
      <c r="I79" s="39">
        <f t="shared" si="40"/>
        <v>5461.5127889655369</v>
      </c>
      <c r="J79" s="39">
        <f t="shared" si="40"/>
        <v>5911.8711470603967</v>
      </c>
      <c r="K79" s="39">
        <f t="shared" si="40"/>
        <v>8442.5212860996871</v>
      </c>
      <c r="L79" s="39">
        <f t="shared" si="40"/>
        <v>8940.3639882463885</v>
      </c>
      <c r="M79" s="39">
        <f t="shared" si="40"/>
        <v>9463.7893200524195</v>
      </c>
      <c r="N79" s="5"/>
      <c r="O79" s="5"/>
      <c r="P79" s="5"/>
    </row>
    <row r="80" spans="1:19" x14ac:dyDescent="0.25">
      <c r="B80" s="1" t="s">
        <v>97</v>
      </c>
      <c r="D80" s="32">
        <f>D76-D79</f>
        <v>28776.362857142856</v>
      </c>
      <c r="E80" s="32">
        <f t="shared" ref="E80:M80" si="41">E76-E79</f>
        <v>35724.337124142854</v>
      </c>
      <c r="F80" s="32">
        <f t="shared" si="41"/>
        <v>37403.121987473198</v>
      </c>
      <c r="G80" s="32">
        <f t="shared" si="41"/>
        <v>39168.248855956568</v>
      </c>
      <c r="H80" s="32">
        <f t="shared" si="41"/>
        <v>41024.144690092406</v>
      </c>
      <c r="I80" s="32">
        <f t="shared" si="41"/>
        <v>42975.463022747768</v>
      </c>
      <c r="J80" s="32">
        <f t="shared" si="41"/>
        <v>45027.095542957679</v>
      </c>
      <c r="K80" s="32">
        <f t="shared" si="41"/>
        <v>45127.041414454128</v>
      </c>
      <c r="L80" s="32">
        <f t="shared" si="41"/>
        <v>47394.991502011319</v>
      </c>
      <c r="M80" s="32">
        <f t="shared" si="41"/>
        <v>49779.484680238798</v>
      </c>
      <c r="N80" s="5"/>
      <c r="O80" s="5"/>
      <c r="P80" s="5"/>
    </row>
    <row r="81" spans="1:16" x14ac:dyDescent="0.25">
      <c r="D81" s="3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25">
      <c r="A82" s="3" t="s">
        <v>98</v>
      </c>
      <c r="D82" s="3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25">
      <c r="A83" s="1" t="s">
        <v>99</v>
      </c>
      <c r="D83" s="3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25">
      <c r="A84" s="1" t="s">
        <v>100</v>
      </c>
      <c r="B84" s="1" t="s">
        <v>101</v>
      </c>
      <c r="C84" s="32">
        <f>-(D45-C45)</f>
        <v>-2000</v>
      </c>
      <c r="D84" s="32">
        <f t="shared" ref="D84" si="42">-(E45-D45)</f>
        <v>0</v>
      </c>
      <c r="E84" s="32">
        <f t="shared" ref="E84" si="43">-(F45-E45)</f>
        <v>0</v>
      </c>
      <c r="F84" s="32">
        <f t="shared" ref="F84" si="44">-(G45-F45)</f>
        <v>0</v>
      </c>
      <c r="G84" s="32">
        <f t="shared" ref="G84" si="45">-(H45-G45)</f>
        <v>0</v>
      </c>
      <c r="H84" s="32">
        <f t="shared" ref="H84" si="46">-(I45-H45)</f>
        <v>0</v>
      </c>
      <c r="I84" s="32">
        <f t="shared" ref="I84" si="47">-(J45-I45)</f>
        <v>0</v>
      </c>
      <c r="J84" s="32">
        <f t="shared" ref="J84" si="48">-(K45-J45)</f>
        <v>0</v>
      </c>
      <c r="K84" s="32">
        <f t="shared" ref="K84" si="49">-(L45-K45)</f>
        <v>0</v>
      </c>
      <c r="L84" s="32">
        <f t="shared" ref="L84" si="50">-(M45-L45)</f>
        <v>0</v>
      </c>
      <c r="M84" s="32">
        <f t="shared" ref="M84" si="51">-(N45-M45)</f>
        <v>2000</v>
      </c>
      <c r="N84" s="5"/>
      <c r="O84" s="5"/>
      <c r="P84" s="5"/>
    </row>
    <row r="85" spans="1:16" x14ac:dyDescent="0.25">
      <c r="A85" s="1" t="s">
        <v>100</v>
      </c>
      <c r="B85" s="1" t="s">
        <v>25</v>
      </c>
      <c r="C85" s="32">
        <f>-(D46-C46)</f>
        <v>0</v>
      </c>
      <c r="D85" s="32">
        <f t="shared" ref="D85:M85" si="52">-(E46-D46)</f>
        <v>0</v>
      </c>
      <c r="E85" s="32">
        <f t="shared" si="52"/>
        <v>0</v>
      </c>
      <c r="F85" s="32">
        <f t="shared" si="52"/>
        <v>-6339</v>
      </c>
      <c r="G85" s="32">
        <f t="shared" si="52"/>
        <v>-26939</v>
      </c>
      <c r="H85" s="32">
        <f t="shared" si="52"/>
        <v>-28873</v>
      </c>
      <c r="I85" s="32">
        <f t="shared" si="52"/>
        <v>-30904</v>
      </c>
      <c r="J85" s="32">
        <f t="shared" si="52"/>
        <v>-33040</v>
      </c>
      <c r="K85" s="32">
        <f t="shared" si="52"/>
        <v>-33227</v>
      </c>
      <c r="L85" s="32">
        <f t="shared" si="52"/>
        <v>-35587</v>
      </c>
      <c r="M85" s="32">
        <f t="shared" si="52"/>
        <v>194909</v>
      </c>
      <c r="N85" s="5"/>
      <c r="O85" s="5"/>
      <c r="P85" s="5"/>
    </row>
    <row r="86" spans="1:16" x14ac:dyDescent="0.25">
      <c r="A86" s="1" t="s">
        <v>100</v>
      </c>
      <c r="B86" s="1" t="s">
        <v>9</v>
      </c>
      <c r="C86" s="32">
        <f>-(D47-C47)</f>
        <v>-9517.8082191780832</v>
      </c>
      <c r="D86" s="32">
        <f t="shared" ref="D86:M86" si="53">-(E47-D47)</f>
        <v>-485.88410958904024</v>
      </c>
      <c r="E86" s="32">
        <f t="shared" si="53"/>
        <v>-510.68849338355903</v>
      </c>
      <c r="F86" s="32">
        <f t="shared" si="53"/>
        <v>-536.75914097079294</v>
      </c>
      <c r="G86" s="32">
        <f t="shared" si="53"/>
        <v>-564.16069511735077</v>
      </c>
      <c r="H86" s="32">
        <f t="shared" si="53"/>
        <v>-592.96109860309116</v>
      </c>
      <c r="I86" s="32">
        <f t="shared" si="53"/>
        <v>-623.23176268677889</v>
      </c>
      <c r="J86" s="32">
        <f t="shared" si="53"/>
        <v>-655.04774417193585</v>
      </c>
      <c r="K86" s="32">
        <f t="shared" si="53"/>
        <v>-688.48793151191421</v>
      </c>
      <c r="L86" s="32">
        <f t="shared" si="53"/>
        <v>-723.63524041560231</v>
      </c>
      <c r="M86" s="32">
        <f t="shared" si="53"/>
        <v>14898.664435628149</v>
      </c>
      <c r="N86" s="5"/>
      <c r="O86" s="5"/>
      <c r="P86" s="5"/>
    </row>
    <row r="87" spans="1:16" x14ac:dyDescent="0.25">
      <c r="A87" s="1" t="s">
        <v>100</v>
      </c>
      <c r="B87" s="1" t="s">
        <v>10</v>
      </c>
      <c r="C87" s="32">
        <f>-(D48-C48)</f>
        <v>-4758.9041095890416</v>
      </c>
      <c r="D87" s="32">
        <f t="shared" ref="D87:M87" si="54">-(E48-D48)</f>
        <v>-242.94205479452012</v>
      </c>
      <c r="E87" s="32">
        <f t="shared" si="54"/>
        <v>-255.34424669177952</v>
      </c>
      <c r="F87" s="32">
        <f t="shared" si="54"/>
        <v>-268.37957048539647</v>
      </c>
      <c r="G87" s="32">
        <f t="shared" si="54"/>
        <v>-282.08034755867538</v>
      </c>
      <c r="H87" s="32">
        <f t="shared" si="54"/>
        <v>-296.48054930154558</v>
      </c>
      <c r="I87" s="32">
        <f t="shared" si="54"/>
        <v>-311.61588134338945</v>
      </c>
      <c r="J87" s="32">
        <f t="shared" si="54"/>
        <v>-327.52387208596792</v>
      </c>
      <c r="K87" s="32">
        <f t="shared" si="54"/>
        <v>-344.24396575595711</v>
      </c>
      <c r="L87" s="32">
        <f t="shared" si="54"/>
        <v>-361.81762020780116</v>
      </c>
      <c r="M87" s="32">
        <f t="shared" si="54"/>
        <v>7449.3322178140743</v>
      </c>
      <c r="N87" s="5"/>
      <c r="O87" s="5"/>
      <c r="P87" s="5"/>
    </row>
    <row r="88" spans="1:16" x14ac:dyDescent="0.25">
      <c r="A88" s="1" t="s">
        <v>102</v>
      </c>
      <c r="B88" s="1" t="s">
        <v>14</v>
      </c>
      <c r="C88" s="32">
        <f>D61-C61</f>
        <v>4758.9041095890416</v>
      </c>
      <c r="D88" s="32">
        <f t="shared" ref="D88:M88" si="55">E61-D61</f>
        <v>242.94205479452012</v>
      </c>
      <c r="E88" s="32">
        <f t="shared" si="55"/>
        <v>255.34424669177952</v>
      </c>
      <c r="F88" s="32">
        <f t="shared" si="55"/>
        <v>268.37957048539647</v>
      </c>
      <c r="G88" s="32">
        <f t="shared" si="55"/>
        <v>282.08034755867538</v>
      </c>
      <c r="H88" s="32">
        <f t="shared" si="55"/>
        <v>296.48054930154558</v>
      </c>
      <c r="I88" s="32">
        <f t="shared" si="55"/>
        <v>311.61588134338945</v>
      </c>
      <c r="J88" s="32">
        <f t="shared" si="55"/>
        <v>327.52387208596792</v>
      </c>
      <c r="K88" s="32">
        <f t="shared" si="55"/>
        <v>344.24396575595711</v>
      </c>
      <c r="L88" s="32">
        <f t="shared" si="55"/>
        <v>361.81762020780116</v>
      </c>
      <c r="M88" s="32">
        <f t="shared" si="55"/>
        <v>-7449.3322178140743</v>
      </c>
      <c r="N88" s="5"/>
      <c r="O88" s="5"/>
      <c r="P88" s="5"/>
    </row>
    <row r="89" spans="1:16" x14ac:dyDescent="0.25">
      <c r="A89" s="1" t="s">
        <v>102</v>
      </c>
      <c r="B89" s="1" t="s">
        <v>103</v>
      </c>
      <c r="C89" s="32">
        <f>+D79-C79</f>
        <v>2344.6371428571429</v>
      </c>
      <c r="D89" s="32">
        <f t="shared" ref="D89:M89" si="56">+E79-D79</f>
        <v>1525.1650829999994</v>
      </c>
      <c r="E89" s="32">
        <f t="shared" si="56"/>
        <v>368.51375048714772</v>
      </c>
      <c r="F89" s="32">
        <f t="shared" si="56"/>
        <v>387.46687356952134</v>
      </c>
      <c r="G89" s="32">
        <f t="shared" si="56"/>
        <v>407.3917684688422</v>
      </c>
      <c r="H89" s="32">
        <f t="shared" si="56"/>
        <v>428.33817058288332</v>
      </c>
      <c r="I89" s="32">
        <f t="shared" si="56"/>
        <v>450.3583580948598</v>
      </c>
      <c r="J89" s="32">
        <f t="shared" si="56"/>
        <v>2530.6501390392905</v>
      </c>
      <c r="K89" s="32">
        <f t="shared" si="56"/>
        <v>497.84270214670141</v>
      </c>
      <c r="L89" s="32">
        <f t="shared" si="56"/>
        <v>523.42533180603095</v>
      </c>
      <c r="M89" s="32">
        <f t="shared" si="56"/>
        <v>-9463.7893200524195</v>
      </c>
      <c r="N89" s="5"/>
      <c r="O89" s="5"/>
      <c r="P89" s="5"/>
    </row>
    <row r="90" spans="1:16" x14ac:dyDescent="0.25">
      <c r="D90" s="39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5">
      <c r="D91" s="39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5">
      <c r="A92" s="1" t="s">
        <v>104</v>
      </c>
      <c r="D92" s="39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5">
      <c r="B93" s="1" t="s">
        <v>48</v>
      </c>
      <c r="C93" s="32">
        <f>-(D50-C50)</f>
        <v>-10700</v>
      </c>
      <c r="D93" s="32">
        <f t="shared" ref="D93:M93" si="57">-(E50-D50)</f>
        <v>0</v>
      </c>
      <c r="E93" s="32">
        <f t="shared" si="57"/>
        <v>0</v>
      </c>
      <c r="F93" s="32">
        <f t="shared" si="57"/>
        <v>0</v>
      </c>
      <c r="G93" s="32">
        <f t="shared" si="57"/>
        <v>0</v>
      </c>
      <c r="H93" s="32">
        <f t="shared" si="57"/>
        <v>0</v>
      </c>
      <c r="I93" s="32">
        <f t="shared" si="57"/>
        <v>0</v>
      </c>
      <c r="J93" s="32">
        <f t="shared" si="57"/>
        <v>0</v>
      </c>
      <c r="K93" s="32">
        <f t="shared" si="57"/>
        <v>0</v>
      </c>
      <c r="L93" s="32">
        <f t="shared" si="57"/>
        <v>0</v>
      </c>
      <c r="M93" s="32">
        <f t="shared" si="57"/>
        <v>10700</v>
      </c>
      <c r="N93" s="5"/>
      <c r="O93" s="5"/>
      <c r="P93" s="5"/>
    </row>
    <row r="94" spans="1:16" x14ac:dyDescent="0.25">
      <c r="B94" s="1" t="s">
        <v>105</v>
      </c>
      <c r="M94" s="1">
        <f>+M93*N94</f>
        <v>-535</v>
      </c>
      <c r="N94" s="24">
        <v>-0.05</v>
      </c>
      <c r="P94" s="5"/>
    </row>
    <row r="95" spans="1:16" x14ac:dyDescent="0.25">
      <c r="B95" s="1" t="s">
        <v>106</v>
      </c>
      <c r="M95" s="1">
        <f>-(O96*$N$40)</f>
        <v>96.3</v>
      </c>
      <c r="N95" s="1" t="s">
        <v>110</v>
      </c>
      <c r="O95" s="32">
        <f>+M93</f>
        <v>10700</v>
      </c>
      <c r="P95" s="5"/>
    </row>
    <row r="96" spans="1:16" x14ac:dyDescent="0.25">
      <c r="N96" s="1" t="s">
        <v>111</v>
      </c>
      <c r="O96" s="32">
        <f>SUM(M93:M94)-O95</f>
        <v>-535</v>
      </c>
      <c r="P96" s="5"/>
    </row>
    <row r="97" spans="1:16" x14ac:dyDescent="0.25">
      <c r="B97" s="1" t="s">
        <v>107</v>
      </c>
      <c r="C97" s="32">
        <f>-(D51-C51)</f>
        <v>-200000</v>
      </c>
      <c r="D97" s="32">
        <f t="shared" ref="D97:M97" si="58">-(E51-D51)</f>
        <v>0</v>
      </c>
      <c r="E97" s="32">
        <f t="shared" si="58"/>
        <v>0</v>
      </c>
      <c r="F97" s="32">
        <f t="shared" si="58"/>
        <v>0</v>
      </c>
      <c r="G97" s="32">
        <f t="shared" si="58"/>
        <v>0</v>
      </c>
      <c r="H97" s="32">
        <f t="shared" si="58"/>
        <v>0</v>
      </c>
      <c r="I97" s="32">
        <f t="shared" si="58"/>
        <v>0</v>
      </c>
      <c r="J97" s="32">
        <f t="shared" si="58"/>
        <v>0</v>
      </c>
      <c r="K97" s="32">
        <f t="shared" si="58"/>
        <v>0</v>
      </c>
      <c r="L97" s="32">
        <f t="shared" si="58"/>
        <v>0</v>
      </c>
      <c r="M97" s="32">
        <f t="shared" si="58"/>
        <v>200000</v>
      </c>
      <c r="N97" s="5"/>
      <c r="O97" s="5"/>
      <c r="P97" s="5"/>
    </row>
    <row r="98" spans="1:16" x14ac:dyDescent="0.25">
      <c r="B98" s="1" t="s">
        <v>105</v>
      </c>
      <c r="M98" s="1">
        <f>+M97*N98</f>
        <v>-100000</v>
      </c>
      <c r="N98" s="24">
        <v>-0.5</v>
      </c>
      <c r="P98" s="5"/>
    </row>
    <row r="99" spans="1:16" x14ac:dyDescent="0.25">
      <c r="B99" s="1" t="s">
        <v>106</v>
      </c>
      <c r="M99" s="1">
        <f>-(O100*$N$40)</f>
        <v>6000.0000000000018</v>
      </c>
      <c r="N99" s="1" t="s">
        <v>110</v>
      </c>
      <c r="O99" s="32">
        <f>M51-M52</f>
        <v>133333.33333333334</v>
      </c>
      <c r="P99" s="5"/>
    </row>
    <row r="100" spans="1:16" x14ac:dyDescent="0.25">
      <c r="N100" s="1" t="s">
        <v>111</v>
      </c>
      <c r="O100" s="32">
        <f>SUM(M97:M98)-O99</f>
        <v>-33333.333333333343</v>
      </c>
      <c r="P100" s="5"/>
    </row>
    <row r="101" spans="1:16" x14ac:dyDescent="0.25">
      <c r="B101" s="1" t="s">
        <v>59</v>
      </c>
      <c r="C101" s="32">
        <f>-(D53-C53)</f>
        <v>-80000</v>
      </c>
      <c r="D101" s="32">
        <f t="shared" ref="D101:M101" si="59">-(E53-D53)</f>
        <v>0</v>
      </c>
      <c r="E101" s="32">
        <f t="shared" si="59"/>
        <v>0</v>
      </c>
      <c r="F101" s="32">
        <f t="shared" si="59"/>
        <v>0</v>
      </c>
      <c r="G101" s="32">
        <f t="shared" si="59"/>
        <v>0</v>
      </c>
      <c r="H101" s="32">
        <f t="shared" si="59"/>
        <v>0</v>
      </c>
      <c r="I101" s="32">
        <f t="shared" si="59"/>
        <v>0</v>
      </c>
      <c r="J101" s="32">
        <f t="shared" si="59"/>
        <v>0</v>
      </c>
      <c r="K101" s="32">
        <f t="shared" si="59"/>
        <v>0</v>
      </c>
      <c r="L101" s="32">
        <f t="shared" si="59"/>
        <v>0</v>
      </c>
      <c r="M101" s="32">
        <f t="shared" si="59"/>
        <v>80000</v>
      </c>
      <c r="N101" s="5"/>
      <c r="O101" s="5"/>
      <c r="P101" s="5"/>
    </row>
    <row r="102" spans="1:16" x14ac:dyDescent="0.25">
      <c r="B102" s="1" t="s">
        <v>105</v>
      </c>
      <c r="D102" s="39"/>
      <c r="E102" s="5"/>
      <c r="F102" s="5"/>
      <c r="G102" s="5"/>
      <c r="H102" s="5"/>
      <c r="I102" s="5"/>
      <c r="J102" s="5"/>
      <c r="K102" s="5"/>
      <c r="L102" s="5"/>
      <c r="M102" s="1">
        <f>+M101*N102</f>
        <v>-40000</v>
      </c>
      <c r="N102" s="24">
        <v>-0.5</v>
      </c>
      <c r="P102" s="5"/>
    </row>
    <row r="103" spans="1:16" x14ac:dyDescent="0.25">
      <c r="B103" s="1" t="s">
        <v>106</v>
      </c>
      <c r="D103" s="39"/>
      <c r="E103" s="5"/>
      <c r="F103" s="5"/>
      <c r="G103" s="5"/>
      <c r="H103" s="5"/>
      <c r="I103" s="5"/>
      <c r="J103" s="5"/>
      <c r="K103" s="5"/>
      <c r="L103" s="5"/>
      <c r="M103" s="1">
        <f>-(O104*$N$40)</f>
        <v>-7200</v>
      </c>
      <c r="N103" s="1" t="s">
        <v>110</v>
      </c>
      <c r="O103" s="32">
        <f>M53-M54</f>
        <v>0</v>
      </c>
      <c r="P103" s="5"/>
    </row>
    <row r="104" spans="1:16" x14ac:dyDescent="0.25">
      <c r="D104" s="39"/>
      <c r="E104" s="5"/>
      <c r="F104" s="5"/>
      <c r="G104" s="5"/>
      <c r="H104" s="5"/>
      <c r="I104" s="5"/>
      <c r="J104" s="5"/>
      <c r="K104" s="5"/>
      <c r="L104" s="5"/>
      <c r="N104" s="1" t="s">
        <v>111</v>
      </c>
      <c r="O104" s="32">
        <f>SUM(M101:M102)-O103</f>
        <v>40000</v>
      </c>
      <c r="P104" s="5"/>
    </row>
    <row r="105" spans="1:16" x14ac:dyDescent="0.25">
      <c r="A105" s="3" t="s">
        <v>108</v>
      </c>
      <c r="C105" s="32">
        <f>SUM(C80:C103)</f>
        <v>-299873.17107632093</v>
      </c>
      <c r="D105" s="32">
        <f t="shared" ref="D105:M105" si="60">SUM(D80:D103)</f>
        <v>29815.643830553818</v>
      </c>
      <c r="E105" s="32">
        <f t="shared" si="60"/>
        <v>35582.162381246439</v>
      </c>
      <c r="F105" s="32">
        <f t="shared" si="60"/>
        <v>30914.829720071932</v>
      </c>
      <c r="G105" s="32">
        <f t="shared" si="60"/>
        <v>12072.479929308061</v>
      </c>
      <c r="H105" s="32">
        <f t="shared" si="60"/>
        <v>11986.521762072196</v>
      </c>
      <c r="I105" s="32">
        <f t="shared" si="60"/>
        <v>11898.589618155851</v>
      </c>
      <c r="J105" s="32">
        <f t="shared" si="60"/>
        <v>13862.697937825033</v>
      </c>
      <c r="K105" s="32">
        <f t="shared" si="60"/>
        <v>11709.396185088915</v>
      </c>
      <c r="L105" s="32">
        <f t="shared" si="60"/>
        <v>11607.781593401747</v>
      </c>
      <c r="M105" s="32">
        <f t="shared" si="60"/>
        <v>401184.65979581448</v>
      </c>
      <c r="N105" s="5"/>
      <c r="O105" s="5"/>
      <c r="P105" s="5"/>
    </row>
    <row r="106" spans="1:16" x14ac:dyDescent="0.25">
      <c r="A106" s="3" t="s">
        <v>109</v>
      </c>
      <c r="C106" s="61">
        <f>IRR(C105:M105)</f>
        <v>8.6459084974746414E-2</v>
      </c>
      <c r="D106" s="39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1" t="s">
        <v>112</v>
      </c>
      <c r="C107" s="67">
        <f>+NPV(C108,D105:M105)</f>
        <v>300346.14749198442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1" t="s">
        <v>55</v>
      </c>
      <c r="C108" s="61">
        <f>+R69</f>
        <v>8.622367399158834E-2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4:16" x14ac:dyDescent="0.25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4:16" x14ac:dyDescent="0.25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4:16" x14ac:dyDescent="0.25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4:16" x14ac:dyDescent="0.25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4:16" x14ac:dyDescent="0.25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4:16" x14ac:dyDescent="0.25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4:16" x14ac:dyDescent="0.25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4:16" x14ac:dyDescent="0.25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4:16" x14ac:dyDescent="0.25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4:16" x14ac:dyDescent="0.25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4:16" x14ac:dyDescent="0.25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4:16" x14ac:dyDescent="0.25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4:16" x14ac:dyDescent="0.25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4:16" x14ac:dyDescent="0.25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4:16" x14ac:dyDescent="0.25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4:16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4:16" x14ac:dyDescent="0.25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4:16" x14ac:dyDescent="0.25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4:16" x14ac:dyDescent="0.25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4:16" x14ac:dyDescent="0.25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4:16" x14ac:dyDescent="0.25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4:16" x14ac:dyDescent="0.25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4:16" x14ac:dyDescent="0.25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4:16" x14ac:dyDescent="0.25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4:16" x14ac:dyDescent="0.25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4:16" x14ac:dyDescent="0.25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4:16" x14ac:dyDescent="0.25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4:16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4:16" x14ac:dyDescent="0.25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4:16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4:16" x14ac:dyDescent="0.25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4:16" x14ac:dyDescent="0.25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4:16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4:16" x14ac:dyDescent="0.25"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4:16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4:16" x14ac:dyDescent="0.25"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4:16" x14ac:dyDescent="0.25"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4:16" x14ac:dyDescent="0.25"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4:16" x14ac:dyDescent="0.25"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4:16" x14ac:dyDescent="0.25"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4:16" x14ac:dyDescent="0.25"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4:16" x14ac:dyDescent="0.25"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4:16" x14ac:dyDescent="0.25"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4:16" x14ac:dyDescent="0.25"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4:16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4:16" x14ac:dyDescent="0.25"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4:16" x14ac:dyDescent="0.25"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4:16" x14ac:dyDescent="0.25"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4:16" x14ac:dyDescent="0.25"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4:16" x14ac:dyDescent="0.25"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4:16" x14ac:dyDescent="0.25"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4:16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4:16" x14ac:dyDescent="0.25"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4:16" x14ac:dyDescent="0.25"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4:16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4:16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4:16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4:16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4:16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4:16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4:16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4:16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4:16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4:16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4:16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4:16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4:16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4:16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4:16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4:16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4:16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4:16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4:16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4:16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4:16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4:16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4:16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4:16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4:16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4:16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4:16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4:16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4:16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4:16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4:16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4:16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4:16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4:16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4:16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4:16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4:16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4:16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4:16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4:16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4:16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4:16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4:16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4:16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4:16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4:16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4:16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4:16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4:16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4:16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4:16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4:16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4:16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4:16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4:16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4:16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4:16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4:16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4:16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4:16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4:16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4:16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4:16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4:16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4:16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4:16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4:16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4:16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4:16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4:16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</sheetData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workbookViewId="0">
      <selection activeCell="J3" sqref="J3"/>
    </sheetView>
  </sheetViews>
  <sheetFormatPr defaultRowHeight="12.75" x14ac:dyDescent="0.2"/>
  <cols>
    <col min="3" max="3" width="12.7109375" bestFit="1" customWidth="1"/>
    <col min="4" max="5" width="11.5703125" bestFit="1" customWidth="1"/>
    <col min="7" max="7" width="14.5703125" bestFit="1" customWidth="1"/>
    <col min="9" max="9" width="15.85546875" bestFit="1" customWidth="1"/>
    <col min="10" max="10" width="12.5703125" bestFit="1" customWidth="1"/>
  </cols>
  <sheetData>
    <row r="1" spans="1:12" x14ac:dyDescent="0.2">
      <c r="B1" s="19" t="s">
        <v>60</v>
      </c>
      <c r="I1" s="19" t="s">
        <v>66</v>
      </c>
    </row>
    <row r="2" spans="1:12" x14ac:dyDescent="0.2">
      <c r="C2" s="19" t="s">
        <v>61</v>
      </c>
      <c r="D2" s="19" t="s">
        <v>62</v>
      </c>
      <c r="E2" s="19" t="s">
        <v>63</v>
      </c>
      <c r="F2" s="19" t="s">
        <v>64</v>
      </c>
      <c r="G2" s="19" t="s">
        <v>65</v>
      </c>
      <c r="I2" s="19" t="s">
        <v>67</v>
      </c>
      <c r="J2">
        <f>[1]Answer!D26</f>
        <v>30</v>
      </c>
    </row>
    <row r="3" spans="1:12" ht="15" x14ac:dyDescent="0.25">
      <c r="A3" t="s">
        <v>71</v>
      </c>
      <c r="B3">
        <v>1</v>
      </c>
      <c r="C3" s="20">
        <f>J4</f>
        <v>160000</v>
      </c>
      <c r="D3" s="20">
        <f t="shared" ref="D3:D14" si="0">$J$7</f>
        <v>1404.114512142078</v>
      </c>
      <c r="E3" s="20">
        <f t="shared" ref="E3:E14" si="1">C3*$J$6</f>
        <v>1333.3333333333333</v>
      </c>
      <c r="F3" s="20">
        <f t="shared" ref="F3:F14" si="2">D3-E3</f>
        <v>70.781178808744698</v>
      </c>
      <c r="G3" s="20">
        <f t="shared" ref="G3:G14" si="3">C3-F3</f>
        <v>159929.21882119126</v>
      </c>
      <c r="I3" s="19" t="s">
        <v>51</v>
      </c>
      <c r="J3" s="21">
        <v>0.1</v>
      </c>
    </row>
    <row r="4" spans="1:12" ht="15" x14ac:dyDescent="0.25">
      <c r="B4">
        <v>2</v>
      </c>
      <c r="C4" s="20">
        <f t="shared" ref="C4:C14" si="4">G3</f>
        <v>159929.21882119126</v>
      </c>
      <c r="D4" s="20">
        <f t="shared" si="0"/>
        <v>1404.114512142078</v>
      </c>
      <c r="E4" s="20">
        <f t="shared" si="1"/>
        <v>1332.7434901765937</v>
      </c>
      <c r="F4" s="20">
        <f t="shared" si="2"/>
        <v>71.37102196548426</v>
      </c>
      <c r="G4" s="20">
        <f t="shared" si="3"/>
        <v>159857.84779922577</v>
      </c>
      <c r="I4" s="19" t="s">
        <v>68</v>
      </c>
      <c r="J4" s="20">
        <f>+Answer!D17*0.8</f>
        <v>160000</v>
      </c>
      <c r="L4">
        <f>345000*0.2</f>
        <v>69000</v>
      </c>
    </row>
    <row r="5" spans="1:12" ht="15" x14ac:dyDescent="0.25">
      <c r="B5">
        <v>3</v>
      </c>
      <c r="C5" s="20">
        <f t="shared" si="4"/>
        <v>159857.84779922577</v>
      </c>
      <c r="D5" s="20">
        <f t="shared" si="0"/>
        <v>1404.114512142078</v>
      </c>
      <c r="E5" s="20">
        <f t="shared" si="1"/>
        <v>1332.1487316602147</v>
      </c>
      <c r="F5" s="20">
        <f t="shared" si="2"/>
        <v>71.965780481863248</v>
      </c>
      <c r="G5" s="20">
        <f t="shared" si="3"/>
        <v>159785.8820187439</v>
      </c>
      <c r="I5" s="19" t="s">
        <v>69</v>
      </c>
      <c r="J5">
        <f>J2*12</f>
        <v>360</v>
      </c>
    </row>
    <row r="6" spans="1:12" ht="15" x14ac:dyDescent="0.25">
      <c r="B6">
        <v>4</v>
      </c>
      <c r="C6" s="20">
        <f t="shared" si="4"/>
        <v>159785.8820187439</v>
      </c>
      <c r="D6" s="20">
        <f t="shared" si="0"/>
        <v>1404.114512142078</v>
      </c>
      <c r="E6" s="20">
        <f t="shared" si="1"/>
        <v>1331.5490168228657</v>
      </c>
      <c r="F6" s="20">
        <f t="shared" si="2"/>
        <v>72.565495319212232</v>
      </c>
      <c r="G6" s="20">
        <f t="shared" si="3"/>
        <v>159713.3165234247</v>
      </c>
      <c r="I6" s="19" t="s">
        <v>70</v>
      </c>
      <c r="J6" s="21">
        <f>J3/12</f>
        <v>8.3333333333333332E-3</v>
      </c>
    </row>
    <row r="7" spans="1:12" ht="15" x14ac:dyDescent="0.25">
      <c r="B7">
        <v>5</v>
      </c>
      <c r="C7" s="20">
        <f t="shared" si="4"/>
        <v>159713.3165234247</v>
      </c>
      <c r="D7" s="20">
        <f t="shared" si="0"/>
        <v>1404.114512142078</v>
      </c>
      <c r="E7" s="20">
        <f t="shared" si="1"/>
        <v>1330.9443043618726</v>
      </c>
      <c r="F7" s="20">
        <f t="shared" si="2"/>
        <v>73.170207780205374</v>
      </c>
      <c r="G7" s="20">
        <f t="shared" si="3"/>
        <v>159640.1463156445</v>
      </c>
      <c r="I7" s="19" t="s">
        <v>62</v>
      </c>
      <c r="J7" s="22">
        <f>-PMT(J6,J5,J4)</f>
        <v>1404.114512142078</v>
      </c>
    </row>
    <row r="8" spans="1:12" ht="15" x14ac:dyDescent="0.25">
      <c r="B8">
        <v>6</v>
      </c>
      <c r="C8" s="20">
        <f t="shared" si="4"/>
        <v>159640.1463156445</v>
      </c>
      <c r="D8" s="20">
        <f t="shared" si="0"/>
        <v>1404.114512142078</v>
      </c>
      <c r="E8" s="20">
        <f t="shared" si="1"/>
        <v>1330.3345526303708</v>
      </c>
      <c r="F8" s="20">
        <f t="shared" si="2"/>
        <v>73.779959511707148</v>
      </c>
      <c r="G8" s="20">
        <f t="shared" si="3"/>
        <v>159566.36635613278</v>
      </c>
    </row>
    <row r="9" spans="1:12" ht="15" x14ac:dyDescent="0.25">
      <c r="B9">
        <v>7</v>
      </c>
      <c r="C9" s="20">
        <f t="shared" si="4"/>
        <v>159566.36635613278</v>
      </c>
      <c r="D9" s="20">
        <f t="shared" si="0"/>
        <v>1404.114512142078</v>
      </c>
      <c r="E9" s="20">
        <f t="shared" si="1"/>
        <v>1329.7197196344398</v>
      </c>
      <c r="F9" s="20">
        <f t="shared" si="2"/>
        <v>74.394792507638158</v>
      </c>
      <c r="G9" s="20">
        <f t="shared" si="3"/>
        <v>159491.97156362515</v>
      </c>
    </row>
    <row r="10" spans="1:12" ht="15" x14ac:dyDescent="0.25">
      <c r="B10">
        <v>8</v>
      </c>
      <c r="C10" s="20">
        <f t="shared" si="4"/>
        <v>159491.97156362515</v>
      </c>
      <c r="D10" s="20">
        <f t="shared" si="0"/>
        <v>1404.114512142078</v>
      </c>
      <c r="E10" s="20">
        <f t="shared" si="1"/>
        <v>1329.0997630302095</v>
      </c>
      <c r="F10" s="20">
        <f t="shared" si="2"/>
        <v>75.014749111868468</v>
      </c>
      <c r="G10" s="20">
        <f t="shared" si="3"/>
        <v>159416.95681451328</v>
      </c>
    </row>
    <row r="11" spans="1:12" ht="15" x14ac:dyDescent="0.25">
      <c r="B11">
        <v>9</v>
      </c>
      <c r="C11" s="20">
        <f t="shared" si="4"/>
        <v>159416.95681451328</v>
      </c>
      <c r="D11" s="20">
        <f t="shared" si="0"/>
        <v>1404.114512142078</v>
      </c>
      <c r="E11" s="20">
        <f t="shared" si="1"/>
        <v>1328.4746401209441</v>
      </c>
      <c r="F11" s="20">
        <f t="shared" si="2"/>
        <v>75.639872021133897</v>
      </c>
      <c r="G11" s="20">
        <f t="shared" si="3"/>
        <v>159341.31694249215</v>
      </c>
    </row>
    <row r="12" spans="1:12" ht="15" x14ac:dyDescent="0.25">
      <c r="B12">
        <v>10</v>
      </c>
      <c r="C12" s="20">
        <f t="shared" si="4"/>
        <v>159341.31694249215</v>
      </c>
      <c r="D12" s="20">
        <f t="shared" si="0"/>
        <v>1404.114512142078</v>
      </c>
      <c r="E12" s="20">
        <f t="shared" si="1"/>
        <v>1327.8443078541013</v>
      </c>
      <c r="F12" s="20">
        <f t="shared" si="2"/>
        <v>76.27020428797664</v>
      </c>
      <c r="G12" s="20">
        <f t="shared" si="3"/>
        <v>159265.04673820417</v>
      </c>
    </row>
    <row r="13" spans="1:12" ht="15" x14ac:dyDescent="0.25">
      <c r="B13">
        <v>11</v>
      </c>
      <c r="C13" s="20">
        <f t="shared" si="4"/>
        <v>159265.04673820417</v>
      </c>
      <c r="D13" s="20">
        <f t="shared" si="0"/>
        <v>1404.114512142078</v>
      </c>
      <c r="E13" s="20">
        <f t="shared" si="1"/>
        <v>1327.208722818368</v>
      </c>
      <c r="F13" s="20">
        <f t="shared" si="2"/>
        <v>76.905789323709996</v>
      </c>
      <c r="G13" s="20">
        <f t="shared" si="3"/>
        <v>159188.14094888046</v>
      </c>
    </row>
    <row r="14" spans="1:12" ht="15" x14ac:dyDescent="0.25">
      <c r="B14">
        <v>12</v>
      </c>
      <c r="C14" s="20">
        <f t="shared" si="4"/>
        <v>159188.14094888046</v>
      </c>
      <c r="D14" s="20">
        <f t="shared" si="0"/>
        <v>1404.114512142078</v>
      </c>
      <c r="E14" s="20">
        <f t="shared" si="1"/>
        <v>1326.5678412406705</v>
      </c>
      <c r="F14" s="20">
        <f t="shared" si="2"/>
        <v>77.546670901407424</v>
      </c>
      <c r="G14" s="20">
        <f t="shared" si="3"/>
        <v>159110.59427797905</v>
      </c>
    </row>
    <row r="15" spans="1:12" ht="15" x14ac:dyDescent="0.25">
      <c r="C15" s="20"/>
      <c r="D15" s="20">
        <f>SUM(D3:D14)</f>
        <v>16849.374145704936</v>
      </c>
      <c r="E15" s="20">
        <f>SUM(E3:E14)</f>
        <v>15959.968423683988</v>
      </c>
      <c r="F15" s="20"/>
      <c r="G15" s="20"/>
    </row>
    <row r="16" spans="1:12" ht="15" x14ac:dyDescent="0.25">
      <c r="C16" s="20"/>
      <c r="D16" s="20"/>
      <c r="E16" s="20"/>
      <c r="F16" s="20"/>
      <c r="G16" s="20"/>
    </row>
    <row r="17" spans="1:7" ht="15" x14ac:dyDescent="0.25">
      <c r="A17" t="s">
        <v>72</v>
      </c>
      <c r="B17">
        <v>1</v>
      </c>
      <c r="C17" s="20">
        <f>G14</f>
        <v>159110.59427797905</v>
      </c>
      <c r="D17" s="20">
        <f t="shared" ref="D17:D28" si="5">$J$7</f>
        <v>1404.114512142078</v>
      </c>
      <c r="E17" s="20">
        <f t="shared" ref="E17:E28" si="6">C17*$J$6</f>
        <v>1325.9216189831586</v>
      </c>
      <c r="F17" s="20">
        <f t="shared" ref="F17:F28" si="7">D17-E17</f>
        <v>78.192893158919333</v>
      </c>
      <c r="G17" s="20">
        <f t="shared" ref="G17:G28" si="8">C17-F17</f>
        <v>159032.40138482014</v>
      </c>
    </row>
    <row r="18" spans="1:7" ht="15" x14ac:dyDescent="0.25">
      <c r="B18">
        <v>2</v>
      </c>
      <c r="C18" s="20">
        <f t="shared" ref="C18:C28" si="9">G17</f>
        <v>159032.40138482014</v>
      </c>
      <c r="D18" s="20">
        <f t="shared" si="5"/>
        <v>1404.114512142078</v>
      </c>
      <c r="E18" s="20">
        <f t="shared" si="6"/>
        <v>1325.2700115401678</v>
      </c>
      <c r="F18" s="20">
        <f t="shared" si="7"/>
        <v>78.844500601910113</v>
      </c>
      <c r="G18" s="20">
        <f t="shared" si="8"/>
        <v>158953.55688421824</v>
      </c>
    </row>
    <row r="19" spans="1:7" ht="15" x14ac:dyDescent="0.25">
      <c r="B19">
        <v>3</v>
      </c>
      <c r="C19" s="20">
        <f t="shared" si="9"/>
        <v>158953.55688421824</v>
      </c>
      <c r="D19" s="20">
        <f t="shared" si="5"/>
        <v>1404.114512142078</v>
      </c>
      <c r="E19" s="20">
        <f t="shared" si="6"/>
        <v>1324.6129740351521</v>
      </c>
      <c r="F19" s="20">
        <f t="shared" si="7"/>
        <v>79.501538106925864</v>
      </c>
      <c r="G19" s="20">
        <f t="shared" si="8"/>
        <v>158874.0553461113</v>
      </c>
    </row>
    <row r="20" spans="1:7" ht="15" x14ac:dyDescent="0.25">
      <c r="B20">
        <v>4</v>
      </c>
      <c r="C20" s="20">
        <f t="shared" si="9"/>
        <v>158874.0553461113</v>
      </c>
      <c r="D20" s="20">
        <f t="shared" si="5"/>
        <v>1404.114512142078</v>
      </c>
      <c r="E20" s="20">
        <f t="shared" si="6"/>
        <v>1323.9504612175942</v>
      </c>
      <c r="F20" s="20">
        <f t="shared" si="7"/>
        <v>80.164050924483718</v>
      </c>
      <c r="G20" s="20">
        <f t="shared" si="8"/>
        <v>158793.89129518683</v>
      </c>
    </row>
    <row r="21" spans="1:7" ht="15" x14ac:dyDescent="0.25">
      <c r="B21">
        <v>5</v>
      </c>
      <c r="C21" s="20">
        <f t="shared" si="9"/>
        <v>158793.89129518683</v>
      </c>
      <c r="D21" s="20">
        <f t="shared" si="5"/>
        <v>1404.114512142078</v>
      </c>
      <c r="E21" s="20">
        <f t="shared" si="6"/>
        <v>1323.2824274598902</v>
      </c>
      <c r="F21" s="20">
        <f t="shared" si="7"/>
        <v>80.832084682187769</v>
      </c>
      <c r="G21" s="20">
        <f t="shared" si="8"/>
        <v>158713.05921050464</v>
      </c>
    </row>
    <row r="22" spans="1:7" ht="15" x14ac:dyDescent="0.25">
      <c r="B22">
        <v>6</v>
      </c>
      <c r="C22" s="20">
        <f t="shared" si="9"/>
        <v>158713.05921050464</v>
      </c>
      <c r="D22" s="20">
        <f t="shared" si="5"/>
        <v>1404.114512142078</v>
      </c>
      <c r="E22" s="20">
        <f t="shared" si="6"/>
        <v>1322.6088267542052</v>
      </c>
      <c r="F22" s="20">
        <f t="shared" si="7"/>
        <v>81.505685387872745</v>
      </c>
      <c r="G22" s="20">
        <f t="shared" si="8"/>
        <v>158631.55352511676</v>
      </c>
    </row>
    <row r="23" spans="1:7" ht="15" x14ac:dyDescent="0.25">
      <c r="B23">
        <v>7</v>
      </c>
      <c r="C23" s="20">
        <f t="shared" si="9"/>
        <v>158631.55352511676</v>
      </c>
      <c r="D23" s="20">
        <f t="shared" si="5"/>
        <v>1404.114512142078</v>
      </c>
      <c r="E23" s="20">
        <f t="shared" si="6"/>
        <v>1321.9296127093064</v>
      </c>
      <c r="F23" s="20">
        <f t="shared" si="7"/>
        <v>82.184899432771545</v>
      </c>
      <c r="G23" s="20">
        <f t="shared" si="8"/>
        <v>158549.368625684</v>
      </c>
    </row>
    <row r="24" spans="1:7" ht="15" x14ac:dyDescent="0.25">
      <c r="B24">
        <v>8</v>
      </c>
      <c r="C24" s="20">
        <f t="shared" si="9"/>
        <v>158549.368625684</v>
      </c>
      <c r="D24" s="20">
        <f t="shared" si="5"/>
        <v>1404.114512142078</v>
      </c>
      <c r="E24" s="20">
        <f t="shared" si="6"/>
        <v>1321.2447385473668</v>
      </c>
      <c r="F24" s="20">
        <f t="shared" si="7"/>
        <v>82.869773594711205</v>
      </c>
      <c r="G24" s="20">
        <f t="shared" si="8"/>
        <v>158466.49885208928</v>
      </c>
    </row>
    <row r="25" spans="1:7" ht="15" x14ac:dyDescent="0.25">
      <c r="B25">
        <v>9</v>
      </c>
      <c r="C25" s="20">
        <f t="shared" si="9"/>
        <v>158466.49885208928</v>
      </c>
      <c r="D25" s="20">
        <f t="shared" si="5"/>
        <v>1404.114512142078</v>
      </c>
      <c r="E25" s="20">
        <f t="shared" si="6"/>
        <v>1320.5541571007441</v>
      </c>
      <c r="F25" s="20">
        <f t="shared" si="7"/>
        <v>83.560355041333878</v>
      </c>
      <c r="G25" s="20">
        <f t="shared" si="8"/>
        <v>158382.93849704796</v>
      </c>
    </row>
    <row r="26" spans="1:7" ht="15" x14ac:dyDescent="0.25">
      <c r="B26">
        <v>10</v>
      </c>
      <c r="C26" s="20">
        <f t="shared" si="9"/>
        <v>158382.93849704796</v>
      </c>
      <c r="D26" s="20">
        <f t="shared" si="5"/>
        <v>1404.114512142078</v>
      </c>
      <c r="E26" s="20">
        <f t="shared" si="6"/>
        <v>1319.8578208087329</v>
      </c>
      <c r="F26" s="20">
        <f t="shared" si="7"/>
        <v>84.256691333345088</v>
      </c>
      <c r="G26" s="20">
        <f t="shared" si="8"/>
        <v>158298.68180571462</v>
      </c>
    </row>
    <row r="27" spans="1:7" ht="15" x14ac:dyDescent="0.25">
      <c r="B27">
        <v>11</v>
      </c>
      <c r="C27" s="20">
        <f t="shared" si="9"/>
        <v>158298.68180571462</v>
      </c>
      <c r="D27" s="20">
        <f t="shared" si="5"/>
        <v>1404.114512142078</v>
      </c>
      <c r="E27" s="20">
        <f t="shared" si="6"/>
        <v>1319.1556817142884</v>
      </c>
      <c r="F27" s="20">
        <f t="shared" si="7"/>
        <v>84.958830427789508</v>
      </c>
      <c r="G27" s="20">
        <f t="shared" si="8"/>
        <v>158213.72297528683</v>
      </c>
    </row>
    <row r="28" spans="1:7" ht="15" x14ac:dyDescent="0.25">
      <c r="B28">
        <v>12</v>
      </c>
      <c r="C28" s="20">
        <f t="shared" si="9"/>
        <v>158213.72297528683</v>
      </c>
      <c r="D28" s="20">
        <f t="shared" si="5"/>
        <v>1404.114512142078</v>
      </c>
      <c r="E28" s="20">
        <f t="shared" si="6"/>
        <v>1318.4476914607235</v>
      </c>
      <c r="F28" s="20">
        <f t="shared" si="7"/>
        <v>85.666820681354466</v>
      </c>
      <c r="G28" s="20">
        <f t="shared" si="8"/>
        <v>158128.05615460547</v>
      </c>
    </row>
    <row r="29" spans="1:7" ht="15" x14ac:dyDescent="0.25">
      <c r="C29" s="20"/>
      <c r="D29" s="20"/>
      <c r="E29" s="20">
        <f>SUM(E17:E28)</f>
        <v>15866.836022331328</v>
      </c>
      <c r="F29" s="20"/>
      <c r="G29" s="20"/>
    </row>
    <row r="30" spans="1:7" ht="15" x14ac:dyDescent="0.25">
      <c r="C30" s="20"/>
      <c r="D30" s="20"/>
      <c r="E30" s="20"/>
      <c r="F30" s="20"/>
      <c r="G30" s="20"/>
    </row>
    <row r="31" spans="1:7" ht="15" x14ac:dyDescent="0.25">
      <c r="A31" t="s">
        <v>73</v>
      </c>
      <c r="B31">
        <v>1</v>
      </c>
      <c r="C31" s="20">
        <f>G28</f>
        <v>158128.05615460547</v>
      </c>
      <c r="D31" s="20">
        <f t="shared" ref="D31:D42" si="10">$J$7</f>
        <v>1404.114512142078</v>
      </c>
      <c r="E31" s="20">
        <f t="shared" ref="E31:E42" si="11">C31*$J$6</f>
        <v>1317.7338012883788</v>
      </c>
      <c r="F31" s="20">
        <f t="shared" ref="F31:F42" si="12">D31-E31</f>
        <v>86.380710853699156</v>
      </c>
      <c r="G31" s="20">
        <f t="shared" ref="G31:G42" si="13">C31-F31</f>
        <v>158041.67544375177</v>
      </c>
    </row>
    <row r="32" spans="1:7" ht="15" x14ac:dyDescent="0.25">
      <c r="B32">
        <v>2</v>
      </c>
      <c r="C32" s="20">
        <f t="shared" ref="C32:C42" si="14">G31</f>
        <v>158041.67544375177</v>
      </c>
      <c r="D32" s="20">
        <f t="shared" si="10"/>
        <v>1404.114512142078</v>
      </c>
      <c r="E32" s="20">
        <f t="shared" si="11"/>
        <v>1317.0139620312648</v>
      </c>
      <c r="F32" s="20">
        <f t="shared" si="12"/>
        <v>87.100550110813174</v>
      </c>
      <c r="G32" s="20">
        <f t="shared" si="13"/>
        <v>157954.57489364097</v>
      </c>
    </row>
    <row r="33" spans="1:7" ht="15" x14ac:dyDescent="0.25">
      <c r="B33">
        <v>3</v>
      </c>
      <c r="C33" s="20">
        <f t="shared" si="14"/>
        <v>157954.57489364097</v>
      </c>
      <c r="D33" s="20">
        <f t="shared" si="10"/>
        <v>1404.114512142078</v>
      </c>
      <c r="E33" s="20">
        <f t="shared" si="11"/>
        <v>1316.2881241136747</v>
      </c>
      <c r="F33" s="20">
        <f t="shared" si="12"/>
        <v>87.826388028403244</v>
      </c>
      <c r="G33" s="20">
        <f t="shared" si="13"/>
        <v>157866.74850561257</v>
      </c>
    </row>
    <row r="34" spans="1:7" ht="15" x14ac:dyDescent="0.25">
      <c r="B34">
        <v>4</v>
      </c>
      <c r="C34" s="20">
        <f t="shared" si="14"/>
        <v>157866.74850561257</v>
      </c>
      <c r="D34" s="20">
        <f t="shared" si="10"/>
        <v>1404.114512142078</v>
      </c>
      <c r="E34" s="20">
        <f t="shared" si="11"/>
        <v>1315.5562375467714</v>
      </c>
      <c r="F34" s="20">
        <f t="shared" si="12"/>
        <v>88.558274595306557</v>
      </c>
      <c r="G34" s="20">
        <f t="shared" si="13"/>
        <v>157778.19023101727</v>
      </c>
    </row>
    <row r="35" spans="1:7" ht="15" x14ac:dyDescent="0.25">
      <c r="B35">
        <v>5</v>
      </c>
      <c r="C35" s="20">
        <f t="shared" si="14"/>
        <v>157778.19023101727</v>
      </c>
      <c r="D35" s="20">
        <f t="shared" si="10"/>
        <v>1404.114512142078</v>
      </c>
      <c r="E35" s="20">
        <f t="shared" si="11"/>
        <v>1314.8182519251438</v>
      </c>
      <c r="F35" s="20">
        <f t="shared" si="12"/>
        <v>89.296260216934115</v>
      </c>
      <c r="G35" s="20">
        <f t="shared" si="13"/>
        <v>157688.89397080033</v>
      </c>
    </row>
    <row r="36" spans="1:7" ht="15" x14ac:dyDescent="0.25">
      <c r="B36">
        <v>6</v>
      </c>
      <c r="C36" s="20">
        <f t="shared" si="14"/>
        <v>157688.89397080033</v>
      </c>
      <c r="D36" s="20">
        <f t="shared" si="10"/>
        <v>1404.114512142078</v>
      </c>
      <c r="E36" s="20">
        <f t="shared" si="11"/>
        <v>1314.0741164233361</v>
      </c>
      <c r="F36" s="20">
        <f t="shared" si="12"/>
        <v>90.04039571874182</v>
      </c>
      <c r="G36" s="20">
        <f t="shared" si="13"/>
        <v>157598.85357508159</v>
      </c>
    </row>
    <row r="37" spans="1:7" ht="15" x14ac:dyDescent="0.25">
      <c r="B37">
        <v>7</v>
      </c>
      <c r="C37" s="20">
        <f t="shared" si="14"/>
        <v>157598.85357508159</v>
      </c>
      <c r="D37" s="20">
        <f t="shared" si="10"/>
        <v>1404.114512142078</v>
      </c>
      <c r="E37" s="20">
        <f t="shared" si="11"/>
        <v>1313.3237797923466</v>
      </c>
      <c r="F37" s="20">
        <f t="shared" si="12"/>
        <v>90.790732349731343</v>
      </c>
      <c r="G37" s="20">
        <f t="shared" si="13"/>
        <v>157508.06284273186</v>
      </c>
    </row>
    <row r="38" spans="1:7" ht="15" x14ac:dyDescent="0.25">
      <c r="B38">
        <v>8</v>
      </c>
      <c r="C38" s="20">
        <f t="shared" si="14"/>
        <v>157508.06284273186</v>
      </c>
      <c r="D38" s="20">
        <f t="shared" si="10"/>
        <v>1404.114512142078</v>
      </c>
      <c r="E38" s="20">
        <f t="shared" si="11"/>
        <v>1312.5671903560988</v>
      </c>
      <c r="F38" s="20">
        <f t="shared" si="12"/>
        <v>91.547321785979193</v>
      </c>
      <c r="G38" s="20">
        <f t="shared" si="13"/>
        <v>157416.51552094589</v>
      </c>
    </row>
    <row r="39" spans="1:7" ht="15" x14ac:dyDescent="0.25">
      <c r="B39">
        <v>9</v>
      </c>
      <c r="C39" s="20">
        <f t="shared" si="14"/>
        <v>157416.51552094589</v>
      </c>
      <c r="D39" s="20">
        <f t="shared" si="10"/>
        <v>1404.114512142078</v>
      </c>
      <c r="E39" s="20">
        <f t="shared" si="11"/>
        <v>1311.8042960078824</v>
      </c>
      <c r="F39" s="20">
        <f t="shared" si="12"/>
        <v>92.310216134195571</v>
      </c>
      <c r="G39" s="20">
        <f t="shared" si="13"/>
        <v>157324.20530481171</v>
      </c>
    </row>
    <row r="40" spans="1:7" ht="15" x14ac:dyDescent="0.25">
      <c r="B40">
        <v>10</v>
      </c>
      <c r="C40" s="20">
        <f t="shared" si="14"/>
        <v>157324.20530481171</v>
      </c>
      <c r="D40" s="20">
        <f t="shared" si="10"/>
        <v>1404.114512142078</v>
      </c>
      <c r="E40" s="20">
        <f t="shared" si="11"/>
        <v>1311.0350442067643</v>
      </c>
      <c r="F40" s="20">
        <f t="shared" si="12"/>
        <v>93.079467935313687</v>
      </c>
      <c r="G40" s="20">
        <f t="shared" si="13"/>
        <v>157231.1258368764</v>
      </c>
    </row>
    <row r="41" spans="1:7" ht="15" x14ac:dyDescent="0.25">
      <c r="B41">
        <v>11</v>
      </c>
      <c r="C41" s="20">
        <f t="shared" si="14"/>
        <v>157231.1258368764</v>
      </c>
      <c r="D41" s="20">
        <f t="shared" si="10"/>
        <v>1404.114512142078</v>
      </c>
      <c r="E41" s="20">
        <f t="shared" si="11"/>
        <v>1310.25938197397</v>
      </c>
      <c r="F41" s="20">
        <f t="shared" si="12"/>
        <v>93.855130168107962</v>
      </c>
      <c r="G41" s="20">
        <f t="shared" si="13"/>
        <v>157137.27070670828</v>
      </c>
    </row>
    <row r="42" spans="1:7" ht="15" x14ac:dyDescent="0.25">
      <c r="B42">
        <v>12</v>
      </c>
      <c r="C42" s="20">
        <f t="shared" si="14"/>
        <v>157137.27070670828</v>
      </c>
      <c r="D42" s="20">
        <f t="shared" si="10"/>
        <v>1404.114512142078</v>
      </c>
      <c r="E42" s="20">
        <f t="shared" si="11"/>
        <v>1309.4772558892357</v>
      </c>
      <c r="F42" s="20">
        <f t="shared" si="12"/>
        <v>94.637256252842235</v>
      </c>
      <c r="G42" s="20">
        <f t="shared" si="13"/>
        <v>157042.63345045544</v>
      </c>
    </row>
    <row r="43" spans="1:7" ht="15" x14ac:dyDescent="0.25">
      <c r="C43" s="20"/>
      <c r="D43" s="20"/>
      <c r="E43" s="20">
        <f>SUM(E31:E42)</f>
        <v>15763.951441554869</v>
      </c>
      <c r="F43" s="20"/>
      <c r="G43" s="20"/>
    </row>
    <row r="44" spans="1:7" ht="15" x14ac:dyDescent="0.25">
      <c r="C44" s="20"/>
      <c r="D44" s="20"/>
      <c r="E44" s="20"/>
      <c r="F44" s="20"/>
      <c r="G44" s="20"/>
    </row>
    <row r="45" spans="1:7" ht="15" x14ac:dyDescent="0.25">
      <c r="A45" t="s">
        <v>74</v>
      </c>
      <c r="B45">
        <v>1</v>
      </c>
      <c r="C45" s="20">
        <f>G42</f>
        <v>157042.63345045544</v>
      </c>
      <c r="D45" s="20">
        <f t="shared" ref="D45:D112" si="15">$J$7</f>
        <v>1404.114512142078</v>
      </c>
      <c r="E45" s="20">
        <f t="shared" ref="E45:E56" si="16">C45*$J$6</f>
        <v>1308.6886120871286</v>
      </c>
      <c r="F45" s="20">
        <f t="shared" ref="F45:F56" si="17">D45-E45</f>
        <v>95.425900054949352</v>
      </c>
      <c r="G45" s="20">
        <f t="shared" ref="G45:G56" si="18">C45-F45</f>
        <v>156947.20755040049</v>
      </c>
    </row>
    <row r="46" spans="1:7" ht="15" x14ac:dyDescent="0.25">
      <c r="B46">
        <v>2</v>
      </c>
      <c r="C46" s="20">
        <f t="shared" ref="C46:C56" si="19">G45</f>
        <v>156947.20755040049</v>
      </c>
      <c r="D46" s="20">
        <f t="shared" si="15"/>
        <v>1404.114512142078</v>
      </c>
      <c r="E46" s="20">
        <f t="shared" si="16"/>
        <v>1307.8933962533374</v>
      </c>
      <c r="F46" s="20">
        <f t="shared" si="17"/>
        <v>96.221115888740542</v>
      </c>
      <c r="G46" s="20">
        <f t="shared" si="18"/>
        <v>156850.98643451175</v>
      </c>
    </row>
    <row r="47" spans="1:7" ht="15" x14ac:dyDescent="0.25">
      <c r="B47">
        <v>3</v>
      </c>
      <c r="C47" s="20">
        <f t="shared" si="19"/>
        <v>156850.98643451175</v>
      </c>
      <c r="D47" s="20">
        <f t="shared" si="15"/>
        <v>1404.114512142078</v>
      </c>
      <c r="E47" s="20">
        <f t="shared" si="16"/>
        <v>1307.0915536209313</v>
      </c>
      <c r="F47" s="20">
        <f t="shared" si="17"/>
        <v>97.02295852114662</v>
      </c>
      <c r="G47" s="20">
        <f t="shared" si="18"/>
        <v>156753.9634759906</v>
      </c>
    </row>
    <row r="48" spans="1:7" ht="15" x14ac:dyDescent="0.25">
      <c r="B48">
        <v>4</v>
      </c>
      <c r="C48" s="20">
        <f t="shared" si="19"/>
        <v>156753.9634759906</v>
      </c>
      <c r="D48" s="20">
        <f t="shared" si="15"/>
        <v>1404.114512142078</v>
      </c>
      <c r="E48" s="20">
        <f t="shared" si="16"/>
        <v>1306.2830289665883</v>
      </c>
      <c r="F48" s="20">
        <f t="shared" si="17"/>
        <v>97.831483175489666</v>
      </c>
      <c r="G48" s="20">
        <f t="shared" si="18"/>
        <v>156656.13199281512</v>
      </c>
    </row>
    <row r="49" spans="1:7" ht="15" x14ac:dyDescent="0.25">
      <c r="B49">
        <v>5</v>
      </c>
      <c r="C49" s="20">
        <f t="shared" si="19"/>
        <v>156656.13199281512</v>
      </c>
      <c r="D49" s="20">
        <f t="shared" si="15"/>
        <v>1404.114512142078</v>
      </c>
      <c r="E49" s="20">
        <f t="shared" si="16"/>
        <v>1305.4677666067926</v>
      </c>
      <c r="F49" s="20">
        <f t="shared" si="17"/>
        <v>98.64674553528539</v>
      </c>
      <c r="G49" s="20">
        <f t="shared" si="18"/>
        <v>156557.48524727984</v>
      </c>
    </row>
    <row r="50" spans="1:7" ht="15" x14ac:dyDescent="0.25">
      <c r="B50">
        <v>6</v>
      </c>
      <c r="C50" s="20">
        <f t="shared" si="19"/>
        <v>156557.48524727984</v>
      </c>
      <c r="D50" s="20">
        <f t="shared" si="15"/>
        <v>1404.114512142078</v>
      </c>
      <c r="E50" s="20">
        <f t="shared" si="16"/>
        <v>1304.6457103939986</v>
      </c>
      <c r="F50" s="20">
        <f t="shared" si="17"/>
        <v>99.468801748079386</v>
      </c>
      <c r="G50" s="20">
        <f t="shared" si="18"/>
        <v>156458.01644553177</v>
      </c>
    </row>
    <row r="51" spans="1:7" ht="15" x14ac:dyDescent="0.25">
      <c r="B51">
        <v>7</v>
      </c>
      <c r="C51" s="20">
        <f t="shared" si="19"/>
        <v>156458.01644553177</v>
      </c>
      <c r="D51" s="20">
        <f t="shared" si="15"/>
        <v>1404.114512142078</v>
      </c>
      <c r="E51" s="20">
        <f t="shared" si="16"/>
        <v>1303.8168037127648</v>
      </c>
      <c r="F51" s="20">
        <f t="shared" si="17"/>
        <v>100.29770842931316</v>
      </c>
      <c r="G51" s="20">
        <f t="shared" si="18"/>
        <v>156357.71873710246</v>
      </c>
    </row>
    <row r="52" spans="1:7" ht="15" x14ac:dyDescent="0.25">
      <c r="B52">
        <v>8</v>
      </c>
      <c r="C52" s="20">
        <f t="shared" si="19"/>
        <v>156357.71873710246</v>
      </c>
      <c r="D52" s="20">
        <f t="shared" si="15"/>
        <v>1404.114512142078</v>
      </c>
      <c r="E52" s="20">
        <f t="shared" si="16"/>
        <v>1302.9809894758539</v>
      </c>
      <c r="F52" s="20">
        <f t="shared" si="17"/>
        <v>101.13352266622405</v>
      </c>
      <c r="G52" s="20">
        <f t="shared" si="18"/>
        <v>156256.58521443623</v>
      </c>
    </row>
    <row r="53" spans="1:7" ht="15" x14ac:dyDescent="0.25">
      <c r="B53">
        <v>9</v>
      </c>
      <c r="C53" s="20">
        <f t="shared" si="19"/>
        <v>156256.58521443623</v>
      </c>
      <c r="D53" s="20">
        <f t="shared" si="15"/>
        <v>1404.114512142078</v>
      </c>
      <c r="E53" s="20">
        <f t="shared" si="16"/>
        <v>1302.1382101203019</v>
      </c>
      <c r="F53" s="20">
        <f t="shared" si="17"/>
        <v>101.97630202177606</v>
      </c>
      <c r="G53" s="20">
        <f t="shared" si="18"/>
        <v>156154.60891241446</v>
      </c>
    </row>
    <row r="54" spans="1:7" ht="15" x14ac:dyDescent="0.25">
      <c r="B54">
        <v>10</v>
      </c>
      <c r="C54" s="20">
        <f t="shared" si="19"/>
        <v>156154.60891241446</v>
      </c>
      <c r="D54" s="20">
        <f t="shared" si="15"/>
        <v>1404.114512142078</v>
      </c>
      <c r="E54" s="20">
        <f t="shared" si="16"/>
        <v>1301.2884076034538</v>
      </c>
      <c r="F54" s="20">
        <f t="shared" si="17"/>
        <v>102.82610453862412</v>
      </c>
      <c r="G54" s="20">
        <f t="shared" si="18"/>
        <v>156051.78280787583</v>
      </c>
    </row>
    <row r="55" spans="1:7" ht="15" x14ac:dyDescent="0.25">
      <c r="B55">
        <v>11</v>
      </c>
      <c r="C55" s="20">
        <f t="shared" si="19"/>
        <v>156051.78280787583</v>
      </c>
      <c r="D55" s="20">
        <f t="shared" si="15"/>
        <v>1404.114512142078</v>
      </c>
      <c r="E55" s="20">
        <f t="shared" si="16"/>
        <v>1300.4315233989653</v>
      </c>
      <c r="F55" s="20">
        <f t="shared" si="17"/>
        <v>103.68298874311267</v>
      </c>
      <c r="G55" s="20">
        <f t="shared" si="18"/>
        <v>155948.09981913271</v>
      </c>
    </row>
    <row r="56" spans="1:7" ht="15" x14ac:dyDescent="0.25">
      <c r="B56">
        <v>12</v>
      </c>
      <c r="C56" s="20">
        <f t="shared" si="19"/>
        <v>155948.09981913271</v>
      </c>
      <c r="D56" s="20">
        <f t="shared" si="15"/>
        <v>1404.114512142078</v>
      </c>
      <c r="E56" s="20">
        <f t="shared" si="16"/>
        <v>1299.5674984927725</v>
      </c>
      <c r="F56" s="20">
        <f t="shared" si="17"/>
        <v>104.54701364930543</v>
      </c>
      <c r="G56" s="20">
        <f t="shared" si="18"/>
        <v>155843.5528054834</v>
      </c>
    </row>
    <row r="57" spans="1:7" ht="15" x14ac:dyDescent="0.25">
      <c r="C57" s="20"/>
      <c r="D57" s="20"/>
      <c r="E57" s="20">
        <f>SUM(E45:E56)</f>
        <v>15650.293500732889</v>
      </c>
      <c r="F57" s="20"/>
      <c r="G57" s="20"/>
    </row>
    <row r="58" spans="1:7" ht="15" x14ac:dyDescent="0.25">
      <c r="C58" s="20"/>
      <c r="D58" s="20"/>
      <c r="E58" s="20"/>
      <c r="F58" s="20"/>
      <c r="G58" s="20"/>
    </row>
    <row r="59" spans="1:7" ht="15" x14ac:dyDescent="0.25">
      <c r="A59" t="s">
        <v>75</v>
      </c>
      <c r="B59">
        <v>13</v>
      </c>
      <c r="C59" s="20">
        <f t="shared" ref="C59" si="20">G55</f>
        <v>155948.09981913271</v>
      </c>
      <c r="D59" s="20">
        <f t="shared" si="15"/>
        <v>1404.114512142078</v>
      </c>
      <c r="E59" s="20">
        <f t="shared" ref="E59:E70" si="21">C59*$J$6</f>
        <v>1299.5674984927725</v>
      </c>
      <c r="F59" s="20">
        <f t="shared" ref="F59:F70" si="22">D59-E59</f>
        <v>104.54701364930543</v>
      </c>
      <c r="G59" s="20">
        <f t="shared" ref="G59:G70" si="23">C59-F59</f>
        <v>155843.5528054834</v>
      </c>
    </row>
    <row r="60" spans="1:7" ht="15" x14ac:dyDescent="0.25">
      <c r="B60">
        <v>14</v>
      </c>
      <c r="C60" s="20">
        <f t="shared" ref="C60:C70" si="24">G59</f>
        <v>155843.5528054834</v>
      </c>
      <c r="D60" s="20">
        <f t="shared" si="15"/>
        <v>1404.114512142078</v>
      </c>
      <c r="E60" s="20">
        <f t="shared" si="21"/>
        <v>1298.6962733790283</v>
      </c>
      <c r="F60" s="20">
        <f t="shared" si="22"/>
        <v>105.41823876304966</v>
      </c>
      <c r="G60" s="20">
        <f t="shared" si="23"/>
        <v>155738.13456672034</v>
      </c>
    </row>
    <row r="61" spans="1:7" ht="15" x14ac:dyDescent="0.25">
      <c r="B61">
        <v>15</v>
      </c>
      <c r="C61" s="20">
        <f t="shared" si="24"/>
        <v>155738.13456672034</v>
      </c>
      <c r="D61" s="20">
        <f t="shared" si="15"/>
        <v>1404.114512142078</v>
      </c>
      <c r="E61" s="20">
        <f t="shared" si="21"/>
        <v>1297.8177880560029</v>
      </c>
      <c r="F61" s="20">
        <f t="shared" si="22"/>
        <v>106.29672408607507</v>
      </c>
      <c r="G61" s="20">
        <f t="shared" si="23"/>
        <v>155631.83784263427</v>
      </c>
    </row>
    <row r="62" spans="1:7" ht="15" x14ac:dyDescent="0.25">
      <c r="B62">
        <v>16</v>
      </c>
      <c r="C62" s="20">
        <f t="shared" si="24"/>
        <v>155631.83784263427</v>
      </c>
      <c r="D62" s="20">
        <f t="shared" si="15"/>
        <v>1404.114512142078</v>
      </c>
      <c r="E62" s="20">
        <f t="shared" si="21"/>
        <v>1296.9319820219523</v>
      </c>
      <c r="F62" s="20">
        <f t="shared" si="22"/>
        <v>107.18253012012565</v>
      </c>
      <c r="G62" s="20">
        <f t="shared" si="23"/>
        <v>155524.65531251414</v>
      </c>
    </row>
    <row r="63" spans="1:7" ht="15" x14ac:dyDescent="0.25">
      <c r="B63">
        <v>17</v>
      </c>
      <c r="C63" s="20">
        <f t="shared" si="24"/>
        <v>155524.65531251414</v>
      </c>
      <c r="D63" s="20">
        <f t="shared" si="15"/>
        <v>1404.114512142078</v>
      </c>
      <c r="E63" s="20">
        <f t="shared" si="21"/>
        <v>1296.038794270951</v>
      </c>
      <c r="F63" s="20">
        <f t="shared" si="22"/>
        <v>108.07571787112693</v>
      </c>
      <c r="G63" s="20">
        <f t="shared" si="23"/>
        <v>155416.579594643</v>
      </c>
    </row>
    <row r="64" spans="1:7" ht="15" x14ac:dyDescent="0.25">
      <c r="B64">
        <v>18</v>
      </c>
      <c r="C64" s="20">
        <f t="shared" si="24"/>
        <v>155416.579594643</v>
      </c>
      <c r="D64" s="20">
        <f t="shared" si="15"/>
        <v>1404.114512142078</v>
      </c>
      <c r="E64" s="20">
        <f t="shared" si="21"/>
        <v>1295.1381632886917</v>
      </c>
      <c r="F64" s="20">
        <f t="shared" si="22"/>
        <v>108.9763488533863</v>
      </c>
      <c r="G64" s="20">
        <f t="shared" si="23"/>
        <v>155307.60324578962</v>
      </c>
    </row>
    <row r="65" spans="1:7" ht="15" x14ac:dyDescent="0.25">
      <c r="B65">
        <v>19</v>
      </c>
      <c r="C65" s="20">
        <f t="shared" si="24"/>
        <v>155307.60324578962</v>
      </c>
      <c r="D65" s="20">
        <f t="shared" si="15"/>
        <v>1404.114512142078</v>
      </c>
      <c r="E65" s="20">
        <f t="shared" si="21"/>
        <v>1294.2300270482469</v>
      </c>
      <c r="F65" s="20">
        <f t="shared" si="22"/>
        <v>109.88448509383102</v>
      </c>
      <c r="G65" s="20">
        <f t="shared" si="23"/>
        <v>155197.7187606958</v>
      </c>
    </row>
    <row r="66" spans="1:7" ht="15" x14ac:dyDescent="0.25">
      <c r="B66">
        <v>20</v>
      </c>
      <c r="C66" s="20">
        <f t="shared" si="24"/>
        <v>155197.7187606958</v>
      </c>
      <c r="D66" s="20">
        <f t="shared" si="15"/>
        <v>1404.114512142078</v>
      </c>
      <c r="E66" s="20">
        <f t="shared" si="21"/>
        <v>1293.3143230057983</v>
      </c>
      <c r="F66" s="20">
        <f t="shared" si="22"/>
        <v>110.80018913627964</v>
      </c>
      <c r="G66" s="20">
        <f t="shared" si="23"/>
        <v>155086.91857155954</v>
      </c>
    </row>
    <row r="67" spans="1:7" ht="15" x14ac:dyDescent="0.25">
      <c r="B67">
        <v>21</v>
      </c>
      <c r="C67" s="20">
        <f t="shared" si="24"/>
        <v>155086.91857155954</v>
      </c>
      <c r="D67" s="20">
        <f t="shared" si="15"/>
        <v>1404.114512142078</v>
      </c>
      <c r="E67" s="20">
        <f t="shared" si="21"/>
        <v>1292.3909880963295</v>
      </c>
      <c r="F67" s="20">
        <f t="shared" si="22"/>
        <v>111.72352404574849</v>
      </c>
      <c r="G67" s="20">
        <f t="shared" si="23"/>
        <v>154975.19504751379</v>
      </c>
    </row>
    <row r="68" spans="1:7" ht="15" x14ac:dyDescent="0.25">
      <c r="B68">
        <v>22</v>
      </c>
      <c r="C68" s="20">
        <f t="shared" si="24"/>
        <v>154975.19504751379</v>
      </c>
      <c r="D68" s="20">
        <f t="shared" si="15"/>
        <v>1404.114512142078</v>
      </c>
      <c r="E68" s="20">
        <f t="shared" si="21"/>
        <v>1291.4599587292814</v>
      </c>
      <c r="F68" s="20">
        <f t="shared" si="22"/>
        <v>112.65455341279653</v>
      </c>
      <c r="G68" s="20">
        <f t="shared" si="23"/>
        <v>154862.54049410098</v>
      </c>
    </row>
    <row r="69" spans="1:7" ht="15" x14ac:dyDescent="0.25">
      <c r="B69">
        <v>23</v>
      </c>
      <c r="C69" s="20">
        <f t="shared" si="24"/>
        <v>154862.54049410098</v>
      </c>
      <c r="D69" s="20">
        <f t="shared" si="15"/>
        <v>1404.114512142078</v>
      </c>
      <c r="E69" s="20">
        <f t="shared" si="21"/>
        <v>1290.5211707841747</v>
      </c>
      <c r="F69" s="20">
        <f t="shared" si="22"/>
        <v>113.59334135790323</v>
      </c>
      <c r="G69" s="20">
        <f t="shared" si="23"/>
        <v>154748.94715274309</v>
      </c>
    </row>
    <row r="70" spans="1:7" ht="15" x14ac:dyDescent="0.25">
      <c r="B70">
        <v>24</v>
      </c>
      <c r="C70" s="20">
        <f t="shared" si="24"/>
        <v>154748.94715274309</v>
      </c>
      <c r="D70" s="20">
        <f t="shared" si="15"/>
        <v>1404.114512142078</v>
      </c>
      <c r="E70" s="20">
        <f t="shared" si="21"/>
        <v>1289.5745596061925</v>
      </c>
      <c r="F70" s="20">
        <f t="shared" si="22"/>
        <v>114.5399525358855</v>
      </c>
      <c r="G70" s="20">
        <f t="shared" si="23"/>
        <v>154634.40720020721</v>
      </c>
    </row>
    <row r="71" spans="1:7" ht="15" x14ac:dyDescent="0.25">
      <c r="C71" s="20"/>
      <c r="D71" s="20"/>
      <c r="E71" s="20">
        <f t="shared" ref="E71" si="25">SUM(E59:E70)</f>
        <v>15535.681526779423</v>
      </c>
      <c r="F71" s="20"/>
      <c r="G71" s="20"/>
    </row>
    <row r="72" spans="1:7" ht="15" x14ac:dyDescent="0.25">
      <c r="C72" s="20"/>
      <c r="D72" s="20"/>
      <c r="E72" s="20"/>
      <c r="F72" s="20"/>
      <c r="G72" s="20"/>
    </row>
    <row r="73" spans="1:7" ht="15" x14ac:dyDescent="0.25">
      <c r="A73" t="s">
        <v>76</v>
      </c>
      <c r="B73">
        <v>25</v>
      </c>
      <c r="C73" s="20">
        <f t="shared" ref="C73" si="26">G69</f>
        <v>154748.94715274309</v>
      </c>
      <c r="D73" s="20">
        <f t="shared" si="15"/>
        <v>1404.114512142078</v>
      </c>
      <c r="E73" s="20">
        <f t="shared" ref="E73:E84" si="27">C73*$J$6</f>
        <v>1289.5745596061925</v>
      </c>
      <c r="F73" s="20">
        <f t="shared" ref="F73:F84" si="28">D73-E73</f>
        <v>114.5399525358855</v>
      </c>
      <c r="G73" s="20">
        <f t="shared" ref="G73:G84" si="29">C73-F73</f>
        <v>154634.40720020721</v>
      </c>
    </row>
    <row r="74" spans="1:7" ht="15" x14ac:dyDescent="0.25">
      <c r="B74">
        <v>26</v>
      </c>
      <c r="C74" s="20">
        <f t="shared" ref="C74:C84" si="30">G73</f>
        <v>154634.40720020721</v>
      </c>
      <c r="D74" s="20">
        <f t="shared" si="15"/>
        <v>1404.114512142078</v>
      </c>
      <c r="E74" s="20">
        <f t="shared" si="27"/>
        <v>1288.6200600017266</v>
      </c>
      <c r="F74" s="20">
        <f t="shared" si="28"/>
        <v>115.49445214035131</v>
      </c>
      <c r="G74" s="20">
        <f t="shared" si="29"/>
        <v>154518.91274806685</v>
      </c>
    </row>
    <row r="75" spans="1:7" ht="15" x14ac:dyDescent="0.25">
      <c r="B75">
        <v>27</v>
      </c>
      <c r="C75" s="20">
        <f t="shared" si="30"/>
        <v>154518.91274806685</v>
      </c>
      <c r="D75" s="20">
        <f t="shared" si="15"/>
        <v>1404.114512142078</v>
      </c>
      <c r="E75" s="20">
        <f t="shared" si="27"/>
        <v>1287.6576062338904</v>
      </c>
      <c r="F75" s="20">
        <f t="shared" si="28"/>
        <v>116.45690590818754</v>
      </c>
      <c r="G75" s="20">
        <f t="shared" si="29"/>
        <v>154402.45584215867</v>
      </c>
    </row>
    <row r="76" spans="1:7" ht="15" x14ac:dyDescent="0.25">
      <c r="B76">
        <v>28</v>
      </c>
      <c r="C76" s="20">
        <f t="shared" si="30"/>
        <v>154402.45584215867</v>
      </c>
      <c r="D76" s="20">
        <f t="shared" si="15"/>
        <v>1404.114512142078</v>
      </c>
      <c r="E76" s="20">
        <f t="shared" si="27"/>
        <v>1286.6871320179889</v>
      </c>
      <c r="F76" s="20">
        <f t="shared" si="28"/>
        <v>117.42738012408904</v>
      </c>
      <c r="G76" s="20">
        <f t="shared" si="29"/>
        <v>154285.02846203459</v>
      </c>
    </row>
    <row r="77" spans="1:7" ht="15" x14ac:dyDescent="0.25">
      <c r="B77">
        <v>29</v>
      </c>
      <c r="C77" s="20">
        <f t="shared" si="30"/>
        <v>154285.02846203459</v>
      </c>
      <c r="D77" s="20">
        <f t="shared" si="15"/>
        <v>1404.114512142078</v>
      </c>
      <c r="E77" s="20">
        <f t="shared" si="27"/>
        <v>1285.708570516955</v>
      </c>
      <c r="F77" s="20">
        <f t="shared" si="28"/>
        <v>118.40594162512298</v>
      </c>
      <c r="G77" s="20">
        <f t="shared" si="29"/>
        <v>154166.62252040947</v>
      </c>
    </row>
    <row r="78" spans="1:7" ht="15" x14ac:dyDescent="0.25">
      <c r="B78">
        <v>30</v>
      </c>
      <c r="C78" s="20">
        <f t="shared" si="30"/>
        <v>154166.62252040947</v>
      </c>
      <c r="D78" s="20">
        <f t="shared" si="15"/>
        <v>1404.114512142078</v>
      </c>
      <c r="E78" s="20">
        <f t="shared" si="27"/>
        <v>1284.7218543367455</v>
      </c>
      <c r="F78" s="20">
        <f t="shared" si="28"/>
        <v>119.39265780533242</v>
      </c>
      <c r="G78" s="20">
        <f t="shared" si="29"/>
        <v>154047.22986260414</v>
      </c>
    </row>
    <row r="79" spans="1:7" ht="15" x14ac:dyDescent="0.25">
      <c r="B79">
        <v>31</v>
      </c>
      <c r="C79" s="20">
        <f t="shared" si="30"/>
        <v>154047.22986260414</v>
      </c>
      <c r="D79" s="20">
        <f t="shared" si="15"/>
        <v>1404.114512142078</v>
      </c>
      <c r="E79" s="20">
        <f t="shared" si="27"/>
        <v>1283.7269155217011</v>
      </c>
      <c r="F79" s="20">
        <f t="shared" si="28"/>
        <v>120.38759662037683</v>
      </c>
      <c r="G79" s="20">
        <f t="shared" si="29"/>
        <v>153926.84226598378</v>
      </c>
    </row>
    <row r="80" spans="1:7" ht="15" x14ac:dyDescent="0.25">
      <c r="B80">
        <v>32</v>
      </c>
      <c r="C80" s="20">
        <f t="shared" si="30"/>
        <v>153926.84226598378</v>
      </c>
      <c r="D80" s="20">
        <f t="shared" si="15"/>
        <v>1404.114512142078</v>
      </c>
      <c r="E80" s="20">
        <f t="shared" si="27"/>
        <v>1282.7236855498647</v>
      </c>
      <c r="F80" s="20">
        <f t="shared" si="28"/>
        <v>121.39082659221322</v>
      </c>
      <c r="G80" s="20">
        <f t="shared" si="29"/>
        <v>153805.45143939156</v>
      </c>
    </row>
    <row r="81" spans="1:7" ht="15" x14ac:dyDescent="0.25">
      <c r="B81">
        <v>33</v>
      </c>
      <c r="C81" s="20">
        <f t="shared" si="30"/>
        <v>153805.45143939156</v>
      </c>
      <c r="D81" s="20">
        <f t="shared" si="15"/>
        <v>1404.114512142078</v>
      </c>
      <c r="E81" s="20">
        <f t="shared" si="27"/>
        <v>1281.7120953282629</v>
      </c>
      <c r="F81" s="20">
        <f t="shared" si="28"/>
        <v>122.40241681381508</v>
      </c>
      <c r="G81" s="20">
        <f t="shared" si="29"/>
        <v>153683.04902257773</v>
      </c>
    </row>
    <row r="82" spans="1:7" ht="15" x14ac:dyDescent="0.25">
      <c r="B82">
        <v>34</v>
      </c>
      <c r="C82" s="20">
        <f t="shared" si="30"/>
        <v>153683.04902257773</v>
      </c>
      <c r="D82" s="20">
        <f t="shared" si="15"/>
        <v>1404.114512142078</v>
      </c>
      <c r="E82" s="20">
        <f t="shared" si="27"/>
        <v>1280.6920751881478</v>
      </c>
      <c r="F82" s="20">
        <f t="shared" si="28"/>
        <v>123.42243695393017</v>
      </c>
      <c r="G82" s="20">
        <f t="shared" si="29"/>
        <v>153559.6265856238</v>
      </c>
    </row>
    <row r="83" spans="1:7" ht="15" x14ac:dyDescent="0.25">
      <c r="B83">
        <v>35</v>
      </c>
      <c r="C83" s="20">
        <f t="shared" si="30"/>
        <v>153559.6265856238</v>
      </c>
      <c r="D83" s="20">
        <f t="shared" si="15"/>
        <v>1404.114512142078</v>
      </c>
      <c r="E83" s="20">
        <f t="shared" si="27"/>
        <v>1279.6635548801983</v>
      </c>
      <c r="F83" s="20">
        <f t="shared" si="28"/>
        <v>124.45095726187969</v>
      </c>
      <c r="G83" s="20">
        <f t="shared" si="29"/>
        <v>153435.17562836193</v>
      </c>
    </row>
    <row r="84" spans="1:7" ht="15" x14ac:dyDescent="0.25">
      <c r="B84">
        <v>36</v>
      </c>
      <c r="C84" s="20">
        <f t="shared" si="30"/>
        <v>153435.17562836193</v>
      </c>
      <c r="D84" s="20">
        <f t="shared" si="15"/>
        <v>1404.114512142078</v>
      </c>
      <c r="E84" s="20">
        <f t="shared" si="27"/>
        <v>1278.6264635696828</v>
      </c>
      <c r="F84" s="20">
        <f t="shared" si="28"/>
        <v>125.4880485723952</v>
      </c>
      <c r="G84" s="20">
        <f t="shared" si="29"/>
        <v>153309.68757978955</v>
      </c>
    </row>
    <row r="85" spans="1:7" ht="15" x14ac:dyDescent="0.25">
      <c r="C85" s="20"/>
      <c r="D85" s="20"/>
      <c r="E85" s="20">
        <f t="shared" ref="E85" si="31">SUM(E73:E84)</f>
        <v>15410.114572751356</v>
      </c>
      <c r="F85" s="20"/>
      <c r="G85" s="20"/>
    </row>
    <row r="86" spans="1:7" ht="15" x14ac:dyDescent="0.25">
      <c r="C86" s="20"/>
      <c r="D86" s="20"/>
      <c r="E86" s="20"/>
      <c r="F86" s="20"/>
      <c r="G86" s="20"/>
    </row>
    <row r="87" spans="1:7" ht="15" x14ac:dyDescent="0.25">
      <c r="A87" t="s">
        <v>77</v>
      </c>
      <c r="B87">
        <v>37</v>
      </c>
      <c r="C87" s="20">
        <f t="shared" ref="C87" si="32">G83</f>
        <v>153435.17562836193</v>
      </c>
      <c r="D87" s="20">
        <f t="shared" si="15"/>
        <v>1404.114512142078</v>
      </c>
      <c r="E87" s="20">
        <f t="shared" ref="E87:E98" si="33">C87*$J$6</f>
        <v>1278.6264635696828</v>
      </c>
      <c r="F87" s="20">
        <f t="shared" ref="F87:F98" si="34">D87-E87</f>
        <v>125.4880485723952</v>
      </c>
      <c r="G87" s="20">
        <f t="shared" ref="G87:G98" si="35">C87-F87</f>
        <v>153309.68757978955</v>
      </c>
    </row>
    <row r="88" spans="1:7" ht="15" x14ac:dyDescent="0.25">
      <c r="B88">
        <v>38</v>
      </c>
      <c r="C88" s="20">
        <f t="shared" ref="C88:C98" si="36">G87</f>
        <v>153309.68757978955</v>
      </c>
      <c r="D88" s="20">
        <f t="shared" si="15"/>
        <v>1404.114512142078</v>
      </c>
      <c r="E88" s="20">
        <f t="shared" si="33"/>
        <v>1277.5807298315794</v>
      </c>
      <c r="F88" s="20">
        <f t="shared" si="34"/>
        <v>126.53378231049851</v>
      </c>
      <c r="G88" s="20">
        <f t="shared" si="35"/>
        <v>153183.15379747906</v>
      </c>
    </row>
    <row r="89" spans="1:7" ht="15" x14ac:dyDescent="0.25">
      <c r="B89">
        <v>39</v>
      </c>
      <c r="C89" s="20">
        <f t="shared" si="36"/>
        <v>153183.15379747906</v>
      </c>
      <c r="D89" s="20">
        <f t="shared" si="15"/>
        <v>1404.114512142078</v>
      </c>
      <c r="E89" s="20">
        <f t="shared" si="33"/>
        <v>1276.5262816456589</v>
      </c>
      <c r="F89" s="20">
        <f t="shared" si="34"/>
        <v>127.5882304964191</v>
      </c>
      <c r="G89" s="20">
        <f t="shared" si="35"/>
        <v>153055.56556698264</v>
      </c>
    </row>
    <row r="90" spans="1:7" ht="15" x14ac:dyDescent="0.25">
      <c r="B90">
        <v>40</v>
      </c>
      <c r="C90" s="20">
        <f t="shared" si="36"/>
        <v>153055.56556698264</v>
      </c>
      <c r="D90" s="20">
        <f t="shared" si="15"/>
        <v>1404.114512142078</v>
      </c>
      <c r="E90" s="20">
        <f t="shared" si="33"/>
        <v>1275.4630463915219</v>
      </c>
      <c r="F90" s="20">
        <f t="shared" si="34"/>
        <v>128.6514657505561</v>
      </c>
      <c r="G90" s="20">
        <f t="shared" si="35"/>
        <v>152926.91410123208</v>
      </c>
    </row>
    <row r="91" spans="1:7" ht="15" x14ac:dyDescent="0.25">
      <c r="B91">
        <v>41</v>
      </c>
      <c r="C91" s="20">
        <f t="shared" si="36"/>
        <v>152926.91410123208</v>
      </c>
      <c r="D91" s="20">
        <f t="shared" si="15"/>
        <v>1404.114512142078</v>
      </c>
      <c r="E91" s="20">
        <f t="shared" si="33"/>
        <v>1274.3909508436006</v>
      </c>
      <c r="F91" s="20">
        <f t="shared" si="34"/>
        <v>129.72356129847731</v>
      </c>
      <c r="G91" s="20">
        <f t="shared" si="35"/>
        <v>152797.1905399336</v>
      </c>
    </row>
    <row r="92" spans="1:7" ht="15" x14ac:dyDescent="0.25">
      <c r="B92">
        <v>42</v>
      </c>
      <c r="C92" s="20">
        <f t="shared" si="36"/>
        <v>152797.1905399336</v>
      </c>
      <c r="D92" s="20">
        <f t="shared" si="15"/>
        <v>1404.114512142078</v>
      </c>
      <c r="E92" s="20">
        <f t="shared" si="33"/>
        <v>1273.3099211661133</v>
      </c>
      <c r="F92" s="20">
        <f t="shared" si="34"/>
        <v>130.80459097596463</v>
      </c>
      <c r="G92" s="20">
        <f t="shared" si="35"/>
        <v>152666.38594895764</v>
      </c>
    </row>
    <row r="93" spans="1:7" ht="15" x14ac:dyDescent="0.25">
      <c r="B93">
        <v>43</v>
      </c>
      <c r="C93" s="20">
        <f t="shared" si="36"/>
        <v>152666.38594895764</v>
      </c>
      <c r="D93" s="20">
        <f t="shared" si="15"/>
        <v>1404.114512142078</v>
      </c>
      <c r="E93" s="20">
        <f t="shared" si="33"/>
        <v>1272.2198829079803</v>
      </c>
      <c r="F93" s="20">
        <f t="shared" si="34"/>
        <v>131.89462923409769</v>
      </c>
      <c r="G93" s="20">
        <f t="shared" si="35"/>
        <v>152534.49131972354</v>
      </c>
    </row>
    <row r="94" spans="1:7" ht="15" x14ac:dyDescent="0.25">
      <c r="B94">
        <v>44</v>
      </c>
      <c r="C94" s="20">
        <f t="shared" si="36"/>
        <v>152534.49131972354</v>
      </c>
      <c r="D94" s="20">
        <f t="shared" si="15"/>
        <v>1404.114512142078</v>
      </c>
      <c r="E94" s="20">
        <f t="shared" si="33"/>
        <v>1271.1207609976962</v>
      </c>
      <c r="F94" s="20">
        <f t="shared" si="34"/>
        <v>132.9937511443818</v>
      </c>
      <c r="G94" s="20">
        <f t="shared" si="35"/>
        <v>152401.49756857916</v>
      </c>
    </row>
    <row r="95" spans="1:7" ht="15" x14ac:dyDescent="0.25">
      <c r="B95">
        <v>45</v>
      </c>
      <c r="C95" s="20">
        <f t="shared" si="36"/>
        <v>152401.49756857916</v>
      </c>
      <c r="D95" s="20">
        <f t="shared" si="15"/>
        <v>1404.114512142078</v>
      </c>
      <c r="E95" s="20">
        <f t="shared" si="33"/>
        <v>1270.0124797381595</v>
      </c>
      <c r="F95" s="20">
        <f t="shared" si="34"/>
        <v>134.10203240391843</v>
      </c>
      <c r="G95" s="20">
        <f t="shared" si="35"/>
        <v>152267.39553617523</v>
      </c>
    </row>
    <row r="96" spans="1:7" ht="15" x14ac:dyDescent="0.25">
      <c r="B96">
        <v>46</v>
      </c>
      <c r="C96" s="20">
        <f t="shared" si="36"/>
        <v>152267.39553617523</v>
      </c>
      <c r="D96" s="20">
        <f t="shared" si="15"/>
        <v>1404.114512142078</v>
      </c>
      <c r="E96" s="20">
        <f t="shared" si="33"/>
        <v>1268.8949628014602</v>
      </c>
      <c r="F96" s="20">
        <f t="shared" si="34"/>
        <v>135.21954934061773</v>
      </c>
      <c r="G96" s="20">
        <f t="shared" si="35"/>
        <v>152132.17598683463</v>
      </c>
    </row>
    <row r="97" spans="1:7" ht="15" x14ac:dyDescent="0.25">
      <c r="B97">
        <v>47</v>
      </c>
      <c r="C97" s="20">
        <f t="shared" si="36"/>
        <v>152132.17598683463</v>
      </c>
      <c r="D97" s="20">
        <f t="shared" si="15"/>
        <v>1404.114512142078</v>
      </c>
      <c r="E97" s="20">
        <f t="shared" si="33"/>
        <v>1267.7681332236218</v>
      </c>
      <c r="F97" s="20">
        <f t="shared" si="34"/>
        <v>136.34637891845614</v>
      </c>
      <c r="G97" s="20">
        <f t="shared" si="35"/>
        <v>151995.82960791618</v>
      </c>
    </row>
    <row r="98" spans="1:7" ht="15" x14ac:dyDescent="0.25">
      <c r="B98">
        <v>48</v>
      </c>
      <c r="C98" s="20">
        <f t="shared" si="36"/>
        <v>151995.82960791618</v>
      </c>
      <c r="D98" s="20">
        <f t="shared" si="15"/>
        <v>1404.114512142078</v>
      </c>
      <c r="E98" s="20">
        <f t="shared" si="33"/>
        <v>1266.6319133993015</v>
      </c>
      <c r="F98" s="20">
        <f t="shared" si="34"/>
        <v>137.48259874277642</v>
      </c>
      <c r="G98" s="20">
        <f t="shared" si="35"/>
        <v>151858.34700917339</v>
      </c>
    </row>
    <row r="99" spans="1:7" ht="15" x14ac:dyDescent="0.25">
      <c r="C99" s="20"/>
      <c r="D99" s="20"/>
      <c r="E99" s="20">
        <f t="shared" ref="E99" si="37">SUM(E87:E98)</f>
        <v>15272.545526516376</v>
      </c>
      <c r="F99" s="20"/>
      <c r="G99" s="20"/>
    </row>
    <row r="100" spans="1:7" ht="15" x14ac:dyDescent="0.25">
      <c r="C100" s="20"/>
      <c r="D100" s="20"/>
      <c r="E100" s="20"/>
      <c r="F100" s="20"/>
      <c r="G100" s="20"/>
    </row>
    <row r="101" spans="1:7" ht="15" x14ac:dyDescent="0.25">
      <c r="A101" t="s">
        <v>78</v>
      </c>
      <c r="B101">
        <v>49</v>
      </c>
      <c r="C101" s="20">
        <f t="shared" ref="C101" si="38">G97</f>
        <v>151995.82960791618</v>
      </c>
      <c r="D101" s="20">
        <f t="shared" si="15"/>
        <v>1404.114512142078</v>
      </c>
      <c r="E101" s="20">
        <f t="shared" ref="E101:E112" si="39">C101*$J$6</f>
        <v>1266.6319133993015</v>
      </c>
      <c r="F101" s="20">
        <f t="shared" ref="F101:F112" si="40">D101-E101</f>
        <v>137.48259874277642</v>
      </c>
      <c r="G101" s="20">
        <f t="shared" ref="G101:G112" si="41">C101-F101</f>
        <v>151858.34700917339</v>
      </c>
    </row>
    <row r="102" spans="1:7" ht="15" x14ac:dyDescent="0.25">
      <c r="B102">
        <v>50</v>
      </c>
      <c r="C102" s="20">
        <f t="shared" ref="C102:C112" si="42">G101</f>
        <v>151858.34700917339</v>
      </c>
      <c r="D102" s="20">
        <f t="shared" si="15"/>
        <v>1404.114512142078</v>
      </c>
      <c r="E102" s="20">
        <f t="shared" si="39"/>
        <v>1265.486225076445</v>
      </c>
      <c r="F102" s="20">
        <f t="shared" si="40"/>
        <v>138.628287065633</v>
      </c>
      <c r="G102" s="20">
        <f t="shared" si="41"/>
        <v>151719.71872210776</v>
      </c>
    </row>
    <row r="103" spans="1:7" ht="15" x14ac:dyDescent="0.25">
      <c r="B103">
        <v>51</v>
      </c>
      <c r="C103" s="20">
        <f t="shared" si="42"/>
        <v>151719.71872210776</v>
      </c>
      <c r="D103" s="20">
        <f t="shared" si="15"/>
        <v>1404.114512142078</v>
      </c>
      <c r="E103" s="20">
        <f t="shared" si="39"/>
        <v>1264.3309893508981</v>
      </c>
      <c r="F103" s="20">
        <f t="shared" si="40"/>
        <v>139.78352279117985</v>
      </c>
      <c r="G103" s="20">
        <f t="shared" si="41"/>
        <v>151579.93519931659</v>
      </c>
    </row>
    <row r="104" spans="1:7" ht="15" x14ac:dyDescent="0.25">
      <c r="B104">
        <v>52</v>
      </c>
      <c r="C104" s="20">
        <f t="shared" si="42"/>
        <v>151579.93519931659</v>
      </c>
      <c r="D104" s="20">
        <f t="shared" si="15"/>
        <v>1404.114512142078</v>
      </c>
      <c r="E104" s="20">
        <f t="shared" si="39"/>
        <v>1263.1661266609715</v>
      </c>
      <c r="F104" s="20">
        <f t="shared" si="40"/>
        <v>140.94838548110647</v>
      </c>
      <c r="G104" s="20">
        <f t="shared" si="41"/>
        <v>151438.98681383548</v>
      </c>
    </row>
    <row r="105" spans="1:7" ht="15" x14ac:dyDescent="0.25">
      <c r="B105">
        <v>53</v>
      </c>
      <c r="C105" s="20">
        <f t="shared" si="42"/>
        <v>151438.98681383548</v>
      </c>
      <c r="D105" s="20">
        <f t="shared" si="15"/>
        <v>1404.114512142078</v>
      </c>
      <c r="E105" s="20">
        <f t="shared" si="39"/>
        <v>1261.9915567819623</v>
      </c>
      <c r="F105" s="20">
        <f t="shared" si="40"/>
        <v>142.12295536011561</v>
      </c>
      <c r="G105" s="20">
        <f t="shared" si="41"/>
        <v>151296.86385847535</v>
      </c>
    </row>
    <row r="106" spans="1:7" ht="15" x14ac:dyDescent="0.25">
      <c r="B106">
        <v>54</v>
      </c>
      <c r="C106" s="20">
        <f t="shared" si="42"/>
        <v>151296.86385847535</v>
      </c>
      <c r="D106" s="20">
        <f t="shared" si="15"/>
        <v>1404.114512142078</v>
      </c>
      <c r="E106" s="20">
        <f t="shared" si="39"/>
        <v>1260.8071988206279</v>
      </c>
      <c r="F106" s="20">
        <f t="shared" si="40"/>
        <v>143.30731332145001</v>
      </c>
      <c r="G106" s="20">
        <f t="shared" si="41"/>
        <v>151153.5565451539</v>
      </c>
    </row>
    <row r="107" spans="1:7" ht="15" x14ac:dyDescent="0.25">
      <c r="B107">
        <v>55</v>
      </c>
      <c r="C107" s="20">
        <f t="shared" si="42"/>
        <v>151153.5565451539</v>
      </c>
      <c r="D107" s="20">
        <f t="shared" si="15"/>
        <v>1404.114512142078</v>
      </c>
      <c r="E107" s="20">
        <f t="shared" si="39"/>
        <v>1259.6129712096158</v>
      </c>
      <c r="F107" s="20">
        <f t="shared" si="40"/>
        <v>144.50154093246215</v>
      </c>
      <c r="G107" s="20">
        <f t="shared" si="41"/>
        <v>151009.05500422145</v>
      </c>
    </row>
    <row r="108" spans="1:7" ht="15" x14ac:dyDescent="0.25">
      <c r="B108">
        <v>56</v>
      </c>
      <c r="C108" s="20">
        <f t="shared" si="42"/>
        <v>151009.05500422145</v>
      </c>
      <c r="D108" s="20">
        <f t="shared" si="15"/>
        <v>1404.114512142078</v>
      </c>
      <c r="E108" s="20">
        <f t="shared" si="39"/>
        <v>1258.4087917018453</v>
      </c>
      <c r="F108" s="20">
        <f t="shared" si="40"/>
        <v>145.70572044023265</v>
      </c>
      <c r="G108" s="20">
        <f t="shared" si="41"/>
        <v>150863.34928378122</v>
      </c>
    </row>
    <row r="109" spans="1:7" ht="15" x14ac:dyDescent="0.25">
      <c r="B109">
        <v>57</v>
      </c>
      <c r="C109" s="20">
        <f t="shared" si="42"/>
        <v>150863.34928378122</v>
      </c>
      <c r="D109" s="20">
        <f t="shared" si="15"/>
        <v>1404.114512142078</v>
      </c>
      <c r="E109" s="20">
        <f t="shared" si="39"/>
        <v>1257.1945773648436</v>
      </c>
      <c r="F109" s="20">
        <f t="shared" si="40"/>
        <v>146.9199347772344</v>
      </c>
      <c r="G109" s="20">
        <f t="shared" si="41"/>
        <v>150716.429349004</v>
      </c>
    </row>
    <row r="110" spans="1:7" ht="15" x14ac:dyDescent="0.25">
      <c r="B110">
        <v>58</v>
      </c>
      <c r="C110" s="20">
        <f t="shared" si="42"/>
        <v>150716.429349004</v>
      </c>
      <c r="D110" s="20">
        <f t="shared" si="15"/>
        <v>1404.114512142078</v>
      </c>
      <c r="E110" s="20">
        <f t="shared" si="39"/>
        <v>1255.9702445750333</v>
      </c>
      <c r="F110" s="20">
        <f t="shared" si="40"/>
        <v>148.14426756704461</v>
      </c>
      <c r="G110" s="20">
        <f t="shared" si="41"/>
        <v>150568.28508143694</v>
      </c>
    </row>
    <row r="111" spans="1:7" ht="15" x14ac:dyDescent="0.25">
      <c r="B111">
        <v>59</v>
      </c>
      <c r="C111" s="20">
        <f t="shared" si="42"/>
        <v>150568.28508143694</v>
      </c>
      <c r="D111" s="20">
        <f t="shared" si="15"/>
        <v>1404.114512142078</v>
      </c>
      <c r="E111" s="20">
        <f t="shared" si="39"/>
        <v>1254.7357090119744</v>
      </c>
      <c r="F111" s="20">
        <f t="shared" si="40"/>
        <v>149.37880313010351</v>
      </c>
      <c r="G111" s="20">
        <f t="shared" si="41"/>
        <v>150418.90627830685</v>
      </c>
    </row>
    <row r="112" spans="1:7" ht="15" x14ac:dyDescent="0.25">
      <c r="B112">
        <v>60</v>
      </c>
      <c r="C112" s="20">
        <f t="shared" si="42"/>
        <v>150418.90627830685</v>
      </c>
      <c r="D112" s="20">
        <f t="shared" si="15"/>
        <v>1404.114512142078</v>
      </c>
      <c r="E112" s="20">
        <f t="shared" si="39"/>
        <v>1253.4908856525572</v>
      </c>
      <c r="F112" s="20">
        <f t="shared" si="40"/>
        <v>150.6236264895208</v>
      </c>
      <c r="G112" s="20">
        <f t="shared" si="41"/>
        <v>150268.28265181734</v>
      </c>
    </row>
    <row r="113" spans="1:7" ht="15" x14ac:dyDescent="0.25">
      <c r="C113" s="20"/>
      <c r="D113" s="20"/>
      <c r="E113" s="20">
        <f t="shared" ref="E113" si="43">SUM(E101:E112)</f>
        <v>15121.827189606076</v>
      </c>
      <c r="F113" s="20"/>
      <c r="G113" s="20"/>
    </row>
    <row r="114" spans="1:7" ht="15" x14ac:dyDescent="0.25">
      <c r="C114" s="20"/>
      <c r="D114" s="20"/>
      <c r="E114" s="20"/>
      <c r="F114" s="20"/>
      <c r="G114" s="20"/>
    </row>
    <row r="115" spans="1:7" ht="15" x14ac:dyDescent="0.25">
      <c r="A115" t="s">
        <v>79</v>
      </c>
      <c r="B115">
        <v>61</v>
      </c>
      <c r="C115" s="20">
        <f t="shared" ref="C115" si="44">G111</f>
        <v>150418.90627830685</v>
      </c>
      <c r="D115" s="20">
        <f t="shared" ref="D115:D140" si="45">$J$7</f>
        <v>1404.114512142078</v>
      </c>
      <c r="E115" s="20">
        <f t="shared" ref="E115:E126" si="46">C115*$J$6</f>
        <v>1253.4908856525572</v>
      </c>
      <c r="F115" s="20">
        <f t="shared" ref="F115:F126" si="47">D115-E115</f>
        <v>150.6236264895208</v>
      </c>
      <c r="G115" s="20">
        <f t="shared" ref="G115:G126" si="48">C115-F115</f>
        <v>150268.28265181734</v>
      </c>
    </row>
    <row r="116" spans="1:7" ht="15" x14ac:dyDescent="0.25">
      <c r="B116">
        <v>62</v>
      </c>
      <c r="C116" s="20">
        <f t="shared" ref="C116:C126" si="49">G115</f>
        <v>150268.28265181734</v>
      </c>
      <c r="D116" s="20">
        <f t="shared" si="45"/>
        <v>1404.114512142078</v>
      </c>
      <c r="E116" s="20">
        <f t="shared" si="46"/>
        <v>1252.2356887651445</v>
      </c>
      <c r="F116" s="20">
        <f t="shared" si="47"/>
        <v>151.8788233769335</v>
      </c>
      <c r="G116" s="20">
        <f t="shared" si="48"/>
        <v>150116.40382844041</v>
      </c>
    </row>
    <row r="117" spans="1:7" ht="15" x14ac:dyDescent="0.25">
      <c r="B117">
        <v>63</v>
      </c>
      <c r="C117" s="20">
        <f t="shared" si="49"/>
        <v>150116.40382844041</v>
      </c>
      <c r="D117" s="20">
        <f t="shared" si="45"/>
        <v>1404.114512142078</v>
      </c>
      <c r="E117" s="20">
        <f t="shared" si="46"/>
        <v>1250.9700319036701</v>
      </c>
      <c r="F117" s="20">
        <f t="shared" si="47"/>
        <v>153.14448023840782</v>
      </c>
      <c r="G117" s="20">
        <f t="shared" si="48"/>
        <v>149963.259348202</v>
      </c>
    </row>
    <row r="118" spans="1:7" ht="15" x14ac:dyDescent="0.25">
      <c r="B118">
        <v>64</v>
      </c>
      <c r="C118" s="20">
        <f t="shared" si="49"/>
        <v>149963.259348202</v>
      </c>
      <c r="D118" s="20">
        <f t="shared" si="45"/>
        <v>1404.114512142078</v>
      </c>
      <c r="E118" s="20">
        <f t="shared" si="46"/>
        <v>1249.6938279016833</v>
      </c>
      <c r="F118" s="20">
        <f t="shared" si="47"/>
        <v>154.42068424039462</v>
      </c>
      <c r="G118" s="20">
        <f t="shared" si="48"/>
        <v>149808.83866396162</v>
      </c>
    </row>
    <row r="119" spans="1:7" ht="15" x14ac:dyDescent="0.25">
      <c r="B119">
        <v>65</v>
      </c>
      <c r="C119" s="20">
        <f t="shared" si="49"/>
        <v>149808.83866396162</v>
      </c>
      <c r="D119" s="20">
        <f t="shared" si="45"/>
        <v>1404.114512142078</v>
      </c>
      <c r="E119" s="20">
        <f t="shared" si="46"/>
        <v>1248.4069888663469</v>
      </c>
      <c r="F119" s="20">
        <f t="shared" si="47"/>
        <v>155.70752327573109</v>
      </c>
      <c r="G119" s="20">
        <f t="shared" si="48"/>
        <v>149653.1311406859</v>
      </c>
    </row>
    <row r="120" spans="1:7" ht="15" x14ac:dyDescent="0.25">
      <c r="B120">
        <v>66</v>
      </c>
      <c r="C120" s="20">
        <f t="shared" si="49"/>
        <v>149653.1311406859</v>
      </c>
      <c r="D120" s="20">
        <f t="shared" si="45"/>
        <v>1404.114512142078</v>
      </c>
      <c r="E120" s="20">
        <f t="shared" si="46"/>
        <v>1247.1094261723824</v>
      </c>
      <c r="F120" s="20">
        <f t="shared" si="47"/>
        <v>157.00508596969553</v>
      </c>
      <c r="G120" s="20">
        <f t="shared" si="48"/>
        <v>149496.12605471621</v>
      </c>
    </row>
    <row r="121" spans="1:7" ht="15" x14ac:dyDescent="0.25">
      <c r="B121">
        <v>67</v>
      </c>
      <c r="C121" s="20">
        <f t="shared" si="49"/>
        <v>149496.12605471621</v>
      </c>
      <c r="D121" s="20">
        <f t="shared" si="45"/>
        <v>1404.114512142078</v>
      </c>
      <c r="E121" s="20">
        <f t="shared" si="46"/>
        <v>1245.8010504559684</v>
      </c>
      <c r="F121" s="20">
        <f t="shared" si="47"/>
        <v>158.31346168610958</v>
      </c>
      <c r="G121" s="20">
        <f t="shared" si="48"/>
        <v>149337.8125930301</v>
      </c>
    </row>
    <row r="122" spans="1:7" ht="15" x14ac:dyDescent="0.25">
      <c r="B122">
        <v>68</v>
      </c>
      <c r="C122" s="20">
        <f t="shared" si="49"/>
        <v>149337.8125930301</v>
      </c>
      <c r="D122" s="20">
        <f t="shared" si="45"/>
        <v>1404.114512142078</v>
      </c>
      <c r="E122" s="20">
        <f t="shared" si="46"/>
        <v>1244.4817716085843</v>
      </c>
      <c r="F122" s="20">
        <f t="shared" si="47"/>
        <v>159.63274053349369</v>
      </c>
      <c r="G122" s="20">
        <f t="shared" si="48"/>
        <v>149178.1798524966</v>
      </c>
    </row>
    <row r="123" spans="1:7" ht="15" x14ac:dyDescent="0.25">
      <c r="B123">
        <v>69</v>
      </c>
      <c r="C123" s="20">
        <f t="shared" si="49"/>
        <v>149178.1798524966</v>
      </c>
      <c r="D123" s="20">
        <f t="shared" si="45"/>
        <v>1404.114512142078</v>
      </c>
      <c r="E123" s="20">
        <f t="shared" si="46"/>
        <v>1243.1514987708049</v>
      </c>
      <c r="F123" s="20">
        <f t="shared" si="47"/>
        <v>160.96301337127306</v>
      </c>
      <c r="G123" s="20">
        <f t="shared" si="48"/>
        <v>149017.21683912532</v>
      </c>
    </row>
    <row r="124" spans="1:7" ht="15" x14ac:dyDescent="0.25">
      <c r="B124">
        <v>70</v>
      </c>
      <c r="C124" s="20">
        <f t="shared" si="49"/>
        <v>149017.21683912532</v>
      </c>
      <c r="D124" s="20">
        <f t="shared" si="45"/>
        <v>1404.114512142078</v>
      </c>
      <c r="E124" s="20">
        <f t="shared" si="46"/>
        <v>1241.8101403260443</v>
      </c>
      <c r="F124" s="20">
        <f t="shared" si="47"/>
        <v>162.30437181603361</v>
      </c>
      <c r="G124" s="20">
        <f t="shared" si="48"/>
        <v>148854.91246730927</v>
      </c>
    </row>
    <row r="125" spans="1:7" ht="15" x14ac:dyDescent="0.25">
      <c r="B125">
        <v>71</v>
      </c>
      <c r="C125" s="20">
        <f t="shared" si="49"/>
        <v>148854.91246730927</v>
      </c>
      <c r="D125" s="20">
        <f t="shared" si="45"/>
        <v>1404.114512142078</v>
      </c>
      <c r="E125" s="20">
        <f t="shared" si="46"/>
        <v>1240.4576038942439</v>
      </c>
      <c r="F125" s="20">
        <f t="shared" si="47"/>
        <v>163.65690824783405</v>
      </c>
      <c r="G125" s="20">
        <f t="shared" si="48"/>
        <v>148691.25555906145</v>
      </c>
    </row>
    <row r="126" spans="1:7" ht="15" x14ac:dyDescent="0.25">
      <c r="B126">
        <v>72</v>
      </c>
      <c r="C126" s="20">
        <f t="shared" si="49"/>
        <v>148691.25555906145</v>
      </c>
      <c r="D126" s="20">
        <f t="shared" si="45"/>
        <v>1404.114512142078</v>
      </c>
      <c r="E126" s="20">
        <f t="shared" si="46"/>
        <v>1239.0937963255121</v>
      </c>
      <c r="F126" s="20">
        <f t="shared" si="47"/>
        <v>165.02071581656583</v>
      </c>
      <c r="G126" s="20">
        <f t="shared" si="48"/>
        <v>148526.23484324489</v>
      </c>
    </row>
    <row r="127" spans="1:7" ht="15" x14ac:dyDescent="0.25">
      <c r="C127" s="20"/>
      <c r="D127" s="20"/>
      <c r="E127" s="20">
        <f t="shared" ref="E127" si="50">SUM(E115:E126)</f>
        <v>14956.702710642941</v>
      </c>
      <c r="F127" s="20"/>
      <c r="G127" s="20"/>
    </row>
    <row r="128" spans="1:7" ht="15" x14ac:dyDescent="0.25">
      <c r="C128" s="20"/>
      <c r="D128" s="20"/>
      <c r="E128" s="20"/>
      <c r="F128" s="20"/>
      <c r="G128" s="20"/>
    </row>
    <row r="129" spans="1:7" ht="15" x14ac:dyDescent="0.25">
      <c r="A129" t="s">
        <v>80</v>
      </c>
      <c r="B129">
        <v>73</v>
      </c>
      <c r="C129" s="20">
        <f t="shared" ref="C129" si="51">G125</f>
        <v>148691.25555906145</v>
      </c>
      <c r="D129" s="20">
        <f t="shared" si="45"/>
        <v>1404.114512142078</v>
      </c>
      <c r="E129" s="20">
        <f t="shared" ref="E129:E140" si="52">C129*$J$6</f>
        <v>1239.0937963255121</v>
      </c>
      <c r="F129" s="20">
        <f t="shared" ref="F129:F140" si="53">D129-E129</f>
        <v>165.02071581656583</v>
      </c>
      <c r="G129" s="20">
        <f t="shared" ref="G129:G140" si="54">C129-F129</f>
        <v>148526.23484324489</v>
      </c>
    </row>
    <row r="130" spans="1:7" ht="15" x14ac:dyDescent="0.25">
      <c r="B130">
        <v>74</v>
      </c>
      <c r="C130" s="20">
        <f t="shared" ref="C130:C140" si="55">G129</f>
        <v>148526.23484324489</v>
      </c>
      <c r="D130" s="20">
        <f t="shared" si="45"/>
        <v>1404.114512142078</v>
      </c>
      <c r="E130" s="20">
        <f t="shared" si="52"/>
        <v>1237.7186236937075</v>
      </c>
      <c r="F130" s="20">
        <f t="shared" si="53"/>
        <v>166.39588844837044</v>
      </c>
      <c r="G130" s="20">
        <f t="shared" si="54"/>
        <v>148359.83895479652</v>
      </c>
    </row>
    <row r="131" spans="1:7" ht="15" x14ac:dyDescent="0.25">
      <c r="B131">
        <v>75</v>
      </c>
      <c r="C131" s="20">
        <f t="shared" si="55"/>
        <v>148359.83895479652</v>
      </c>
      <c r="D131" s="20">
        <f t="shared" si="45"/>
        <v>1404.114512142078</v>
      </c>
      <c r="E131" s="20">
        <f t="shared" si="52"/>
        <v>1236.331991289971</v>
      </c>
      <c r="F131" s="20">
        <f t="shared" si="53"/>
        <v>167.78252085210693</v>
      </c>
      <c r="G131" s="20">
        <f t="shared" si="54"/>
        <v>148192.05643394441</v>
      </c>
    </row>
    <row r="132" spans="1:7" ht="15" x14ac:dyDescent="0.25">
      <c r="B132">
        <v>76</v>
      </c>
      <c r="C132" s="20">
        <f t="shared" si="55"/>
        <v>148192.05643394441</v>
      </c>
      <c r="D132" s="20">
        <f t="shared" si="45"/>
        <v>1404.114512142078</v>
      </c>
      <c r="E132" s="20">
        <f t="shared" si="52"/>
        <v>1234.9338036162035</v>
      </c>
      <c r="F132" s="20">
        <f t="shared" si="53"/>
        <v>169.18070852587448</v>
      </c>
      <c r="G132" s="20">
        <f t="shared" si="54"/>
        <v>148022.87572541853</v>
      </c>
    </row>
    <row r="133" spans="1:7" ht="15" x14ac:dyDescent="0.25">
      <c r="B133">
        <v>77</v>
      </c>
      <c r="C133" s="20">
        <f t="shared" si="55"/>
        <v>148022.87572541853</v>
      </c>
      <c r="D133" s="20">
        <f t="shared" si="45"/>
        <v>1404.114512142078</v>
      </c>
      <c r="E133" s="20">
        <f t="shared" si="52"/>
        <v>1233.5239643784878</v>
      </c>
      <c r="F133" s="20">
        <f t="shared" si="53"/>
        <v>170.59054776359017</v>
      </c>
      <c r="G133" s="20">
        <f t="shared" si="54"/>
        <v>147852.28517765494</v>
      </c>
    </row>
    <row r="134" spans="1:7" ht="15" x14ac:dyDescent="0.25">
      <c r="B134">
        <v>78</v>
      </c>
      <c r="C134" s="20">
        <f t="shared" si="55"/>
        <v>147852.28517765494</v>
      </c>
      <c r="D134" s="20">
        <f t="shared" si="45"/>
        <v>1404.114512142078</v>
      </c>
      <c r="E134" s="20">
        <f t="shared" si="52"/>
        <v>1232.1023764804577</v>
      </c>
      <c r="F134" s="20">
        <f t="shared" si="53"/>
        <v>172.01213566162028</v>
      </c>
      <c r="G134" s="20">
        <f t="shared" si="54"/>
        <v>147680.27304199332</v>
      </c>
    </row>
    <row r="135" spans="1:7" ht="15" x14ac:dyDescent="0.25">
      <c r="B135">
        <v>79</v>
      </c>
      <c r="C135" s="20">
        <f t="shared" si="55"/>
        <v>147680.27304199332</v>
      </c>
      <c r="D135" s="20">
        <f t="shared" si="45"/>
        <v>1404.114512142078</v>
      </c>
      <c r="E135" s="20">
        <f t="shared" si="52"/>
        <v>1230.668942016611</v>
      </c>
      <c r="F135" s="20">
        <f t="shared" si="53"/>
        <v>173.44557012546693</v>
      </c>
      <c r="G135" s="20">
        <f t="shared" si="54"/>
        <v>147506.82747186784</v>
      </c>
    </row>
    <row r="136" spans="1:7" ht="15" x14ac:dyDescent="0.25">
      <c r="B136">
        <v>80</v>
      </c>
      <c r="C136" s="20">
        <f t="shared" si="55"/>
        <v>147506.82747186784</v>
      </c>
      <c r="D136" s="20">
        <f t="shared" si="45"/>
        <v>1404.114512142078</v>
      </c>
      <c r="E136" s="20">
        <f t="shared" si="52"/>
        <v>1229.2235622655653</v>
      </c>
      <c r="F136" s="20">
        <f t="shared" si="53"/>
        <v>174.89094987651265</v>
      </c>
      <c r="G136" s="20">
        <f t="shared" si="54"/>
        <v>147331.93652199133</v>
      </c>
    </row>
    <row r="137" spans="1:7" ht="15" x14ac:dyDescent="0.25">
      <c r="B137">
        <v>81</v>
      </c>
      <c r="C137" s="20">
        <f t="shared" si="55"/>
        <v>147331.93652199133</v>
      </c>
      <c r="D137" s="20">
        <f t="shared" si="45"/>
        <v>1404.114512142078</v>
      </c>
      <c r="E137" s="20">
        <f t="shared" si="52"/>
        <v>1227.7661376832611</v>
      </c>
      <c r="F137" s="20">
        <f t="shared" si="53"/>
        <v>176.34837445881681</v>
      </c>
      <c r="G137" s="20">
        <f t="shared" si="54"/>
        <v>147155.58814753251</v>
      </c>
    </row>
    <row r="138" spans="1:7" ht="15" x14ac:dyDescent="0.25">
      <c r="B138">
        <v>82</v>
      </c>
      <c r="C138" s="20">
        <f t="shared" si="55"/>
        <v>147155.58814753251</v>
      </c>
      <c r="D138" s="20">
        <f t="shared" si="45"/>
        <v>1404.114512142078</v>
      </c>
      <c r="E138" s="20">
        <f t="shared" si="52"/>
        <v>1226.2965678961043</v>
      </c>
      <c r="F138" s="20">
        <f t="shared" si="53"/>
        <v>177.81794424597365</v>
      </c>
      <c r="G138" s="20">
        <f t="shared" si="54"/>
        <v>146977.77020328655</v>
      </c>
    </row>
    <row r="139" spans="1:7" ht="15" x14ac:dyDescent="0.25">
      <c r="B139">
        <v>83</v>
      </c>
      <c r="C139" s="20">
        <f t="shared" si="55"/>
        <v>146977.77020328655</v>
      </c>
      <c r="D139" s="20">
        <f t="shared" si="45"/>
        <v>1404.114512142078</v>
      </c>
      <c r="E139" s="20">
        <f t="shared" si="52"/>
        <v>1224.8147516940546</v>
      </c>
      <c r="F139" s="20">
        <f t="shared" si="53"/>
        <v>179.29976044802333</v>
      </c>
      <c r="G139" s="20">
        <f t="shared" si="54"/>
        <v>146798.47044283853</v>
      </c>
    </row>
    <row r="140" spans="1:7" ht="15" x14ac:dyDescent="0.25">
      <c r="B140">
        <v>84</v>
      </c>
      <c r="C140" s="20">
        <f t="shared" si="55"/>
        <v>146798.47044283853</v>
      </c>
      <c r="D140" s="20">
        <f t="shared" si="45"/>
        <v>1404.114512142078</v>
      </c>
      <c r="E140" s="20">
        <f t="shared" si="52"/>
        <v>1223.3205870236543</v>
      </c>
      <c r="F140" s="20">
        <f t="shared" si="53"/>
        <v>180.79392511842366</v>
      </c>
      <c r="G140" s="20">
        <f t="shared" si="54"/>
        <v>146617.6765177201</v>
      </c>
    </row>
    <row r="141" spans="1:7" ht="15" x14ac:dyDescent="0.25">
      <c r="C141" s="20"/>
      <c r="D141" s="20"/>
      <c r="E141" s="20">
        <f t="shared" ref="E141" si="56">SUM(E129:E140)</f>
        <v>14775.795104363593</v>
      </c>
      <c r="F141" s="20"/>
      <c r="G141" s="20"/>
    </row>
    <row r="142" spans="1:7" ht="15" x14ac:dyDescent="0.25">
      <c r="C142" s="20"/>
      <c r="D142" s="20"/>
      <c r="E142" s="20"/>
      <c r="F142" s="20"/>
      <c r="G142" s="20"/>
    </row>
    <row r="143" spans="1:7" ht="15" x14ac:dyDescent="0.25">
      <c r="C143" s="20"/>
      <c r="D143" s="20"/>
      <c r="E143" s="20"/>
      <c r="F143" s="20"/>
      <c r="G143" s="20"/>
    </row>
    <row r="144" spans="1:7" ht="15" x14ac:dyDescent="0.25">
      <c r="C144" s="20"/>
      <c r="D144" s="20"/>
      <c r="E144" s="20"/>
      <c r="F144" s="20"/>
      <c r="G144" s="20"/>
    </row>
    <row r="145" spans="3:7" ht="15" x14ac:dyDescent="0.25">
      <c r="C145" s="20"/>
      <c r="D145" s="20"/>
      <c r="E145" s="20"/>
      <c r="F145" s="20"/>
      <c r="G145" s="20"/>
    </row>
    <row r="146" spans="3:7" ht="15" x14ac:dyDescent="0.25">
      <c r="C146" s="20"/>
      <c r="D146" s="20"/>
      <c r="E146" s="20"/>
      <c r="F146" s="20"/>
      <c r="G146" s="20"/>
    </row>
    <row r="147" spans="3:7" ht="15" x14ac:dyDescent="0.25">
      <c r="C147" s="20"/>
      <c r="D147" s="20"/>
      <c r="E147" s="20"/>
      <c r="F147" s="20"/>
      <c r="G147" s="20"/>
    </row>
    <row r="148" spans="3:7" ht="15" x14ac:dyDescent="0.25">
      <c r="C148" s="20"/>
      <c r="D148" s="20"/>
      <c r="E148" s="20"/>
      <c r="F148" s="20"/>
      <c r="G148" s="20"/>
    </row>
    <row r="149" spans="3:7" ht="15" x14ac:dyDescent="0.25">
      <c r="C149" s="20"/>
      <c r="D149" s="20"/>
      <c r="E149" s="20"/>
      <c r="F149" s="20"/>
      <c r="G149" s="20"/>
    </row>
    <row r="150" spans="3:7" ht="15" x14ac:dyDescent="0.25">
      <c r="C150" s="20"/>
      <c r="D150" s="20"/>
      <c r="E150" s="20"/>
      <c r="F150" s="20"/>
      <c r="G150" s="20"/>
    </row>
    <row r="151" spans="3:7" ht="15" x14ac:dyDescent="0.25">
      <c r="C151" s="20"/>
      <c r="D151" s="20"/>
      <c r="E151" s="20"/>
      <c r="F151" s="20"/>
      <c r="G151" s="20"/>
    </row>
    <row r="152" spans="3:7" ht="15" x14ac:dyDescent="0.25">
      <c r="C152" s="20"/>
      <c r="D152" s="20"/>
      <c r="E152" s="20"/>
      <c r="F152" s="20"/>
      <c r="G152" s="20"/>
    </row>
    <row r="153" spans="3:7" ht="15" x14ac:dyDescent="0.25">
      <c r="C153" s="20"/>
      <c r="D153" s="20"/>
      <c r="E153" s="20"/>
      <c r="F153" s="20"/>
      <c r="G153" s="20"/>
    </row>
    <row r="154" spans="3:7" ht="15" x14ac:dyDescent="0.25">
      <c r="C154" s="20"/>
      <c r="D154" s="20"/>
      <c r="E154" s="20"/>
      <c r="F154" s="20"/>
      <c r="G154" s="20"/>
    </row>
    <row r="155" spans="3:7" ht="15" x14ac:dyDescent="0.25">
      <c r="C155" s="20"/>
      <c r="D155" s="20"/>
      <c r="E155" s="20"/>
      <c r="F155" s="20"/>
      <c r="G155" s="20"/>
    </row>
    <row r="156" spans="3:7" ht="15" x14ac:dyDescent="0.25">
      <c r="C156" s="20"/>
      <c r="D156" s="20"/>
      <c r="E156" s="20"/>
      <c r="F156" s="20"/>
      <c r="G156" s="20"/>
    </row>
    <row r="157" spans="3:7" ht="15" x14ac:dyDescent="0.25">
      <c r="C157" s="20"/>
      <c r="D157" s="20"/>
      <c r="E157" s="20"/>
      <c r="F157" s="20"/>
      <c r="G157" s="20"/>
    </row>
    <row r="158" spans="3:7" ht="15" x14ac:dyDescent="0.25">
      <c r="C158" s="20"/>
      <c r="D158" s="20"/>
      <c r="E158" s="20"/>
      <c r="F158" s="20"/>
      <c r="G158" s="20"/>
    </row>
    <row r="159" spans="3:7" ht="15" x14ac:dyDescent="0.25">
      <c r="C159" s="20"/>
      <c r="D159" s="20"/>
      <c r="E159" s="20"/>
      <c r="F159" s="20"/>
      <c r="G159" s="20"/>
    </row>
    <row r="160" spans="3:7" ht="15" x14ac:dyDescent="0.25">
      <c r="C160" s="20"/>
      <c r="D160" s="20"/>
      <c r="E160" s="20"/>
      <c r="F160" s="20"/>
      <c r="G160" s="20"/>
    </row>
    <row r="161" spans="3:7" ht="15" x14ac:dyDescent="0.25">
      <c r="C161" s="20"/>
      <c r="D161" s="20"/>
      <c r="E161" s="20"/>
      <c r="F161" s="20"/>
      <c r="G161" s="20"/>
    </row>
    <row r="162" spans="3:7" ht="15" x14ac:dyDescent="0.25">
      <c r="C162" s="20"/>
      <c r="D162" s="20"/>
      <c r="E162" s="20"/>
      <c r="F162" s="20"/>
      <c r="G162" s="20"/>
    </row>
    <row r="163" spans="3:7" ht="15" x14ac:dyDescent="0.25">
      <c r="C163" s="20"/>
      <c r="D163" s="20"/>
      <c r="E163" s="20"/>
      <c r="F163" s="20"/>
      <c r="G163" s="20"/>
    </row>
    <row r="164" spans="3:7" ht="15" x14ac:dyDescent="0.25">
      <c r="C164" s="20"/>
      <c r="D164" s="20"/>
      <c r="E164" s="20"/>
      <c r="F164" s="20"/>
      <c r="G164" s="20"/>
    </row>
    <row r="165" spans="3:7" ht="15" x14ac:dyDescent="0.25">
      <c r="C165" s="20"/>
      <c r="D165" s="20"/>
      <c r="E165" s="20"/>
      <c r="F165" s="20"/>
      <c r="G165" s="20"/>
    </row>
    <row r="166" spans="3:7" ht="15" x14ac:dyDescent="0.25">
      <c r="C166" s="20"/>
      <c r="D166" s="20"/>
      <c r="E166" s="20"/>
      <c r="F166" s="20"/>
      <c r="G166" s="20"/>
    </row>
    <row r="167" spans="3:7" ht="15" x14ac:dyDescent="0.25">
      <c r="C167" s="20"/>
      <c r="D167" s="20"/>
      <c r="E167" s="20"/>
      <c r="F167" s="20"/>
      <c r="G167" s="20"/>
    </row>
    <row r="168" spans="3:7" ht="15" x14ac:dyDescent="0.25">
      <c r="C168" s="20"/>
      <c r="D168" s="20"/>
      <c r="E168" s="20"/>
      <c r="F168" s="20"/>
      <c r="G168" s="20"/>
    </row>
    <row r="169" spans="3:7" ht="15" x14ac:dyDescent="0.25">
      <c r="C169" s="20"/>
      <c r="D169" s="20"/>
      <c r="E169" s="20"/>
      <c r="F169" s="20"/>
      <c r="G169" s="20"/>
    </row>
    <row r="170" spans="3:7" ht="15" x14ac:dyDescent="0.25">
      <c r="C170" s="20"/>
      <c r="D170" s="20"/>
      <c r="E170" s="20"/>
      <c r="F170" s="20"/>
      <c r="G170" s="20"/>
    </row>
    <row r="171" spans="3:7" ht="15" x14ac:dyDescent="0.25">
      <c r="C171" s="20"/>
      <c r="D171" s="20"/>
      <c r="E171" s="20"/>
      <c r="F171" s="20"/>
      <c r="G171" s="20"/>
    </row>
    <row r="172" spans="3:7" ht="15" x14ac:dyDescent="0.25">
      <c r="C172" s="20"/>
      <c r="D172" s="20"/>
      <c r="E172" s="20"/>
      <c r="F172" s="20"/>
      <c r="G172" s="20"/>
    </row>
    <row r="173" spans="3:7" ht="15" x14ac:dyDescent="0.25">
      <c r="C173" s="20"/>
      <c r="D173" s="20"/>
      <c r="E173" s="20"/>
      <c r="F173" s="20"/>
      <c r="G173" s="20"/>
    </row>
    <row r="174" spans="3:7" ht="15" x14ac:dyDescent="0.25">
      <c r="C174" s="20"/>
      <c r="D174" s="20"/>
      <c r="E174" s="20"/>
      <c r="F174" s="20"/>
      <c r="G174" s="20"/>
    </row>
    <row r="175" spans="3:7" ht="15" x14ac:dyDescent="0.25">
      <c r="C175" s="20"/>
      <c r="D175" s="20"/>
      <c r="E175" s="20"/>
      <c r="F175" s="20"/>
      <c r="G175" s="20"/>
    </row>
    <row r="176" spans="3:7" ht="15" x14ac:dyDescent="0.25">
      <c r="C176" s="20"/>
      <c r="D176" s="20"/>
      <c r="E176" s="20"/>
      <c r="F176" s="20"/>
      <c r="G176" s="20"/>
    </row>
    <row r="177" spans="3:7" ht="15" x14ac:dyDescent="0.25">
      <c r="C177" s="20"/>
      <c r="D177" s="20"/>
      <c r="E177" s="20"/>
      <c r="F177" s="20"/>
      <c r="G177" s="20"/>
    </row>
    <row r="178" spans="3:7" ht="15" x14ac:dyDescent="0.25">
      <c r="C178" s="20"/>
      <c r="D178" s="20"/>
      <c r="E178" s="20"/>
      <c r="F178" s="20"/>
      <c r="G178" s="20"/>
    </row>
    <row r="179" spans="3:7" ht="15" x14ac:dyDescent="0.25">
      <c r="C179" s="20"/>
      <c r="D179" s="20"/>
      <c r="E179" s="20"/>
      <c r="F179" s="20"/>
      <c r="G179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topLeftCell="A2" zoomScaleNormal="100" workbookViewId="0">
      <selection activeCell="V69" sqref="V69"/>
    </sheetView>
  </sheetViews>
  <sheetFormatPr defaultRowHeight="15.75" x14ac:dyDescent="0.25"/>
  <cols>
    <col min="1" max="1" width="6.28515625" style="1" customWidth="1"/>
    <col min="2" max="2" width="16.28515625" style="1" customWidth="1"/>
    <col min="3" max="3" width="20.85546875" style="1" customWidth="1"/>
    <col min="4" max="13" width="14.7109375" style="1" customWidth="1"/>
    <col min="14" max="14" width="12.7109375" style="2" customWidth="1"/>
    <col min="15" max="15" width="14.5703125" style="1" customWidth="1"/>
    <col min="16" max="16" width="12" style="1" bestFit="1" customWidth="1"/>
    <col min="17" max="17" width="12.28515625" style="1" bestFit="1" customWidth="1"/>
    <col min="18" max="18" width="13.140625" style="1" bestFit="1" customWidth="1"/>
    <col min="19" max="19" width="9.140625" style="1"/>
    <col min="20" max="20" width="11.5703125" style="1" bestFit="1" customWidth="1"/>
    <col min="21" max="21" width="13" style="1" bestFit="1" customWidth="1"/>
    <col min="22" max="22" width="9.28515625" style="1" bestFit="1" customWidth="1"/>
    <col min="23" max="16384" width="9.140625" style="1"/>
  </cols>
  <sheetData>
    <row r="1" spans="1:15" x14ac:dyDescent="0.25">
      <c r="A1" s="3" t="s">
        <v>42</v>
      </c>
    </row>
    <row r="2" spans="1:15" x14ac:dyDescent="0.25">
      <c r="D2" s="1">
        <v>2015</v>
      </c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1">
        <v>2021</v>
      </c>
      <c r="K2" s="1">
        <v>2022</v>
      </c>
      <c r="L2" s="1">
        <v>2023</v>
      </c>
      <c r="M2" s="1">
        <v>2024</v>
      </c>
    </row>
    <row r="4" spans="1:15" x14ac:dyDescent="0.25">
      <c r="A4" s="1" t="s">
        <v>33</v>
      </c>
      <c r="D4" s="9">
        <v>28.95</v>
      </c>
      <c r="E4" s="4">
        <f t="shared" ref="E4:M6" si="0">+D4*(1+$N4)</f>
        <v>23.16</v>
      </c>
      <c r="F4" s="4">
        <f t="shared" si="0"/>
        <v>18.528000000000002</v>
      </c>
      <c r="G4" s="68">
        <f t="shared" si="0"/>
        <v>14.822400000000002</v>
      </c>
      <c r="H4" s="4">
        <f t="shared" si="0"/>
        <v>11.857920000000002</v>
      </c>
      <c r="I4" s="4">
        <f t="shared" si="0"/>
        <v>9.4863360000000014</v>
      </c>
      <c r="J4" s="4">
        <f t="shared" si="0"/>
        <v>7.5890688000000015</v>
      </c>
      <c r="K4" s="4">
        <f t="shared" si="0"/>
        <v>6.0712550400000014</v>
      </c>
      <c r="L4" s="4">
        <f t="shared" si="0"/>
        <v>4.8570040320000016</v>
      </c>
      <c r="M4" s="4">
        <f t="shared" si="0"/>
        <v>3.8856032256000015</v>
      </c>
      <c r="N4" s="27">
        <v>-0.2</v>
      </c>
      <c r="O4" s="1" t="s">
        <v>18</v>
      </c>
    </row>
    <row r="5" spans="1:15" x14ac:dyDescent="0.25">
      <c r="A5" s="1" t="s">
        <v>34</v>
      </c>
      <c r="D5" s="13">
        <v>7000</v>
      </c>
      <c r="E5" s="4">
        <f t="shared" si="0"/>
        <v>5600</v>
      </c>
      <c r="F5" s="4">
        <f t="shared" si="0"/>
        <v>4480</v>
      </c>
      <c r="G5" s="68">
        <f t="shared" si="0"/>
        <v>3584</v>
      </c>
      <c r="H5" s="4">
        <f t="shared" si="0"/>
        <v>2867.2000000000003</v>
      </c>
      <c r="I5" s="4">
        <f t="shared" si="0"/>
        <v>2293.7600000000002</v>
      </c>
      <c r="J5" s="4">
        <f t="shared" si="0"/>
        <v>1835.0080000000003</v>
      </c>
      <c r="K5" s="4">
        <f t="shared" si="0"/>
        <v>1468.0064000000002</v>
      </c>
      <c r="L5" s="4">
        <f t="shared" si="0"/>
        <v>1174.4051200000001</v>
      </c>
      <c r="M5" s="4">
        <f t="shared" si="0"/>
        <v>939.5240960000001</v>
      </c>
      <c r="N5" s="27">
        <v>-0.2</v>
      </c>
      <c r="O5" s="1" t="s">
        <v>18</v>
      </c>
    </row>
    <row r="6" spans="1:15" x14ac:dyDescent="0.25">
      <c r="A6" s="1" t="s">
        <v>35</v>
      </c>
      <c r="D6" s="11">
        <v>0.5</v>
      </c>
      <c r="E6" s="12">
        <f t="shared" si="0"/>
        <v>0.5</v>
      </c>
      <c r="F6" s="12">
        <f t="shared" si="0"/>
        <v>0.5</v>
      </c>
      <c r="G6" s="69">
        <f t="shared" si="0"/>
        <v>0.5</v>
      </c>
      <c r="H6" s="12">
        <f t="shared" si="0"/>
        <v>0.5</v>
      </c>
      <c r="I6" s="12">
        <f t="shared" si="0"/>
        <v>0.5</v>
      </c>
      <c r="J6" s="12">
        <f t="shared" si="0"/>
        <v>0.5</v>
      </c>
      <c r="K6" s="12">
        <f t="shared" si="0"/>
        <v>0.5</v>
      </c>
      <c r="L6" s="12">
        <f t="shared" si="0"/>
        <v>0.5</v>
      </c>
      <c r="M6" s="12">
        <f t="shared" si="0"/>
        <v>0.5</v>
      </c>
      <c r="N6" s="27">
        <v>0</v>
      </c>
      <c r="O6" s="1" t="s">
        <v>18</v>
      </c>
    </row>
    <row r="8" spans="1:15" x14ac:dyDescent="0.25">
      <c r="A8" s="1" t="s">
        <v>43</v>
      </c>
    </row>
    <row r="9" spans="1:15" x14ac:dyDescent="0.25">
      <c r="B9" s="1" t="s">
        <v>40</v>
      </c>
      <c r="D9" s="16">
        <v>30</v>
      </c>
      <c r="E9" s="4">
        <f>D9*(1+$N9)</f>
        <v>30</v>
      </c>
      <c r="F9" s="4">
        <f>E9*(1+$N9)</f>
        <v>30</v>
      </c>
      <c r="G9" s="68">
        <f>F9*(1+$N9)</f>
        <v>30</v>
      </c>
      <c r="H9" s="4">
        <f>G9*(1+$N9)</f>
        <v>30</v>
      </c>
      <c r="I9" s="4">
        <f t="shared" ref="I9:M9" si="1">H9*(1+$N9)</f>
        <v>30</v>
      </c>
      <c r="J9" s="4">
        <f t="shared" si="1"/>
        <v>30</v>
      </c>
      <c r="K9" s="4">
        <f t="shared" si="1"/>
        <v>30</v>
      </c>
      <c r="L9" s="4">
        <f t="shared" si="1"/>
        <v>30</v>
      </c>
      <c r="M9" s="4">
        <f t="shared" si="1"/>
        <v>30</v>
      </c>
      <c r="N9" s="27">
        <v>0</v>
      </c>
      <c r="O9" s="1" t="s">
        <v>18</v>
      </c>
    </row>
    <row r="10" spans="1:15" x14ac:dyDescent="0.25">
      <c r="D10" s="4"/>
      <c r="E10" s="4"/>
      <c r="F10" s="4"/>
      <c r="G10" s="68"/>
      <c r="H10" s="4"/>
      <c r="I10" s="4"/>
      <c r="J10" s="4"/>
      <c r="K10" s="4"/>
      <c r="L10" s="4"/>
      <c r="M10" s="4"/>
      <c r="N10" s="27"/>
    </row>
    <row r="11" spans="1:15" x14ac:dyDescent="0.25">
      <c r="A11" s="1" t="s">
        <v>24</v>
      </c>
      <c r="D11" s="16">
        <v>30</v>
      </c>
      <c r="E11" s="4">
        <f>D11*(1+$N11)</f>
        <v>30</v>
      </c>
      <c r="F11" s="4">
        <f>E11*(1+$N11)</f>
        <v>30</v>
      </c>
      <c r="G11" s="68">
        <f>F11*(1+$N11)</f>
        <v>30</v>
      </c>
      <c r="H11" s="4">
        <f>G11*(1+$N11)</f>
        <v>30</v>
      </c>
      <c r="I11" s="4">
        <f t="shared" ref="I11:L11" si="2">H11*(1+$N11)</f>
        <v>30</v>
      </c>
      <c r="J11" s="4">
        <f t="shared" si="2"/>
        <v>30</v>
      </c>
      <c r="K11" s="4">
        <f t="shared" si="2"/>
        <v>30</v>
      </c>
      <c r="L11" s="4">
        <f t="shared" si="2"/>
        <v>30</v>
      </c>
      <c r="M11" s="4">
        <f>L11*(1+$N11)</f>
        <v>30</v>
      </c>
      <c r="N11" s="27">
        <v>0</v>
      </c>
      <c r="O11" s="1" t="s">
        <v>18</v>
      </c>
    </row>
    <row r="13" spans="1:15" x14ac:dyDescent="0.25">
      <c r="A13" s="1" t="s">
        <v>32</v>
      </c>
    </row>
    <row r="14" spans="1:15" x14ac:dyDescent="0.25">
      <c r="B14" s="1" t="s">
        <v>1</v>
      </c>
      <c r="D14" s="10">
        <v>30</v>
      </c>
      <c r="E14" s="4">
        <f>D14*(1+$N14)</f>
        <v>30</v>
      </c>
      <c r="F14" s="4">
        <f>E14*(1+$N14)</f>
        <v>30</v>
      </c>
      <c r="G14" s="68">
        <f>F14*(1+$N14)</f>
        <v>30</v>
      </c>
      <c r="H14" s="4">
        <f>G14*(1+$N14)</f>
        <v>30</v>
      </c>
      <c r="I14" s="4">
        <f t="shared" ref="I14:M14" si="3">H14*(1+$N14)</f>
        <v>30</v>
      </c>
      <c r="J14" s="4">
        <f t="shared" si="3"/>
        <v>30</v>
      </c>
      <c r="K14" s="4">
        <f t="shared" si="3"/>
        <v>30</v>
      </c>
      <c r="L14" s="4">
        <f t="shared" si="3"/>
        <v>30</v>
      </c>
      <c r="M14" s="4">
        <f t="shared" si="3"/>
        <v>30</v>
      </c>
      <c r="N14" s="27">
        <v>0</v>
      </c>
      <c r="O14" s="1" t="s">
        <v>18</v>
      </c>
    </row>
    <row r="15" spans="1:15" x14ac:dyDescent="0.25">
      <c r="A15" s="1" t="s">
        <v>57</v>
      </c>
      <c r="D15" s="10">
        <v>21400</v>
      </c>
      <c r="E15" s="4"/>
      <c r="F15" s="4"/>
      <c r="G15" s="68"/>
      <c r="H15" s="4"/>
      <c r="I15" s="4"/>
      <c r="J15" s="4"/>
      <c r="K15" s="4"/>
      <c r="L15" s="4"/>
      <c r="M15" s="4"/>
      <c r="N15" s="27"/>
    </row>
    <row r="16" spans="1:15" x14ac:dyDescent="0.25">
      <c r="A16" s="1" t="s">
        <v>58</v>
      </c>
      <c r="D16" s="10">
        <v>0.5</v>
      </c>
      <c r="E16" s="4"/>
      <c r="F16" s="4"/>
      <c r="G16" s="68"/>
      <c r="H16" s="4"/>
      <c r="I16" s="4"/>
      <c r="J16" s="4"/>
      <c r="K16" s="4"/>
      <c r="L16" s="4"/>
      <c r="M16" s="4"/>
      <c r="N16" s="27"/>
    </row>
    <row r="17" spans="1:17" x14ac:dyDescent="0.25">
      <c r="A17" s="1" t="s">
        <v>47</v>
      </c>
      <c r="D17" s="65">
        <v>200000</v>
      </c>
      <c r="E17" s="4"/>
      <c r="F17" s="4"/>
      <c r="G17" s="68"/>
      <c r="H17" s="4"/>
      <c r="I17" s="4"/>
      <c r="J17" s="4"/>
      <c r="K17" s="4"/>
      <c r="L17" s="4"/>
      <c r="M17" s="4"/>
      <c r="N17" s="27"/>
    </row>
    <row r="18" spans="1:17" x14ac:dyDescent="0.25">
      <c r="A18" s="1" t="s">
        <v>59</v>
      </c>
      <c r="D18" s="10">
        <v>80000</v>
      </c>
      <c r="E18" s="4"/>
      <c r="F18" s="4"/>
      <c r="G18" s="68"/>
      <c r="H18" s="4"/>
      <c r="I18" s="4"/>
      <c r="J18" s="4"/>
      <c r="K18" s="4"/>
      <c r="L18" s="4"/>
      <c r="M18" s="4"/>
      <c r="N18" s="27"/>
    </row>
    <row r="19" spans="1:17" x14ac:dyDescent="0.25">
      <c r="D19" s="10"/>
      <c r="E19" s="4"/>
      <c r="F19" s="4"/>
      <c r="G19" s="68"/>
      <c r="H19" s="4"/>
      <c r="I19" s="4"/>
      <c r="J19" s="4"/>
      <c r="K19" s="4"/>
      <c r="L19" s="4"/>
      <c r="M19" s="4"/>
      <c r="N19" s="27"/>
    </row>
    <row r="20" spans="1:17" x14ac:dyDescent="0.25">
      <c r="D20" s="10"/>
      <c r="E20" s="4"/>
      <c r="F20" s="4"/>
      <c r="G20" s="68"/>
      <c r="H20" s="4"/>
      <c r="I20" s="4"/>
      <c r="J20" s="4"/>
      <c r="K20" s="4"/>
      <c r="L20" s="4"/>
      <c r="M20" s="4"/>
      <c r="N20" s="27"/>
    </row>
    <row r="22" spans="1:17" x14ac:dyDescent="0.25">
      <c r="A22" s="3" t="s">
        <v>2</v>
      </c>
    </row>
    <row r="23" spans="1:17" x14ac:dyDescent="0.25">
      <c r="A23" s="1" t="s">
        <v>36</v>
      </c>
      <c r="D23" s="5">
        <f>D4*D5</f>
        <v>202650</v>
      </c>
      <c r="E23" s="5">
        <f t="shared" ref="E23:M23" si="4">E4*E5</f>
        <v>129696</v>
      </c>
      <c r="F23" s="5">
        <f t="shared" si="4"/>
        <v>83005.440000000017</v>
      </c>
      <c r="G23" s="70">
        <f t="shared" si="4"/>
        <v>53123.481600000006</v>
      </c>
      <c r="H23" s="5">
        <f t="shared" si="4"/>
        <v>33999.028224000009</v>
      </c>
      <c r="I23" s="5">
        <f t="shared" si="4"/>
        <v>21759.378063360004</v>
      </c>
      <c r="J23" s="5">
        <f t="shared" si="4"/>
        <v>13926.001960550404</v>
      </c>
      <c r="K23" s="5">
        <f t="shared" si="4"/>
        <v>8912.6412547522596</v>
      </c>
      <c r="L23" s="5">
        <f t="shared" si="4"/>
        <v>5704.0904030414467</v>
      </c>
      <c r="M23" s="5">
        <f t="shared" si="4"/>
        <v>3650.6178579465259</v>
      </c>
    </row>
    <row r="24" spans="1:17" x14ac:dyDescent="0.25">
      <c r="D24" s="5"/>
      <c r="E24" s="5"/>
      <c r="F24" s="5"/>
      <c r="G24" s="70"/>
      <c r="H24" s="5"/>
      <c r="I24" s="5"/>
      <c r="J24" s="5"/>
      <c r="K24" s="5"/>
      <c r="L24" s="5"/>
      <c r="M24" s="5"/>
    </row>
    <row r="25" spans="1:17" x14ac:dyDescent="0.25">
      <c r="A25" s="1" t="s">
        <v>31</v>
      </c>
      <c r="D25" s="5">
        <f t="shared" ref="D25:M25" si="5">D23*D6</f>
        <v>101325</v>
      </c>
      <c r="E25" s="5">
        <f t="shared" si="5"/>
        <v>64848</v>
      </c>
      <c r="F25" s="5">
        <f t="shared" si="5"/>
        <v>41502.720000000008</v>
      </c>
      <c r="G25" s="70">
        <f t="shared" si="5"/>
        <v>26561.740800000003</v>
      </c>
      <c r="H25" s="5">
        <f t="shared" si="5"/>
        <v>16999.514112000004</v>
      </c>
      <c r="I25" s="5">
        <f t="shared" si="5"/>
        <v>10879.689031680002</v>
      </c>
      <c r="J25" s="5">
        <f t="shared" si="5"/>
        <v>6963.000980275202</v>
      </c>
      <c r="K25" s="5">
        <f t="shared" si="5"/>
        <v>4456.3206273761298</v>
      </c>
      <c r="L25" s="5">
        <f t="shared" si="5"/>
        <v>2852.0452015207234</v>
      </c>
      <c r="M25" s="5">
        <f t="shared" si="5"/>
        <v>1825.3089289732629</v>
      </c>
    </row>
    <row r="26" spans="1:17" x14ac:dyDescent="0.25">
      <c r="D26" s="5"/>
      <c r="E26" s="5"/>
      <c r="F26" s="5"/>
      <c r="G26" s="70"/>
      <c r="H26" s="5"/>
      <c r="I26" s="5"/>
      <c r="J26" s="5"/>
      <c r="K26" s="5"/>
      <c r="L26" s="5"/>
      <c r="M26" s="5"/>
    </row>
    <row r="27" spans="1:17" x14ac:dyDescent="0.25">
      <c r="A27" s="1" t="s">
        <v>3</v>
      </c>
      <c r="D27" s="5"/>
      <c r="E27" s="5"/>
      <c r="F27" s="5"/>
      <c r="G27" s="70"/>
      <c r="H27" s="5"/>
      <c r="I27" s="5"/>
      <c r="J27" s="5"/>
      <c r="K27" s="5"/>
      <c r="L27" s="5"/>
      <c r="M27" s="5"/>
    </row>
    <row r="28" spans="1:17" x14ac:dyDescent="0.25">
      <c r="B28" s="1" t="s">
        <v>37</v>
      </c>
      <c r="D28" s="15">
        <v>10000</v>
      </c>
      <c r="E28" s="5">
        <f>$N$28*E23</f>
        <v>3890.8799999999997</v>
      </c>
      <c r="F28" s="5">
        <f>$N$28*F23</f>
        <v>2490.1632000000004</v>
      </c>
      <c r="G28" s="70">
        <f>$N$28*G23</f>
        <v>1593.7044480000002</v>
      </c>
      <c r="H28" s="5">
        <f>$N$28*H23</f>
        <v>1019.9708467200003</v>
      </c>
      <c r="I28" s="5">
        <f t="shared" ref="I28:M28" si="6">$N$28*I23</f>
        <v>652.78134190080004</v>
      </c>
      <c r="J28" s="5">
        <f t="shared" si="6"/>
        <v>417.78005881651211</v>
      </c>
      <c r="K28" s="5">
        <f t="shared" si="6"/>
        <v>267.37923764256777</v>
      </c>
      <c r="L28" s="5">
        <f t="shared" si="6"/>
        <v>171.12271209124339</v>
      </c>
      <c r="M28" s="5">
        <f t="shared" si="6"/>
        <v>109.51853573839577</v>
      </c>
      <c r="N28" s="28">
        <v>0.03</v>
      </c>
      <c r="O28" s="1" t="s">
        <v>39</v>
      </c>
    </row>
    <row r="29" spans="1:17" x14ac:dyDescent="0.25">
      <c r="B29" s="1" t="s">
        <v>29</v>
      </c>
      <c r="D29" s="15">
        <v>15000</v>
      </c>
      <c r="E29" s="5">
        <f t="shared" ref="E29:M29" si="7">$N$29*SUM(E23:E23)</f>
        <v>9600</v>
      </c>
      <c r="F29" s="5">
        <f t="shared" si="7"/>
        <v>6144.0000000000018</v>
      </c>
      <c r="G29" s="70">
        <f t="shared" si="7"/>
        <v>3932.1600000000008</v>
      </c>
      <c r="H29" s="5">
        <f t="shared" si="7"/>
        <v>2516.5824000000007</v>
      </c>
      <c r="I29" s="5">
        <f t="shared" si="7"/>
        <v>1610.6127360000003</v>
      </c>
      <c r="J29" s="5">
        <f t="shared" si="7"/>
        <v>1030.7921510400004</v>
      </c>
      <c r="K29" s="5">
        <f t="shared" si="7"/>
        <v>659.70697666560034</v>
      </c>
      <c r="L29" s="5">
        <f t="shared" si="7"/>
        <v>422.21246506598425</v>
      </c>
      <c r="M29" s="5">
        <f t="shared" si="7"/>
        <v>270.21597764222992</v>
      </c>
      <c r="N29" s="28">
        <f>D29/SUM(D23:D23)</f>
        <v>7.4019245003700967E-2</v>
      </c>
      <c r="O29" s="1" t="s">
        <v>19</v>
      </c>
      <c r="Q29" s="14"/>
    </row>
    <row r="30" spans="1:17" x14ac:dyDescent="0.25">
      <c r="B30" s="1" t="s">
        <v>113</v>
      </c>
      <c r="D30" s="15">
        <f>D25*0.01</f>
        <v>1013.25</v>
      </c>
      <c r="E30" s="4">
        <f t="shared" ref="E30:M30" si="8">E25*0.01</f>
        <v>648.48</v>
      </c>
      <c r="F30" s="4">
        <f t="shared" si="8"/>
        <v>415.02720000000011</v>
      </c>
      <c r="G30" s="68">
        <f t="shared" si="8"/>
        <v>265.61740800000001</v>
      </c>
      <c r="H30" s="4">
        <f t="shared" si="8"/>
        <v>169.99514112000006</v>
      </c>
      <c r="I30" s="4">
        <f t="shared" si="8"/>
        <v>108.79689031680002</v>
      </c>
      <c r="J30" s="4">
        <f t="shared" si="8"/>
        <v>69.630009802752028</v>
      </c>
      <c r="K30" s="4">
        <f t="shared" si="8"/>
        <v>44.563206273761296</v>
      </c>
      <c r="L30" s="4">
        <f t="shared" si="8"/>
        <v>28.520452015207233</v>
      </c>
      <c r="M30" s="4">
        <f t="shared" si="8"/>
        <v>18.253089289732628</v>
      </c>
      <c r="N30" s="28">
        <v>0.01</v>
      </c>
      <c r="O30" s="1" t="s">
        <v>114</v>
      </c>
      <c r="Q30" s="14"/>
    </row>
    <row r="31" spans="1:17" x14ac:dyDescent="0.25">
      <c r="B31" s="1" t="s">
        <v>0</v>
      </c>
      <c r="D31" s="15">
        <v>1200</v>
      </c>
      <c r="E31" s="4">
        <f>D31*(1+$N31)</f>
        <v>1236</v>
      </c>
      <c r="F31" s="4">
        <f>E31*(1+$N31)</f>
        <v>1273.08</v>
      </c>
      <c r="G31" s="68">
        <f>F31*(1+$N31)</f>
        <v>1311.2724000000001</v>
      </c>
      <c r="H31" s="4">
        <f>G31*(1+$N31)</f>
        <v>1350.610572</v>
      </c>
      <c r="I31" s="4">
        <f t="shared" ref="I31:M31" si="9">H31*(1+$N31)</f>
        <v>1391.12888916</v>
      </c>
      <c r="J31" s="4">
        <f t="shared" si="9"/>
        <v>1432.8627558348001</v>
      </c>
      <c r="K31" s="4">
        <f t="shared" si="9"/>
        <v>1475.848638509844</v>
      </c>
      <c r="L31" s="4">
        <f t="shared" si="9"/>
        <v>1520.1240976651393</v>
      </c>
      <c r="M31" s="4">
        <f t="shared" si="9"/>
        <v>1565.7278205950936</v>
      </c>
      <c r="N31" s="28">
        <v>0.03</v>
      </c>
      <c r="O31" s="1" t="s">
        <v>23</v>
      </c>
      <c r="Q31" s="14"/>
    </row>
    <row r="32" spans="1:17" x14ac:dyDescent="0.25">
      <c r="D32" s="5"/>
      <c r="E32" s="5"/>
      <c r="F32" s="5"/>
      <c r="G32" s="70"/>
      <c r="H32" s="5"/>
      <c r="I32" s="5"/>
      <c r="J32" s="5"/>
      <c r="K32" s="5"/>
      <c r="L32" s="5"/>
      <c r="M32" s="5"/>
    </row>
    <row r="33" spans="1:22" x14ac:dyDescent="0.25">
      <c r="A33" s="1" t="s">
        <v>86</v>
      </c>
      <c r="D33" s="54">
        <f>+D51/$N$33</f>
        <v>6666.666666666667</v>
      </c>
      <c r="E33" s="54">
        <f t="shared" ref="E33:M33" si="10">+E51/$N$33</f>
        <v>6666.666666666667</v>
      </c>
      <c r="F33" s="54">
        <f t="shared" si="10"/>
        <v>6666.666666666667</v>
      </c>
      <c r="G33" s="71">
        <f t="shared" si="10"/>
        <v>6666.666666666667</v>
      </c>
      <c r="H33" s="54">
        <f t="shared" si="10"/>
        <v>6666.666666666667</v>
      </c>
      <c r="I33" s="54">
        <f t="shared" si="10"/>
        <v>6666.666666666667</v>
      </c>
      <c r="J33" s="54">
        <f t="shared" si="10"/>
        <v>6666.666666666667</v>
      </c>
      <c r="K33" s="54">
        <f t="shared" si="10"/>
        <v>6666.666666666667</v>
      </c>
      <c r="L33" s="54">
        <f t="shared" si="10"/>
        <v>6666.666666666667</v>
      </c>
      <c r="M33" s="54">
        <f t="shared" si="10"/>
        <v>6666.666666666667</v>
      </c>
      <c r="N33" s="23">
        <v>30</v>
      </c>
      <c r="O33" s="1" t="s">
        <v>20</v>
      </c>
    </row>
    <row r="34" spans="1:22" x14ac:dyDescent="0.25">
      <c r="A34" s="1" t="s">
        <v>85</v>
      </c>
      <c r="D34" s="5">
        <f>D53/$N$34</f>
        <v>11428.571428571429</v>
      </c>
      <c r="E34" s="5">
        <f t="shared" ref="E34:M34" si="11">IF(D54=D53,0,E53/$N$34)</f>
        <v>11428.571428571429</v>
      </c>
      <c r="F34" s="5">
        <f t="shared" si="11"/>
        <v>11428.571428571429</v>
      </c>
      <c r="G34" s="70">
        <f t="shared" si="11"/>
        <v>11428.571428571429</v>
      </c>
      <c r="H34" s="5">
        <f t="shared" si="11"/>
        <v>11428.571428571429</v>
      </c>
      <c r="I34" s="5">
        <f t="shared" si="11"/>
        <v>11428.571428571429</v>
      </c>
      <c r="J34" s="5">
        <f t="shared" si="11"/>
        <v>11428.571428571429</v>
      </c>
      <c r="K34" s="5">
        <f t="shared" si="11"/>
        <v>0</v>
      </c>
      <c r="L34" s="5">
        <f t="shared" si="11"/>
        <v>0</v>
      </c>
      <c r="M34" s="5">
        <f t="shared" si="11"/>
        <v>0</v>
      </c>
      <c r="N34" s="7">
        <v>7</v>
      </c>
      <c r="O34" s="1" t="s">
        <v>20</v>
      </c>
    </row>
    <row r="35" spans="1:22" x14ac:dyDescent="0.25">
      <c r="N35" s="1"/>
    </row>
    <row r="36" spans="1:22" x14ac:dyDescent="0.25">
      <c r="A36" s="1" t="s">
        <v>84</v>
      </c>
      <c r="D36" s="5">
        <f>+Mortgage!E15</f>
        <v>15959.968423683988</v>
      </c>
      <c r="E36" s="5">
        <f>+Mortgage!E29</f>
        <v>15866.836022331328</v>
      </c>
      <c r="F36" s="5">
        <f>+Mortgage!E43</f>
        <v>15763.951441554869</v>
      </c>
      <c r="G36" s="70">
        <f>+Mortgage!E57</f>
        <v>15650.293500732889</v>
      </c>
      <c r="H36" s="5">
        <f>+Mortgage!E71</f>
        <v>15535.681526779423</v>
      </c>
      <c r="I36" s="5">
        <f>+Mortgage!E85</f>
        <v>15410.114572751356</v>
      </c>
      <c r="J36" s="5">
        <f>+Mortgage!E99</f>
        <v>15272.545526516376</v>
      </c>
      <c r="K36" s="5">
        <f>+Mortgage!E113</f>
        <v>15121.827189606076</v>
      </c>
      <c r="L36" s="5">
        <f>+Mortgage!E127</f>
        <v>14956.702710642941</v>
      </c>
      <c r="M36" s="5">
        <f>+Mortgage!E141</f>
        <v>14775.795104363593</v>
      </c>
    </row>
    <row r="37" spans="1:22" x14ac:dyDescent="0.25">
      <c r="A37" s="1" t="s">
        <v>30</v>
      </c>
      <c r="D37" s="5">
        <f t="shared" ref="D37:M37" si="12">D65*$N$37</f>
        <v>529.86999968709949</v>
      </c>
      <c r="E37" s="5">
        <f t="shared" si="12"/>
        <v>0</v>
      </c>
      <c r="F37" s="5">
        <f t="shared" si="12"/>
        <v>0</v>
      </c>
      <c r="G37" s="70">
        <f t="shared" si="12"/>
        <v>0</v>
      </c>
      <c r="H37" s="5">
        <f t="shared" si="12"/>
        <v>0</v>
      </c>
      <c r="I37" s="5">
        <f t="shared" si="12"/>
        <v>0</v>
      </c>
      <c r="J37" s="5">
        <f t="shared" si="12"/>
        <v>0</v>
      </c>
      <c r="K37" s="5">
        <f t="shared" si="12"/>
        <v>0</v>
      </c>
      <c r="L37" s="5">
        <f t="shared" si="12"/>
        <v>637.17651037231587</v>
      </c>
      <c r="M37" s="5">
        <f t="shared" si="12"/>
        <v>1376.4230928929712</v>
      </c>
      <c r="N37" s="28">
        <v>4.1000000000000002E-2</v>
      </c>
      <c r="O37" s="1" t="s">
        <v>21</v>
      </c>
    </row>
    <row r="38" spans="1:22" x14ac:dyDescent="0.25">
      <c r="D38" s="5"/>
      <c r="E38" s="5"/>
      <c r="F38" s="5"/>
      <c r="G38" s="70"/>
      <c r="H38" s="5"/>
      <c r="I38" s="5"/>
      <c r="J38" s="5"/>
      <c r="K38" s="5"/>
      <c r="L38" s="5"/>
      <c r="M38" s="5"/>
    </row>
    <row r="39" spans="1:22" x14ac:dyDescent="0.25">
      <c r="A39" s="1" t="s">
        <v>4</v>
      </c>
      <c r="D39" s="5">
        <f t="shared" ref="D39:M39" si="13">SUM(D23:D23)-SUM(D25:D37)</f>
        <v>39526.673481390841</v>
      </c>
      <c r="E39" s="5">
        <f t="shared" si="13"/>
        <v>15510.565882430557</v>
      </c>
      <c r="F39" s="5">
        <f t="shared" si="13"/>
        <v>-2678.7399367929465</v>
      </c>
      <c r="G39" s="70">
        <f t="shared" si="13"/>
        <v>-14286.545051970978</v>
      </c>
      <c r="H39" s="5">
        <f t="shared" si="13"/>
        <v>-21688.56446985752</v>
      </c>
      <c r="I39" s="5">
        <f t="shared" si="13"/>
        <v>-26388.983493687054</v>
      </c>
      <c r="J39" s="5">
        <f t="shared" si="13"/>
        <v>-29355.847616973333</v>
      </c>
      <c r="K39" s="5">
        <f t="shared" si="13"/>
        <v>-19779.671287988389</v>
      </c>
      <c r="L39" s="5">
        <f t="shared" si="13"/>
        <v>-21550.480412998775</v>
      </c>
      <c r="M39" s="5">
        <f t="shared" si="13"/>
        <v>-22957.291358215418</v>
      </c>
    </row>
    <row r="40" spans="1:22" x14ac:dyDescent="0.25">
      <c r="A40" s="1" t="s">
        <v>5</v>
      </c>
      <c r="D40" s="5">
        <f>IF(D39&lt;0,0,D39*$N$40)</f>
        <v>7114.8012266503511</v>
      </c>
      <c r="E40" s="5">
        <f>IF(E39&lt;0,0,E39*$N$40)</f>
        <v>2791.9018588375002</v>
      </c>
      <c r="F40" s="5">
        <f>IF(F39&lt;0,0,F39*$N$40)</f>
        <v>0</v>
      </c>
      <c r="G40" s="70">
        <f>IF(G39&lt;0,0,G39*$N$40)</f>
        <v>0</v>
      </c>
      <c r="H40" s="5">
        <f>IF(H39&lt;0,0,H39*$N$40)</f>
        <v>0</v>
      </c>
      <c r="I40" s="5">
        <f t="shared" ref="I40:M40" si="14">IF(I39&lt;0,0,I39*$N$40)</f>
        <v>0</v>
      </c>
      <c r="J40" s="5">
        <f t="shared" si="14"/>
        <v>0</v>
      </c>
      <c r="K40" s="5">
        <f t="shared" si="14"/>
        <v>0</v>
      </c>
      <c r="L40" s="5">
        <f t="shared" si="14"/>
        <v>0</v>
      </c>
      <c r="M40" s="5">
        <f t="shared" si="14"/>
        <v>0</v>
      </c>
      <c r="N40" s="28">
        <v>0.18</v>
      </c>
      <c r="O40" s="1" t="s">
        <v>22</v>
      </c>
    </row>
    <row r="41" spans="1:22" x14ac:dyDescent="0.25">
      <c r="A41" s="3" t="s">
        <v>6</v>
      </c>
      <c r="D41" s="5">
        <f>D39-D40</f>
        <v>32411.87225474049</v>
      </c>
      <c r="E41" s="5">
        <f t="shared" ref="E41:M41" si="15">E39-E40</f>
        <v>12718.664023593057</v>
      </c>
      <c r="F41" s="5">
        <f t="shared" si="15"/>
        <v>-2678.7399367929465</v>
      </c>
      <c r="G41" s="70">
        <f t="shared" si="15"/>
        <v>-14286.545051970978</v>
      </c>
      <c r="H41" s="5">
        <f t="shared" si="15"/>
        <v>-21688.56446985752</v>
      </c>
      <c r="I41" s="5">
        <f t="shared" si="15"/>
        <v>-26388.983493687054</v>
      </c>
      <c r="J41" s="5">
        <f t="shared" si="15"/>
        <v>-29355.847616973333</v>
      </c>
      <c r="K41" s="5">
        <f t="shared" si="15"/>
        <v>-19779.671287988389</v>
      </c>
      <c r="L41" s="5">
        <f t="shared" si="15"/>
        <v>-21550.480412998775</v>
      </c>
      <c r="M41" s="5">
        <f t="shared" si="15"/>
        <v>-22957.291358215418</v>
      </c>
    </row>
    <row r="42" spans="1:22" x14ac:dyDescent="0.25">
      <c r="D42" s="5"/>
      <c r="E42" s="5"/>
      <c r="F42" s="5"/>
      <c r="G42" s="70"/>
      <c r="H42" s="5"/>
      <c r="I42" s="5"/>
      <c r="J42" s="5"/>
      <c r="K42" s="5"/>
      <c r="L42" s="5"/>
      <c r="M42" s="5"/>
    </row>
    <row r="43" spans="1:22" x14ac:dyDescent="0.25">
      <c r="A43" s="3" t="s">
        <v>7</v>
      </c>
      <c r="D43" s="5"/>
      <c r="E43" s="5"/>
      <c r="F43" s="5"/>
      <c r="G43" s="70"/>
      <c r="H43" s="5"/>
      <c r="I43" s="5"/>
      <c r="J43" s="5"/>
      <c r="K43" s="5"/>
      <c r="L43" s="5"/>
      <c r="M43" s="5"/>
    </row>
    <row r="44" spans="1:22" x14ac:dyDescent="0.25">
      <c r="A44" s="3" t="s">
        <v>8</v>
      </c>
      <c r="D44" s="5"/>
      <c r="E44" s="5"/>
      <c r="F44" s="5"/>
      <c r="G44" s="70"/>
      <c r="H44" s="5"/>
      <c r="I44" s="5"/>
      <c r="J44" s="5"/>
      <c r="K44" s="5"/>
      <c r="L44" s="5"/>
      <c r="M44" s="5"/>
      <c r="P44" s="41" t="s">
        <v>115</v>
      </c>
      <c r="Q44" s="41" t="s">
        <v>116</v>
      </c>
      <c r="R44" s="42" t="s">
        <v>117</v>
      </c>
      <c r="S44" s="42"/>
      <c r="T44" s="43"/>
      <c r="U44" s="43"/>
      <c r="V44" s="43"/>
    </row>
    <row r="45" spans="1:22" x14ac:dyDescent="0.25">
      <c r="A45" s="1" t="s">
        <v>26</v>
      </c>
      <c r="D45" s="15">
        <v>2000</v>
      </c>
      <c r="E45" s="15">
        <v>2000</v>
      </c>
      <c r="F45" s="15">
        <v>2000</v>
      </c>
      <c r="G45" s="72">
        <v>2000</v>
      </c>
      <c r="H45" s="5">
        <v>2000</v>
      </c>
      <c r="I45" s="5">
        <v>2000</v>
      </c>
      <c r="J45" s="5">
        <v>2000</v>
      </c>
      <c r="K45" s="5">
        <v>2000</v>
      </c>
      <c r="L45" s="5">
        <v>2000</v>
      </c>
      <c r="M45" s="5">
        <v>2000</v>
      </c>
      <c r="N45" s="12">
        <v>0.2</v>
      </c>
      <c r="O45" s="1" t="s">
        <v>41</v>
      </c>
      <c r="P45" s="44">
        <v>1</v>
      </c>
      <c r="Q45" s="41"/>
      <c r="R45" s="62">
        <f>M45*P45</f>
        <v>2000</v>
      </c>
      <c r="S45" s="42"/>
      <c r="T45" s="43"/>
      <c r="U45" s="43"/>
      <c r="V45" s="43"/>
    </row>
    <row r="46" spans="1:22" x14ac:dyDescent="0.25">
      <c r="A46" s="1" t="s">
        <v>25</v>
      </c>
      <c r="D46" s="5"/>
      <c r="E46" s="5">
        <v>18581</v>
      </c>
      <c r="F46" s="5">
        <v>33958</v>
      </c>
      <c r="G46" s="70">
        <v>39023</v>
      </c>
      <c r="H46" s="5">
        <v>35793</v>
      </c>
      <c r="I46" s="5">
        <v>27180</v>
      </c>
      <c r="J46" s="5">
        <v>15112</v>
      </c>
      <c r="K46" s="5">
        <v>821</v>
      </c>
      <c r="L46" s="5"/>
      <c r="M46" s="5"/>
      <c r="N46" s="28"/>
      <c r="P46" s="44"/>
      <c r="Q46" s="41"/>
      <c r="R46" s="42"/>
      <c r="S46" s="42"/>
      <c r="T46" s="43"/>
      <c r="U46" s="43"/>
      <c r="V46" s="43"/>
    </row>
    <row r="47" spans="1:22" x14ac:dyDescent="0.25">
      <c r="A47" s="1" t="s">
        <v>9</v>
      </c>
      <c r="D47" s="8">
        <f t="shared" ref="D47:M47" si="16">D23/365*D9</f>
        <v>16656.164383561641</v>
      </c>
      <c r="E47" s="8">
        <f t="shared" si="16"/>
        <v>10659.945205479453</v>
      </c>
      <c r="F47" s="8">
        <f t="shared" si="16"/>
        <v>6822.3649315068515</v>
      </c>
      <c r="G47" s="73">
        <f t="shared" si="16"/>
        <v>4366.3135561643849</v>
      </c>
      <c r="H47" s="8">
        <f t="shared" si="16"/>
        <v>2794.4406759452058</v>
      </c>
      <c r="I47" s="8">
        <f t="shared" si="16"/>
        <v>1788.4420326049319</v>
      </c>
      <c r="J47" s="8">
        <f t="shared" si="16"/>
        <v>1144.6029008671567</v>
      </c>
      <c r="K47" s="8">
        <f t="shared" si="16"/>
        <v>732.54585655498022</v>
      </c>
      <c r="L47" s="8">
        <f t="shared" si="16"/>
        <v>468.82934819518744</v>
      </c>
      <c r="M47" s="8">
        <f t="shared" si="16"/>
        <v>300.05078284491992</v>
      </c>
      <c r="P47" s="44">
        <v>0.4</v>
      </c>
      <c r="Q47" s="41"/>
      <c r="R47" s="59">
        <f>M47*P47</f>
        <v>120.02031313796797</v>
      </c>
      <c r="S47" s="42"/>
      <c r="T47" s="43"/>
      <c r="U47" s="43"/>
      <c r="V47" s="43"/>
    </row>
    <row r="48" spans="1:22" x14ac:dyDescent="0.25">
      <c r="A48" s="1" t="s">
        <v>10</v>
      </c>
      <c r="D48" s="8">
        <f t="shared" ref="D48:M48" si="17">D25/365*D11</f>
        <v>8328.0821917808207</v>
      </c>
      <c r="E48" s="8">
        <f t="shared" si="17"/>
        <v>5329.9726027397264</v>
      </c>
      <c r="F48" s="8">
        <f t="shared" si="17"/>
        <v>3411.1824657534257</v>
      </c>
      <c r="G48" s="73">
        <f t="shared" si="17"/>
        <v>2183.1567780821924</v>
      </c>
      <c r="H48" s="8">
        <f t="shared" si="17"/>
        <v>1397.2203379726029</v>
      </c>
      <c r="I48" s="8">
        <f t="shared" si="17"/>
        <v>894.22101630246596</v>
      </c>
      <c r="J48" s="8">
        <f t="shared" si="17"/>
        <v>572.30145043357834</v>
      </c>
      <c r="K48" s="8">
        <f t="shared" si="17"/>
        <v>366.27292827749011</v>
      </c>
      <c r="L48" s="8">
        <f t="shared" si="17"/>
        <v>234.41467409759372</v>
      </c>
      <c r="M48" s="8">
        <f t="shared" si="17"/>
        <v>150.02539142245996</v>
      </c>
      <c r="O48" s="14"/>
      <c r="P48" s="44">
        <v>0.4</v>
      </c>
      <c r="Q48" s="41"/>
      <c r="R48" s="59">
        <f>M48*P48</f>
        <v>60.010156568983987</v>
      </c>
      <c r="S48" s="42"/>
      <c r="T48" s="43"/>
      <c r="U48" s="43"/>
      <c r="V48" s="43"/>
    </row>
    <row r="49" spans="1:22" x14ac:dyDescent="0.25">
      <c r="D49" s="8"/>
      <c r="E49" s="8"/>
      <c r="F49" s="8"/>
      <c r="G49" s="73"/>
      <c r="H49" s="8"/>
      <c r="I49" s="8"/>
      <c r="J49" s="8"/>
      <c r="K49" s="8"/>
      <c r="L49" s="8"/>
      <c r="M49" s="8"/>
      <c r="O49" s="14"/>
      <c r="P49" s="44"/>
      <c r="Q49" s="41"/>
      <c r="R49" s="42"/>
      <c r="S49" s="42"/>
      <c r="T49" s="43"/>
      <c r="U49" s="43"/>
      <c r="V49" s="43"/>
    </row>
    <row r="50" spans="1:22" x14ac:dyDescent="0.25">
      <c r="A50" s="1" t="s">
        <v>48</v>
      </c>
      <c r="D50" s="8">
        <f>+D15*D16</f>
        <v>10700</v>
      </c>
      <c r="E50" s="8">
        <f>+$D$50</f>
        <v>10700</v>
      </c>
      <c r="F50" s="8">
        <f t="shared" ref="F50:M50" si="18">+$D$50</f>
        <v>10700</v>
      </c>
      <c r="G50" s="73">
        <f t="shared" si="18"/>
        <v>10700</v>
      </c>
      <c r="H50" s="8">
        <f t="shared" si="18"/>
        <v>10700</v>
      </c>
      <c r="I50" s="8">
        <f t="shared" si="18"/>
        <v>10700</v>
      </c>
      <c r="J50" s="8">
        <f t="shared" si="18"/>
        <v>10700</v>
      </c>
      <c r="K50" s="8">
        <f t="shared" si="18"/>
        <v>10700</v>
      </c>
      <c r="L50" s="8">
        <f t="shared" si="18"/>
        <v>10700</v>
      </c>
      <c r="M50" s="8">
        <f t="shared" si="18"/>
        <v>10700</v>
      </c>
      <c r="O50" s="29"/>
      <c r="P50" s="44">
        <v>0.8</v>
      </c>
      <c r="Q50" s="59">
        <f>M50*P50</f>
        <v>8560</v>
      </c>
      <c r="R50" s="42"/>
      <c r="S50" s="42"/>
      <c r="T50" s="43"/>
      <c r="U50" s="43"/>
      <c r="V50" s="43"/>
    </row>
    <row r="51" spans="1:22" x14ac:dyDescent="0.25">
      <c r="A51" s="1" t="s">
        <v>47</v>
      </c>
      <c r="D51" s="5">
        <f>+D17</f>
        <v>200000</v>
      </c>
      <c r="E51" s="5">
        <f>+$D$51</f>
        <v>200000</v>
      </c>
      <c r="F51" s="5">
        <f t="shared" ref="F51:M51" si="19">+$D$51</f>
        <v>200000</v>
      </c>
      <c r="G51" s="70">
        <f t="shared" si="19"/>
        <v>200000</v>
      </c>
      <c r="H51" s="5">
        <f t="shared" si="19"/>
        <v>200000</v>
      </c>
      <c r="I51" s="5">
        <f t="shared" si="19"/>
        <v>200000</v>
      </c>
      <c r="J51" s="5">
        <f t="shared" si="19"/>
        <v>200000</v>
      </c>
      <c r="K51" s="5">
        <f t="shared" si="19"/>
        <v>200000</v>
      </c>
      <c r="L51" s="5">
        <f t="shared" si="19"/>
        <v>200000</v>
      </c>
      <c r="M51" s="5">
        <f t="shared" si="19"/>
        <v>200000</v>
      </c>
      <c r="P51" s="44">
        <v>0.8</v>
      </c>
      <c r="Q51" s="59">
        <f>M51*P51</f>
        <v>160000</v>
      </c>
      <c r="R51" s="42"/>
      <c r="S51" s="42"/>
      <c r="T51" s="43"/>
      <c r="U51" s="43"/>
      <c r="V51" s="43"/>
    </row>
    <row r="52" spans="1:22" x14ac:dyDescent="0.25">
      <c r="A52" s="1" t="s">
        <v>87</v>
      </c>
      <c r="D52" s="5">
        <f>IF(C52&gt;=D51,D51,C52+D33)</f>
        <v>6666.666666666667</v>
      </c>
      <c r="E52" s="5">
        <f t="shared" ref="E52:M52" si="20">IF(D52&gt;=E51,E51,D52+E33)</f>
        <v>13333.333333333334</v>
      </c>
      <c r="F52" s="5">
        <f t="shared" si="20"/>
        <v>20000</v>
      </c>
      <c r="G52" s="70">
        <f t="shared" si="20"/>
        <v>26666.666666666668</v>
      </c>
      <c r="H52" s="5">
        <f t="shared" si="20"/>
        <v>33333.333333333336</v>
      </c>
      <c r="I52" s="5">
        <f t="shared" si="20"/>
        <v>40000</v>
      </c>
      <c r="J52" s="5">
        <f t="shared" si="20"/>
        <v>46666.666666666664</v>
      </c>
      <c r="K52" s="5">
        <f t="shared" si="20"/>
        <v>53333.333333333328</v>
      </c>
      <c r="L52" s="5">
        <f t="shared" si="20"/>
        <v>59999.999999999993</v>
      </c>
      <c r="M52" s="5">
        <f t="shared" si="20"/>
        <v>66666.666666666657</v>
      </c>
      <c r="P52" s="44"/>
      <c r="Q52" s="41"/>
      <c r="R52" s="42"/>
      <c r="S52" s="42"/>
      <c r="T52" s="43"/>
      <c r="U52" s="43"/>
      <c r="V52" s="43"/>
    </row>
    <row r="53" spans="1:22" x14ac:dyDescent="0.25">
      <c r="A53" s="1" t="s">
        <v>38</v>
      </c>
      <c r="D53" s="5">
        <f>+D18</f>
        <v>80000</v>
      </c>
      <c r="E53" s="5">
        <f>D53</f>
        <v>80000</v>
      </c>
      <c r="F53" s="5">
        <f>E53</f>
        <v>80000</v>
      </c>
      <c r="G53" s="70">
        <f>F53</f>
        <v>80000</v>
      </c>
      <c r="H53" s="5">
        <f>G53</f>
        <v>80000</v>
      </c>
      <c r="I53" s="5">
        <f t="shared" ref="I53:M53" si="21">H53</f>
        <v>80000</v>
      </c>
      <c r="J53" s="5">
        <f t="shared" si="21"/>
        <v>80000</v>
      </c>
      <c r="K53" s="5">
        <f t="shared" si="21"/>
        <v>80000</v>
      </c>
      <c r="L53" s="5">
        <f t="shared" si="21"/>
        <v>80000</v>
      </c>
      <c r="M53" s="5">
        <f t="shared" si="21"/>
        <v>80000</v>
      </c>
      <c r="P53" s="44"/>
      <c r="Q53" s="41"/>
      <c r="R53" s="42"/>
      <c r="S53" s="42"/>
      <c r="T53" s="43"/>
      <c r="U53" s="43"/>
      <c r="V53" s="43"/>
    </row>
    <row r="54" spans="1:22" x14ac:dyDescent="0.25">
      <c r="A54" s="1" t="s">
        <v>88</v>
      </c>
      <c r="D54" s="5">
        <f t="shared" ref="D54:M54" si="22">IF(C54&gt;=D53,D53,C54+D34)</f>
        <v>11428.571428571429</v>
      </c>
      <c r="E54" s="5">
        <f t="shared" si="22"/>
        <v>22857.142857142859</v>
      </c>
      <c r="F54" s="5">
        <f t="shared" si="22"/>
        <v>34285.71428571429</v>
      </c>
      <c r="G54" s="70">
        <f t="shared" si="22"/>
        <v>45714.285714285717</v>
      </c>
      <c r="H54" s="5">
        <f t="shared" si="22"/>
        <v>57142.857142857145</v>
      </c>
      <c r="I54" s="5">
        <f t="shared" si="22"/>
        <v>68571.42857142858</v>
      </c>
      <c r="J54" s="5">
        <f t="shared" si="22"/>
        <v>80000.000000000015</v>
      </c>
      <c r="K54" s="5">
        <f t="shared" si="22"/>
        <v>80000</v>
      </c>
      <c r="L54" s="5">
        <f t="shared" si="22"/>
        <v>80000</v>
      </c>
      <c r="M54" s="5">
        <f t="shared" si="22"/>
        <v>80000</v>
      </c>
      <c r="O54" s="6"/>
      <c r="P54" s="44"/>
      <c r="Q54" s="41"/>
      <c r="R54" s="42"/>
      <c r="S54" s="42"/>
      <c r="T54" s="43"/>
      <c r="U54" s="43"/>
      <c r="V54" s="43"/>
    </row>
    <row r="55" spans="1:22" x14ac:dyDescent="0.25">
      <c r="A55" s="1" t="s">
        <v>89</v>
      </c>
      <c r="D55" s="5">
        <f>+D52+D54</f>
        <v>18095.238095238095</v>
      </c>
      <c r="E55" s="5">
        <f t="shared" ref="E55:M55" si="23">+E52+E54</f>
        <v>36190.476190476191</v>
      </c>
      <c r="F55" s="5">
        <f t="shared" si="23"/>
        <v>54285.71428571429</v>
      </c>
      <c r="G55" s="70">
        <f t="shared" si="23"/>
        <v>72380.952380952382</v>
      </c>
      <c r="H55" s="5">
        <f t="shared" si="23"/>
        <v>90476.190476190473</v>
      </c>
      <c r="I55" s="5">
        <f t="shared" si="23"/>
        <v>108571.42857142858</v>
      </c>
      <c r="J55" s="5">
        <f t="shared" si="23"/>
        <v>126666.66666666669</v>
      </c>
      <c r="K55" s="5">
        <f t="shared" si="23"/>
        <v>133333.33333333331</v>
      </c>
      <c r="L55" s="5">
        <f t="shared" si="23"/>
        <v>140000</v>
      </c>
      <c r="M55" s="5">
        <f t="shared" si="23"/>
        <v>146666.66666666666</v>
      </c>
      <c r="P55" s="44"/>
      <c r="Q55" s="41"/>
      <c r="R55" s="42"/>
      <c r="S55" s="42"/>
      <c r="T55" s="43"/>
      <c r="U55" s="43"/>
      <c r="V55" s="43"/>
    </row>
    <row r="56" spans="1:22" x14ac:dyDescent="0.25">
      <c r="D56" s="5"/>
      <c r="E56" s="5"/>
      <c r="F56" s="5"/>
      <c r="G56" s="70"/>
      <c r="H56" s="5"/>
      <c r="I56" s="5"/>
      <c r="J56" s="5"/>
      <c r="K56" s="5"/>
      <c r="L56" s="5"/>
      <c r="M56" s="5"/>
      <c r="P56" s="44"/>
      <c r="Q56" s="41"/>
      <c r="R56" s="42"/>
      <c r="S56" s="42"/>
      <c r="T56" s="43"/>
      <c r="U56" s="43"/>
      <c r="V56" s="43"/>
    </row>
    <row r="57" spans="1:22" ht="15" customHeight="1" x14ac:dyDescent="0.25">
      <c r="A57" s="3" t="s">
        <v>12</v>
      </c>
      <c r="D57" s="5">
        <f>+SUM(D45:D51,D53)-D55</f>
        <v>299589.00848010438</v>
      </c>
      <c r="E57" s="5">
        <f t="shared" ref="E57:M57" si="24">+SUM(E45:E51,E53)-E55</f>
        <v>291080.441617743</v>
      </c>
      <c r="F57" s="5">
        <f t="shared" si="24"/>
        <v>282605.833111546</v>
      </c>
      <c r="G57" s="70">
        <f t="shared" si="24"/>
        <v>265891.51795329421</v>
      </c>
      <c r="H57" s="5">
        <f t="shared" si="24"/>
        <v>242208.47053772735</v>
      </c>
      <c r="I57" s="5">
        <f t="shared" si="24"/>
        <v>213991.23447747884</v>
      </c>
      <c r="J57" s="5">
        <f t="shared" si="24"/>
        <v>182862.23768463405</v>
      </c>
      <c r="K57" s="5">
        <f t="shared" si="24"/>
        <v>161286.48545149917</v>
      </c>
      <c r="L57" s="5">
        <f t="shared" si="24"/>
        <v>153403.24402229278</v>
      </c>
      <c r="M57" s="5">
        <f t="shared" si="24"/>
        <v>146483.40950760074</v>
      </c>
      <c r="P57" s="44"/>
      <c r="Q57" s="41"/>
      <c r="R57" s="42"/>
      <c r="S57" s="42"/>
      <c r="T57" s="43"/>
      <c r="U57" s="43"/>
      <c r="V57" s="43"/>
    </row>
    <row r="58" spans="1:22" x14ac:dyDescent="0.25">
      <c r="D58" s="5"/>
      <c r="E58" s="5"/>
      <c r="F58" s="5"/>
      <c r="G58" s="70"/>
      <c r="H58" s="5"/>
      <c r="I58" s="5"/>
      <c r="J58" s="5"/>
      <c r="K58" s="5"/>
      <c r="L58" s="5"/>
      <c r="M58" s="5"/>
    </row>
    <row r="59" spans="1:22" x14ac:dyDescent="0.25">
      <c r="A59" s="3" t="s">
        <v>11</v>
      </c>
      <c r="D59" s="5"/>
      <c r="E59" s="5"/>
      <c r="F59" s="5"/>
      <c r="G59" s="70"/>
      <c r="H59" s="5"/>
      <c r="I59" s="5"/>
      <c r="J59" s="5"/>
      <c r="K59" s="5"/>
      <c r="L59" s="5"/>
      <c r="M59" s="5"/>
    </row>
    <row r="60" spans="1:22" x14ac:dyDescent="0.25">
      <c r="A60" s="1" t="s">
        <v>13</v>
      </c>
      <c r="D60" s="5">
        <f t="shared" ref="D60:M60" si="25">D40</f>
        <v>7114.8012266503511</v>
      </c>
      <c r="E60" s="5">
        <f t="shared" si="25"/>
        <v>2791.9018588375002</v>
      </c>
      <c r="F60" s="5">
        <f t="shared" si="25"/>
        <v>0</v>
      </c>
      <c r="G60" s="70">
        <f t="shared" si="25"/>
        <v>0</v>
      </c>
      <c r="H60" s="5">
        <f t="shared" si="25"/>
        <v>0</v>
      </c>
      <c r="I60" s="5">
        <f t="shared" si="25"/>
        <v>0</v>
      </c>
      <c r="J60" s="5">
        <f t="shared" si="25"/>
        <v>0</v>
      </c>
      <c r="K60" s="5">
        <f t="shared" si="25"/>
        <v>0</v>
      </c>
      <c r="L60" s="5">
        <f t="shared" si="25"/>
        <v>0</v>
      </c>
      <c r="M60" s="5">
        <f t="shared" si="25"/>
        <v>0</v>
      </c>
      <c r="N60" s="1"/>
    </row>
    <row r="61" spans="1:22" x14ac:dyDescent="0.25">
      <c r="A61" s="1" t="s">
        <v>14</v>
      </c>
      <c r="D61" s="8">
        <f t="shared" ref="D61:M61" si="26">D25/365*D14</f>
        <v>8328.0821917808207</v>
      </c>
      <c r="E61" s="8">
        <f t="shared" si="26"/>
        <v>5329.9726027397264</v>
      </c>
      <c r="F61" s="8">
        <f t="shared" si="26"/>
        <v>3411.1824657534257</v>
      </c>
      <c r="G61" s="73">
        <f t="shared" si="26"/>
        <v>2183.1567780821924</v>
      </c>
      <c r="H61" s="8">
        <f t="shared" si="26"/>
        <v>1397.2203379726029</v>
      </c>
      <c r="I61" s="8">
        <f t="shared" si="26"/>
        <v>894.22101630246596</v>
      </c>
      <c r="J61" s="8">
        <f t="shared" si="26"/>
        <v>572.30145043357834</v>
      </c>
      <c r="K61" s="8">
        <f t="shared" si="26"/>
        <v>366.27292827749011</v>
      </c>
      <c r="L61" s="8">
        <f t="shared" si="26"/>
        <v>234.41467409759372</v>
      </c>
      <c r="M61" s="8">
        <f t="shared" si="26"/>
        <v>150.02539142245996</v>
      </c>
      <c r="N61" s="1"/>
      <c r="P61" s="44">
        <v>-1</v>
      </c>
      <c r="Q61" s="41"/>
      <c r="R61" s="45">
        <f>M61*P61</f>
        <v>-150.02539142245996</v>
      </c>
      <c r="S61" s="42"/>
      <c r="T61" s="43"/>
      <c r="U61" s="43"/>
      <c r="V61" s="43"/>
    </row>
    <row r="62" spans="1:22" x14ac:dyDescent="0.25">
      <c r="D62" s="8"/>
      <c r="E62" s="8"/>
      <c r="F62" s="8"/>
      <c r="G62" s="73"/>
      <c r="H62" s="8"/>
      <c r="I62" s="8"/>
      <c r="J62" s="8"/>
      <c r="K62" s="8"/>
      <c r="L62" s="8"/>
      <c r="M62" s="8"/>
      <c r="N62" s="1"/>
      <c r="O62" s="47" t="s">
        <v>122</v>
      </c>
      <c r="P62" s="44"/>
      <c r="Q62" s="46">
        <f>SUM(Q45:Q61)</f>
        <v>168560</v>
      </c>
      <c r="R62" s="46">
        <f>SUM(R45:R61)</f>
        <v>2030.0050782844919</v>
      </c>
      <c r="S62" s="47"/>
      <c r="T62" s="47"/>
      <c r="U62" s="47"/>
      <c r="V62" s="47"/>
    </row>
    <row r="63" spans="1:22" x14ac:dyDescent="0.25">
      <c r="D63" s="8"/>
      <c r="E63" s="8"/>
      <c r="F63" s="8"/>
      <c r="G63" s="73"/>
      <c r="H63" s="8"/>
      <c r="I63" s="8"/>
      <c r="J63" s="8"/>
      <c r="K63" s="8"/>
      <c r="L63" s="8"/>
      <c r="M63" s="8"/>
      <c r="N63" s="1"/>
      <c r="O63" s="47" t="s">
        <v>123</v>
      </c>
      <c r="P63" s="44"/>
      <c r="Q63" s="46"/>
      <c r="R63" s="48">
        <f>Q62-Q68</f>
        <v>21942.323482279899</v>
      </c>
      <c r="S63" s="47"/>
      <c r="T63" s="47"/>
      <c r="U63" s="47"/>
      <c r="V63" s="47"/>
    </row>
    <row r="64" spans="1:22" x14ac:dyDescent="0.25">
      <c r="A64" s="1" t="s">
        <v>56</v>
      </c>
      <c r="D64" s="8">
        <f>+Mortgage!G14</f>
        <v>159110.59427797905</v>
      </c>
      <c r="E64" s="8">
        <f>+Mortgage!G28</f>
        <v>158128.05615460547</v>
      </c>
      <c r="F64" s="8">
        <f>+Mortgage!G42</f>
        <v>157042.63345045544</v>
      </c>
      <c r="G64" s="73">
        <f>+Mortgage!G56</f>
        <v>155843.5528054834</v>
      </c>
      <c r="H64" s="8">
        <f>+Mortgage!G70</f>
        <v>154634.40720020721</v>
      </c>
      <c r="I64" s="8">
        <f>+Mortgage!G84</f>
        <v>153309.68757978955</v>
      </c>
      <c r="J64" s="8">
        <f>+Mortgage!G98</f>
        <v>151858.34700917339</v>
      </c>
      <c r="K64" s="8">
        <f>+Mortgage!G112</f>
        <v>150268.28265181734</v>
      </c>
      <c r="L64" s="8">
        <f>+Mortgage!G126</f>
        <v>148526.23484324489</v>
      </c>
      <c r="M64" s="8">
        <f>+Mortgage!G140</f>
        <v>146617.6765177201</v>
      </c>
      <c r="N64" s="32"/>
      <c r="O64" s="47" t="s">
        <v>124</v>
      </c>
      <c r="P64" s="44"/>
      <c r="Q64" s="46"/>
      <c r="R64" s="49">
        <v>500</v>
      </c>
      <c r="S64" s="47"/>
      <c r="T64" s="47"/>
      <c r="U64" s="47"/>
      <c r="V64" s="47"/>
    </row>
    <row r="65" spans="1:22" x14ac:dyDescent="0.25">
      <c r="A65" s="1" t="s">
        <v>27</v>
      </c>
      <c r="D65" s="5">
        <v>12923.658528953645</v>
      </c>
      <c r="E65" s="5"/>
      <c r="F65" s="5"/>
      <c r="G65" s="70"/>
      <c r="H65" s="5"/>
      <c r="I65" s="5"/>
      <c r="J65" s="5"/>
      <c r="K65" s="5"/>
      <c r="L65" s="5">
        <v>15540.890496885753</v>
      </c>
      <c r="M65" s="5">
        <v>33571.294948609051</v>
      </c>
      <c r="N65" s="32"/>
      <c r="O65" s="47" t="s">
        <v>122</v>
      </c>
      <c r="P65" s="44"/>
      <c r="Q65" s="46"/>
      <c r="R65" s="48">
        <f>R62-R64+R63</f>
        <v>23472.328560564391</v>
      </c>
      <c r="S65" s="47"/>
      <c r="T65" s="47"/>
      <c r="U65" s="47"/>
      <c r="V65" s="47"/>
    </row>
    <row r="66" spans="1:22" x14ac:dyDescent="0.25">
      <c r="D66" s="5"/>
      <c r="E66" s="5"/>
      <c r="F66" s="5"/>
      <c r="G66" s="70"/>
      <c r="H66" s="5"/>
      <c r="I66" s="5"/>
      <c r="J66" s="5"/>
      <c r="K66" s="5"/>
      <c r="L66" s="5"/>
      <c r="M66" s="5"/>
      <c r="N66" s="32"/>
      <c r="O66" s="34"/>
      <c r="P66" s="44"/>
      <c r="Q66" s="46"/>
      <c r="R66" s="47"/>
      <c r="S66" s="47"/>
      <c r="T66" s="47"/>
      <c r="U66" s="47"/>
      <c r="V66" s="47"/>
    </row>
    <row r="67" spans="1:22" x14ac:dyDescent="0.25">
      <c r="A67" s="1" t="s">
        <v>28</v>
      </c>
      <c r="D67" s="5">
        <f>10700+69000</f>
        <v>79700</v>
      </c>
      <c r="E67" s="5">
        <f>+$D$67</f>
        <v>79700</v>
      </c>
      <c r="F67" s="5">
        <f t="shared" ref="F67:M67" si="27">+$D$67</f>
        <v>79700</v>
      </c>
      <c r="G67" s="70">
        <f t="shared" si="27"/>
        <v>79700</v>
      </c>
      <c r="H67" s="5">
        <f t="shared" si="27"/>
        <v>79700</v>
      </c>
      <c r="I67" s="5">
        <f t="shared" si="27"/>
        <v>79700</v>
      </c>
      <c r="J67" s="5">
        <f t="shared" si="27"/>
        <v>79700</v>
      </c>
      <c r="K67" s="5">
        <f t="shared" si="27"/>
        <v>79700</v>
      </c>
      <c r="L67" s="5">
        <f t="shared" si="27"/>
        <v>79700</v>
      </c>
      <c r="M67" s="5">
        <f t="shared" si="27"/>
        <v>79700</v>
      </c>
      <c r="N67" s="32"/>
      <c r="O67" s="34"/>
      <c r="P67" s="44"/>
      <c r="Q67" s="46" t="s">
        <v>116</v>
      </c>
      <c r="R67" s="46" t="s">
        <v>118</v>
      </c>
      <c r="S67" s="47" t="s">
        <v>119</v>
      </c>
      <c r="T67" s="47" t="s">
        <v>117</v>
      </c>
      <c r="U67" s="47" t="s">
        <v>120</v>
      </c>
      <c r="V67" s="47" t="s">
        <v>121</v>
      </c>
    </row>
    <row r="68" spans="1:22" x14ac:dyDescent="0.25">
      <c r="A68" s="1" t="s">
        <v>15</v>
      </c>
      <c r="D68" s="5">
        <f t="shared" ref="D68:M68" si="28">C68+D41</f>
        <v>32411.87225474049</v>
      </c>
      <c r="E68" s="5">
        <f t="shared" si="28"/>
        <v>45130.536278333544</v>
      </c>
      <c r="F68" s="5">
        <f t="shared" si="28"/>
        <v>42451.796341540597</v>
      </c>
      <c r="G68" s="70">
        <f t="shared" si="28"/>
        <v>28165.25128956962</v>
      </c>
      <c r="H68" s="5">
        <f t="shared" si="28"/>
        <v>6476.6868197121003</v>
      </c>
      <c r="I68" s="5">
        <f t="shared" si="28"/>
        <v>-19912.296673974954</v>
      </c>
      <c r="J68" s="5">
        <f t="shared" si="28"/>
        <v>-49268.144290948287</v>
      </c>
      <c r="K68" s="5">
        <f t="shared" si="28"/>
        <v>-69047.815578936672</v>
      </c>
      <c r="L68" s="5">
        <f t="shared" si="28"/>
        <v>-90598.295991935447</v>
      </c>
      <c r="M68" s="5">
        <f t="shared" si="28"/>
        <v>-113555.58735015086</v>
      </c>
      <c r="N68" s="1"/>
      <c r="O68" s="33"/>
      <c r="P68" s="46"/>
      <c r="Q68" s="46">
        <f>M64</f>
        <v>146617.6765177201</v>
      </c>
      <c r="R68" s="50">
        <f>M64-Q68</f>
        <v>0</v>
      </c>
      <c r="S68" s="51">
        <f>R68/R70</f>
        <v>0</v>
      </c>
      <c r="T68" s="48">
        <f>R65*S68</f>
        <v>0</v>
      </c>
      <c r="U68" s="46">
        <f>Q68+T68</f>
        <v>146617.6765177201</v>
      </c>
      <c r="V68" s="52">
        <f>U68/M64</f>
        <v>1</v>
      </c>
    </row>
    <row r="69" spans="1:22" x14ac:dyDescent="0.25">
      <c r="D69" s="5"/>
      <c r="E69" s="5"/>
      <c r="F69" s="5"/>
      <c r="G69" s="70"/>
      <c r="H69" s="5"/>
      <c r="I69" s="5"/>
      <c r="J69" s="5"/>
      <c r="K69" s="5"/>
      <c r="L69" s="5"/>
      <c r="M69" s="5"/>
      <c r="N69" s="1"/>
      <c r="O69" s="40"/>
      <c r="P69" s="46"/>
      <c r="Q69" s="46"/>
      <c r="R69" s="50">
        <f>M65-Q69</f>
        <v>33571.294948609051</v>
      </c>
      <c r="S69" s="53">
        <f>R69/R70</f>
        <v>1</v>
      </c>
      <c r="T69" s="48">
        <f>R65*S69</f>
        <v>23472.328560564391</v>
      </c>
      <c r="U69" s="52">
        <f>Q69+T69</f>
        <v>23472.328560564391</v>
      </c>
      <c r="V69" s="52">
        <f>U69/M65</f>
        <v>0.69917852726550578</v>
      </c>
    </row>
    <row r="70" spans="1:22" x14ac:dyDescent="0.25">
      <c r="A70" s="3" t="s">
        <v>16</v>
      </c>
      <c r="D70" s="5">
        <f t="shared" ref="D70:M70" si="29">SUM(D60:D68)</f>
        <v>299589.00848010433</v>
      </c>
      <c r="E70" s="5">
        <f t="shared" si="29"/>
        <v>291080.46689451626</v>
      </c>
      <c r="F70" s="5">
        <f t="shared" si="29"/>
        <v>282605.61225774948</v>
      </c>
      <c r="G70" s="70">
        <f t="shared" si="29"/>
        <v>265891.96087313519</v>
      </c>
      <c r="H70" s="5">
        <f t="shared" si="29"/>
        <v>242208.31435789191</v>
      </c>
      <c r="I70" s="5">
        <f t="shared" si="29"/>
        <v>213991.61192211707</v>
      </c>
      <c r="J70" s="5">
        <f t="shared" si="29"/>
        <v>182862.50416865869</v>
      </c>
      <c r="K70" s="5">
        <f t="shared" si="29"/>
        <v>161286.74000115815</v>
      </c>
      <c r="L70" s="5">
        <f t="shared" si="29"/>
        <v>153403.24402229278</v>
      </c>
      <c r="M70" s="5">
        <f t="shared" si="29"/>
        <v>146483.40950760077</v>
      </c>
      <c r="N70" s="1"/>
      <c r="P70" s="54"/>
      <c r="Q70" s="54"/>
      <c r="R70" s="60">
        <f>SUM(R68:R69)</f>
        <v>33571.294948609051</v>
      </c>
      <c r="S70" s="55"/>
      <c r="T70" s="55"/>
      <c r="U70" s="43"/>
      <c r="V70" s="43"/>
    </row>
    <row r="71" spans="1:22" x14ac:dyDescent="0.25">
      <c r="D71" s="5"/>
      <c r="E71" s="5"/>
      <c r="F71" s="5"/>
      <c r="G71" s="70"/>
      <c r="H71" s="5"/>
      <c r="I71" s="5"/>
      <c r="J71" s="5"/>
      <c r="K71" s="5"/>
      <c r="L71" s="5"/>
      <c r="M71" s="5"/>
      <c r="N71" s="1"/>
      <c r="P71" s="43"/>
      <c r="Q71" s="43"/>
      <c r="R71" s="43"/>
      <c r="S71" s="43"/>
      <c r="T71" s="54"/>
      <c r="U71" s="43"/>
      <c r="V71" s="43"/>
    </row>
    <row r="72" spans="1:22" x14ac:dyDescent="0.25">
      <c r="A72" s="1" t="s">
        <v>17</v>
      </c>
      <c r="D72" s="5">
        <f t="shared" ref="D72:M72" si="30">D57-D70</f>
        <v>0</v>
      </c>
      <c r="E72" s="5">
        <f t="shared" si="30"/>
        <v>-2.5276773259975016E-2</v>
      </c>
      <c r="F72" s="5">
        <f t="shared" si="30"/>
        <v>0.22085379651980475</v>
      </c>
      <c r="G72" s="70">
        <f t="shared" si="30"/>
        <v>-0.44291984097799286</v>
      </c>
      <c r="H72" s="5">
        <f t="shared" si="30"/>
        <v>0.15617983543779701</v>
      </c>
      <c r="I72" s="5">
        <f t="shared" si="30"/>
        <v>-0.37744463823037222</v>
      </c>
      <c r="J72" s="5">
        <f t="shared" si="30"/>
        <v>-0.26648402464343235</v>
      </c>
      <c r="K72" s="5">
        <f t="shared" si="30"/>
        <v>-0.2545496589737013</v>
      </c>
      <c r="L72" s="5">
        <f t="shared" si="30"/>
        <v>0</v>
      </c>
      <c r="M72" s="5">
        <f t="shared" si="30"/>
        <v>0</v>
      </c>
      <c r="P72" s="43"/>
      <c r="Q72" s="54"/>
      <c r="R72" s="56"/>
      <c r="S72" s="57"/>
      <c r="T72" s="58"/>
      <c r="U72" s="43"/>
      <c r="V72" s="43"/>
    </row>
    <row r="73" spans="1:22" x14ac:dyDescent="0.25">
      <c r="D73" s="5"/>
      <c r="E73" s="5"/>
      <c r="F73" s="5"/>
      <c r="G73" s="70"/>
      <c r="H73" s="5"/>
      <c r="I73" s="5"/>
      <c r="J73" s="5"/>
      <c r="K73" s="5"/>
      <c r="L73" s="5"/>
      <c r="M73" s="5"/>
      <c r="N73" s="5"/>
    </row>
    <row r="74" spans="1:22" x14ac:dyDescent="0.25">
      <c r="D74" s="5"/>
      <c r="E74" s="5"/>
      <c r="F74" s="5"/>
      <c r="G74" s="70"/>
      <c r="H74" s="5"/>
      <c r="I74" s="5"/>
      <c r="J74" s="5"/>
      <c r="K74" s="5"/>
      <c r="L74" s="5"/>
      <c r="M74" s="5"/>
      <c r="N74" s="5"/>
      <c r="O74" s="5"/>
      <c r="P74" s="5"/>
    </row>
    <row r="75" spans="1:22" x14ac:dyDescent="0.25">
      <c r="A75" s="3" t="s">
        <v>128</v>
      </c>
      <c r="D75" s="5"/>
      <c r="E75" s="5"/>
      <c r="F75" s="5"/>
      <c r="G75" s="70"/>
      <c r="H75" s="5"/>
      <c r="I75" s="5"/>
      <c r="J75" s="5"/>
      <c r="K75" s="5"/>
      <c r="L75" s="5"/>
      <c r="M75" s="5"/>
      <c r="N75" s="5"/>
      <c r="O75" s="5"/>
      <c r="P75" s="5"/>
    </row>
    <row r="76" spans="1:22" x14ac:dyDescent="0.25">
      <c r="A76" s="1" t="s">
        <v>100</v>
      </c>
      <c r="B76" s="1" t="s">
        <v>125</v>
      </c>
      <c r="C76" s="64">
        <f t="shared" ref="C76:L76" si="31">-(D64-C64)</f>
        <v>-159110.59427797905</v>
      </c>
      <c r="D76" s="64">
        <f t="shared" si="31"/>
        <v>982.53812337358249</v>
      </c>
      <c r="E76" s="64">
        <f t="shared" si="31"/>
        <v>1085.4227041500271</v>
      </c>
      <c r="F76" s="64">
        <f t="shared" si="31"/>
        <v>1199.0806449720403</v>
      </c>
      <c r="G76" s="64">
        <f t="shared" si="31"/>
        <v>1209.1456052761932</v>
      </c>
      <c r="H76" s="64">
        <f t="shared" si="31"/>
        <v>1324.719620417658</v>
      </c>
      <c r="I76" s="64">
        <f t="shared" si="31"/>
        <v>1451.3405706161575</v>
      </c>
      <c r="J76" s="64">
        <f t="shared" si="31"/>
        <v>1590.0643573560519</v>
      </c>
      <c r="K76" s="64">
        <f t="shared" si="31"/>
        <v>1742.0478085724462</v>
      </c>
      <c r="L76" s="64">
        <f t="shared" si="31"/>
        <v>1908.5583255247911</v>
      </c>
      <c r="M76" s="64">
        <f>U68</f>
        <v>146617.6765177201</v>
      </c>
      <c r="N76" s="5"/>
      <c r="O76" s="5"/>
      <c r="P76" s="5"/>
    </row>
    <row r="77" spans="1:22" x14ac:dyDescent="0.25">
      <c r="A77" s="1" t="s">
        <v>102</v>
      </c>
      <c r="B77" s="1" t="s">
        <v>126</v>
      </c>
      <c r="D77" s="6">
        <f t="shared" ref="D77:M77" si="32">D36</f>
        <v>15959.968423683988</v>
      </c>
      <c r="E77" s="6">
        <f t="shared" si="32"/>
        <v>15866.836022331328</v>
      </c>
      <c r="F77" s="6">
        <f t="shared" si="32"/>
        <v>15763.951441554869</v>
      </c>
      <c r="G77" s="6">
        <f t="shared" si="32"/>
        <v>15650.293500732889</v>
      </c>
      <c r="H77" s="6">
        <f t="shared" si="32"/>
        <v>15535.681526779423</v>
      </c>
      <c r="I77" s="6">
        <f t="shared" si="32"/>
        <v>15410.114572751356</v>
      </c>
      <c r="J77" s="6">
        <f t="shared" si="32"/>
        <v>15272.545526516376</v>
      </c>
      <c r="K77" s="6">
        <f t="shared" si="32"/>
        <v>15121.827189606076</v>
      </c>
      <c r="L77" s="6">
        <f t="shared" si="32"/>
        <v>14956.702710642941</v>
      </c>
      <c r="M77" s="6">
        <f t="shared" si="32"/>
        <v>14775.795104363593</v>
      </c>
      <c r="N77" s="5"/>
      <c r="O77" s="5"/>
      <c r="P77" s="5"/>
    </row>
    <row r="78" spans="1:22" x14ac:dyDescent="0.25">
      <c r="B78" s="1" t="s">
        <v>122</v>
      </c>
      <c r="C78" s="64">
        <f>SUM(C76:C77)</f>
        <v>-159110.59427797905</v>
      </c>
      <c r="D78" s="64">
        <f>SUM(D76:D77)</f>
        <v>16942.506547057572</v>
      </c>
      <c r="E78" s="64">
        <f>SUM(E76:E77)</f>
        <v>16952.258726481356</v>
      </c>
      <c r="F78" s="64">
        <f>SUM(F76:F77)</f>
        <v>16963.03208652691</v>
      </c>
      <c r="G78" s="64">
        <f t="shared" ref="G78:M78" si="33">SUM(G76:G77)</f>
        <v>16859.439106009082</v>
      </c>
      <c r="H78" s="64">
        <f t="shared" si="33"/>
        <v>16860.401147197081</v>
      </c>
      <c r="I78" s="64">
        <f t="shared" si="33"/>
        <v>16861.455143367515</v>
      </c>
      <c r="J78" s="64">
        <f t="shared" si="33"/>
        <v>16862.609883872428</v>
      </c>
      <c r="K78" s="64">
        <f t="shared" si="33"/>
        <v>16863.874998178522</v>
      </c>
      <c r="L78" s="64">
        <f t="shared" si="33"/>
        <v>16865.261036167733</v>
      </c>
      <c r="M78" s="64">
        <f t="shared" si="33"/>
        <v>161393.47162208369</v>
      </c>
      <c r="N78" s="5"/>
      <c r="O78" s="5"/>
      <c r="P78" s="5"/>
    </row>
    <row r="79" spans="1:22" x14ac:dyDescent="0.25">
      <c r="B79" s="1" t="s">
        <v>109</v>
      </c>
      <c r="C79" s="61">
        <f>IRR(C78:M78)</f>
        <v>0.10046879174075696</v>
      </c>
      <c r="E79" s="5"/>
      <c r="F79" s="5"/>
      <c r="G79" s="70"/>
      <c r="H79" s="63"/>
      <c r="I79" s="5"/>
      <c r="J79" s="5"/>
      <c r="K79" s="5"/>
      <c r="L79" s="5"/>
      <c r="M79" s="5"/>
      <c r="N79" s="5"/>
      <c r="O79" s="5"/>
      <c r="P79" s="5"/>
    </row>
    <row r="80" spans="1:22" x14ac:dyDescent="0.25">
      <c r="E80" s="5"/>
      <c r="F80" s="5"/>
      <c r="G80" s="70"/>
      <c r="H80" s="63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E81" s="5"/>
      <c r="F81" s="5"/>
      <c r="G81" s="70"/>
      <c r="H81" s="63"/>
      <c r="I81" s="5"/>
      <c r="J81" s="5"/>
      <c r="K81" s="5"/>
      <c r="L81" s="5"/>
      <c r="M81" s="5"/>
      <c r="N81" s="5"/>
      <c r="O81" s="5"/>
      <c r="P81" s="5"/>
    </row>
    <row r="82" spans="1:16" x14ac:dyDescent="0.25">
      <c r="B82" s="3" t="s">
        <v>127</v>
      </c>
      <c r="E82" s="5"/>
      <c r="F82" s="5"/>
      <c r="G82" s="70"/>
      <c r="H82" s="63"/>
      <c r="I82" s="5"/>
      <c r="J82" s="5"/>
      <c r="K82" s="5"/>
      <c r="L82" s="5"/>
      <c r="M82" s="5"/>
      <c r="N82" s="5"/>
      <c r="O82" s="5"/>
      <c r="P82" s="5"/>
    </row>
    <row r="83" spans="1:16" x14ac:dyDescent="0.25">
      <c r="A83" s="1" t="s">
        <v>100</v>
      </c>
      <c r="B83" s="1" t="s">
        <v>125</v>
      </c>
      <c r="C83" s="6">
        <f t="shared" ref="C83:L83" si="34">-(D65-C65)</f>
        <v>-12923.658528953645</v>
      </c>
      <c r="D83" s="6">
        <f t="shared" si="34"/>
        <v>12923.658528953645</v>
      </c>
      <c r="E83" s="6">
        <f t="shared" si="34"/>
        <v>0</v>
      </c>
      <c r="F83" s="6">
        <f t="shared" si="34"/>
        <v>0</v>
      </c>
      <c r="G83" s="6">
        <f t="shared" si="34"/>
        <v>0</v>
      </c>
      <c r="H83" s="6">
        <f t="shared" si="34"/>
        <v>0</v>
      </c>
      <c r="I83" s="6">
        <f t="shared" si="34"/>
        <v>0</v>
      </c>
      <c r="J83" s="6">
        <f t="shared" si="34"/>
        <v>0</v>
      </c>
      <c r="K83" s="6">
        <f t="shared" si="34"/>
        <v>-15540.890496885753</v>
      </c>
      <c r="L83" s="6">
        <f t="shared" si="34"/>
        <v>-18030.404451723298</v>
      </c>
      <c r="M83" s="6">
        <f>U69</f>
        <v>23472.328560564391</v>
      </c>
      <c r="N83" s="5"/>
      <c r="O83" s="5"/>
      <c r="P83" s="5"/>
    </row>
    <row r="84" spans="1:16" x14ac:dyDescent="0.25">
      <c r="A84" s="1" t="s">
        <v>102</v>
      </c>
      <c r="B84" s="1" t="s">
        <v>126</v>
      </c>
      <c r="D84" s="6">
        <f t="shared" ref="D84:M84" si="35">D37</f>
        <v>529.86999968709949</v>
      </c>
      <c r="E84" s="6">
        <f t="shared" si="35"/>
        <v>0</v>
      </c>
      <c r="F84" s="6">
        <f t="shared" si="35"/>
        <v>0</v>
      </c>
      <c r="G84" s="6">
        <f t="shared" si="35"/>
        <v>0</v>
      </c>
      <c r="H84" s="6">
        <f t="shared" si="35"/>
        <v>0</v>
      </c>
      <c r="I84" s="6">
        <f t="shared" si="35"/>
        <v>0</v>
      </c>
      <c r="J84" s="6">
        <f t="shared" si="35"/>
        <v>0</v>
      </c>
      <c r="K84" s="6">
        <f t="shared" si="35"/>
        <v>0</v>
      </c>
      <c r="L84" s="6">
        <f t="shared" si="35"/>
        <v>637.17651037231587</v>
      </c>
      <c r="M84" s="6">
        <f t="shared" si="35"/>
        <v>1376.4230928929712</v>
      </c>
      <c r="N84" s="5"/>
      <c r="O84" s="5"/>
      <c r="P84" s="5"/>
    </row>
    <row r="85" spans="1:16" x14ac:dyDescent="0.25">
      <c r="B85" s="1" t="s">
        <v>122</v>
      </c>
      <c r="C85" s="64">
        <f>SUM(C83:C84)</f>
        <v>-12923.658528953645</v>
      </c>
      <c r="D85" s="64">
        <f>SUM(D83:D84)</f>
        <v>13453.528528640745</v>
      </c>
      <c r="E85" s="64">
        <f>SUM(E83:E84)</f>
        <v>0</v>
      </c>
      <c r="F85" s="64">
        <f>SUM(F83:F84)</f>
        <v>0</v>
      </c>
      <c r="G85" s="64">
        <f t="shared" ref="G85:I85" si="36">SUM(G83:G84)</f>
        <v>0</v>
      </c>
      <c r="H85" s="64">
        <f t="shared" si="36"/>
        <v>0</v>
      </c>
      <c r="I85" s="64">
        <f t="shared" si="36"/>
        <v>0</v>
      </c>
      <c r="J85" s="64">
        <f t="shared" ref="J85" si="37">SUM(J83:J84)</f>
        <v>0</v>
      </c>
      <c r="K85" s="64">
        <f t="shared" ref="K85:L85" si="38">SUM(K83:K84)</f>
        <v>-15540.890496885753</v>
      </c>
      <c r="L85" s="64">
        <f t="shared" si="38"/>
        <v>-17393.227941350982</v>
      </c>
      <c r="M85" s="64">
        <f t="shared" ref="M85" si="39">SUM(M83:M84)</f>
        <v>24848.751653457362</v>
      </c>
      <c r="N85" s="5"/>
      <c r="O85" s="5"/>
      <c r="P85" s="5"/>
    </row>
    <row r="86" spans="1:16" x14ac:dyDescent="0.25">
      <c r="B86" s="1" t="s">
        <v>109</v>
      </c>
      <c r="C86" s="61">
        <f>IRR(C85:M85)</f>
        <v>-0.16462133982193006</v>
      </c>
      <c r="E86" s="5"/>
      <c r="F86" s="5"/>
      <c r="G86" s="70"/>
      <c r="H86" s="63"/>
      <c r="I86" s="5"/>
      <c r="J86" s="5"/>
      <c r="K86" s="5"/>
      <c r="L86" s="5"/>
      <c r="M86" s="5"/>
      <c r="N86" s="5"/>
      <c r="O86" s="5"/>
      <c r="P86" s="5"/>
    </row>
    <row r="87" spans="1:16" x14ac:dyDescent="0.25">
      <c r="D87" s="5"/>
      <c r="E87" s="5"/>
      <c r="F87" s="5"/>
      <c r="G87" s="70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25">
      <c r="D88" s="5"/>
      <c r="E88" s="5"/>
      <c r="F88" s="5"/>
      <c r="G88" s="70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5">
      <c r="D89" s="5"/>
      <c r="E89" s="5"/>
      <c r="F89" s="5"/>
      <c r="G89" s="70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25">
      <c r="D90" s="5"/>
      <c r="E90" s="5"/>
      <c r="F90" s="5"/>
      <c r="G90" s="70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5">
      <c r="D91" s="5"/>
      <c r="E91" s="5"/>
      <c r="F91" s="5"/>
      <c r="G91" s="70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5">
      <c r="D92" s="5"/>
      <c r="E92" s="5"/>
      <c r="F92" s="5"/>
      <c r="G92" s="70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5">
      <c r="D93" s="5"/>
      <c r="E93" s="5"/>
      <c r="F93" s="5"/>
      <c r="G93" s="70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25">
      <c r="D94" s="5"/>
      <c r="E94" s="5"/>
      <c r="F94" s="5"/>
      <c r="G94" s="70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25">
      <c r="D95" s="5"/>
      <c r="E95" s="5"/>
      <c r="F95" s="5"/>
      <c r="G95" s="70"/>
      <c r="H95" s="5"/>
      <c r="I95" s="5"/>
      <c r="J95" s="5"/>
      <c r="K95" s="5"/>
      <c r="L95" s="5"/>
      <c r="M95" s="5"/>
      <c r="N95" s="5"/>
      <c r="O95" s="5"/>
      <c r="P95" s="5"/>
    </row>
    <row r="96" spans="1:16" x14ac:dyDescent="0.25">
      <c r="D96" s="5"/>
      <c r="E96" s="5"/>
      <c r="F96" s="5"/>
      <c r="G96" s="70"/>
      <c r="H96" s="5"/>
      <c r="I96" s="5"/>
      <c r="J96" s="5"/>
      <c r="K96" s="5"/>
      <c r="L96" s="5"/>
      <c r="M96" s="5"/>
      <c r="N96" s="5"/>
      <c r="O96" s="5"/>
      <c r="P96" s="5"/>
    </row>
    <row r="97" spans="4:16" x14ac:dyDescent="0.25">
      <c r="D97" s="5"/>
      <c r="E97" s="5"/>
      <c r="F97" s="5"/>
      <c r="G97" s="70"/>
      <c r="H97" s="5"/>
      <c r="I97" s="5"/>
      <c r="J97" s="5"/>
      <c r="K97" s="5"/>
      <c r="L97" s="5"/>
      <c r="M97" s="5"/>
      <c r="N97" s="5"/>
      <c r="O97" s="5"/>
      <c r="P97" s="5"/>
    </row>
    <row r="98" spans="4:16" x14ac:dyDescent="0.25">
      <c r="D98" s="5"/>
      <c r="E98" s="5"/>
      <c r="F98" s="5"/>
      <c r="G98" s="70"/>
      <c r="H98" s="5"/>
      <c r="I98" s="5"/>
      <c r="J98" s="5"/>
      <c r="K98" s="5"/>
      <c r="L98" s="5"/>
      <c r="M98" s="5"/>
      <c r="N98" s="5"/>
      <c r="O98" s="5"/>
      <c r="P98" s="5"/>
    </row>
    <row r="99" spans="4:16" x14ac:dyDescent="0.25">
      <c r="D99" s="5"/>
      <c r="E99" s="5"/>
      <c r="F99" s="5"/>
      <c r="G99" s="70"/>
      <c r="H99" s="5"/>
      <c r="I99" s="5"/>
      <c r="J99" s="5"/>
      <c r="K99" s="5"/>
      <c r="L99" s="5"/>
      <c r="M99" s="5"/>
      <c r="N99" s="5"/>
      <c r="O99" s="5"/>
      <c r="P99" s="5"/>
    </row>
    <row r="100" spans="4:16" x14ac:dyDescent="0.25">
      <c r="D100" s="5"/>
      <c r="E100" s="5"/>
      <c r="F100" s="5"/>
      <c r="G100" s="70"/>
      <c r="H100" s="5"/>
      <c r="I100" s="5"/>
      <c r="J100" s="5"/>
      <c r="K100" s="5"/>
      <c r="L100" s="5"/>
      <c r="M100" s="5"/>
      <c r="N100" s="5"/>
      <c r="O100" s="5"/>
      <c r="P100" s="5"/>
    </row>
    <row r="101" spans="4:16" x14ac:dyDescent="0.25">
      <c r="D101" s="5"/>
      <c r="E101" s="5"/>
      <c r="F101" s="5"/>
      <c r="G101" s="70"/>
      <c r="H101" s="5"/>
      <c r="I101" s="5"/>
      <c r="J101" s="5"/>
      <c r="K101" s="5"/>
      <c r="L101" s="5"/>
      <c r="M101" s="5"/>
      <c r="N101" s="5"/>
      <c r="O101" s="5"/>
      <c r="P101" s="5"/>
    </row>
    <row r="102" spans="4:16" x14ac:dyDescent="0.25">
      <c r="D102" s="5"/>
      <c r="E102" s="5"/>
      <c r="F102" s="5"/>
      <c r="G102" s="70"/>
      <c r="H102" s="5"/>
      <c r="I102" s="5"/>
      <c r="J102" s="5"/>
      <c r="K102" s="5"/>
      <c r="L102" s="5"/>
      <c r="M102" s="5"/>
      <c r="N102" s="5"/>
      <c r="O102" s="5"/>
      <c r="P102" s="5"/>
    </row>
    <row r="103" spans="4:16" x14ac:dyDescent="0.25">
      <c r="D103" s="5"/>
      <c r="E103" s="5"/>
      <c r="F103" s="5"/>
      <c r="G103" s="70"/>
      <c r="H103" s="5"/>
      <c r="I103" s="5"/>
      <c r="J103" s="5"/>
      <c r="K103" s="5"/>
      <c r="L103" s="5"/>
      <c r="M103" s="5"/>
      <c r="N103" s="5"/>
      <c r="O103" s="5"/>
      <c r="P103" s="5"/>
    </row>
    <row r="104" spans="4:16" x14ac:dyDescent="0.25">
      <c r="D104" s="5"/>
      <c r="E104" s="5"/>
      <c r="F104" s="5"/>
      <c r="G104" s="70"/>
      <c r="H104" s="5"/>
      <c r="I104" s="5"/>
      <c r="J104" s="5"/>
      <c r="K104" s="5"/>
      <c r="L104" s="5"/>
      <c r="M104" s="5"/>
      <c r="N104" s="5"/>
      <c r="O104" s="5"/>
      <c r="P104" s="5"/>
    </row>
    <row r="105" spans="4:16" x14ac:dyDescent="0.25">
      <c r="D105" s="5"/>
      <c r="E105" s="5"/>
      <c r="F105" s="5"/>
      <c r="G105" s="70"/>
      <c r="H105" s="5"/>
      <c r="I105" s="5"/>
      <c r="J105" s="5"/>
      <c r="K105" s="5"/>
      <c r="L105" s="5"/>
      <c r="M105" s="5"/>
      <c r="N105" s="5"/>
      <c r="O105" s="5"/>
      <c r="P105" s="5"/>
    </row>
    <row r="106" spans="4:16" x14ac:dyDescent="0.25">
      <c r="D106" s="5"/>
      <c r="E106" s="5"/>
      <c r="F106" s="5"/>
      <c r="G106" s="70"/>
      <c r="H106" s="5"/>
      <c r="I106" s="5"/>
      <c r="J106" s="5"/>
      <c r="K106" s="5"/>
      <c r="L106" s="5"/>
      <c r="M106" s="5"/>
      <c r="N106" s="5"/>
      <c r="O106" s="5"/>
      <c r="P106" s="5"/>
    </row>
    <row r="107" spans="4:16" x14ac:dyDescent="0.25">
      <c r="D107" s="5"/>
      <c r="E107" s="5"/>
      <c r="F107" s="5"/>
      <c r="G107" s="70"/>
      <c r="H107" s="5"/>
      <c r="I107" s="5"/>
      <c r="J107" s="5"/>
      <c r="K107" s="5"/>
      <c r="L107" s="5"/>
      <c r="M107" s="5"/>
      <c r="N107" s="5"/>
      <c r="O107" s="5"/>
      <c r="P107" s="5"/>
    </row>
    <row r="108" spans="4:16" x14ac:dyDescent="0.25">
      <c r="D108" s="5"/>
      <c r="E108" s="5"/>
      <c r="F108" s="5"/>
      <c r="G108" s="70"/>
      <c r="H108" s="5"/>
      <c r="I108" s="5"/>
      <c r="J108" s="5"/>
      <c r="K108" s="5"/>
      <c r="L108" s="5"/>
      <c r="M108" s="5"/>
      <c r="N108" s="5"/>
      <c r="O108" s="5"/>
      <c r="P108" s="5"/>
    </row>
    <row r="109" spans="4:16" x14ac:dyDescent="0.25">
      <c r="D109" s="5"/>
      <c r="E109" s="5"/>
      <c r="F109" s="5"/>
      <c r="G109" s="70"/>
      <c r="H109" s="5"/>
      <c r="I109" s="5"/>
      <c r="J109" s="5"/>
      <c r="K109" s="5"/>
      <c r="L109" s="5"/>
      <c r="M109" s="5"/>
      <c r="N109" s="5"/>
      <c r="O109" s="5"/>
      <c r="P109" s="5"/>
    </row>
    <row r="110" spans="4:16" x14ac:dyDescent="0.25">
      <c r="D110" s="5"/>
      <c r="E110" s="5"/>
      <c r="F110" s="5"/>
      <c r="G110" s="70"/>
      <c r="H110" s="5"/>
      <c r="I110" s="5"/>
      <c r="J110" s="5"/>
      <c r="K110" s="5"/>
      <c r="L110" s="5"/>
      <c r="M110" s="5"/>
      <c r="N110" s="5"/>
      <c r="O110" s="5"/>
      <c r="P110" s="5"/>
    </row>
    <row r="111" spans="4:16" x14ac:dyDescent="0.25">
      <c r="D111" s="5"/>
      <c r="E111" s="5"/>
      <c r="F111" s="5"/>
      <c r="G111" s="70"/>
      <c r="H111" s="5"/>
      <c r="I111" s="5"/>
      <c r="J111" s="5"/>
      <c r="K111" s="5"/>
      <c r="L111" s="5"/>
      <c r="M111" s="5"/>
      <c r="N111" s="5"/>
      <c r="O111" s="5"/>
      <c r="P111" s="5"/>
    </row>
    <row r="112" spans="4:16" x14ac:dyDescent="0.25">
      <c r="D112" s="5"/>
      <c r="E112" s="5"/>
      <c r="F112" s="5"/>
      <c r="G112" s="70"/>
      <c r="H112" s="5"/>
      <c r="I112" s="5"/>
      <c r="J112" s="5"/>
      <c r="K112" s="5"/>
      <c r="L112" s="5"/>
      <c r="M112" s="5"/>
      <c r="N112" s="5"/>
      <c r="O112" s="5"/>
      <c r="P112" s="5"/>
    </row>
    <row r="113" spans="4:16" x14ac:dyDescent="0.25">
      <c r="D113" s="5"/>
      <c r="E113" s="5"/>
      <c r="F113" s="5"/>
      <c r="G113" s="70"/>
      <c r="H113" s="5"/>
      <c r="I113" s="5"/>
      <c r="J113" s="5"/>
      <c r="K113" s="5"/>
      <c r="L113" s="5"/>
      <c r="M113" s="5"/>
      <c r="N113" s="5"/>
      <c r="O113" s="5"/>
      <c r="P113" s="5"/>
    </row>
    <row r="114" spans="4:16" x14ac:dyDescent="0.25">
      <c r="D114" s="5"/>
      <c r="E114" s="5"/>
      <c r="F114" s="5"/>
      <c r="G114" s="70"/>
      <c r="H114" s="5"/>
      <c r="I114" s="5"/>
      <c r="J114" s="5"/>
      <c r="K114" s="5"/>
      <c r="L114" s="5"/>
      <c r="M114" s="5"/>
      <c r="N114" s="5"/>
      <c r="O114" s="5"/>
      <c r="P114" s="5"/>
    </row>
    <row r="115" spans="4:16" x14ac:dyDescent="0.25">
      <c r="D115" s="5"/>
      <c r="E115" s="5"/>
      <c r="F115" s="5"/>
      <c r="G115" s="70"/>
      <c r="H115" s="5"/>
      <c r="I115" s="5"/>
      <c r="J115" s="5"/>
      <c r="K115" s="5"/>
      <c r="L115" s="5"/>
      <c r="M115" s="5"/>
      <c r="N115" s="5"/>
      <c r="O115" s="5"/>
      <c r="P115" s="5"/>
    </row>
    <row r="116" spans="4:16" x14ac:dyDescent="0.25">
      <c r="D116" s="5"/>
      <c r="E116" s="5"/>
      <c r="F116" s="5"/>
      <c r="G116" s="70"/>
      <c r="H116" s="5"/>
      <c r="I116" s="5"/>
      <c r="J116" s="5"/>
      <c r="K116" s="5"/>
      <c r="L116" s="5"/>
      <c r="M116" s="5"/>
      <c r="N116" s="5"/>
      <c r="O116" s="5"/>
      <c r="P116" s="5"/>
    </row>
    <row r="117" spans="4:16" x14ac:dyDescent="0.25">
      <c r="D117" s="5"/>
      <c r="E117" s="5"/>
      <c r="F117" s="5"/>
      <c r="G117" s="70"/>
      <c r="H117" s="5"/>
      <c r="I117" s="5"/>
      <c r="J117" s="5"/>
      <c r="K117" s="5"/>
      <c r="L117" s="5"/>
      <c r="M117" s="5"/>
      <c r="N117" s="5"/>
      <c r="O117" s="5"/>
      <c r="P117" s="5"/>
    </row>
    <row r="118" spans="4:16" x14ac:dyDescent="0.25">
      <c r="D118" s="5"/>
      <c r="E118" s="5"/>
      <c r="F118" s="5"/>
      <c r="G118" s="70"/>
      <c r="H118" s="5"/>
      <c r="I118" s="5"/>
      <c r="J118" s="5"/>
      <c r="K118" s="5"/>
      <c r="L118" s="5"/>
      <c r="M118" s="5"/>
      <c r="N118" s="5"/>
      <c r="O118" s="5"/>
      <c r="P118" s="5"/>
    </row>
    <row r="119" spans="4:16" x14ac:dyDescent="0.25">
      <c r="D119" s="5"/>
      <c r="E119" s="5"/>
      <c r="F119" s="5"/>
      <c r="G119" s="70"/>
      <c r="H119" s="5"/>
      <c r="I119" s="5"/>
      <c r="J119" s="5"/>
      <c r="K119" s="5"/>
      <c r="L119" s="5"/>
      <c r="M119" s="5"/>
      <c r="N119" s="5"/>
      <c r="O119" s="5"/>
      <c r="P119" s="5"/>
    </row>
    <row r="120" spans="4:16" x14ac:dyDescent="0.25">
      <c r="D120" s="5"/>
      <c r="E120" s="5"/>
      <c r="F120" s="5"/>
      <c r="G120" s="70"/>
      <c r="H120" s="5"/>
      <c r="I120" s="5"/>
      <c r="J120" s="5"/>
      <c r="K120" s="5"/>
      <c r="L120" s="5"/>
      <c r="M120" s="5"/>
      <c r="N120" s="5"/>
      <c r="O120" s="5"/>
      <c r="P120" s="5"/>
    </row>
    <row r="121" spans="4:16" x14ac:dyDescent="0.25">
      <c r="D121" s="5"/>
      <c r="E121" s="5"/>
      <c r="F121" s="5"/>
      <c r="G121" s="70"/>
      <c r="H121" s="5"/>
      <c r="I121" s="5"/>
      <c r="J121" s="5"/>
      <c r="K121" s="5"/>
      <c r="L121" s="5"/>
      <c r="M121" s="5"/>
      <c r="N121" s="5"/>
      <c r="O121" s="5"/>
      <c r="P121" s="5"/>
    </row>
    <row r="122" spans="4:16" x14ac:dyDescent="0.25">
      <c r="D122" s="5"/>
      <c r="E122" s="5"/>
      <c r="F122" s="5"/>
      <c r="G122" s="70"/>
      <c r="H122" s="5"/>
      <c r="I122" s="5"/>
      <c r="J122" s="5"/>
      <c r="K122" s="5"/>
      <c r="L122" s="5"/>
      <c r="M122" s="5"/>
      <c r="N122" s="5"/>
      <c r="O122" s="5"/>
      <c r="P122" s="5"/>
    </row>
    <row r="123" spans="4:16" x14ac:dyDescent="0.25">
      <c r="D123" s="5"/>
      <c r="E123" s="5"/>
      <c r="F123" s="5"/>
      <c r="G123" s="70"/>
      <c r="H123" s="5"/>
      <c r="I123" s="5"/>
      <c r="J123" s="5"/>
      <c r="K123" s="5"/>
      <c r="L123" s="5"/>
      <c r="M123" s="5"/>
      <c r="N123" s="5"/>
      <c r="O123" s="5"/>
      <c r="P123" s="5"/>
    </row>
    <row r="124" spans="4:16" x14ac:dyDescent="0.25">
      <c r="D124" s="5"/>
      <c r="E124" s="5"/>
      <c r="F124" s="5"/>
      <c r="G124" s="70"/>
      <c r="H124" s="5"/>
      <c r="I124" s="5"/>
      <c r="J124" s="5"/>
      <c r="K124" s="5"/>
      <c r="L124" s="5"/>
      <c r="M124" s="5"/>
      <c r="N124" s="5"/>
      <c r="O124" s="5"/>
      <c r="P124" s="5"/>
    </row>
    <row r="125" spans="4:16" x14ac:dyDescent="0.25">
      <c r="D125" s="5"/>
      <c r="E125" s="5"/>
      <c r="F125" s="5"/>
      <c r="G125" s="70"/>
      <c r="H125" s="5"/>
      <c r="I125" s="5"/>
      <c r="J125" s="5"/>
      <c r="K125" s="5"/>
      <c r="L125" s="5"/>
      <c r="M125" s="5"/>
      <c r="N125" s="5"/>
      <c r="O125" s="5"/>
      <c r="P125" s="5"/>
    </row>
    <row r="126" spans="4:16" x14ac:dyDescent="0.25">
      <c r="D126" s="5"/>
      <c r="E126" s="5"/>
      <c r="F126" s="5"/>
      <c r="G126" s="70"/>
      <c r="H126" s="5"/>
      <c r="I126" s="5"/>
      <c r="J126" s="5"/>
      <c r="K126" s="5"/>
      <c r="L126" s="5"/>
      <c r="M126" s="5"/>
      <c r="N126" s="5"/>
      <c r="O126" s="5"/>
      <c r="P126" s="5"/>
    </row>
    <row r="127" spans="4:16" x14ac:dyDescent="0.25">
      <c r="D127" s="5"/>
      <c r="E127" s="5"/>
      <c r="F127" s="5"/>
      <c r="G127" s="70"/>
      <c r="H127" s="5"/>
      <c r="I127" s="5"/>
      <c r="J127" s="5"/>
      <c r="K127" s="5"/>
      <c r="L127" s="5"/>
      <c r="M127" s="5"/>
      <c r="N127" s="5"/>
      <c r="O127" s="5"/>
      <c r="P127" s="5"/>
    </row>
    <row r="128" spans="4:16" x14ac:dyDescent="0.25">
      <c r="D128" s="5"/>
      <c r="E128" s="5"/>
      <c r="F128" s="5"/>
      <c r="G128" s="70"/>
      <c r="H128" s="5"/>
      <c r="I128" s="5"/>
      <c r="J128" s="5"/>
      <c r="K128" s="5"/>
      <c r="L128" s="5"/>
      <c r="M128" s="5"/>
      <c r="N128" s="5"/>
      <c r="O128" s="5"/>
      <c r="P128" s="5"/>
    </row>
    <row r="129" spans="4:16" x14ac:dyDescent="0.25">
      <c r="D129" s="5"/>
      <c r="E129" s="5"/>
      <c r="F129" s="5"/>
      <c r="G129" s="70"/>
      <c r="H129" s="5"/>
      <c r="I129" s="5"/>
      <c r="J129" s="5"/>
      <c r="K129" s="5"/>
      <c r="L129" s="5"/>
      <c r="M129" s="5"/>
      <c r="N129" s="5"/>
      <c r="O129" s="5"/>
      <c r="P129" s="5"/>
    </row>
    <row r="130" spans="4:16" x14ac:dyDescent="0.25">
      <c r="D130" s="5"/>
      <c r="E130" s="5"/>
      <c r="F130" s="5"/>
      <c r="G130" s="70"/>
      <c r="H130" s="5"/>
      <c r="I130" s="5"/>
      <c r="J130" s="5"/>
      <c r="K130" s="5"/>
      <c r="L130" s="5"/>
      <c r="M130" s="5"/>
      <c r="N130" s="5"/>
      <c r="O130" s="5"/>
      <c r="P130" s="5"/>
    </row>
    <row r="131" spans="4:16" x14ac:dyDescent="0.25">
      <c r="D131" s="5"/>
      <c r="E131" s="5"/>
      <c r="F131" s="5"/>
      <c r="G131" s="70"/>
      <c r="H131" s="5"/>
      <c r="I131" s="5"/>
      <c r="J131" s="5"/>
      <c r="K131" s="5"/>
      <c r="L131" s="5"/>
      <c r="M131" s="5"/>
      <c r="N131" s="5"/>
      <c r="O131" s="5"/>
      <c r="P131" s="5"/>
    </row>
    <row r="132" spans="4:16" x14ac:dyDescent="0.25">
      <c r="D132" s="5"/>
      <c r="E132" s="5"/>
      <c r="F132" s="5"/>
      <c r="G132" s="70"/>
      <c r="H132" s="5"/>
      <c r="I132" s="5"/>
      <c r="J132" s="5"/>
      <c r="K132" s="5"/>
      <c r="L132" s="5"/>
      <c r="M132" s="5"/>
      <c r="N132" s="5"/>
      <c r="O132" s="5"/>
      <c r="P132" s="5"/>
    </row>
    <row r="133" spans="4:16" x14ac:dyDescent="0.25">
      <c r="D133" s="5"/>
      <c r="E133" s="5"/>
      <c r="F133" s="5"/>
      <c r="G133" s="70"/>
      <c r="H133" s="5"/>
      <c r="I133" s="5"/>
      <c r="J133" s="5"/>
      <c r="K133" s="5"/>
      <c r="L133" s="5"/>
      <c r="M133" s="5"/>
      <c r="N133" s="5"/>
      <c r="O133" s="5"/>
      <c r="P133" s="5"/>
    </row>
    <row r="134" spans="4:16" x14ac:dyDescent="0.25">
      <c r="D134" s="5"/>
      <c r="E134" s="5"/>
      <c r="F134" s="5"/>
      <c r="G134" s="70"/>
      <c r="H134" s="5"/>
      <c r="I134" s="5"/>
      <c r="J134" s="5"/>
      <c r="K134" s="5"/>
      <c r="L134" s="5"/>
      <c r="M134" s="5"/>
      <c r="N134" s="5"/>
      <c r="O134" s="5"/>
      <c r="P134" s="5"/>
    </row>
    <row r="135" spans="4:16" x14ac:dyDescent="0.25">
      <c r="D135" s="5"/>
      <c r="E135" s="5"/>
      <c r="F135" s="5"/>
      <c r="G135" s="70"/>
      <c r="H135" s="5"/>
      <c r="I135" s="5"/>
      <c r="J135" s="5"/>
      <c r="K135" s="5"/>
      <c r="L135" s="5"/>
      <c r="M135" s="5"/>
      <c r="N135" s="5"/>
      <c r="O135" s="5"/>
      <c r="P135" s="5"/>
    </row>
    <row r="136" spans="4:16" x14ac:dyDescent="0.25">
      <c r="D136" s="5"/>
      <c r="E136" s="5"/>
      <c r="F136" s="5"/>
      <c r="G136" s="70"/>
      <c r="H136" s="5"/>
      <c r="I136" s="5"/>
      <c r="J136" s="5"/>
      <c r="K136" s="5"/>
      <c r="L136" s="5"/>
      <c r="M136" s="5"/>
      <c r="N136" s="5"/>
      <c r="O136" s="5"/>
      <c r="P136" s="5"/>
    </row>
    <row r="137" spans="4:16" x14ac:dyDescent="0.25">
      <c r="D137" s="5"/>
      <c r="E137" s="5"/>
      <c r="F137" s="5"/>
      <c r="G137" s="70"/>
      <c r="H137" s="5"/>
      <c r="I137" s="5"/>
      <c r="J137" s="5"/>
      <c r="K137" s="5"/>
      <c r="L137" s="5"/>
      <c r="M137" s="5"/>
      <c r="N137" s="5"/>
      <c r="O137" s="5"/>
      <c r="P137" s="5"/>
    </row>
    <row r="138" spans="4:16" x14ac:dyDescent="0.25">
      <c r="D138" s="5"/>
      <c r="E138" s="5"/>
      <c r="F138" s="5"/>
      <c r="G138" s="70"/>
      <c r="H138" s="5"/>
      <c r="I138" s="5"/>
      <c r="J138" s="5"/>
      <c r="K138" s="5"/>
      <c r="L138" s="5"/>
      <c r="M138" s="5"/>
      <c r="N138" s="5"/>
      <c r="O138" s="5"/>
      <c r="P138" s="5"/>
    </row>
    <row r="139" spans="4:16" x14ac:dyDescent="0.25">
      <c r="D139" s="5"/>
      <c r="E139" s="5"/>
      <c r="F139" s="5"/>
      <c r="G139" s="70"/>
      <c r="H139" s="5"/>
      <c r="I139" s="5"/>
      <c r="J139" s="5"/>
      <c r="K139" s="5"/>
      <c r="L139" s="5"/>
      <c r="M139" s="5"/>
      <c r="N139" s="5"/>
      <c r="O139" s="5"/>
      <c r="P139" s="5"/>
    </row>
    <row r="140" spans="4:16" x14ac:dyDescent="0.25">
      <c r="D140" s="5"/>
      <c r="E140" s="5"/>
      <c r="F140" s="5"/>
      <c r="G140" s="70"/>
      <c r="H140" s="5"/>
      <c r="I140" s="5"/>
      <c r="J140" s="5"/>
      <c r="K140" s="5"/>
      <c r="L140" s="5"/>
      <c r="M140" s="5"/>
      <c r="N140" s="5"/>
      <c r="O140" s="5"/>
      <c r="P140" s="5"/>
    </row>
    <row r="141" spans="4:16" x14ac:dyDescent="0.25">
      <c r="D141" s="5"/>
      <c r="E141" s="5"/>
      <c r="F141" s="5"/>
      <c r="G141" s="70"/>
      <c r="H141" s="5"/>
      <c r="I141" s="5"/>
      <c r="J141" s="5"/>
      <c r="K141" s="5"/>
      <c r="L141" s="5"/>
      <c r="M141" s="5"/>
      <c r="N141" s="5"/>
      <c r="O141" s="5"/>
      <c r="P141" s="5"/>
    </row>
    <row r="142" spans="4:16" x14ac:dyDescent="0.25">
      <c r="D142" s="5"/>
      <c r="E142" s="5"/>
      <c r="F142" s="5"/>
      <c r="G142" s="70"/>
      <c r="H142" s="5"/>
      <c r="I142" s="5"/>
      <c r="J142" s="5"/>
      <c r="K142" s="5"/>
      <c r="L142" s="5"/>
      <c r="M142" s="5"/>
      <c r="N142" s="5"/>
      <c r="O142" s="5"/>
      <c r="P142" s="5"/>
    </row>
    <row r="143" spans="4:16" x14ac:dyDescent="0.25">
      <c r="D143" s="5"/>
      <c r="E143" s="5"/>
      <c r="F143" s="5"/>
      <c r="G143" s="70"/>
      <c r="H143" s="5"/>
      <c r="I143" s="5"/>
      <c r="J143" s="5"/>
      <c r="K143" s="5"/>
      <c r="L143" s="5"/>
      <c r="M143" s="5"/>
      <c r="N143" s="5"/>
      <c r="O143" s="5"/>
      <c r="P143" s="5"/>
    </row>
    <row r="144" spans="4:16" x14ac:dyDescent="0.25">
      <c r="D144" s="5"/>
      <c r="E144" s="5"/>
      <c r="F144" s="5"/>
      <c r="G144" s="70"/>
      <c r="H144" s="5"/>
      <c r="I144" s="5"/>
      <c r="J144" s="5"/>
      <c r="K144" s="5"/>
      <c r="L144" s="5"/>
      <c r="M144" s="5"/>
      <c r="N144" s="5"/>
      <c r="O144" s="5"/>
      <c r="P144" s="5"/>
    </row>
    <row r="145" spans="4:16" x14ac:dyDescent="0.25">
      <c r="D145" s="5"/>
      <c r="E145" s="5"/>
      <c r="F145" s="5"/>
      <c r="G145" s="70"/>
      <c r="H145" s="5"/>
      <c r="I145" s="5"/>
      <c r="J145" s="5"/>
      <c r="K145" s="5"/>
      <c r="L145" s="5"/>
      <c r="M145" s="5"/>
      <c r="N145" s="5"/>
      <c r="O145" s="5"/>
      <c r="P145" s="5"/>
    </row>
    <row r="146" spans="4:16" x14ac:dyDescent="0.25">
      <c r="D146" s="5"/>
      <c r="E146" s="5"/>
      <c r="F146" s="5"/>
      <c r="G146" s="70"/>
      <c r="H146" s="5"/>
      <c r="I146" s="5"/>
      <c r="J146" s="5"/>
      <c r="K146" s="5"/>
      <c r="L146" s="5"/>
      <c r="M146" s="5"/>
      <c r="N146" s="5"/>
      <c r="O146" s="5"/>
      <c r="P146" s="5"/>
    </row>
    <row r="147" spans="4:16" x14ac:dyDescent="0.25">
      <c r="D147" s="5"/>
      <c r="E147" s="5"/>
      <c r="F147" s="5"/>
      <c r="G147" s="70"/>
      <c r="H147" s="5"/>
      <c r="I147" s="5"/>
      <c r="J147" s="5"/>
      <c r="K147" s="5"/>
      <c r="L147" s="5"/>
      <c r="M147" s="5"/>
      <c r="N147" s="5"/>
      <c r="O147" s="5"/>
      <c r="P147" s="5"/>
    </row>
    <row r="148" spans="4:16" x14ac:dyDescent="0.25">
      <c r="D148" s="5"/>
      <c r="E148" s="5"/>
      <c r="F148" s="5"/>
      <c r="G148" s="70"/>
      <c r="H148" s="5"/>
      <c r="I148" s="5"/>
      <c r="J148" s="5"/>
      <c r="K148" s="5"/>
      <c r="L148" s="5"/>
      <c r="M148" s="5"/>
      <c r="N148" s="5"/>
      <c r="O148" s="5"/>
      <c r="P148" s="5"/>
    </row>
    <row r="149" spans="4:16" x14ac:dyDescent="0.25">
      <c r="D149" s="5"/>
      <c r="E149" s="5"/>
      <c r="F149" s="5"/>
      <c r="G149" s="70"/>
      <c r="H149" s="5"/>
      <c r="I149" s="5"/>
      <c r="J149" s="5"/>
      <c r="K149" s="5"/>
      <c r="L149" s="5"/>
      <c r="M149" s="5"/>
      <c r="N149" s="5"/>
      <c r="O149" s="5"/>
      <c r="P149" s="5"/>
    </row>
    <row r="150" spans="4:16" x14ac:dyDescent="0.25">
      <c r="D150" s="5"/>
      <c r="E150" s="5"/>
      <c r="F150" s="5"/>
      <c r="G150" s="70"/>
      <c r="H150" s="5"/>
      <c r="I150" s="5"/>
      <c r="J150" s="5"/>
      <c r="K150" s="5"/>
      <c r="L150" s="5"/>
      <c r="M150" s="5"/>
      <c r="N150" s="5"/>
      <c r="O150" s="5"/>
      <c r="P150" s="5"/>
    </row>
    <row r="151" spans="4:16" x14ac:dyDescent="0.25">
      <c r="D151" s="5"/>
      <c r="E151" s="5"/>
      <c r="F151" s="5"/>
      <c r="G151" s="70"/>
      <c r="H151" s="5"/>
      <c r="I151" s="5"/>
      <c r="J151" s="5"/>
      <c r="K151" s="5"/>
      <c r="L151" s="5"/>
      <c r="M151" s="5"/>
      <c r="N151" s="5"/>
      <c r="O151" s="5"/>
      <c r="P151" s="5"/>
    </row>
    <row r="152" spans="4:16" x14ac:dyDescent="0.25">
      <c r="D152" s="5"/>
      <c r="E152" s="5"/>
      <c r="F152" s="5"/>
      <c r="G152" s="70"/>
      <c r="H152" s="5"/>
      <c r="I152" s="5"/>
      <c r="J152" s="5"/>
      <c r="K152" s="5"/>
      <c r="L152" s="5"/>
      <c r="M152" s="5"/>
      <c r="N152" s="5"/>
      <c r="O152" s="5"/>
      <c r="P152" s="5"/>
    </row>
    <row r="153" spans="4:16" x14ac:dyDescent="0.25">
      <c r="D153" s="5"/>
      <c r="E153" s="5"/>
      <c r="F153" s="5"/>
      <c r="G153" s="70"/>
      <c r="H153" s="5"/>
      <c r="I153" s="5"/>
      <c r="J153" s="5"/>
      <c r="K153" s="5"/>
      <c r="L153" s="5"/>
      <c r="M153" s="5"/>
      <c r="N153" s="5"/>
      <c r="O153" s="5"/>
      <c r="P153" s="5"/>
    </row>
    <row r="154" spans="4:16" x14ac:dyDescent="0.25">
      <c r="D154" s="5"/>
      <c r="E154" s="5"/>
      <c r="F154" s="5"/>
      <c r="G154" s="70"/>
      <c r="H154" s="5"/>
      <c r="I154" s="5"/>
      <c r="J154" s="5"/>
      <c r="K154" s="5"/>
      <c r="L154" s="5"/>
      <c r="M154" s="5"/>
      <c r="N154" s="5"/>
      <c r="O154" s="5"/>
      <c r="P154" s="5"/>
    </row>
    <row r="155" spans="4:16" x14ac:dyDescent="0.25">
      <c r="D155" s="5"/>
      <c r="E155" s="5"/>
      <c r="F155" s="5"/>
      <c r="G155" s="70"/>
      <c r="H155" s="5"/>
      <c r="I155" s="5"/>
      <c r="J155" s="5"/>
      <c r="K155" s="5"/>
      <c r="L155" s="5"/>
      <c r="M155" s="5"/>
      <c r="N155" s="5"/>
      <c r="O155" s="5"/>
      <c r="P155" s="5"/>
    </row>
    <row r="156" spans="4:16" x14ac:dyDescent="0.25">
      <c r="D156" s="5"/>
      <c r="E156" s="5"/>
      <c r="F156" s="5"/>
      <c r="G156" s="70"/>
      <c r="H156" s="5"/>
      <c r="I156" s="5"/>
      <c r="J156" s="5"/>
      <c r="K156" s="5"/>
      <c r="L156" s="5"/>
      <c r="M156" s="5"/>
      <c r="N156" s="5"/>
      <c r="O156" s="5"/>
      <c r="P156" s="5"/>
    </row>
    <row r="157" spans="4:16" x14ac:dyDescent="0.25">
      <c r="D157" s="5"/>
      <c r="E157" s="5"/>
      <c r="F157" s="5"/>
      <c r="G157" s="70"/>
      <c r="H157" s="5"/>
      <c r="I157" s="5"/>
      <c r="J157" s="5"/>
      <c r="K157" s="5"/>
      <c r="L157" s="5"/>
      <c r="M157" s="5"/>
      <c r="N157" s="5"/>
      <c r="O157" s="5"/>
      <c r="P157" s="5"/>
    </row>
    <row r="158" spans="4:16" x14ac:dyDescent="0.25">
      <c r="D158" s="5"/>
      <c r="E158" s="5"/>
      <c r="F158" s="5"/>
      <c r="G158" s="70"/>
      <c r="H158" s="5"/>
      <c r="I158" s="5"/>
      <c r="J158" s="5"/>
      <c r="K158" s="5"/>
      <c r="L158" s="5"/>
      <c r="M158" s="5"/>
      <c r="N158" s="5"/>
      <c r="O158" s="5"/>
      <c r="P158" s="5"/>
    </row>
    <row r="159" spans="4:16" x14ac:dyDescent="0.25">
      <c r="D159" s="5"/>
      <c r="E159" s="5"/>
      <c r="F159" s="5"/>
      <c r="G159" s="70"/>
      <c r="H159" s="5"/>
      <c r="I159" s="5"/>
      <c r="J159" s="5"/>
      <c r="K159" s="5"/>
      <c r="L159" s="5"/>
      <c r="M159" s="5"/>
      <c r="N159" s="5"/>
      <c r="O159" s="5"/>
      <c r="P159" s="5"/>
    </row>
    <row r="160" spans="4:16" x14ac:dyDescent="0.25">
      <c r="D160" s="5"/>
      <c r="E160" s="5"/>
      <c r="F160" s="5"/>
      <c r="G160" s="70"/>
      <c r="H160" s="5"/>
      <c r="I160" s="5"/>
      <c r="J160" s="5"/>
      <c r="K160" s="5"/>
      <c r="L160" s="5"/>
      <c r="M160" s="5"/>
      <c r="N160" s="5"/>
      <c r="O160" s="5"/>
      <c r="P160" s="5"/>
    </row>
    <row r="161" spans="4:16" x14ac:dyDescent="0.25">
      <c r="D161" s="5"/>
      <c r="E161" s="5"/>
      <c r="F161" s="5"/>
      <c r="G161" s="70"/>
      <c r="H161" s="5"/>
      <c r="I161" s="5"/>
      <c r="J161" s="5"/>
      <c r="K161" s="5"/>
      <c r="L161" s="5"/>
      <c r="M161" s="5"/>
      <c r="N161" s="5"/>
      <c r="O161" s="5"/>
      <c r="P161" s="5"/>
    </row>
    <row r="162" spans="4:16" x14ac:dyDescent="0.25">
      <c r="D162" s="5"/>
      <c r="E162" s="5"/>
      <c r="F162" s="5"/>
      <c r="G162" s="70"/>
      <c r="H162" s="5"/>
      <c r="I162" s="5"/>
      <c r="J162" s="5"/>
      <c r="K162" s="5"/>
      <c r="L162" s="5"/>
      <c r="M162" s="5"/>
      <c r="N162" s="5"/>
      <c r="O162" s="5"/>
      <c r="P162" s="5"/>
    </row>
    <row r="163" spans="4:16" x14ac:dyDescent="0.25">
      <c r="D163" s="5"/>
      <c r="E163" s="5"/>
      <c r="F163" s="5"/>
      <c r="G163" s="70"/>
      <c r="H163" s="5"/>
      <c r="I163" s="5"/>
      <c r="J163" s="5"/>
      <c r="K163" s="5"/>
      <c r="L163" s="5"/>
      <c r="M163" s="5"/>
      <c r="N163" s="5"/>
      <c r="O163" s="5"/>
      <c r="P163" s="5"/>
    </row>
    <row r="164" spans="4:16" x14ac:dyDescent="0.25">
      <c r="D164" s="5"/>
      <c r="E164" s="5"/>
      <c r="F164" s="5"/>
      <c r="G164" s="70"/>
      <c r="H164" s="5"/>
      <c r="I164" s="5"/>
      <c r="J164" s="5"/>
      <c r="K164" s="5"/>
      <c r="L164" s="5"/>
      <c r="M164" s="5"/>
      <c r="N164" s="5"/>
      <c r="O164" s="5"/>
      <c r="P164" s="5"/>
    </row>
    <row r="165" spans="4:16" x14ac:dyDescent="0.25">
      <c r="D165" s="5"/>
      <c r="E165" s="5"/>
      <c r="F165" s="5"/>
      <c r="G165" s="70"/>
      <c r="H165" s="5"/>
      <c r="I165" s="5"/>
      <c r="J165" s="5"/>
      <c r="K165" s="5"/>
      <c r="L165" s="5"/>
      <c r="M165" s="5"/>
      <c r="N165" s="5"/>
      <c r="O165" s="5"/>
      <c r="P165" s="5"/>
    </row>
    <row r="166" spans="4:16" x14ac:dyDescent="0.25">
      <c r="D166" s="5"/>
      <c r="E166" s="5"/>
      <c r="F166" s="5"/>
      <c r="G166" s="70"/>
      <c r="H166" s="5"/>
      <c r="I166" s="5"/>
      <c r="J166" s="5"/>
      <c r="K166" s="5"/>
      <c r="L166" s="5"/>
      <c r="M166" s="5"/>
      <c r="N166" s="5"/>
      <c r="O166" s="5"/>
      <c r="P166" s="5"/>
    </row>
    <row r="167" spans="4:16" x14ac:dyDescent="0.25">
      <c r="D167" s="5"/>
      <c r="E167" s="5"/>
      <c r="F167" s="5"/>
      <c r="G167" s="70"/>
      <c r="H167" s="5"/>
      <c r="I167" s="5"/>
      <c r="J167" s="5"/>
      <c r="K167" s="5"/>
      <c r="L167" s="5"/>
      <c r="M167" s="5"/>
      <c r="N167" s="5"/>
      <c r="O167" s="5"/>
      <c r="P167" s="5"/>
    </row>
    <row r="168" spans="4:16" x14ac:dyDescent="0.25">
      <c r="D168" s="5"/>
      <c r="E168" s="5"/>
      <c r="F168" s="5"/>
      <c r="G168" s="70"/>
      <c r="H168" s="5"/>
      <c r="I168" s="5"/>
      <c r="J168" s="5"/>
      <c r="K168" s="5"/>
      <c r="L168" s="5"/>
      <c r="M168" s="5"/>
      <c r="N168" s="5"/>
      <c r="O168" s="5"/>
      <c r="P168" s="5"/>
    </row>
    <row r="169" spans="4:16" x14ac:dyDescent="0.25">
      <c r="D169" s="5"/>
      <c r="E169" s="5"/>
      <c r="F169" s="5"/>
      <c r="G169" s="70"/>
      <c r="H169" s="5"/>
      <c r="I169" s="5"/>
      <c r="J169" s="5"/>
      <c r="K169" s="5"/>
      <c r="L169" s="5"/>
      <c r="M169" s="5"/>
      <c r="N169" s="5"/>
      <c r="O169" s="5"/>
      <c r="P169" s="5"/>
    </row>
    <row r="170" spans="4:16" x14ac:dyDescent="0.25">
      <c r="D170" s="5"/>
      <c r="E170" s="5"/>
      <c r="F170" s="5"/>
      <c r="G170" s="70"/>
      <c r="H170" s="5"/>
      <c r="I170" s="5"/>
      <c r="J170" s="5"/>
      <c r="K170" s="5"/>
      <c r="L170" s="5"/>
      <c r="M170" s="5"/>
      <c r="N170" s="5"/>
      <c r="O170" s="5"/>
      <c r="P170" s="5"/>
    </row>
    <row r="171" spans="4:16" x14ac:dyDescent="0.25">
      <c r="D171" s="5"/>
      <c r="E171" s="5"/>
      <c r="F171" s="5"/>
      <c r="G171" s="70"/>
      <c r="H171" s="5"/>
      <c r="I171" s="5"/>
      <c r="J171" s="5"/>
      <c r="K171" s="5"/>
      <c r="L171" s="5"/>
      <c r="M171" s="5"/>
      <c r="N171" s="5"/>
      <c r="O171" s="5"/>
      <c r="P171" s="5"/>
    </row>
    <row r="172" spans="4:16" x14ac:dyDescent="0.25">
      <c r="D172" s="5"/>
      <c r="E172" s="5"/>
      <c r="F172" s="5"/>
      <c r="G172" s="70"/>
      <c r="H172" s="5"/>
      <c r="I172" s="5"/>
      <c r="J172" s="5"/>
      <c r="K172" s="5"/>
      <c r="L172" s="5"/>
      <c r="M172" s="5"/>
      <c r="N172" s="5"/>
      <c r="O172" s="5"/>
      <c r="P172" s="5"/>
    </row>
    <row r="173" spans="4:16" x14ac:dyDescent="0.25">
      <c r="D173" s="5"/>
      <c r="E173" s="5"/>
      <c r="F173" s="5"/>
      <c r="G173" s="70"/>
      <c r="H173" s="5"/>
      <c r="I173" s="5"/>
      <c r="J173" s="5"/>
      <c r="K173" s="5"/>
      <c r="L173" s="5"/>
      <c r="M173" s="5"/>
      <c r="N173" s="5"/>
      <c r="O173" s="5"/>
      <c r="P173" s="5"/>
    </row>
    <row r="174" spans="4:16" x14ac:dyDescent="0.25">
      <c r="D174" s="5"/>
      <c r="E174" s="5"/>
      <c r="F174" s="5"/>
      <c r="G174" s="70"/>
      <c r="H174" s="5"/>
      <c r="I174" s="5"/>
      <c r="J174" s="5"/>
      <c r="K174" s="5"/>
      <c r="L174" s="5"/>
      <c r="M174" s="5"/>
      <c r="N174" s="5"/>
      <c r="O174" s="5"/>
      <c r="P174" s="5"/>
    </row>
    <row r="175" spans="4:16" x14ac:dyDescent="0.25">
      <c r="D175" s="5"/>
      <c r="E175" s="5"/>
      <c r="F175" s="5"/>
      <c r="G175" s="70"/>
      <c r="H175" s="5"/>
      <c r="I175" s="5"/>
      <c r="J175" s="5"/>
      <c r="K175" s="5"/>
      <c r="L175" s="5"/>
      <c r="M175" s="5"/>
      <c r="N175" s="5"/>
      <c r="O175" s="5"/>
      <c r="P175" s="5"/>
    </row>
    <row r="176" spans="4:16" x14ac:dyDescent="0.25">
      <c r="D176" s="5"/>
      <c r="E176" s="5"/>
      <c r="F176" s="5"/>
      <c r="G176" s="70"/>
      <c r="H176" s="5"/>
      <c r="I176" s="5"/>
      <c r="J176" s="5"/>
      <c r="K176" s="5"/>
      <c r="L176" s="5"/>
      <c r="M176" s="5"/>
      <c r="N176" s="5"/>
      <c r="O176" s="5"/>
      <c r="P176" s="5"/>
    </row>
    <row r="177" spans="4:16" x14ac:dyDescent="0.25">
      <c r="D177" s="5"/>
      <c r="E177" s="5"/>
      <c r="F177" s="5"/>
      <c r="G177" s="70"/>
      <c r="H177" s="5"/>
      <c r="I177" s="5"/>
      <c r="J177" s="5"/>
      <c r="K177" s="5"/>
      <c r="L177" s="5"/>
      <c r="M177" s="5"/>
      <c r="N177" s="5"/>
      <c r="O177" s="5"/>
      <c r="P177" s="5"/>
    </row>
    <row r="178" spans="4:16" x14ac:dyDescent="0.25">
      <c r="D178" s="5"/>
      <c r="E178" s="5"/>
      <c r="F178" s="5"/>
      <c r="G178" s="70"/>
      <c r="H178" s="5"/>
      <c r="I178" s="5"/>
      <c r="J178" s="5"/>
      <c r="K178" s="5"/>
      <c r="L178" s="5"/>
      <c r="M178" s="5"/>
      <c r="N178" s="5"/>
      <c r="O178" s="5"/>
      <c r="P178" s="5"/>
    </row>
    <row r="179" spans="4:16" x14ac:dyDescent="0.25">
      <c r="D179" s="5"/>
      <c r="E179" s="5"/>
      <c r="F179" s="5"/>
      <c r="G179" s="70"/>
      <c r="H179" s="5"/>
      <c r="I179" s="5"/>
      <c r="J179" s="5"/>
      <c r="K179" s="5"/>
      <c r="L179" s="5"/>
      <c r="M179" s="5"/>
      <c r="N179" s="5"/>
      <c r="O179" s="5"/>
      <c r="P179" s="5"/>
    </row>
    <row r="180" spans="4:16" x14ac:dyDescent="0.25">
      <c r="D180" s="5"/>
      <c r="E180" s="5"/>
      <c r="F180" s="5"/>
      <c r="G180" s="70"/>
      <c r="H180" s="5"/>
      <c r="I180" s="5"/>
      <c r="J180" s="5"/>
      <c r="K180" s="5"/>
      <c r="L180" s="5"/>
      <c r="M180" s="5"/>
      <c r="N180" s="5"/>
      <c r="O180" s="5"/>
      <c r="P180" s="5"/>
    </row>
    <row r="181" spans="4:16" x14ac:dyDescent="0.25">
      <c r="D181" s="5"/>
      <c r="E181" s="5"/>
      <c r="F181" s="5"/>
      <c r="G181" s="70"/>
      <c r="H181" s="5"/>
      <c r="I181" s="5"/>
      <c r="J181" s="5"/>
      <c r="K181" s="5"/>
      <c r="L181" s="5"/>
      <c r="M181" s="5"/>
      <c r="N181" s="5"/>
      <c r="O181" s="5"/>
      <c r="P181" s="5"/>
    </row>
    <row r="182" spans="4:16" x14ac:dyDescent="0.25">
      <c r="D182" s="5"/>
      <c r="E182" s="5"/>
      <c r="F182" s="5"/>
      <c r="G182" s="70"/>
      <c r="H182" s="5"/>
      <c r="I182" s="5"/>
      <c r="J182" s="5"/>
      <c r="K182" s="5"/>
      <c r="L182" s="5"/>
      <c r="M182" s="5"/>
      <c r="N182" s="5"/>
      <c r="O182" s="5"/>
      <c r="P182" s="5"/>
    </row>
    <row r="183" spans="4:16" x14ac:dyDescent="0.25">
      <c r="D183" s="5"/>
      <c r="E183" s="5"/>
      <c r="F183" s="5"/>
      <c r="G183" s="70"/>
      <c r="H183" s="5"/>
      <c r="I183" s="5"/>
      <c r="J183" s="5"/>
      <c r="K183" s="5"/>
      <c r="L183" s="5"/>
      <c r="M183" s="5"/>
      <c r="N183" s="5"/>
      <c r="O183" s="5"/>
      <c r="P183" s="5"/>
    </row>
    <row r="184" spans="4:16" x14ac:dyDescent="0.25">
      <c r="D184" s="5"/>
      <c r="E184" s="5"/>
      <c r="F184" s="5"/>
      <c r="G184" s="70"/>
      <c r="H184" s="5"/>
      <c r="I184" s="5"/>
      <c r="J184" s="5"/>
      <c r="K184" s="5"/>
      <c r="L184" s="5"/>
      <c r="M184" s="5"/>
      <c r="N184" s="5"/>
      <c r="O184" s="5"/>
      <c r="P184" s="5"/>
    </row>
    <row r="185" spans="4:16" x14ac:dyDescent="0.25">
      <c r="D185" s="5"/>
      <c r="E185" s="5"/>
      <c r="F185" s="5"/>
      <c r="G185" s="70"/>
      <c r="H185" s="5"/>
      <c r="I185" s="5"/>
      <c r="J185" s="5"/>
      <c r="K185" s="5"/>
      <c r="L185" s="5"/>
      <c r="M185" s="5"/>
      <c r="N185" s="5"/>
      <c r="O185" s="5"/>
      <c r="P185" s="5"/>
    </row>
    <row r="186" spans="4:16" x14ac:dyDescent="0.25">
      <c r="D186" s="5"/>
      <c r="E186" s="5"/>
      <c r="F186" s="5"/>
      <c r="G186" s="70"/>
      <c r="H186" s="5"/>
      <c r="I186" s="5"/>
      <c r="J186" s="5"/>
      <c r="K186" s="5"/>
      <c r="L186" s="5"/>
      <c r="M186" s="5"/>
      <c r="N186" s="5"/>
      <c r="O186" s="5"/>
      <c r="P186" s="5"/>
    </row>
    <row r="187" spans="4:16" x14ac:dyDescent="0.25">
      <c r="D187" s="5"/>
      <c r="E187" s="5"/>
      <c r="F187" s="5"/>
      <c r="G187" s="70"/>
      <c r="H187" s="5"/>
      <c r="I187" s="5"/>
      <c r="J187" s="5"/>
      <c r="K187" s="5"/>
      <c r="L187" s="5"/>
      <c r="M187" s="5"/>
      <c r="N187" s="5"/>
      <c r="O187" s="5"/>
      <c r="P187" s="5"/>
    </row>
    <row r="188" spans="4:16" x14ac:dyDescent="0.25">
      <c r="D188" s="5"/>
      <c r="E188" s="5"/>
      <c r="F188" s="5"/>
      <c r="G188" s="70"/>
      <c r="H188" s="5"/>
      <c r="I188" s="5"/>
      <c r="J188" s="5"/>
      <c r="K188" s="5"/>
      <c r="L188" s="5"/>
      <c r="M188" s="5"/>
      <c r="N188" s="5"/>
      <c r="O188" s="5"/>
      <c r="P188" s="5"/>
    </row>
    <row r="189" spans="4:16" x14ac:dyDescent="0.25">
      <c r="D189" s="5"/>
      <c r="E189" s="5"/>
      <c r="F189" s="5"/>
      <c r="G189" s="70"/>
      <c r="H189" s="5"/>
      <c r="I189" s="5"/>
      <c r="J189" s="5"/>
      <c r="K189" s="5"/>
      <c r="L189" s="5"/>
      <c r="M189" s="5"/>
      <c r="N189" s="5"/>
      <c r="O189" s="5"/>
      <c r="P189" s="5"/>
    </row>
    <row r="190" spans="4:16" x14ac:dyDescent="0.25">
      <c r="D190" s="5"/>
      <c r="E190" s="5"/>
      <c r="F190" s="5"/>
      <c r="G190" s="70"/>
      <c r="H190" s="5"/>
      <c r="I190" s="5"/>
      <c r="J190" s="5"/>
      <c r="K190" s="5"/>
      <c r="L190" s="5"/>
      <c r="M190" s="5"/>
      <c r="N190" s="5"/>
      <c r="O190" s="5"/>
      <c r="P190" s="5"/>
    </row>
    <row r="191" spans="4:16" x14ac:dyDescent="0.25">
      <c r="D191" s="5"/>
      <c r="E191" s="5"/>
      <c r="F191" s="5"/>
      <c r="G191" s="70"/>
      <c r="H191" s="5"/>
      <c r="I191" s="5"/>
      <c r="J191" s="5"/>
      <c r="K191" s="5"/>
      <c r="L191" s="5"/>
      <c r="M191" s="5"/>
      <c r="N191" s="5"/>
      <c r="O191" s="5"/>
      <c r="P191" s="5"/>
    </row>
    <row r="192" spans="4:16" x14ac:dyDescent="0.25">
      <c r="D192" s="5"/>
      <c r="E192" s="5"/>
      <c r="F192" s="5"/>
      <c r="G192" s="70"/>
      <c r="H192" s="5"/>
      <c r="I192" s="5"/>
      <c r="J192" s="5"/>
      <c r="K192" s="5"/>
      <c r="L192" s="5"/>
      <c r="M192" s="5"/>
      <c r="N192" s="5"/>
      <c r="O192" s="5"/>
      <c r="P192" s="5"/>
    </row>
    <row r="193" spans="4:16" x14ac:dyDescent="0.25">
      <c r="D193" s="5"/>
      <c r="E193" s="5"/>
      <c r="F193" s="5"/>
      <c r="G193" s="70"/>
      <c r="H193" s="5"/>
      <c r="I193" s="5"/>
      <c r="J193" s="5"/>
      <c r="K193" s="5"/>
      <c r="L193" s="5"/>
      <c r="M193" s="5"/>
      <c r="N193" s="5"/>
      <c r="O193" s="5"/>
      <c r="P193" s="5"/>
    </row>
    <row r="194" spans="4:16" x14ac:dyDescent="0.25">
      <c r="D194" s="5"/>
      <c r="E194" s="5"/>
      <c r="F194" s="5"/>
      <c r="G194" s="70"/>
      <c r="H194" s="5"/>
      <c r="I194" s="5"/>
      <c r="J194" s="5"/>
      <c r="K194" s="5"/>
      <c r="L194" s="5"/>
      <c r="M194" s="5"/>
      <c r="N194" s="5"/>
      <c r="O194" s="5"/>
      <c r="P194" s="5"/>
    </row>
    <row r="195" spans="4:16" x14ac:dyDescent="0.25">
      <c r="D195" s="5"/>
      <c r="E195" s="5"/>
      <c r="F195" s="5"/>
      <c r="G195" s="70"/>
      <c r="H195" s="5"/>
      <c r="I195" s="5"/>
      <c r="J195" s="5"/>
      <c r="K195" s="5"/>
      <c r="L195" s="5"/>
      <c r="M195" s="5"/>
      <c r="N195" s="5"/>
      <c r="O195" s="5"/>
      <c r="P195" s="5"/>
    </row>
    <row r="196" spans="4:16" x14ac:dyDescent="0.25">
      <c r="D196" s="5"/>
      <c r="E196" s="5"/>
      <c r="F196" s="5"/>
      <c r="G196" s="70"/>
      <c r="H196" s="5"/>
      <c r="I196" s="5"/>
      <c r="J196" s="5"/>
      <c r="K196" s="5"/>
      <c r="L196" s="5"/>
      <c r="M196" s="5"/>
      <c r="N196" s="5"/>
      <c r="O196" s="5"/>
      <c r="P196" s="5"/>
    </row>
    <row r="197" spans="4:16" x14ac:dyDescent="0.25">
      <c r="D197" s="5"/>
      <c r="E197" s="5"/>
      <c r="F197" s="5"/>
      <c r="G197" s="70"/>
      <c r="H197" s="5"/>
      <c r="I197" s="5"/>
      <c r="J197" s="5"/>
      <c r="K197" s="5"/>
      <c r="L197" s="5"/>
      <c r="M197" s="5"/>
      <c r="N197" s="5"/>
      <c r="O197" s="5"/>
      <c r="P197" s="5"/>
    </row>
    <row r="198" spans="4:16" x14ac:dyDescent="0.25">
      <c r="D198" s="5"/>
      <c r="E198" s="5"/>
      <c r="F198" s="5"/>
      <c r="G198" s="70"/>
      <c r="H198" s="5"/>
      <c r="I198" s="5"/>
      <c r="J198" s="5"/>
      <c r="K198" s="5"/>
      <c r="L198" s="5"/>
      <c r="M198" s="5"/>
      <c r="N198" s="5"/>
      <c r="O198" s="5"/>
      <c r="P198" s="5"/>
    </row>
    <row r="199" spans="4:16" x14ac:dyDescent="0.25">
      <c r="D199" s="5"/>
      <c r="E199" s="5"/>
      <c r="F199" s="5"/>
      <c r="G199" s="70"/>
      <c r="H199" s="5"/>
      <c r="I199" s="5"/>
      <c r="J199" s="5"/>
      <c r="K199" s="5"/>
      <c r="L199" s="5"/>
      <c r="M199" s="5"/>
      <c r="N199" s="5"/>
      <c r="O199" s="5"/>
      <c r="P199" s="5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5"/>
  <sheetViews>
    <sheetView topLeftCell="A48" workbookViewId="0">
      <selection activeCell="K63" sqref="K63"/>
    </sheetView>
  </sheetViews>
  <sheetFormatPr defaultRowHeight="12.75" x14ac:dyDescent="0.2"/>
  <cols>
    <col min="2" max="2" width="15.85546875" bestFit="1" customWidth="1"/>
    <col min="6" max="6" width="20.28515625" bestFit="1" customWidth="1"/>
    <col min="7" max="7" width="9.7109375" bestFit="1" customWidth="1"/>
  </cols>
  <sheetData>
    <row r="3" spans="3:3" x14ac:dyDescent="0.2">
      <c r="C3">
        <v>9.9499999999999993</v>
      </c>
    </row>
    <row r="4" spans="3:3" x14ac:dyDescent="0.2">
      <c r="C4">
        <v>179.95</v>
      </c>
    </row>
    <row r="5" spans="3:3" x14ac:dyDescent="0.2">
      <c r="C5">
        <v>33</v>
      </c>
    </row>
    <row r="6" spans="3:3" x14ac:dyDescent="0.2">
      <c r="C6">
        <v>12.95</v>
      </c>
    </row>
    <row r="7" spans="3:3" x14ac:dyDescent="0.2">
      <c r="C7">
        <v>12.95</v>
      </c>
    </row>
    <row r="8" spans="3:3" x14ac:dyDescent="0.2">
      <c r="C8">
        <v>19.95</v>
      </c>
    </row>
    <row r="9" spans="3:3" x14ac:dyDescent="0.2">
      <c r="C9">
        <v>9.99</v>
      </c>
    </row>
    <row r="10" spans="3:3" x14ac:dyDescent="0.2">
      <c r="C10">
        <v>5.95</v>
      </c>
    </row>
    <row r="11" spans="3:3" x14ac:dyDescent="0.2">
      <c r="C11">
        <v>3.95</v>
      </c>
    </row>
    <row r="12" spans="3:3" x14ac:dyDescent="0.2">
      <c r="C12">
        <v>9.2899999999999991</v>
      </c>
    </row>
    <row r="13" spans="3:3" x14ac:dyDescent="0.2">
      <c r="C13">
        <v>5.99</v>
      </c>
    </row>
    <row r="14" spans="3:3" x14ac:dyDescent="0.2">
      <c r="C14">
        <v>10.95</v>
      </c>
    </row>
    <row r="15" spans="3:3" x14ac:dyDescent="0.2">
      <c r="C15">
        <v>59.95</v>
      </c>
    </row>
    <row r="16" spans="3:3" x14ac:dyDescent="0.2">
      <c r="C16">
        <v>4.99</v>
      </c>
    </row>
    <row r="17" spans="3:3" x14ac:dyDescent="0.2">
      <c r="C17">
        <v>6.59</v>
      </c>
    </row>
    <row r="18" spans="3:3" x14ac:dyDescent="0.2">
      <c r="C18">
        <v>8.99</v>
      </c>
    </row>
    <row r="19" spans="3:3" x14ac:dyDescent="0.2">
      <c r="C19">
        <v>29.95</v>
      </c>
    </row>
    <row r="20" spans="3:3" x14ac:dyDescent="0.2">
      <c r="C20">
        <v>26.95</v>
      </c>
    </row>
    <row r="21" spans="3:3" x14ac:dyDescent="0.2">
      <c r="C21">
        <v>11.95</v>
      </c>
    </row>
    <row r="22" spans="3:3" x14ac:dyDescent="0.2">
      <c r="C22">
        <v>21.95</v>
      </c>
    </row>
    <row r="23" spans="3:3" x14ac:dyDescent="0.2">
      <c r="C23">
        <v>189.95</v>
      </c>
    </row>
    <row r="24" spans="3:3" x14ac:dyDescent="0.2">
      <c r="C24">
        <v>4.6900000000000004</v>
      </c>
    </row>
    <row r="25" spans="3:3" x14ac:dyDescent="0.2">
      <c r="C25">
        <v>18.95</v>
      </c>
    </row>
    <row r="26" spans="3:3" x14ac:dyDescent="0.2">
      <c r="C26">
        <v>10.95</v>
      </c>
    </row>
    <row r="27" spans="3:3" x14ac:dyDescent="0.2">
      <c r="C27">
        <v>2.29</v>
      </c>
    </row>
    <row r="28" spans="3:3" x14ac:dyDescent="0.2">
      <c r="C28">
        <v>13.95</v>
      </c>
    </row>
    <row r="29" spans="3:3" x14ac:dyDescent="0.2">
      <c r="C29">
        <v>16.95</v>
      </c>
    </row>
    <row r="30" spans="3:3" x14ac:dyDescent="0.2">
      <c r="C30">
        <v>81.95</v>
      </c>
    </row>
    <row r="31" spans="3:3" x14ac:dyDescent="0.2">
      <c r="C31">
        <v>12.95</v>
      </c>
    </row>
    <row r="32" spans="3:3" x14ac:dyDescent="0.2">
      <c r="C32">
        <v>10.95</v>
      </c>
    </row>
    <row r="33" spans="3:3" x14ac:dyDescent="0.2">
      <c r="C33">
        <v>8.9499999999999993</v>
      </c>
    </row>
    <row r="34" spans="3:3" x14ac:dyDescent="0.2">
      <c r="C34">
        <v>6.19</v>
      </c>
    </row>
    <row r="35" spans="3:3" x14ac:dyDescent="0.2">
      <c r="C35">
        <v>43.95</v>
      </c>
    </row>
    <row r="36" spans="3:3" x14ac:dyDescent="0.2">
      <c r="C36">
        <v>72.989999999999995</v>
      </c>
    </row>
    <row r="37" spans="3:3" x14ac:dyDescent="0.2">
      <c r="C37">
        <v>3.19</v>
      </c>
    </row>
    <row r="38" spans="3:3" x14ac:dyDescent="0.2">
      <c r="C38">
        <v>48.99</v>
      </c>
    </row>
    <row r="39" spans="3:3" x14ac:dyDescent="0.2">
      <c r="C39">
        <v>98.99</v>
      </c>
    </row>
    <row r="40" spans="3:3" x14ac:dyDescent="0.2">
      <c r="C40">
        <v>11.59</v>
      </c>
    </row>
    <row r="41" spans="3:3" x14ac:dyDescent="0.2">
      <c r="C41">
        <v>21.95</v>
      </c>
    </row>
    <row r="42" spans="3:3" x14ac:dyDescent="0.2">
      <c r="C42">
        <v>1.19</v>
      </c>
    </row>
    <row r="43" spans="3:3" x14ac:dyDescent="0.2">
      <c r="C43">
        <v>19.95</v>
      </c>
    </row>
    <row r="44" spans="3:3" x14ac:dyDescent="0.2">
      <c r="C44">
        <v>16.95</v>
      </c>
    </row>
    <row r="45" spans="3:3" x14ac:dyDescent="0.2">
      <c r="C45">
        <v>9.9499999999999993</v>
      </c>
    </row>
    <row r="46" spans="3:3" x14ac:dyDescent="0.2">
      <c r="C46">
        <v>11.95</v>
      </c>
    </row>
    <row r="47" spans="3:3" x14ac:dyDescent="0.2">
      <c r="C47">
        <v>39.950000000000003</v>
      </c>
    </row>
    <row r="48" spans="3:3" x14ac:dyDescent="0.2">
      <c r="C48">
        <v>51.95</v>
      </c>
    </row>
    <row r="49" spans="3:7" x14ac:dyDescent="0.2">
      <c r="C49">
        <v>0.99</v>
      </c>
    </row>
    <row r="50" spans="3:7" x14ac:dyDescent="0.2">
      <c r="C50">
        <v>14.95</v>
      </c>
    </row>
    <row r="51" spans="3:7" x14ac:dyDescent="0.2">
      <c r="C51">
        <v>29.95</v>
      </c>
    </row>
    <row r="52" spans="3:7" x14ac:dyDescent="0.2">
      <c r="C52">
        <v>1.19</v>
      </c>
    </row>
    <row r="53" spans="3:7" x14ac:dyDescent="0.2">
      <c r="C53">
        <v>16.989999999999998</v>
      </c>
      <c r="F53" t="s">
        <v>46</v>
      </c>
      <c r="G53" s="18">
        <f>200000/C75</f>
        <v>6927.0399892245987</v>
      </c>
    </row>
    <row r="54" spans="3:7" x14ac:dyDescent="0.2">
      <c r="C54">
        <v>13.95</v>
      </c>
    </row>
    <row r="55" spans="3:7" x14ac:dyDescent="0.2">
      <c r="C55">
        <v>19.95</v>
      </c>
    </row>
    <row r="56" spans="3:7" x14ac:dyDescent="0.2">
      <c r="C56">
        <v>4.93</v>
      </c>
    </row>
    <row r="57" spans="3:7" x14ac:dyDescent="0.2">
      <c r="C57">
        <v>1.99</v>
      </c>
    </row>
    <row r="58" spans="3:7" x14ac:dyDescent="0.2">
      <c r="C58">
        <v>59.95</v>
      </c>
    </row>
    <row r="59" spans="3:7" x14ac:dyDescent="0.2">
      <c r="C59">
        <v>17.95</v>
      </c>
    </row>
    <row r="60" spans="3:7" x14ac:dyDescent="0.2">
      <c r="C60">
        <v>6.99</v>
      </c>
    </row>
    <row r="61" spans="3:7" x14ac:dyDescent="0.2">
      <c r="C61">
        <v>72.95</v>
      </c>
      <c r="F61" t="s">
        <v>45</v>
      </c>
      <c r="G61" s="17">
        <f>25000/12</f>
        <v>2083.3333333333335</v>
      </c>
    </row>
    <row r="62" spans="3:7" x14ac:dyDescent="0.2">
      <c r="C62">
        <v>22.95</v>
      </c>
    </row>
    <row r="63" spans="3:7" x14ac:dyDescent="0.2">
      <c r="C63">
        <v>3.19</v>
      </c>
    </row>
    <row r="64" spans="3:7" x14ac:dyDescent="0.2">
      <c r="C64">
        <v>29.95</v>
      </c>
    </row>
    <row r="65" spans="2:3" x14ac:dyDescent="0.2">
      <c r="C65">
        <v>2.89</v>
      </c>
    </row>
    <row r="66" spans="2:3" x14ac:dyDescent="0.2">
      <c r="C66">
        <v>44.95</v>
      </c>
    </row>
    <row r="67" spans="2:3" x14ac:dyDescent="0.2">
      <c r="C67">
        <v>29.95</v>
      </c>
    </row>
    <row r="68" spans="2:3" x14ac:dyDescent="0.2">
      <c r="C68">
        <v>16.95</v>
      </c>
    </row>
    <row r="69" spans="2:3" x14ac:dyDescent="0.2">
      <c r="C69">
        <v>13.95</v>
      </c>
    </row>
    <row r="70" spans="2:3" x14ac:dyDescent="0.2">
      <c r="C70">
        <v>159.97</v>
      </c>
    </row>
    <row r="71" spans="2:3" x14ac:dyDescent="0.2">
      <c r="C71">
        <v>76.95</v>
      </c>
    </row>
    <row r="72" spans="2:3" x14ac:dyDescent="0.2">
      <c r="C72">
        <v>21.99</v>
      </c>
    </row>
    <row r="73" spans="2:3" x14ac:dyDescent="0.2">
      <c r="C73">
        <v>10.95</v>
      </c>
    </row>
    <row r="74" spans="2:3" x14ac:dyDescent="0.2">
      <c r="C74">
        <v>62.99</v>
      </c>
    </row>
    <row r="75" spans="2:3" x14ac:dyDescent="0.2">
      <c r="B75" t="s">
        <v>44</v>
      </c>
      <c r="C75" s="17">
        <f>+AVERAGE(C3:C74)</f>
        <v>28.872361111111136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</vt:lpstr>
      <vt:lpstr>Mortgage</vt:lpstr>
      <vt:lpstr>Bankruptcy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2019-08-23T21:30:27Z</dcterms:created>
  <dcterms:modified xsi:type="dcterms:W3CDTF">2019-08-23T21:30:36Z</dcterms:modified>
</cp:coreProperties>
</file>