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755"/>
  </bookViews>
  <sheets>
    <sheet name="Consulting" sheetId="1" r:id="rId1"/>
    <sheet name="Mortgage" sheetId="2" r:id="rId2"/>
    <sheet name="Bankruptcy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9" i="3" l="1"/>
  <c r="H7" i="3" s="1"/>
  <c r="E86" i="3" l="1"/>
  <c r="F86" i="3"/>
  <c r="G86" i="3"/>
  <c r="H86" i="3"/>
  <c r="I86" i="3"/>
  <c r="D86" i="3"/>
  <c r="D89" i="3" s="1"/>
  <c r="M55" i="3"/>
  <c r="M54" i="3"/>
  <c r="N52" i="3"/>
  <c r="L50" i="3"/>
  <c r="M63" i="3" l="1"/>
  <c r="E67" i="3"/>
  <c r="F67" i="3" s="1"/>
  <c r="G67" i="3" s="1"/>
  <c r="H67" i="3" s="1"/>
  <c r="I67" i="3" s="1"/>
  <c r="J67" i="3" s="1"/>
  <c r="J65" i="3"/>
  <c r="I65" i="3"/>
  <c r="H65" i="3"/>
  <c r="G65" i="3"/>
  <c r="F65" i="3"/>
  <c r="E65" i="3"/>
  <c r="D76" i="3" s="1"/>
  <c r="D79" i="3" s="1"/>
  <c r="P64" i="3"/>
  <c r="F58" i="3"/>
  <c r="E47" i="3"/>
  <c r="J40" i="3"/>
  <c r="J78" i="3" s="1"/>
  <c r="I40" i="3"/>
  <c r="I78" i="3" s="1"/>
  <c r="H40" i="3"/>
  <c r="H78" i="3" s="1"/>
  <c r="G40" i="3"/>
  <c r="G78" i="3" s="1"/>
  <c r="F40" i="3"/>
  <c r="F78" i="3" s="1"/>
  <c r="E40" i="3"/>
  <c r="E78" i="3" s="1"/>
  <c r="J39" i="3"/>
  <c r="J88" i="3" s="1"/>
  <c r="I39" i="3"/>
  <c r="I88" i="3" s="1"/>
  <c r="I89" i="3" s="1"/>
  <c r="H39" i="3"/>
  <c r="H88" i="3" s="1"/>
  <c r="H89" i="3" s="1"/>
  <c r="G39" i="3"/>
  <c r="G88" i="3" s="1"/>
  <c r="G89" i="3" s="1"/>
  <c r="F39" i="3"/>
  <c r="F88" i="3" s="1"/>
  <c r="F89" i="3" s="1"/>
  <c r="E39" i="3"/>
  <c r="E88" i="3" s="1"/>
  <c r="E89" i="3" s="1"/>
  <c r="J38" i="3"/>
  <c r="I38" i="3"/>
  <c r="H38" i="3"/>
  <c r="G38" i="3"/>
  <c r="F38" i="3"/>
  <c r="E38" i="3"/>
  <c r="E56" i="3" s="1"/>
  <c r="I37" i="3"/>
  <c r="H37" i="3"/>
  <c r="G37" i="3"/>
  <c r="F37" i="3"/>
  <c r="E37" i="3"/>
  <c r="E53" i="3" s="1"/>
  <c r="E36" i="3"/>
  <c r="F36" i="3" s="1"/>
  <c r="G36" i="3" s="1"/>
  <c r="H36" i="3" s="1"/>
  <c r="I36" i="3" s="1"/>
  <c r="J36" i="3" s="1"/>
  <c r="E35" i="3"/>
  <c r="F35" i="3" s="1"/>
  <c r="G35" i="3" s="1"/>
  <c r="H35" i="3" s="1"/>
  <c r="I35" i="3" s="1"/>
  <c r="J35" i="3" s="1"/>
  <c r="E34" i="3"/>
  <c r="E29" i="3"/>
  <c r="F29" i="3" s="1"/>
  <c r="F32" i="3" s="1"/>
  <c r="E28" i="3"/>
  <c r="G36" i="1"/>
  <c r="H36" i="1" s="1"/>
  <c r="I36" i="1" s="1"/>
  <c r="J36" i="1" s="1"/>
  <c r="K36" i="1" s="1"/>
  <c r="L36" i="1" s="1"/>
  <c r="M36" i="1" s="1"/>
  <c r="N36" i="1" s="1"/>
  <c r="F36" i="1"/>
  <c r="F35" i="1"/>
  <c r="G35" i="1" s="1"/>
  <c r="H35" i="1" s="1"/>
  <c r="I35" i="1" s="1"/>
  <c r="J35" i="1" s="1"/>
  <c r="K35" i="1" s="1"/>
  <c r="L35" i="1" s="1"/>
  <c r="M35" i="1" s="1"/>
  <c r="N35" i="1" s="1"/>
  <c r="E35" i="1"/>
  <c r="F76" i="3" l="1"/>
  <c r="H76" i="3"/>
  <c r="F79" i="3"/>
  <c r="H79" i="3"/>
  <c r="E76" i="3"/>
  <c r="E79" i="3" s="1"/>
  <c r="G76" i="3"/>
  <c r="G79" i="3" s="1"/>
  <c r="J77" i="3"/>
  <c r="J79" i="3" s="1"/>
  <c r="I76" i="3"/>
  <c r="I79" i="3" s="1"/>
  <c r="M65" i="3"/>
  <c r="B34" i="3"/>
  <c r="F34" i="3" s="1"/>
  <c r="G29" i="3"/>
  <c r="H29" i="3" s="1"/>
  <c r="H32" i="3" s="1"/>
  <c r="F56" i="3"/>
  <c r="G56" i="3" s="1"/>
  <c r="H56" i="3" s="1"/>
  <c r="I56" i="3" s="1"/>
  <c r="J56" i="3" s="1"/>
  <c r="F28" i="3"/>
  <c r="E31" i="3"/>
  <c r="G32" i="3"/>
  <c r="E49" i="3"/>
  <c r="F53" i="3"/>
  <c r="G58" i="3"/>
  <c r="E32" i="3"/>
  <c r="F47" i="3"/>
  <c r="P65" i="3"/>
  <c r="F39" i="1"/>
  <c r="G39" i="1"/>
  <c r="H39" i="1"/>
  <c r="I39" i="1"/>
  <c r="J39" i="1"/>
  <c r="K39" i="1"/>
  <c r="L39" i="1"/>
  <c r="M39" i="1"/>
  <c r="N39" i="1"/>
  <c r="E39" i="1"/>
  <c r="G58" i="1"/>
  <c r="H58" i="1" s="1"/>
  <c r="F58" i="1"/>
  <c r="E103" i="1" s="1"/>
  <c r="H7" i="1"/>
  <c r="P64" i="1"/>
  <c r="D103" i="1"/>
  <c r="N101" i="1"/>
  <c r="P102" i="1"/>
  <c r="P101" i="1"/>
  <c r="N100" i="1"/>
  <c r="N97" i="1"/>
  <c r="P94" i="1"/>
  <c r="P98" i="1"/>
  <c r="P97" i="1"/>
  <c r="N96" i="1"/>
  <c r="N93" i="1"/>
  <c r="P93" i="1"/>
  <c r="N92" i="1"/>
  <c r="E99" i="1"/>
  <c r="F99" i="1"/>
  <c r="G99" i="1"/>
  <c r="H99" i="1"/>
  <c r="I99" i="1"/>
  <c r="J99" i="1"/>
  <c r="K99" i="1"/>
  <c r="L99" i="1"/>
  <c r="M99" i="1"/>
  <c r="N99" i="1"/>
  <c r="D99" i="1"/>
  <c r="E95" i="1"/>
  <c r="F95" i="1"/>
  <c r="G95" i="1"/>
  <c r="H95" i="1"/>
  <c r="I95" i="1"/>
  <c r="J95" i="1"/>
  <c r="K95" i="1"/>
  <c r="L95" i="1"/>
  <c r="M95" i="1"/>
  <c r="N95" i="1"/>
  <c r="D95" i="1"/>
  <c r="E91" i="1"/>
  <c r="F91" i="1"/>
  <c r="G91" i="1"/>
  <c r="H91" i="1"/>
  <c r="I91" i="1"/>
  <c r="J91" i="1"/>
  <c r="K91" i="1"/>
  <c r="L91" i="1"/>
  <c r="M91" i="1"/>
  <c r="N91" i="1"/>
  <c r="D91" i="1"/>
  <c r="E84" i="1"/>
  <c r="F84" i="1"/>
  <c r="G84" i="1"/>
  <c r="H84" i="1"/>
  <c r="I84" i="1"/>
  <c r="J84" i="1"/>
  <c r="K84" i="1"/>
  <c r="L84" i="1"/>
  <c r="M84" i="1"/>
  <c r="N84" i="1"/>
  <c r="E85" i="1"/>
  <c r="F85" i="1"/>
  <c r="G85" i="1"/>
  <c r="H85" i="1"/>
  <c r="I85" i="1"/>
  <c r="J85" i="1"/>
  <c r="K85" i="1"/>
  <c r="L85" i="1"/>
  <c r="M85" i="1"/>
  <c r="N85" i="1"/>
  <c r="D86" i="1"/>
  <c r="D85" i="1"/>
  <c r="D84" i="1"/>
  <c r="I29" i="3" l="1"/>
  <c r="I32" i="3" s="1"/>
  <c r="G34" i="3"/>
  <c r="D80" i="3"/>
  <c r="H34" i="3"/>
  <c r="G47" i="3"/>
  <c r="E62" i="3"/>
  <c r="E50" i="3"/>
  <c r="E41" i="3"/>
  <c r="E42" i="3" s="1"/>
  <c r="J29" i="3"/>
  <c r="H58" i="3"/>
  <c r="G53" i="3"/>
  <c r="I34" i="3"/>
  <c r="F49" i="3"/>
  <c r="F31" i="3"/>
  <c r="F41" i="3" s="1"/>
  <c r="F42" i="3" s="1"/>
  <c r="G28" i="3"/>
  <c r="I58" i="1"/>
  <c r="G103" i="1"/>
  <c r="F103" i="1"/>
  <c r="E67" i="1"/>
  <c r="F38" i="1"/>
  <c r="G38" i="1"/>
  <c r="H38" i="1"/>
  <c r="I38" i="1"/>
  <c r="J38" i="1"/>
  <c r="J77" i="1" s="1"/>
  <c r="K38" i="1"/>
  <c r="K77" i="1" s="1"/>
  <c r="L38" i="1"/>
  <c r="L77" i="1" s="1"/>
  <c r="M38" i="1"/>
  <c r="M77" i="1" s="1"/>
  <c r="N38" i="1"/>
  <c r="N77" i="1" s="1"/>
  <c r="E38" i="1"/>
  <c r="G37" i="1"/>
  <c r="G77" i="1" s="1"/>
  <c r="H37" i="1"/>
  <c r="H77" i="1" s="1"/>
  <c r="I37" i="1"/>
  <c r="F37" i="1"/>
  <c r="F77" i="1" s="1"/>
  <c r="I4" i="2"/>
  <c r="I6" i="2"/>
  <c r="B2" i="2" s="1"/>
  <c r="I1" i="2"/>
  <c r="I2" i="2" s="1"/>
  <c r="F63" i="3" l="1"/>
  <c r="E63" i="3"/>
  <c r="E60" i="3"/>
  <c r="E73" i="3" s="1"/>
  <c r="H47" i="3"/>
  <c r="H28" i="3"/>
  <c r="G49" i="3"/>
  <c r="G31" i="3"/>
  <c r="F62" i="3"/>
  <c r="F50" i="3"/>
  <c r="H53" i="3"/>
  <c r="I58" i="3"/>
  <c r="J32" i="3"/>
  <c r="J34" i="3"/>
  <c r="F67" i="1"/>
  <c r="G67" i="1" s="1"/>
  <c r="H67" i="1" s="1"/>
  <c r="I67" i="1" s="1"/>
  <c r="J67" i="1" s="1"/>
  <c r="K67" i="1" s="1"/>
  <c r="L67" i="1" s="1"/>
  <c r="M67" i="1" s="1"/>
  <c r="N67" i="1" s="1"/>
  <c r="P67" i="1"/>
  <c r="J58" i="1"/>
  <c r="H103" i="1"/>
  <c r="I77" i="1"/>
  <c r="I8" i="2"/>
  <c r="E138" i="2" s="1"/>
  <c r="D2" i="2"/>
  <c r="F44" i="3" l="1"/>
  <c r="J58" i="3"/>
  <c r="I53" i="3"/>
  <c r="F60" i="3"/>
  <c r="F73" i="3" s="1"/>
  <c r="G62" i="3"/>
  <c r="G50" i="3"/>
  <c r="G41" i="3"/>
  <c r="G42" i="3" s="1"/>
  <c r="H49" i="3"/>
  <c r="H31" i="3"/>
  <c r="H41" i="3" s="1"/>
  <c r="H42" i="3" s="1"/>
  <c r="I28" i="3"/>
  <c r="I47" i="3"/>
  <c r="E44" i="3"/>
  <c r="E68" i="3" s="1"/>
  <c r="K58" i="1"/>
  <c r="I103" i="1"/>
  <c r="E8" i="2"/>
  <c r="E13" i="2"/>
  <c r="E5" i="2"/>
  <c r="E27" i="2"/>
  <c r="E22" i="2"/>
  <c r="E40" i="2"/>
  <c r="E134" i="2"/>
  <c r="E117" i="2"/>
  <c r="E97" i="2"/>
  <c r="E78" i="2"/>
  <c r="E61" i="2"/>
  <c r="E111" i="2"/>
  <c r="E75" i="2"/>
  <c r="E118" i="2"/>
  <c r="E81" i="2"/>
  <c r="E62" i="2"/>
  <c r="E21" i="2"/>
  <c r="E25" i="2"/>
  <c r="E10" i="2"/>
  <c r="E35" i="2"/>
  <c r="E26" i="2"/>
  <c r="E46" i="2"/>
  <c r="E130" i="2"/>
  <c r="E110" i="2"/>
  <c r="E93" i="2"/>
  <c r="E74" i="2"/>
  <c r="E139" i="2"/>
  <c r="E103" i="2"/>
  <c r="E64" i="2"/>
  <c r="E109" i="2"/>
  <c r="E73" i="2"/>
  <c r="E45" i="2"/>
  <c r="E41" i="2"/>
  <c r="E16" i="2"/>
  <c r="E47" i="2"/>
  <c r="E32" i="2"/>
  <c r="E50" i="2"/>
  <c r="E125" i="2"/>
  <c r="E106" i="2"/>
  <c r="E89" i="2"/>
  <c r="E69" i="2"/>
  <c r="E131" i="2"/>
  <c r="E92" i="2"/>
  <c r="E137" i="2"/>
  <c r="E101" i="2"/>
  <c r="E6" i="2"/>
  <c r="E53" i="2"/>
  <c r="E19" i="2"/>
  <c r="E55" i="2"/>
  <c r="E36" i="2"/>
  <c r="E54" i="2"/>
  <c r="E121" i="2"/>
  <c r="E102" i="2"/>
  <c r="E82" i="2"/>
  <c r="E65" i="2"/>
  <c r="E120" i="2"/>
  <c r="E83" i="2"/>
  <c r="E129" i="2"/>
  <c r="E90" i="2"/>
  <c r="E3" i="2"/>
  <c r="E11" i="2"/>
  <c r="E37" i="2"/>
  <c r="E2" i="2"/>
  <c r="C2" i="2" s="1"/>
  <c r="E9" i="2"/>
  <c r="E17" i="2"/>
  <c r="E33" i="2"/>
  <c r="E49" i="2"/>
  <c r="E4" i="2"/>
  <c r="E7" i="2"/>
  <c r="E12" i="2"/>
  <c r="E18" i="2"/>
  <c r="E23" i="2"/>
  <c r="E31" i="2"/>
  <c r="E39" i="2"/>
  <c r="E51" i="2"/>
  <c r="E20" i="2"/>
  <c r="E24" i="2"/>
  <c r="E30" i="2"/>
  <c r="E34" i="2"/>
  <c r="E38" i="2"/>
  <c r="E44" i="2"/>
  <c r="E48" i="2"/>
  <c r="E52" i="2"/>
  <c r="E136" i="2"/>
  <c r="E132" i="2"/>
  <c r="E128" i="2"/>
  <c r="E123" i="2"/>
  <c r="E119" i="2"/>
  <c r="E115" i="2"/>
  <c r="E108" i="2"/>
  <c r="E104" i="2"/>
  <c r="E100" i="2"/>
  <c r="E95" i="2"/>
  <c r="E91" i="2"/>
  <c r="E87" i="2"/>
  <c r="E80" i="2"/>
  <c r="E76" i="2"/>
  <c r="E72" i="2"/>
  <c r="E67" i="2"/>
  <c r="E63" i="2"/>
  <c r="E59" i="2"/>
  <c r="E135" i="2"/>
  <c r="E124" i="2"/>
  <c r="E116" i="2"/>
  <c r="E107" i="2"/>
  <c r="E96" i="2"/>
  <c r="E88" i="2"/>
  <c r="E79" i="2"/>
  <c r="E68" i="2"/>
  <c r="E60" i="2"/>
  <c r="E133" i="2"/>
  <c r="E122" i="2"/>
  <c r="E114" i="2"/>
  <c r="E105" i="2"/>
  <c r="E94" i="2"/>
  <c r="E86" i="2"/>
  <c r="E77" i="2"/>
  <c r="E66" i="2"/>
  <c r="E58" i="2"/>
  <c r="G60" i="3" l="1"/>
  <c r="G73" i="3" s="1"/>
  <c r="F68" i="3"/>
  <c r="J28" i="3"/>
  <c r="I49" i="3"/>
  <c r="I31" i="3"/>
  <c r="I41" i="3" s="1"/>
  <c r="I42" i="3" s="1"/>
  <c r="H63" i="3"/>
  <c r="J53" i="3"/>
  <c r="E70" i="3"/>
  <c r="E72" i="3" s="1"/>
  <c r="J47" i="3"/>
  <c r="N47" i="3" s="1"/>
  <c r="H62" i="3"/>
  <c r="H50" i="3"/>
  <c r="G63" i="3"/>
  <c r="L58" i="1"/>
  <c r="J103" i="1"/>
  <c r="F2" i="2"/>
  <c r="B3" i="2" s="1"/>
  <c r="H44" i="3" l="1"/>
  <c r="I63" i="3"/>
  <c r="J49" i="3"/>
  <c r="N49" i="3" s="1"/>
  <c r="J31" i="3"/>
  <c r="J41" i="3" s="1"/>
  <c r="J42" i="3" s="1"/>
  <c r="H60" i="3"/>
  <c r="H73" i="3" s="1"/>
  <c r="G44" i="3"/>
  <c r="G68" i="3" s="1"/>
  <c r="I50" i="3"/>
  <c r="I62" i="3"/>
  <c r="F70" i="3"/>
  <c r="F72" i="3" s="1"/>
  <c r="M58" i="1"/>
  <c r="K103" i="1"/>
  <c r="D3" i="2"/>
  <c r="I44" i="3" l="1"/>
  <c r="H68" i="3"/>
  <c r="G70" i="3"/>
  <c r="G72" i="3" s="1"/>
  <c r="I60" i="3"/>
  <c r="I73" i="3" s="1"/>
  <c r="J63" i="3"/>
  <c r="J62" i="3"/>
  <c r="N62" i="3" s="1"/>
  <c r="J50" i="3"/>
  <c r="N50" i="3" s="1"/>
  <c r="N58" i="1"/>
  <c r="L103" i="1"/>
  <c r="C3" i="2"/>
  <c r="N63" i="3" l="1"/>
  <c r="N67" i="3" s="1"/>
  <c r="P67" i="3" s="1"/>
  <c r="M69" i="3"/>
  <c r="I68" i="3"/>
  <c r="H70" i="3"/>
  <c r="H72" i="3" s="1"/>
  <c r="J60" i="3"/>
  <c r="J73" i="3" s="1"/>
  <c r="J44" i="3"/>
  <c r="M103" i="1"/>
  <c r="N103" i="1"/>
  <c r="F3" i="2"/>
  <c r="B4" i="2" s="1"/>
  <c r="J87" i="3" l="1"/>
  <c r="J89" i="3" s="1"/>
  <c r="D90" i="3" s="1"/>
  <c r="M71" i="3"/>
  <c r="N70" i="3"/>
  <c r="J68" i="3"/>
  <c r="I70" i="3"/>
  <c r="I72" i="3" s="1"/>
  <c r="D4" i="2"/>
  <c r="J70" i="3" l="1"/>
  <c r="J72" i="3" s="1"/>
  <c r="C4" i="2"/>
  <c r="F4" i="2" l="1"/>
  <c r="B5" i="2" s="1"/>
  <c r="D5" i="2" l="1"/>
  <c r="C5" i="2" l="1"/>
  <c r="P68" i="3" l="1"/>
  <c r="F5" i="2"/>
  <c r="B6" i="2" s="1"/>
  <c r="P69" i="3" l="1"/>
  <c r="Q67" i="3" s="1"/>
  <c r="D6" i="2"/>
  <c r="C6" i="2" s="1"/>
  <c r="Q64" i="3" l="1"/>
  <c r="Q65" i="3"/>
  <c r="F6" i="2"/>
  <c r="B7" i="2" s="1"/>
  <c r="H3" i="3" l="1"/>
  <c r="H5" i="3" s="1"/>
  <c r="S64" i="3"/>
  <c r="T64" i="3" s="1"/>
  <c r="S65" i="3"/>
  <c r="T65" i="3" s="1"/>
  <c r="D7" i="2"/>
  <c r="C7" i="2" s="1"/>
  <c r="F7" i="2" s="1"/>
  <c r="B8" i="2" s="1"/>
  <c r="T66" i="3" l="1"/>
  <c r="D8" i="2"/>
  <c r="C8" i="2" s="1"/>
  <c r="F8" i="2" s="1"/>
  <c r="B9" i="2" s="1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E40" i="1" s="1"/>
  <c r="C14" i="2" l="1"/>
  <c r="F13" i="2"/>
  <c r="B16" i="2" l="1"/>
  <c r="D16" i="2" s="1"/>
  <c r="E65" i="1"/>
  <c r="C16" i="2" l="1"/>
  <c r="F16" i="2" l="1"/>
  <c r="B17" i="2" s="1"/>
  <c r="D17" i="2" l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F40" i="1" s="1"/>
  <c r="C28" i="2" l="1"/>
  <c r="F27" i="2"/>
  <c r="B30" i="2" l="1"/>
  <c r="D30" i="2" s="1"/>
  <c r="F65" i="1"/>
  <c r="C30" i="2" l="1"/>
  <c r="F30" i="2" l="1"/>
  <c r="B31" i="2" s="1"/>
  <c r="D31" i="2" l="1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G40" i="1" s="1"/>
  <c r="C42" i="2" l="1"/>
  <c r="F41" i="2"/>
  <c r="B44" i="2" l="1"/>
  <c r="D44" i="2" s="1"/>
  <c r="G65" i="1"/>
  <c r="C44" i="2" l="1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D48" i="2" l="1"/>
  <c r="C48" i="2" l="1"/>
  <c r="F48" i="2" l="1"/>
  <c r="B49" i="2" s="1"/>
  <c r="D49" i="2" l="1"/>
  <c r="C49" i="2" s="1"/>
  <c r="F49" i="2" s="1"/>
  <c r="B50" i="2" s="1"/>
  <c r="D50" i="2" l="1"/>
  <c r="C50" i="2" s="1"/>
  <c r="F50" i="2" s="1"/>
  <c r="B51" i="2" s="1"/>
  <c r="D51" i="2" l="1"/>
  <c r="C51" i="2" s="1"/>
  <c r="F51" i="2" s="1"/>
  <c r="B52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D56" i="2"/>
  <c r="H40" i="1" s="1"/>
  <c r="C56" i="2" l="1"/>
  <c r="F55" i="2"/>
  <c r="B58" i="2" l="1"/>
  <c r="D58" i="2" s="1"/>
  <c r="H65" i="1"/>
  <c r="E36" i="1"/>
  <c r="E34" i="1"/>
  <c r="C58" i="2" l="1"/>
  <c r="E56" i="1"/>
  <c r="F56" i="1" s="1"/>
  <c r="G56" i="1" s="1"/>
  <c r="H56" i="1" s="1"/>
  <c r="I56" i="1" s="1"/>
  <c r="J56" i="1" s="1"/>
  <c r="K56" i="1" s="1"/>
  <c r="L56" i="1" s="1"/>
  <c r="M56" i="1" s="1"/>
  <c r="N56" i="1" s="1"/>
  <c r="E37" i="1"/>
  <c r="E47" i="1"/>
  <c r="E29" i="1"/>
  <c r="E28" i="1"/>
  <c r="F47" i="1" l="1"/>
  <c r="E53" i="1"/>
  <c r="F53" i="1" s="1"/>
  <c r="G53" i="1" s="1"/>
  <c r="H53" i="1" s="1"/>
  <c r="I53" i="1" s="1"/>
  <c r="J53" i="1" s="1"/>
  <c r="K53" i="1" s="1"/>
  <c r="L53" i="1" s="1"/>
  <c r="M53" i="1" s="1"/>
  <c r="N53" i="1" s="1"/>
  <c r="E77" i="1"/>
  <c r="E49" i="1"/>
  <c r="E31" i="1"/>
  <c r="F28" i="1"/>
  <c r="G47" i="1"/>
  <c r="F29" i="1"/>
  <c r="E32" i="1"/>
  <c r="B34" i="1"/>
  <c r="F58" i="2"/>
  <c r="B59" i="2" s="1"/>
  <c r="E76" i="1" l="1"/>
  <c r="E78" i="1" s="1"/>
  <c r="E79" i="1" s="1"/>
  <c r="D89" i="1" s="1"/>
  <c r="E41" i="1"/>
  <c r="E42" i="1" s="1"/>
  <c r="F34" i="1"/>
  <c r="F32" i="1"/>
  <c r="G29" i="1"/>
  <c r="H47" i="1"/>
  <c r="F49" i="1"/>
  <c r="F31" i="1"/>
  <c r="F76" i="1" s="1"/>
  <c r="G28" i="1"/>
  <c r="D59" i="2"/>
  <c r="E62" i="1"/>
  <c r="D88" i="1" s="1"/>
  <c r="E50" i="1"/>
  <c r="E80" i="1" l="1"/>
  <c r="E60" i="1"/>
  <c r="D87" i="1"/>
  <c r="D105" i="1" s="1"/>
  <c r="E86" i="1"/>
  <c r="F78" i="1"/>
  <c r="F79" i="1" s="1"/>
  <c r="F41" i="1"/>
  <c r="F42" i="1" s="1"/>
  <c r="F63" i="1" s="1"/>
  <c r="I47" i="1"/>
  <c r="F50" i="1"/>
  <c r="E87" i="1" s="1"/>
  <c r="F62" i="1"/>
  <c r="E88" i="1" s="1"/>
  <c r="G49" i="1"/>
  <c r="H28" i="1"/>
  <c r="G31" i="1"/>
  <c r="G32" i="1"/>
  <c r="H29" i="1"/>
  <c r="G34" i="1"/>
  <c r="C59" i="2"/>
  <c r="E44" i="1"/>
  <c r="E68" i="1" s="1"/>
  <c r="E63" i="1"/>
  <c r="G76" i="1" l="1"/>
  <c r="G78" i="1" s="1"/>
  <c r="G79" i="1" s="1"/>
  <c r="F86" i="1"/>
  <c r="F60" i="1"/>
  <c r="F80" i="1"/>
  <c r="E89" i="1"/>
  <c r="E105" i="1" s="1"/>
  <c r="F44" i="1"/>
  <c r="F68" i="1" s="1"/>
  <c r="F70" i="1" s="1"/>
  <c r="G62" i="1"/>
  <c r="F88" i="1" s="1"/>
  <c r="G50" i="1"/>
  <c r="F87" i="1" s="1"/>
  <c r="G41" i="1"/>
  <c r="G42" i="1" s="1"/>
  <c r="G63" i="1" s="1"/>
  <c r="J47" i="1"/>
  <c r="I29" i="1"/>
  <c r="H32" i="1"/>
  <c r="H34" i="1"/>
  <c r="I28" i="1"/>
  <c r="H49" i="1"/>
  <c r="H31" i="1"/>
  <c r="F59" i="2"/>
  <c r="B60" i="2" s="1"/>
  <c r="E70" i="1"/>
  <c r="E72" i="1" s="1"/>
  <c r="F72" i="1" l="1"/>
  <c r="G80" i="1"/>
  <c r="F89" i="1"/>
  <c r="F105" i="1" s="1"/>
  <c r="G86" i="1"/>
  <c r="G60" i="1"/>
  <c r="H76" i="1"/>
  <c r="H78" i="1" s="1"/>
  <c r="H79" i="1" s="1"/>
  <c r="H41" i="1"/>
  <c r="H42" i="1" s="1"/>
  <c r="H63" i="1" s="1"/>
  <c r="G44" i="1"/>
  <c r="G68" i="1" s="1"/>
  <c r="G70" i="1" s="1"/>
  <c r="J28" i="1"/>
  <c r="I49" i="1"/>
  <c r="I31" i="1"/>
  <c r="H50" i="1"/>
  <c r="G87" i="1" s="1"/>
  <c r="H62" i="1"/>
  <c r="G88" i="1" s="1"/>
  <c r="J29" i="1"/>
  <c r="I32" i="1"/>
  <c r="I34" i="1"/>
  <c r="K47" i="1"/>
  <c r="D60" i="2"/>
  <c r="G72" i="1" l="1"/>
  <c r="H80" i="1"/>
  <c r="G89" i="1"/>
  <c r="G105" i="1" s="1"/>
  <c r="H86" i="1"/>
  <c r="H60" i="1"/>
  <c r="I76" i="1"/>
  <c r="I78" i="1" s="1"/>
  <c r="I79" i="1" s="1"/>
  <c r="H44" i="1"/>
  <c r="H68" i="1" s="1"/>
  <c r="L47" i="1"/>
  <c r="I62" i="1"/>
  <c r="H88" i="1" s="1"/>
  <c r="I50" i="1"/>
  <c r="H87" i="1" s="1"/>
  <c r="K29" i="1"/>
  <c r="J32" i="1"/>
  <c r="J34" i="1"/>
  <c r="K28" i="1"/>
  <c r="J49" i="1"/>
  <c r="J31" i="1"/>
  <c r="C60" i="2"/>
  <c r="J76" i="1" l="1"/>
  <c r="J78" i="1" s="1"/>
  <c r="J79" i="1" s="1"/>
  <c r="I80" i="1"/>
  <c r="H89" i="1"/>
  <c r="H105" i="1" s="1"/>
  <c r="I60" i="1"/>
  <c r="I86" i="1"/>
  <c r="H70" i="1"/>
  <c r="H72" i="1" s="1"/>
  <c r="L29" i="1"/>
  <c r="K32" i="1"/>
  <c r="K34" i="1"/>
  <c r="L28" i="1"/>
  <c r="K49" i="1"/>
  <c r="K31" i="1"/>
  <c r="J50" i="1"/>
  <c r="I87" i="1" s="1"/>
  <c r="J62" i="1"/>
  <c r="I88" i="1" s="1"/>
  <c r="M47" i="1"/>
  <c r="F60" i="2"/>
  <c r="B61" i="2" s="1"/>
  <c r="K76" i="1" l="1"/>
  <c r="K78" i="1" s="1"/>
  <c r="K79" i="1" s="1"/>
  <c r="J86" i="1"/>
  <c r="J60" i="1"/>
  <c r="J80" i="1"/>
  <c r="I89" i="1"/>
  <c r="I105" i="1" s="1"/>
  <c r="N47" i="1"/>
  <c r="M29" i="1"/>
  <c r="L32" i="1"/>
  <c r="L34" i="1"/>
  <c r="M28" i="1"/>
  <c r="L49" i="1"/>
  <c r="L31" i="1"/>
  <c r="K62" i="1"/>
  <c r="J88" i="1" s="1"/>
  <c r="K50" i="1"/>
  <c r="J87" i="1" s="1"/>
  <c r="D61" i="2"/>
  <c r="L76" i="1" l="1"/>
  <c r="L78" i="1" s="1"/>
  <c r="L79" i="1" s="1"/>
  <c r="K80" i="1"/>
  <c r="J89" i="1"/>
  <c r="J105" i="1" s="1"/>
  <c r="K60" i="1"/>
  <c r="K86" i="1"/>
  <c r="N29" i="1"/>
  <c r="M32" i="1"/>
  <c r="M34" i="1"/>
  <c r="N28" i="1"/>
  <c r="M49" i="1"/>
  <c r="M31" i="1"/>
  <c r="L50" i="1"/>
  <c r="K87" i="1" s="1"/>
  <c r="L62" i="1"/>
  <c r="K88" i="1" s="1"/>
  <c r="C61" i="2"/>
  <c r="L60" i="1" l="1"/>
  <c r="M76" i="1"/>
  <c r="M78" i="1" s="1"/>
  <c r="M79" i="1" s="1"/>
  <c r="L86" i="1"/>
  <c r="L80" i="1"/>
  <c r="K89" i="1"/>
  <c r="K105" i="1" s="1"/>
  <c r="N32" i="1"/>
  <c r="N34" i="1"/>
  <c r="N49" i="1"/>
  <c r="N31" i="1"/>
  <c r="M62" i="1"/>
  <c r="L88" i="1" s="1"/>
  <c r="M50" i="1"/>
  <c r="L87" i="1" s="1"/>
  <c r="F61" i="2"/>
  <c r="B62" i="2" s="1"/>
  <c r="M80" i="1" l="1"/>
  <c r="L89" i="1"/>
  <c r="L105" i="1" s="1"/>
  <c r="N86" i="1"/>
  <c r="M86" i="1"/>
  <c r="M60" i="1"/>
  <c r="N76" i="1"/>
  <c r="N78" i="1" s="1"/>
  <c r="N79" i="1" s="1"/>
  <c r="N50" i="1"/>
  <c r="N62" i="1"/>
  <c r="D62" i="2"/>
  <c r="N80" i="1" l="1"/>
  <c r="M89" i="1"/>
  <c r="N89" i="1"/>
  <c r="M87" i="1"/>
  <c r="M105" i="1" s="1"/>
  <c r="N87" i="1"/>
  <c r="N88" i="1"/>
  <c r="M88" i="1"/>
  <c r="N60" i="1"/>
  <c r="C62" i="2"/>
  <c r="N105" i="1" l="1"/>
  <c r="D110" i="1" s="1"/>
  <c r="F62" i="2"/>
  <c r="B63" i="2" s="1"/>
  <c r="D63" i="2" l="1"/>
  <c r="C63" i="2" s="1"/>
  <c r="F63" i="2" s="1"/>
  <c r="B64" i="2" s="1"/>
  <c r="D64" i="2" s="1"/>
  <c r="C64" i="2" s="1"/>
  <c r="F64" i="2" s="1"/>
  <c r="B65" i="2" s="1"/>
  <c r="D65" i="2" s="1"/>
  <c r="C65" i="2" s="1"/>
  <c r="F65" i="2" s="1"/>
  <c r="B66" i="2" s="1"/>
  <c r="D66" i="2" s="1"/>
  <c r="C66" i="2" s="1"/>
  <c r="F66" i="2" s="1"/>
  <c r="B67" i="2" s="1"/>
  <c r="D67" i="2" s="1"/>
  <c r="C67" i="2" s="1"/>
  <c r="F67" i="2" s="1"/>
  <c r="B68" i="2" s="1"/>
  <c r="D68" i="2" s="1"/>
  <c r="C68" i="2" s="1"/>
  <c r="F68" i="2" s="1"/>
  <c r="B69" i="2" s="1"/>
  <c r="D69" i="2" l="1"/>
  <c r="C69" i="2" l="1"/>
  <c r="D70" i="2"/>
  <c r="I40" i="1" s="1"/>
  <c r="I41" i="1" s="1"/>
  <c r="I42" i="1" l="1"/>
  <c r="I63" i="1" s="1"/>
  <c r="C70" i="2"/>
  <c r="F69" i="2"/>
  <c r="I44" i="1" l="1"/>
  <c r="I68" i="1" s="1"/>
  <c r="B72" i="2"/>
  <c r="D72" i="2" s="1"/>
  <c r="I65" i="1"/>
  <c r="I70" i="1" l="1"/>
  <c r="I72" i="1" s="1"/>
  <c r="C72" i="2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D77" i="2" s="1"/>
  <c r="C77" i="2" s="1"/>
  <c r="F77" i="2" s="1"/>
  <c r="B78" i="2" s="1"/>
  <c r="D78" i="2" s="1"/>
  <c r="C78" i="2" s="1"/>
  <c r="F78" i="2" s="1"/>
  <c r="B79" i="2" s="1"/>
  <c r="D79" i="2" s="1"/>
  <c r="C79" i="2" s="1"/>
  <c r="F79" i="2" s="1"/>
  <c r="B80" i="2" s="1"/>
  <c r="D80" i="2" s="1"/>
  <c r="C80" i="2" s="1"/>
  <c r="F80" i="2" s="1"/>
  <c r="B81" i="2" s="1"/>
  <c r="D81" i="2" s="1"/>
  <c r="C81" i="2" s="1"/>
  <c r="F81" i="2" s="1"/>
  <c r="B82" i="2" s="1"/>
  <c r="D82" i="2" s="1"/>
  <c r="C82" i="2" s="1"/>
  <c r="F82" i="2" s="1"/>
  <c r="B83" i="2" s="1"/>
  <c r="D83" i="2" l="1"/>
  <c r="C83" i="2" l="1"/>
  <c r="D84" i="2"/>
  <c r="J40" i="1" s="1"/>
  <c r="J41" i="1" s="1"/>
  <c r="J42" i="1" l="1"/>
  <c r="J63" i="1" s="1"/>
  <c r="C84" i="2"/>
  <c r="F83" i="2"/>
  <c r="B86" i="2" l="1"/>
  <c r="D86" i="2" s="1"/>
  <c r="J65" i="1"/>
  <c r="J44" i="1"/>
  <c r="J68" i="1" s="1"/>
  <c r="J70" i="1" l="1"/>
  <c r="J72" i="1" s="1"/>
  <c r="C86" i="2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l="1"/>
  <c r="C91" i="2" s="1"/>
  <c r="F91" i="2" s="1"/>
  <c r="B92" i="2" s="1"/>
  <c r="D92" i="2" s="1"/>
  <c r="C92" i="2" s="1"/>
  <c r="F92" i="2" s="1"/>
  <c r="B93" i="2" s="1"/>
  <c r="D93" i="2" s="1"/>
  <c r="C93" i="2" s="1"/>
  <c r="F93" i="2" s="1"/>
  <c r="B94" i="2" s="1"/>
  <c r="D94" i="2" s="1"/>
  <c r="C94" i="2" s="1"/>
  <c r="F94" i="2" s="1"/>
  <c r="B95" i="2" s="1"/>
  <c r="D95" i="2" s="1"/>
  <c r="C95" i="2" s="1"/>
  <c r="F95" i="2" s="1"/>
  <c r="B96" i="2" s="1"/>
  <c r="D96" i="2" s="1"/>
  <c r="C96" i="2" s="1"/>
  <c r="F96" i="2" s="1"/>
  <c r="B97" i="2" s="1"/>
  <c r="D97" i="2" l="1"/>
  <c r="C97" i="2" l="1"/>
  <c r="D98" i="2"/>
  <c r="K40" i="1" s="1"/>
  <c r="K41" i="1" s="1"/>
  <c r="K42" i="1" l="1"/>
  <c r="K63" i="1" s="1"/>
  <c r="C98" i="2"/>
  <c r="F97" i="2"/>
  <c r="K44" i="1" l="1"/>
  <c r="K68" i="1" s="1"/>
  <c r="B100" i="2"/>
  <c r="D100" i="2" s="1"/>
  <c r="K65" i="1"/>
  <c r="K70" i="1" l="1"/>
  <c r="K72" i="1" s="1"/>
  <c r="C100" i="2"/>
  <c r="F100" i="2" l="1"/>
  <c r="B101" i="2" s="1"/>
  <c r="D101" i="2" l="1"/>
  <c r="C101" i="2" l="1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l="1"/>
  <c r="C104" i="2" l="1"/>
  <c r="F104" i="2" l="1"/>
  <c r="B105" i="2" s="1"/>
  <c r="D105" i="2" l="1"/>
  <c r="C105" i="2" s="1"/>
  <c r="F105" i="2" s="1"/>
  <c r="B106" i="2" s="1"/>
  <c r="D106" i="2" s="1"/>
  <c r="C106" i="2" s="1"/>
  <c r="F106" i="2" s="1"/>
  <c r="B107" i="2" s="1"/>
  <c r="D107" i="2" s="1"/>
  <c r="C107" i="2" s="1"/>
  <c r="F107" i="2" s="1"/>
  <c r="B108" i="2" s="1"/>
  <c r="D108" i="2" s="1"/>
  <c r="C108" i="2" s="1"/>
  <c r="F108" i="2" s="1"/>
  <c r="B109" i="2" s="1"/>
  <c r="D109" i="2" s="1"/>
  <c r="C109" i="2" s="1"/>
  <c r="F109" i="2" s="1"/>
  <c r="B110" i="2" s="1"/>
  <c r="D110" i="2" s="1"/>
  <c r="C110" i="2" s="1"/>
  <c r="F110" i="2" s="1"/>
  <c r="B111" i="2" s="1"/>
  <c r="D111" i="2" l="1"/>
  <c r="C111" i="2" l="1"/>
  <c r="D112" i="2"/>
  <c r="L40" i="1" s="1"/>
  <c r="L41" i="1" s="1"/>
  <c r="L42" i="1" l="1"/>
  <c r="L63" i="1" s="1"/>
  <c r="C112" i="2"/>
  <c r="F111" i="2"/>
  <c r="L44" i="1" l="1"/>
  <c r="L68" i="1" s="1"/>
  <c r="B114" i="2"/>
  <c r="D114" i="2" s="1"/>
  <c r="L65" i="1"/>
  <c r="L70" i="1" l="1"/>
  <c r="L72" i="1" s="1"/>
  <c r="C114" i="2"/>
  <c r="F114" i="2" l="1"/>
  <c r="B115" i="2" s="1"/>
  <c r="D115" i="2" l="1"/>
  <c r="C115" i="2" l="1"/>
  <c r="F115" i="2" l="1"/>
  <c r="B116" i="2" s="1"/>
  <c r="D116" i="2" l="1"/>
  <c r="C116" i="2" l="1"/>
  <c r="F116" i="2" l="1"/>
  <c r="B117" i="2" s="1"/>
  <c r="D117" i="2" l="1"/>
  <c r="C117" i="2" l="1"/>
  <c r="F117" i="2" l="1"/>
  <c r="B118" i="2" s="1"/>
  <c r="D118" i="2" l="1"/>
  <c r="C118" i="2" l="1"/>
  <c r="F118" i="2" l="1"/>
  <c r="B119" i="2" s="1"/>
  <c r="D119" i="2" s="1"/>
  <c r="C119" i="2" s="1"/>
  <c r="F119" i="2" s="1"/>
  <c r="B120" i="2" s="1"/>
  <c r="D120" i="2" s="1"/>
  <c r="C120" i="2" s="1"/>
  <c r="F120" i="2" s="1"/>
  <c r="B121" i="2" s="1"/>
  <c r="D121" i="2" s="1"/>
  <c r="C121" i="2" s="1"/>
  <c r="F121" i="2" s="1"/>
  <c r="B122" i="2" s="1"/>
  <c r="D122" i="2" s="1"/>
  <c r="C122" i="2" s="1"/>
  <c r="F122" i="2" s="1"/>
  <c r="B123" i="2" s="1"/>
  <c r="D123" i="2" s="1"/>
  <c r="C123" i="2" s="1"/>
  <c r="F123" i="2" s="1"/>
  <c r="B124" i="2" s="1"/>
  <c r="D124" i="2" s="1"/>
  <c r="C124" i="2" s="1"/>
  <c r="F124" i="2" s="1"/>
  <c r="B125" i="2" s="1"/>
  <c r="D125" i="2" l="1"/>
  <c r="C125" i="2" l="1"/>
  <c r="D126" i="2"/>
  <c r="M40" i="1" s="1"/>
  <c r="M41" i="1" s="1"/>
  <c r="M42" i="1" l="1"/>
  <c r="M63" i="1" s="1"/>
  <c r="C126" i="2"/>
  <c r="F125" i="2"/>
  <c r="B128" i="2" l="1"/>
  <c r="D128" i="2" s="1"/>
  <c r="M65" i="1"/>
  <c r="M44" i="1"/>
  <c r="M68" i="1" s="1"/>
  <c r="M70" i="1" s="1"/>
  <c r="M72" i="1" s="1"/>
  <c r="C128" i="2" l="1"/>
  <c r="F128" i="2" l="1"/>
  <c r="B129" i="2" s="1"/>
  <c r="D129" i="2" l="1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l="1"/>
  <c r="C132" i="2" l="1"/>
  <c r="F132" i="2" l="1"/>
  <c r="B133" i="2" s="1"/>
  <c r="D133" i="2" s="1"/>
  <c r="C133" i="2" s="1"/>
  <c r="F133" i="2" s="1"/>
  <c r="B134" i="2" s="1"/>
  <c r="D134" i="2" s="1"/>
  <c r="C134" i="2" s="1"/>
  <c r="F134" i="2" s="1"/>
  <c r="B135" i="2" s="1"/>
  <c r="D135" i="2" s="1"/>
  <c r="C135" i="2" s="1"/>
  <c r="F135" i="2" s="1"/>
  <c r="B136" i="2" s="1"/>
  <c r="D136" i="2" s="1"/>
  <c r="C136" i="2" s="1"/>
  <c r="F136" i="2" s="1"/>
  <c r="B137" i="2" s="1"/>
  <c r="D137" i="2" s="1"/>
  <c r="C137" i="2" s="1"/>
  <c r="F137" i="2" s="1"/>
  <c r="B138" i="2" s="1"/>
  <c r="D138" i="2" s="1"/>
  <c r="C138" i="2" s="1"/>
  <c r="F138" i="2" s="1"/>
  <c r="B139" i="2" s="1"/>
  <c r="D139" i="2" l="1"/>
  <c r="C139" i="2" l="1"/>
  <c r="D140" i="2"/>
  <c r="N40" i="1" s="1"/>
  <c r="N41" i="1" s="1"/>
  <c r="N42" i="1" l="1"/>
  <c r="N63" i="1" s="1"/>
  <c r="C140" i="2"/>
  <c r="F139" i="2"/>
  <c r="N65" i="1" s="1"/>
  <c r="P65" i="1" s="1"/>
  <c r="N44" i="1" l="1"/>
  <c r="N68" i="1" s="1"/>
  <c r="N70" i="1" l="1"/>
  <c r="N72" i="1" s="1"/>
  <c r="P68" i="1"/>
  <c r="P69" i="1" l="1"/>
  <c r="Q64" i="1" l="1"/>
  <c r="Q65" i="1"/>
  <c r="Q67" i="1"/>
  <c r="S65" i="1" l="1"/>
  <c r="T65" i="1" s="1"/>
  <c r="S64" i="1"/>
  <c r="T64" i="1" s="1"/>
  <c r="H3" i="1"/>
  <c r="H5" i="1" s="1"/>
  <c r="T66" i="1" l="1"/>
  <c r="D109" i="1" s="1"/>
  <c r="H107" i="1" l="1"/>
  <c r="G107" i="1"/>
  <c r="M107" i="1"/>
  <c r="I107" i="1"/>
  <c r="N107" i="1"/>
  <c r="E107" i="1"/>
  <c r="J107" i="1"/>
  <c r="D107" i="1"/>
  <c r="F107" i="1"/>
  <c r="K107" i="1"/>
  <c r="L107" i="1"/>
  <c r="D108" i="1" l="1"/>
</calcChain>
</file>

<file path=xl/sharedStrings.xml><?xml version="1.0" encoding="utf-8"?>
<sst xmlns="http://schemas.openxmlformats.org/spreadsheetml/2006/main" count="248" uniqueCount="127">
  <si>
    <t>5-10%</t>
  </si>
  <si>
    <t>of US has gluten sensitivity</t>
  </si>
  <si>
    <t>population of knoxville, TN</t>
  </si>
  <si>
    <t>bakeries in close proximity</t>
  </si>
  <si>
    <t>population of Tennessee</t>
  </si>
  <si>
    <t>Local Services</t>
  </si>
  <si>
    <t>Web Services</t>
  </si>
  <si>
    <t>Revenue</t>
  </si>
  <si>
    <t>Web Sales</t>
  </si>
  <si>
    <t>Local Sales</t>
  </si>
  <si>
    <t>Salaries</t>
  </si>
  <si>
    <t>Insurance</t>
  </si>
  <si>
    <t>Taxable Income</t>
  </si>
  <si>
    <t>Taxes</t>
  </si>
  <si>
    <t>Net Income</t>
  </si>
  <si>
    <t>Income Statement</t>
  </si>
  <si>
    <t>Balance Sheet</t>
  </si>
  <si>
    <t>Cash</t>
  </si>
  <si>
    <t>Extra cash</t>
  </si>
  <si>
    <t>Accounts Receivable (online)</t>
  </si>
  <si>
    <t>Inventory</t>
  </si>
  <si>
    <t>Baking Equipment</t>
  </si>
  <si>
    <t>Total Assets</t>
  </si>
  <si>
    <t>Accounts Payable</t>
  </si>
  <si>
    <t>Taxes Payable</t>
  </si>
  <si>
    <t>estimate of people that buy online</t>
  </si>
  <si>
    <t>estimate of people that get gluten free stuff</t>
  </si>
  <si>
    <t>Cost of Goods Sold Online</t>
  </si>
  <si>
    <t>Cost of Goods Sold Local</t>
  </si>
  <si>
    <t>Average Price of top sellers online per month</t>
  </si>
  <si>
    <t>Average price for local buyers per week</t>
  </si>
  <si>
    <t>Utilities</t>
  </si>
  <si>
    <t>Building</t>
  </si>
  <si>
    <t>Interest Ex</t>
  </si>
  <si>
    <t>Extra Bank Loan</t>
  </si>
  <si>
    <t>Mortgage Payable</t>
  </si>
  <si>
    <t>Average Days in Inventory</t>
  </si>
  <si>
    <t>Days for collection online</t>
  </si>
  <si>
    <t>Days for payable COGS</t>
  </si>
  <si>
    <t>Depreciation Ex Equipment</t>
  </si>
  <si>
    <t>Depreciation Ex Building</t>
  </si>
  <si>
    <t>Stockholder's Equity</t>
  </si>
  <si>
    <t>Retained Earnings</t>
  </si>
  <si>
    <t>Total Liabilities &amp; Stockholder's Equity</t>
  </si>
  <si>
    <t>Mortgage Interest Ex</t>
  </si>
  <si>
    <t>DFN</t>
  </si>
  <si>
    <t>Costs</t>
  </si>
  <si>
    <t>Utilities per month</t>
  </si>
  <si>
    <t>Regular Employees</t>
  </si>
  <si>
    <t>Boss</t>
  </si>
  <si>
    <t>per hour</t>
  </si>
  <si>
    <t>hours a week</t>
  </si>
  <si>
    <t>Insurance each month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</si>
  <si>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</si>
  <si>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</si>
  <si>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</si>
  <si>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</si>
  <si>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</si>
  <si>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</si>
  <si>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</si>
  <si>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</si>
  <si>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</si>
  <si>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</si>
  <si>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</si>
  <si>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TOTALS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</si>
  <si>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</si>
  <si>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</si>
  <si>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</si>
  <si>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</si>
  <si>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</si>
  <si>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</si>
  <si>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</si>
  <si>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</si>
  <si>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</si>
  <si>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</si>
  <si>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Mortgage</t>
  </si>
  <si>
    <t>years</t>
  </si>
  <si>
    <t>Accumulated Dep (Equipment)</t>
  </si>
  <si>
    <t>Accumulated Dep (Building)</t>
  </si>
  <si>
    <t>yearly growth</t>
  </si>
  <si>
    <t>sales markup</t>
  </si>
  <si>
    <t>percent of sales</t>
  </si>
  <si>
    <t>Percent of sales</t>
  </si>
  <si>
    <t>tax rate</t>
  </si>
  <si>
    <t>minimum</t>
  </si>
  <si>
    <t>interest rate</t>
  </si>
  <si>
    <t>initial investment</t>
  </si>
  <si>
    <t>Land</t>
  </si>
  <si>
    <t>.4 acres</t>
  </si>
  <si>
    <t>Free Cash Flows</t>
  </si>
  <si>
    <t>cash from operations</t>
  </si>
  <si>
    <t>less: depreciation</t>
  </si>
  <si>
    <t>Taxable income</t>
  </si>
  <si>
    <t>Taxes on operations</t>
  </si>
  <si>
    <t>Free cash from operations</t>
  </si>
  <si>
    <t>working capital</t>
  </si>
  <si>
    <t>Fixed Assets</t>
  </si>
  <si>
    <t>Equipment</t>
  </si>
  <si>
    <t>Adjustment for sale</t>
  </si>
  <si>
    <t>Taxes on sale</t>
  </si>
  <si>
    <t>Book Value</t>
  </si>
  <si>
    <t>Gain</t>
  </si>
  <si>
    <t>Book value</t>
  </si>
  <si>
    <t>Goodwill</t>
  </si>
  <si>
    <t>Total Free Cash Flows</t>
  </si>
  <si>
    <t>PV of cash flows</t>
  </si>
  <si>
    <t xml:space="preserve">WACC </t>
  </si>
  <si>
    <t>IRR</t>
  </si>
  <si>
    <t>NPV</t>
  </si>
  <si>
    <t>unlevered beta</t>
  </si>
  <si>
    <t>levered beta</t>
  </si>
  <si>
    <t>CAPM</t>
  </si>
  <si>
    <t>10 yr T-bill</t>
  </si>
  <si>
    <t>10 yr S&amp;P return</t>
  </si>
  <si>
    <t>% Sale</t>
  </si>
  <si>
    <t>Secured</t>
  </si>
  <si>
    <t>Unsecured</t>
  </si>
  <si>
    <t>Total</t>
  </si>
  <si>
    <t>Extra</t>
  </si>
  <si>
    <t>Admin</t>
  </si>
  <si>
    <t>Mortgage on Buildings</t>
  </si>
  <si>
    <t>(-)</t>
  </si>
  <si>
    <t>Principal Loans (Balance Sheet)</t>
  </si>
  <si>
    <t>(+)</t>
  </si>
  <si>
    <t>Bankruptcy Payout</t>
  </si>
  <si>
    <t>Interest Paid (Income Statement)</t>
  </si>
  <si>
    <t>Stern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</si>
</sst>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\$* #,##0.00_);_(\$* \(#,##0.00\);_(\$* \-??_);_(@_)"/>
    <numFmt numFmtId="166" formatCode="[$$-409]#,##0.00;[Red]\-[$$-409]#,##0.00"/>
    <numFmt numFmtId="167" formatCode="0.00000000%"/>
    <numFmt numFmtId="168" formatCode="0.0%"/>
    <numFmt numFmtId="169" formatCode="_(\$* #,##0_);_(\$* \(#,##0\);_(\$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3" fillId="0" borderId="0"/>
    <xf numFmtId="0" fontId="3" fillId="0" borderId="0"/>
    <xf numFmtId="9" fontId="3" fillId="0" borderId="0"/>
  </cellStyleXfs>
  <cellXfs count="45">
    <xf numFmtId="0" fontId="0" fillId="0" borderId="0" xfId="0"/>
    <xf numFmtId="166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0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0" fontId="5" fillId="0" borderId="0" xfId="3" applyNumberFormat="1" applyFont="1"/>
    <xf numFmtId="9" fontId="5" fillId="0" borderId="0" xfId="0" applyNumberFormat="1" applyFont="1"/>
    <xf numFmtId="0" fontId="6" fillId="0" borderId="0" xfId="0" applyFont="1"/>
    <xf numFmtId="164" fontId="5" fillId="0" borderId="0" xfId="2" applyNumberFormat="1" applyFont="1"/>
    <xf numFmtId="43" fontId="5" fillId="0" borderId="0" xfId="1" applyFont="1"/>
    <xf numFmtId="168" fontId="5" fillId="0" borderId="0" xfId="0" applyNumberFormat="1" applyFont="1"/>
    <xf numFmtId="44" fontId="5" fillId="0" borderId="0" xfId="2" applyNumberFormat="1" applyFont="1"/>
    <xf numFmtId="164" fontId="5" fillId="0" borderId="0" xfId="0" applyNumberFormat="1" applyFont="1"/>
    <xf numFmtId="9" fontId="5" fillId="0" borderId="0" xfId="3" applyFont="1"/>
    <xf numFmtId="1" fontId="5" fillId="0" borderId="0" xfId="0" applyNumberFormat="1" applyFont="1"/>
    <xf numFmtId="44" fontId="5" fillId="0" borderId="0" xfId="0" applyNumberFormat="1" applyFont="1"/>
    <xf numFmtId="0" fontId="7" fillId="0" borderId="0" xfId="0" applyFont="1"/>
    <xf numFmtId="8" fontId="5" fillId="0" borderId="0" xfId="0" applyNumberFormat="1" applyFont="1"/>
    <xf numFmtId="0" fontId="5" fillId="0" borderId="0" xfId="0" applyFont="1" applyAlignment="1">
      <alignment horizontal="left" wrapText="1"/>
    </xf>
    <xf numFmtId="166" fontId="5" fillId="0" borderId="0" xfId="0" applyNumberFormat="1" applyFont="1" applyAlignment="1">
      <alignment wrapText="1"/>
    </xf>
    <xf numFmtId="166" fontId="5" fillId="0" borderId="0" xfId="0" applyNumberFormat="1" applyFont="1"/>
    <xf numFmtId="0" fontId="5" fillId="0" borderId="0" xfId="0" applyNumberFormat="1" applyFont="1"/>
    <xf numFmtId="0" fontId="5" fillId="0" borderId="0" xfId="0" applyFont="1" applyAlignment="1">
      <alignment wrapText="1"/>
    </xf>
    <xf numFmtId="0" fontId="8" fillId="0" borderId="0" xfId="6" applyFont="1" applyFill="1" applyBorder="1"/>
    <xf numFmtId="9" fontId="8" fillId="0" borderId="0" xfId="6" applyNumberFormat="1" applyFont="1" applyFill="1" applyBorder="1"/>
    <xf numFmtId="169" fontId="8" fillId="0" borderId="0" xfId="6" applyNumberFormat="1" applyFont="1" applyFill="1" applyBorder="1"/>
    <xf numFmtId="164" fontId="8" fillId="0" borderId="0" xfId="6" applyNumberFormat="1" applyFont="1" applyFill="1" applyBorder="1"/>
    <xf numFmtId="0" fontId="8" fillId="0" borderId="0" xfId="6" applyFont="1" applyBorder="1"/>
    <xf numFmtId="167" fontId="5" fillId="0" borderId="0" xfId="0" applyNumberFormat="1" applyFont="1"/>
    <xf numFmtId="169" fontId="8" fillId="0" borderId="0" xfId="5" applyNumberFormat="1" applyFont="1" applyBorder="1"/>
    <xf numFmtId="0" fontId="8" fillId="0" borderId="0" xfId="6" applyFont="1"/>
    <xf numFmtId="165" fontId="8" fillId="0" borderId="0" xfId="5" applyNumberFormat="1" applyFont="1" applyBorder="1"/>
    <xf numFmtId="0" fontId="9" fillId="0" borderId="0" xfId="6" applyFont="1" applyBorder="1"/>
    <xf numFmtId="9" fontId="8" fillId="0" borderId="0" xfId="7" applyFont="1"/>
    <xf numFmtId="169" fontId="8" fillId="0" borderId="0" xfId="6" applyNumberFormat="1" applyFont="1" applyBorder="1"/>
    <xf numFmtId="169" fontId="8" fillId="0" borderId="0" xfId="7" applyNumberFormat="1" applyFont="1"/>
    <xf numFmtId="10" fontId="9" fillId="0" borderId="0" xfId="6" applyNumberFormat="1" applyFont="1" applyBorder="1"/>
    <xf numFmtId="10" fontId="8" fillId="0" borderId="0" xfId="6" applyNumberFormat="1" applyFont="1" applyBorder="1"/>
    <xf numFmtId="10" fontId="9" fillId="0" borderId="0" xfId="7" applyNumberFormat="1" applyFont="1"/>
    <xf numFmtId="9" fontId="9" fillId="0" borderId="0" xfId="7" applyFont="1"/>
    <xf numFmtId="169" fontId="5" fillId="0" borderId="0" xfId="0" applyNumberFormat="1" applyFont="1"/>
    <xf numFmtId="169" fontId="8" fillId="0" borderId="0" xfId="5" applyNumberFormat="1" applyFont="1"/>
    <xf numFmtId="43" fontId="8" fillId="0" borderId="0" xfId="6" applyNumberFormat="1" applyFont="1" applyBorder="1"/>
  </cellXfs>
  <cellStyles count="8">
    <cellStyle name="Comma" xfId="1" builtinId="3"/>
    <cellStyle name="Currency" xfId="2" builtinId="4"/>
    <cellStyle name="Currency 2" xfId="5"/>
    <cellStyle name="Excel Built-in Normal" xfId="6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zoomScale="130" zoomScaleNormal="130" workbookViewId="0">
      <selection activeCell="F110" sqref="F110"/>
    </sheetView>
  </sheetViews>
  <sheetFormatPr defaultRowHeight="12.75" x14ac:dyDescent="0.2"/>
  <cols>
    <col min="1" max="1" width="27.28515625" style="5" bestFit="1" customWidth="1"/>
    <col min="2" max="2" width="9.140625" style="5" customWidth="1"/>
    <col min="3" max="3" width="16.85546875" style="5" customWidth="1"/>
    <col min="4" max="4" width="13.7109375" style="5" bestFit="1" customWidth="1"/>
    <col min="5" max="6" width="12.42578125" style="5" bestFit="1" customWidth="1"/>
    <col min="7" max="7" width="15.7109375" style="5" bestFit="1" customWidth="1"/>
    <col min="8" max="13" width="12.42578125" style="5" bestFit="1" customWidth="1"/>
    <col min="14" max="14" width="13.140625" style="5" bestFit="1" customWidth="1"/>
    <col min="15" max="15" width="11.140625" style="5" bestFit="1" customWidth="1"/>
    <col min="16" max="16" width="10.7109375" style="5" bestFit="1" customWidth="1"/>
    <col min="17" max="17" width="4.85546875" style="5" bestFit="1" customWidth="1"/>
    <col min="18" max="18" width="2.85546875" style="5" customWidth="1"/>
    <col min="19" max="19" width="7.42578125" style="5" bestFit="1" customWidth="1"/>
    <col min="20" max="20" width="6.42578125" style="5" bestFit="1" customWidth="1"/>
    <col min="21" max="16384" width="9.140625" style="5"/>
  </cols>
  <sheetData>
    <row r="1" spans="1:9" x14ac:dyDescent="0.2">
      <c r="A1" s="4" t="s">
        <v>0</v>
      </c>
      <c r="B1" s="5" t="s">
        <v>1</v>
      </c>
    </row>
    <row r="2" spans="1:9" x14ac:dyDescent="0.2">
      <c r="A2" s="4">
        <v>7.0000000000000007E-2</v>
      </c>
      <c r="B2" s="5" t="s">
        <v>26</v>
      </c>
      <c r="G2" s="5" t="s">
        <v>109</v>
      </c>
      <c r="H2" s="5">
        <v>0.69</v>
      </c>
      <c r="I2" s="5" t="s">
        <v>126</v>
      </c>
    </row>
    <row r="3" spans="1:9" x14ac:dyDescent="0.2">
      <c r="A3" s="4" t="s">
        <v>5</v>
      </c>
      <c r="G3" s="5" t="s">
        <v>110</v>
      </c>
      <c r="H3" s="6">
        <f>H2*(1+((1-B42)*((Q64+Q65)/Q67)))</f>
        <v>1.8827658555424456</v>
      </c>
    </row>
    <row r="4" spans="1:9" x14ac:dyDescent="0.2">
      <c r="A4" s="5">
        <v>182200</v>
      </c>
      <c r="B4" s="5" t="s">
        <v>2</v>
      </c>
    </row>
    <row r="5" spans="1:9" x14ac:dyDescent="0.2">
      <c r="A5" s="5">
        <v>25</v>
      </c>
      <c r="B5" s="5" t="s">
        <v>3</v>
      </c>
      <c r="G5" s="5" t="s">
        <v>111</v>
      </c>
      <c r="H5" s="7">
        <f>H6+H3*(H7-H6)</f>
        <v>0.11170382409102605</v>
      </c>
    </row>
    <row r="6" spans="1:9" x14ac:dyDescent="0.2">
      <c r="A6" s="5" t="s">
        <v>6</v>
      </c>
      <c r="G6" s="5" t="s">
        <v>112</v>
      </c>
      <c r="H6" s="4">
        <v>2.47E-2</v>
      </c>
    </row>
    <row r="7" spans="1:9" x14ac:dyDescent="0.2">
      <c r="G7" s="5" t="s">
        <v>113</v>
      </c>
      <c r="H7" s="7">
        <f>G9/10</f>
        <v>7.0910644746348075E-2</v>
      </c>
    </row>
    <row r="8" spans="1:9" x14ac:dyDescent="0.2">
      <c r="A8" s="8">
        <v>0.01</v>
      </c>
      <c r="B8" s="5" t="s">
        <v>25</v>
      </c>
    </row>
    <row r="9" spans="1:9" x14ac:dyDescent="0.2">
      <c r="A9" s="5">
        <v>6500000</v>
      </c>
      <c r="B9" s="5" t="s">
        <v>4</v>
      </c>
      <c r="G9" s="5">
        <f>(1939.87-1135.02)/1135.02</f>
        <v>0.70910644746348073</v>
      </c>
    </row>
    <row r="10" spans="1:9" x14ac:dyDescent="0.2">
      <c r="A10" s="5">
        <v>22</v>
      </c>
      <c r="B10" s="5" t="s">
        <v>29</v>
      </c>
    </row>
    <row r="11" spans="1:9" x14ac:dyDescent="0.2">
      <c r="A11" s="5">
        <v>10</v>
      </c>
      <c r="B11" s="5" t="s">
        <v>30</v>
      </c>
    </row>
    <row r="12" spans="1:9" x14ac:dyDescent="0.2">
      <c r="A12" s="5" t="s">
        <v>46</v>
      </c>
    </row>
    <row r="13" spans="1:9" x14ac:dyDescent="0.2">
      <c r="A13" s="5">
        <v>2000</v>
      </c>
      <c r="B13" s="5" t="s">
        <v>47</v>
      </c>
    </row>
    <row r="14" spans="1:9" x14ac:dyDescent="0.2">
      <c r="A14" s="5">
        <v>4</v>
      </c>
      <c r="B14" s="5" t="s">
        <v>48</v>
      </c>
      <c r="E14" s="5">
        <v>1</v>
      </c>
      <c r="F14" s="5" t="s">
        <v>49</v>
      </c>
    </row>
    <row r="15" spans="1:9" x14ac:dyDescent="0.2">
      <c r="A15" s="5">
        <v>10</v>
      </c>
      <c r="B15" s="5" t="s">
        <v>50</v>
      </c>
      <c r="E15" s="5">
        <v>20</v>
      </c>
      <c r="F15" s="5" t="s">
        <v>50</v>
      </c>
    </row>
    <row r="16" spans="1:9" x14ac:dyDescent="0.2">
      <c r="A16" s="5">
        <v>45</v>
      </c>
      <c r="B16" s="5" t="s">
        <v>51</v>
      </c>
    </row>
    <row r="17" spans="1:14" x14ac:dyDescent="0.2">
      <c r="A17" s="5">
        <v>1000</v>
      </c>
      <c r="B17" s="5" t="s">
        <v>52</v>
      </c>
    </row>
    <row r="18" spans="1:14" x14ac:dyDescent="0.2">
      <c r="A18" s="5">
        <v>290000</v>
      </c>
      <c r="B18" s="5" t="s">
        <v>75</v>
      </c>
      <c r="E18" s="8">
        <v>0.05</v>
      </c>
      <c r="F18" s="5">
        <v>30</v>
      </c>
      <c r="G18" s="5" t="s">
        <v>76</v>
      </c>
    </row>
    <row r="21" spans="1:14" x14ac:dyDescent="0.2">
      <c r="A21" s="5" t="s">
        <v>36</v>
      </c>
      <c r="E21" s="5">
        <v>15</v>
      </c>
      <c r="F21" s="5">
        <v>15</v>
      </c>
      <c r="G21" s="5">
        <v>15</v>
      </c>
      <c r="H21" s="5">
        <v>15</v>
      </c>
      <c r="I21" s="5">
        <v>15</v>
      </c>
      <c r="J21" s="5">
        <v>15</v>
      </c>
      <c r="K21" s="5">
        <v>15</v>
      </c>
      <c r="L21" s="5">
        <v>15</v>
      </c>
      <c r="M21" s="5">
        <v>15</v>
      </c>
      <c r="N21" s="5">
        <v>15</v>
      </c>
    </row>
    <row r="22" spans="1:14" x14ac:dyDescent="0.2">
      <c r="A22" s="5" t="s">
        <v>37</v>
      </c>
      <c r="E22" s="5">
        <v>45</v>
      </c>
      <c r="F22" s="5">
        <v>45</v>
      </c>
      <c r="G22" s="5">
        <v>45</v>
      </c>
      <c r="H22" s="5">
        <v>45</v>
      </c>
      <c r="I22" s="5">
        <v>45</v>
      </c>
      <c r="J22" s="5">
        <v>45</v>
      </c>
      <c r="K22" s="5">
        <v>45</v>
      </c>
      <c r="L22" s="5">
        <v>45</v>
      </c>
      <c r="M22" s="5">
        <v>45</v>
      </c>
      <c r="N22" s="5">
        <v>45</v>
      </c>
    </row>
    <row r="23" spans="1:14" x14ac:dyDescent="0.2">
      <c r="A23" s="5" t="s">
        <v>38</v>
      </c>
      <c r="E23" s="5">
        <v>10</v>
      </c>
      <c r="F23" s="5">
        <v>10</v>
      </c>
      <c r="G23" s="5">
        <v>10</v>
      </c>
      <c r="H23" s="5">
        <v>10</v>
      </c>
      <c r="I23" s="5">
        <v>10</v>
      </c>
      <c r="J23" s="5">
        <v>10</v>
      </c>
      <c r="K23" s="5">
        <v>10</v>
      </c>
      <c r="L23" s="5">
        <v>10</v>
      </c>
      <c r="M23" s="5">
        <v>10</v>
      </c>
      <c r="N23" s="5">
        <v>10</v>
      </c>
    </row>
    <row r="25" spans="1:14" x14ac:dyDescent="0.2">
      <c r="E25" s="9">
        <v>2015</v>
      </c>
      <c r="F25" s="9">
        <v>2016</v>
      </c>
      <c r="G25" s="9">
        <v>2017</v>
      </c>
      <c r="H25" s="9">
        <v>2018</v>
      </c>
      <c r="I25" s="9">
        <v>2019</v>
      </c>
      <c r="J25" s="9">
        <v>2020</v>
      </c>
      <c r="K25" s="9">
        <v>2021</v>
      </c>
      <c r="L25" s="9">
        <v>2022</v>
      </c>
      <c r="M25" s="9">
        <v>2023</v>
      </c>
      <c r="N25" s="9">
        <v>2024</v>
      </c>
    </row>
    <row r="26" spans="1:14" x14ac:dyDescent="0.2">
      <c r="A26" s="9" t="s">
        <v>15</v>
      </c>
    </row>
    <row r="27" spans="1:14" x14ac:dyDescent="0.2">
      <c r="A27" s="5" t="s">
        <v>7</v>
      </c>
    </row>
    <row r="28" spans="1:14" x14ac:dyDescent="0.2">
      <c r="A28" s="5" t="s">
        <v>8</v>
      </c>
      <c r="B28" s="4">
        <v>1E-3</v>
      </c>
      <c r="C28" s="8" t="s">
        <v>79</v>
      </c>
      <c r="D28" s="8"/>
      <c r="E28" s="10">
        <f>A2*A9*A10*A8*12</f>
        <v>1201200.0000000002</v>
      </c>
      <c r="F28" s="10">
        <f>E28*(1+$B$28)</f>
        <v>1202401.2000000002</v>
      </c>
      <c r="G28" s="10">
        <f t="shared" ref="G28:N28" si="0">F28*(1+$B$28)</f>
        <v>1203603.6012000002</v>
      </c>
      <c r="H28" s="10">
        <f t="shared" si="0"/>
        <v>1204807.2048012</v>
      </c>
      <c r="I28" s="10">
        <f t="shared" si="0"/>
        <v>1206012.0120060011</v>
      </c>
      <c r="J28" s="10">
        <f t="shared" si="0"/>
        <v>1207218.0240180069</v>
      </c>
      <c r="K28" s="10">
        <f t="shared" si="0"/>
        <v>1208425.2420420249</v>
      </c>
      <c r="L28" s="10">
        <f t="shared" si="0"/>
        <v>1209633.6672840668</v>
      </c>
      <c r="M28" s="10">
        <f t="shared" si="0"/>
        <v>1210843.3009513507</v>
      </c>
      <c r="N28" s="10">
        <f t="shared" si="0"/>
        <v>1212054.1442523019</v>
      </c>
    </row>
    <row r="29" spans="1:14" x14ac:dyDescent="0.2">
      <c r="A29" s="5" t="s">
        <v>9</v>
      </c>
      <c r="B29" s="4">
        <v>5.0000000000000001E-4</v>
      </c>
      <c r="C29" s="4" t="s">
        <v>79</v>
      </c>
      <c r="D29" s="4"/>
      <c r="E29" s="10">
        <f>A4*A2/A5*A11*52</f>
        <v>265283.20000000001</v>
      </c>
      <c r="F29" s="10">
        <f>E29*(1+$B$29)</f>
        <v>265415.84159999999</v>
      </c>
      <c r="G29" s="10">
        <f t="shared" ref="G29:N29" si="1">F29*(1+$B$29)</f>
        <v>265548.54952079995</v>
      </c>
      <c r="H29" s="10">
        <f t="shared" si="1"/>
        <v>265681.32379556034</v>
      </c>
      <c r="I29" s="10">
        <f t="shared" si="1"/>
        <v>265814.16445745813</v>
      </c>
      <c r="J29" s="10">
        <f t="shared" si="1"/>
        <v>265947.07153968682</v>
      </c>
      <c r="K29" s="10">
        <f t="shared" si="1"/>
        <v>266080.04507545667</v>
      </c>
      <c r="L29" s="10">
        <f t="shared" si="1"/>
        <v>266213.08509799436</v>
      </c>
      <c r="M29" s="10">
        <f t="shared" si="1"/>
        <v>266346.19164054334</v>
      </c>
      <c r="N29" s="10">
        <f t="shared" si="1"/>
        <v>266479.36473636358</v>
      </c>
    </row>
    <row r="30" spans="1:14" x14ac:dyDescent="0.2"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5" t="s">
        <v>27</v>
      </c>
      <c r="B31" s="11">
        <v>1.1000000000000001</v>
      </c>
      <c r="C31" s="11" t="s">
        <v>80</v>
      </c>
      <c r="D31" s="11"/>
      <c r="E31" s="10">
        <f>E28/$B$31</f>
        <v>1092000.0000000002</v>
      </c>
      <c r="F31" s="10">
        <f t="shared" ref="F31:N31" si="2">F28/$B$31</f>
        <v>1093092</v>
      </c>
      <c r="G31" s="10">
        <f t="shared" si="2"/>
        <v>1094185.0919999999</v>
      </c>
      <c r="H31" s="10">
        <f t="shared" si="2"/>
        <v>1095279.2770919998</v>
      </c>
      <c r="I31" s="10">
        <f t="shared" si="2"/>
        <v>1096374.5563690918</v>
      </c>
      <c r="J31" s="10">
        <f t="shared" si="2"/>
        <v>1097470.9309254608</v>
      </c>
      <c r="K31" s="10">
        <f t="shared" si="2"/>
        <v>1098568.4018563861</v>
      </c>
      <c r="L31" s="10">
        <f t="shared" si="2"/>
        <v>1099666.9702582425</v>
      </c>
      <c r="M31" s="10">
        <f t="shared" si="2"/>
        <v>1100766.6372285006</v>
      </c>
      <c r="N31" s="10">
        <f t="shared" si="2"/>
        <v>1101867.403865729</v>
      </c>
    </row>
    <row r="32" spans="1:14" x14ac:dyDescent="0.2">
      <c r="A32" s="5" t="s">
        <v>28</v>
      </c>
      <c r="B32" s="8">
        <v>0.5</v>
      </c>
      <c r="C32" s="8" t="s">
        <v>81</v>
      </c>
      <c r="D32" s="8"/>
      <c r="E32" s="10">
        <f>E29*$B$32</f>
        <v>132641.60000000001</v>
      </c>
      <c r="F32" s="10">
        <f t="shared" ref="F32:N32" si="3">F29*$B$32</f>
        <v>132707.92079999999</v>
      </c>
      <c r="G32" s="10">
        <f t="shared" si="3"/>
        <v>132774.27476039997</v>
      </c>
      <c r="H32" s="10">
        <f t="shared" si="3"/>
        <v>132840.66189778017</v>
      </c>
      <c r="I32" s="10">
        <f t="shared" si="3"/>
        <v>132907.08222872906</v>
      </c>
      <c r="J32" s="10">
        <f t="shared" si="3"/>
        <v>132973.53576984341</v>
      </c>
      <c r="K32" s="10">
        <f t="shared" si="3"/>
        <v>133040.02253772834</v>
      </c>
      <c r="L32" s="10">
        <f t="shared" si="3"/>
        <v>133106.54254899718</v>
      </c>
      <c r="M32" s="10">
        <f t="shared" si="3"/>
        <v>133173.09582027167</v>
      </c>
      <c r="N32" s="10">
        <f t="shared" si="3"/>
        <v>133239.68236818179</v>
      </c>
    </row>
    <row r="33" spans="1:14" x14ac:dyDescent="0.2">
      <c r="B33" s="8"/>
      <c r="C33" s="8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A34" s="5" t="s">
        <v>31</v>
      </c>
      <c r="B34" s="7">
        <f>E34/E29</f>
        <v>9.0469355013811648E-2</v>
      </c>
      <c r="C34" s="5" t="s">
        <v>82</v>
      </c>
      <c r="E34" s="10">
        <f>A13*12</f>
        <v>24000</v>
      </c>
      <c r="F34" s="10">
        <f>$B$34*F29</f>
        <v>24011.999999999996</v>
      </c>
      <c r="G34" s="10">
        <f t="shared" ref="G34:N34" si="4">$B$34*G29</f>
        <v>24024.005999999994</v>
      </c>
      <c r="H34" s="10">
        <f t="shared" si="4"/>
        <v>24036.018002999994</v>
      </c>
      <c r="I34" s="10">
        <f t="shared" si="4"/>
        <v>24048.036012001492</v>
      </c>
      <c r="J34" s="10">
        <f t="shared" si="4"/>
        <v>24060.060030007491</v>
      </c>
      <c r="K34" s="10">
        <f t="shared" si="4"/>
        <v>24072.090060022496</v>
      </c>
      <c r="L34" s="10">
        <f t="shared" si="4"/>
        <v>24084.126105052503</v>
      </c>
      <c r="M34" s="10">
        <f t="shared" si="4"/>
        <v>24096.168168105029</v>
      </c>
      <c r="N34" s="10">
        <f t="shared" si="4"/>
        <v>24108.216252189079</v>
      </c>
    </row>
    <row r="35" spans="1:14" x14ac:dyDescent="0.2">
      <c r="A35" s="5" t="s">
        <v>10</v>
      </c>
      <c r="B35" s="12">
        <v>5.0000000000000001E-3</v>
      </c>
      <c r="E35" s="10">
        <f>$A$14*$A$15*$A$16*52+$E$14*$E$15*$A$16*52</f>
        <v>140400</v>
      </c>
      <c r="F35" s="10">
        <f>E35*(1+$B$35)</f>
        <v>141101.99999999997</v>
      </c>
      <c r="G35" s="10">
        <f t="shared" ref="G35:N35" si="5">F35*(1+$B$35)</f>
        <v>141807.50999999995</v>
      </c>
      <c r="H35" s="10">
        <f t="shared" si="5"/>
        <v>142516.54754999993</v>
      </c>
      <c r="I35" s="10">
        <f t="shared" si="5"/>
        <v>143229.13028774993</v>
      </c>
      <c r="J35" s="10">
        <f t="shared" si="5"/>
        <v>143945.27593918866</v>
      </c>
      <c r="K35" s="10">
        <f t="shared" si="5"/>
        <v>144665.0023188846</v>
      </c>
      <c r="L35" s="10">
        <f t="shared" si="5"/>
        <v>145388.32733047899</v>
      </c>
      <c r="M35" s="10">
        <f t="shared" si="5"/>
        <v>146115.26896713136</v>
      </c>
      <c r="N35" s="10">
        <f t="shared" si="5"/>
        <v>146845.84531196699</v>
      </c>
    </row>
    <row r="36" spans="1:14" x14ac:dyDescent="0.2">
      <c r="A36" s="5" t="s">
        <v>11</v>
      </c>
      <c r="B36" s="12">
        <v>5.0000000000000001E-3</v>
      </c>
      <c r="E36" s="10">
        <f>$A$17*12</f>
        <v>12000</v>
      </c>
      <c r="F36" s="10">
        <f>E36*(1+$B$36)</f>
        <v>12059.999999999998</v>
      </c>
      <c r="G36" s="10">
        <f t="shared" ref="G36:N36" si="6">F36*(1+$B$36)</f>
        <v>12120.299999999997</v>
      </c>
      <c r="H36" s="10">
        <f t="shared" si="6"/>
        <v>12180.901499999996</v>
      </c>
      <c r="I36" s="10">
        <f t="shared" si="6"/>
        <v>12241.806007499996</v>
      </c>
      <c r="J36" s="10">
        <f t="shared" si="6"/>
        <v>12303.015037537494</v>
      </c>
      <c r="K36" s="10">
        <f t="shared" si="6"/>
        <v>12364.530112725181</v>
      </c>
      <c r="L36" s="10">
        <f t="shared" si="6"/>
        <v>12426.352763288805</v>
      </c>
      <c r="M36" s="10">
        <f t="shared" si="6"/>
        <v>12488.484527105247</v>
      </c>
      <c r="N36" s="10">
        <f t="shared" si="6"/>
        <v>12550.926949740771</v>
      </c>
    </row>
    <row r="37" spans="1:14" x14ac:dyDescent="0.2">
      <c r="A37" s="5" t="s">
        <v>39</v>
      </c>
      <c r="E37" s="10">
        <f>(E52/B52)</f>
        <v>1600</v>
      </c>
      <c r="F37" s="10">
        <f>(F52/$B$52)</f>
        <v>1600</v>
      </c>
      <c r="G37" s="10">
        <f t="shared" ref="G37:I37" si="7">(G52/$B$52)</f>
        <v>1600</v>
      </c>
      <c r="H37" s="10">
        <f t="shared" si="7"/>
        <v>1600</v>
      </c>
      <c r="I37" s="10">
        <f t="shared" si="7"/>
        <v>1600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x14ac:dyDescent="0.2">
      <c r="A38" s="5" t="s">
        <v>40</v>
      </c>
      <c r="E38" s="10">
        <f t="shared" ref="E38:N38" si="8">E55/$B$55</f>
        <v>10000</v>
      </c>
      <c r="F38" s="10">
        <f t="shared" si="8"/>
        <v>10000</v>
      </c>
      <c r="G38" s="10">
        <f t="shared" si="8"/>
        <v>10000</v>
      </c>
      <c r="H38" s="10">
        <f t="shared" si="8"/>
        <v>10000</v>
      </c>
      <c r="I38" s="10">
        <f t="shared" si="8"/>
        <v>10000</v>
      </c>
      <c r="J38" s="10">
        <f t="shared" si="8"/>
        <v>10000</v>
      </c>
      <c r="K38" s="10">
        <f t="shared" si="8"/>
        <v>10000</v>
      </c>
      <c r="L38" s="10">
        <f t="shared" si="8"/>
        <v>10000</v>
      </c>
      <c r="M38" s="10">
        <f t="shared" si="8"/>
        <v>10000</v>
      </c>
      <c r="N38" s="10">
        <f t="shared" si="8"/>
        <v>10000</v>
      </c>
    </row>
    <row r="39" spans="1:14" x14ac:dyDescent="0.2">
      <c r="A39" s="5" t="s">
        <v>33</v>
      </c>
      <c r="E39" s="13">
        <f>E64*$B$64</f>
        <v>25712.095054946571</v>
      </c>
      <c r="F39" s="13">
        <f t="shared" ref="F39:N39" si="9">F64*$B$64</f>
        <v>23915.687153234154</v>
      </c>
      <c r="G39" s="13">
        <f t="shared" si="9"/>
        <v>22033.830009522237</v>
      </c>
      <c r="H39" s="13">
        <f t="shared" si="9"/>
        <v>20060.538730338663</v>
      </c>
      <c r="I39" s="13">
        <f t="shared" si="9"/>
        <v>17989.383512449862</v>
      </c>
      <c r="J39" s="13">
        <f t="shared" si="9"/>
        <v>15813.456023374449</v>
      </c>
      <c r="K39" s="13">
        <f t="shared" si="9"/>
        <v>13578.666550411552</v>
      </c>
      <c r="L39" s="13">
        <f t="shared" si="9"/>
        <v>11227.853202737277</v>
      </c>
      <c r="M39" s="13">
        <f t="shared" si="9"/>
        <v>8752.7663289410593</v>
      </c>
      <c r="N39" s="13">
        <f t="shared" si="9"/>
        <v>6144.540669585338</v>
      </c>
    </row>
    <row r="40" spans="1:14" x14ac:dyDescent="0.2">
      <c r="A40" s="5" t="s">
        <v>44</v>
      </c>
      <c r="E40" s="10">
        <f>Mortgage!D14</f>
        <v>14402.832978676746</v>
      </c>
      <c r="F40" s="10">
        <f>Mortgage!D28</f>
        <v>14183.93375434705</v>
      </c>
      <c r="G40" s="10">
        <f>Mortgage!D42</f>
        <v>13953.835230255807</v>
      </c>
      <c r="H40" s="10">
        <f>Mortgage!D56</f>
        <v>13711.964428972267</v>
      </c>
      <c r="I40" s="10">
        <f>Mortgage!D70</f>
        <v>13457.719058452882</v>
      </c>
      <c r="J40" s="10">
        <f>Mortgage!D84</f>
        <v>13190.46601225009</v>
      </c>
      <c r="K40" s="10">
        <f>Mortgage!D98</f>
        <v>12909.539792988886</v>
      </c>
      <c r="L40" s="10">
        <f>Mortgage!D112</f>
        <v>12614.240855185537</v>
      </c>
      <c r="M40" s="10">
        <f>Mortgage!D126</f>
        <v>12303.83386328171</v>
      </c>
      <c r="N40" s="10">
        <f>Mortgage!D140</f>
        <v>11977.545860556324</v>
      </c>
    </row>
    <row r="41" spans="1:14" x14ac:dyDescent="0.2">
      <c r="A41" s="5" t="s">
        <v>12</v>
      </c>
      <c r="E41" s="10">
        <f>E28+E29-SUM(E31:E40)</f>
        <v>13726.671966376482</v>
      </c>
      <c r="F41" s="10">
        <f t="shared" ref="F41:N41" si="10">F28+F29-SUM(F31:F40)</f>
        <v>15143.499892418971</v>
      </c>
      <c r="G41" s="10">
        <f t="shared" si="10"/>
        <v>16653.30272062216</v>
      </c>
      <c r="H41" s="10">
        <f t="shared" si="10"/>
        <v>18262.619394669542</v>
      </c>
      <c r="I41" s="10">
        <f t="shared" si="10"/>
        <v>19978.462987483945</v>
      </c>
      <c r="J41" s="10">
        <f t="shared" si="10"/>
        <v>23408.355820031138</v>
      </c>
      <c r="K41" s="10">
        <f t="shared" si="10"/>
        <v>25307.033888334408</v>
      </c>
      <c r="L41" s="10">
        <f t="shared" si="10"/>
        <v>27332.33931807871</v>
      </c>
      <c r="M41" s="10">
        <f t="shared" si="10"/>
        <v>29493.237688557478</v>
      </c>
      <c r="N41" s="10">
        <f t="shared" si="10"/>
        <v>31799.34771071584</v>
      </c>
    </row>
    <row r="42" spans="1:14" x14ac:dyDescent="0.2">
      <c r="A42" s="5" t="s">
        <v>13</v>
      </c>
      <c r="B42" s="8">
        <v>0.3</v>
      </c>
      <c r="C42" s="8" t="s">
        <v>83</v>
      </c>
      <c r="D42" s="8"/>
      <c r="E42" s="13">
        <f>E41*$B$42</f>
        <v>4118.0015899129439</v>
      </c>
      <c r="F42" s="13">
        <f t="shared" ref="F42:N42" si="11">F41*$B$42</f>
        <v>4543.0499677256912</v>
      </c>
      <c r="G42" s="13">
        <f t="shared" si="11"/>
        <v>4995.9908161866479</v>
      </c>
      <c r="H42" s="13">
        <f t="shared" si="11"/>
        <v>5478.7858184008628</v>
      </c>
      <c r="I42" s="13">
        <f t="shared" si="11"/>
        <v>5993.5388962451834</v>
      </c>
      <c r="J42" s="13">
        <f t="shared" si="11"/>
        <v>7022.5067460093414</v>
      </c>
      <c r="K42" s="13">
        <f t="shared" si="11"/>
        <v>7592.1101665003225</v>
      </c>
      <c r="L42" s="13">
        <f t="shared" si="11"/>
        <v>8199.7017954236126</v>
      </c>
      <c r="M42" s="13">
        <f t="shared" si="11"/>
        <v>8847.9713065672422</v>
      </c>
      <c r="N42" s="13">
        <f t="shared" si="11"/>
        <v>9539.8043132147523</v>
      </c>
    </row>
    <row r="43" spans="1:14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2">
      <c r="A44" s="9" t="s">
        <v>14</v>
      </c>
      <c r="E44" s="10">
        <f>E41-E42</f>
        <v>9608.6703764635386</v>
      </c>
      <c r="F44" s="10">
        <f t="shared" ref="F44:N44" si="12">F41-F42</f>
        <v>10600.449924693279</v>
      </c>
      <c r="G44" s="10">
        <f t="shared" si="12"/>
        <v>11657.311904435512</v>
      </c>
      <c r="H44" s="10">
        <f t="shared" si="12"/>
        <v>12783.83357626868</v>
      </c>
      <c r="I44" s="10">
        <f t="shared" si="12"/>
        <v>13984.924091238761</v>
      </c>
      <c r="J44" s="10">
        <f t="shared" si="12"/>
        <v>16385.849074021797</v>
      </c>
      <c r="K44" s="10">
        <f t="shared" si="12"/>
        <v>17714.923721834086</v>
      </c>
      <c r="L44" s="10">
        <f t="shared" si="12"/>
        <v>19132.637522655095</v>
      </c>
      <c r="M44" s="10">
        <f t="shared" si="12"/>
        <v>20645.266381990237</v>
      </c>
      <c r="N44" s="10">
        <f t="shared" si="12"/>
        <v>22259.543397501089</v>
      </c>
    </row>
    <row r="45" spans="1:14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2">
      <c r="A46" s="9" t="s">
        <v>16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2">
      <c r="A47" s="5" t="s">
        <v>17</v>
      </c>
      <c r="B47" s="5">
        <v>300</v>
      </c>
      <c r="C47" s="5" t="s">
        <v>84</v>
      </c>
      <c r="E47" s="10">
        <f>B47</f>
        <v>300</v>
      </c>
      <c r="F47" s="10">
        <f t="shared" ref="F47:N47" si="13">E47</f>
        <v>300</v>
      </c>
      <c r="G47" s="10">
        <f t="shared" si="13"/>
        <v>300</v>
      </c>
      <c r="H47" s="10">
        <f t="shared" si="13"/>
        <v>300</v>
      </c>
      <c r="I47" s="10">
        <f t="shared" si="13"/>
        <v>300</v>
      </c>
      <c r="J47" s="10">
        <f t="shared" si="13"/>
        <v>300</v>
      </c>
      <c r="K47" s="10">
        <f t="shared" si="13"/>
        <v>300</v>
      </c>
      <c r="L47" s="10">
        <f t="shared" si="13"/>
        <v>300</v>
      </c>
      <c r="M47" s="10">
        <f t="shared" si="13"/>
        <v>300</v>
      </c>
      <c r="N47" s="10">
        <f t="shared" si="13"/>
        <v>300</v>
      </c>
    </row>
    <row r="48" spans="1:14" x14ac:dyDescent="0.2">
      <c r="A48" s="5" t="s">
        <v>18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20" x14ac:dyDescent="0.2">
      <c r="A49" s="5" t="s">
        <v>19</v>
      </c>
      <c r="E49" s="10">
        <f>E28/365*E22</f>
        <v>148093.15068493155</v>
      </c>
      <c r="F49" s="10">
        <f t="shared" ref="F49:N49" si="14">F28/365*F22</f>
        <v>148241.24383561648</v>
      </c>
      <c r="G49" s="10">
        <f t="shared" si="14"/>
        <v>148389.48507945208</v>
      </c>
      <c r="H49" s="10">
        <f t="shared" si="14"/>
        <v>148537.87456453149</v>
      </c>
      <c r="I49" s="10">
        <f t="shared" si="14"/>
        <v>148686.41243909602</v>
      </c>
      <c r="J49" s="10">
        <f t="shared" si="14"/>
        <v>148835.09885153509</v>
      </c>
      <c r="K49" s="10">
        <f t="shared" si="14"/>
        <v>148983.93395038662</v>
      </c>
      <c r="L49" s="10">
        <f t="shared" si="14"/>
        <v>149132.91788433702</v>
      </c>
      <c r="M49" s="10">
        <f t="shared" si="14"/>
        <v>149282.05080222132</v>
      </c>
      <c r="N49" s="10">
        <f t="shared" si="14"/>
        <v>149431.33285302352</v>
      </c>
    </row>
    <row r="50" spans="1:20" x14ac:dyDescent="0.2">
      <c r="A50" s="5" t="s">
        <v>20</v>
      </c>
      <c r="E50" s="10">
        <f>(E32+E31)/365*E21</f>
        <v>50327.736986301388</v>
      </c>
      <c r="F50" s="10">
        <f t="shared" ref="F50:N50" si="15">(F32+F31)/365*F21</f>
        <v>50375.339210958904</v>
      </c>
      <c r="G50" s="10">
        <f t="shared" si="15"/>
        <v>50422.987675084929</v>
      </c>
      <c r="H50" s="10">
        <f t="shared" si="15"/>
        <v>50470.68242423753</v>
      </c>
      <c r="I50" s="10">
        <f t="shared" si="15"/>
        <v>50518.423504020036</v>
      </c>
      <c r="J50" s="10">
        <f t="shared" si="15"/>
        <v>50566.210960081</v>
      </c>
      <c r="K50" s="10">
        <f t="shared" si="15"/>
        <v>50614.044838114292</v>
      </c>
      <c r="L50" s="10">
        <f t="shared" si="15"/>
        <v>50661.925183859159</v>
      </c>
      <c r="M50" s="10">
        <f t="shared" si="15"/>
        <v>50709.852043100233</v>
      </c>
      <c r="N50" s="10">
        <f t="shared" si="15"/>
        <v>50757.825461667569</v>
      </c>
    </row>
    <row r="51" spans="1:20" x14ac:dyDescent="0.2"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20" x14ac:dyDescent="0.2">
      <c r="A52" s="5" t="s">
        <v>21</v>
      </c>
      <c r="B52" s="5">
        <v>5</v>
      </c>
      <c r="C52" s="5" t="s">
        <v>76</v>
      </c>
      <c r="E52" s="10">
        <v>8000</v>
      </c>
      <c r="F52" s="10">
        <v>8000</v>
      </c>
      <c r="G52" s="10">
        <v>8000</v>
      </c>
      <c r="H52" s="10">
        <v>8000</v>
      </c>
      <c r="I52" s="10">
        <v>8000</v>
      </c>
      <c r="J52" s="10">
        <v>8000</v>
      </c>
      <c r="K52" s="10">
        <v>8000</v>
      </c>
      <c r="L52" s="10">
        <v>8000</v>
      </c>
      <c r="M52" s="10">
        <v>8000</v>
      </c>
      <c r="N52" s="10">
        <v>8000</v>
      </c>
    </row>
    <row r="53" spans="1:20" x14ac:dyDescent="0.2">
      <c r="A53" s="5" t="s">
        <v>77</v>
      </c>
      <c r="E53" s="10">
        <f>B53+E37</f>
        <v>1600</v>
      </c>
      <c r="F53" s="10">
        <f t="shared" ref="F53:N53" si="16">E53+F37</f>
        <v>3200</v>
      </c>
      <c r="G53" s="10">
        <f t="shared" si="16"/>
        <v>4800</v>
      </c>
      <c r="H53" s="10">
        <f t="shared" si="16"/>
        <v>6400</v>
      </c>
      <c r="I53" s="10">
        <f t="shared" si="16"/>
        <v>8000</v>
      </c>
      <c r="J53" s="10">
        <f t="shared" si="16"/>
        <v>8000</v>
      </c>
      <c r="K53" s="10">
        <f t="shared" si="16"/>
        <v>8000</v>
      </c>
      <c r="L53" s="10">
        <f t="shared" si="16"/>
        <v>8000</v>
      </c>
      <c r="M53" s="10">
        <f t="shared" si="16"/>
        <v>8000</v>
      </c>
      <c r="N53" s="10">
        <f t="shared" si="16"/>
        <v>8000</v>
      </c>
    </row>
    <row r="54" spans="1:20" x14ac:dyDescent="0.2">
      <c r="A54" s="5" t="s">
        <v>87</v>
      </c>
      <c r="B54" s="5" t="s">
        <v>88</v>
      </c>
      <c r="E54" s="10">
        <v>20000</v>
      </c>
      <c r="F54" s="10">
        <v>20000</v>
      </c>
      <c r="G54" s="10">
        <v>20000</v>
      </c>
      <c r="H54" s="10">
        <v>20000</v>
      </c>
      <c r="I54" s="10">
        <v>20000</v>
      </c>
      <c r="J54" s="10">
        <v>20000</v>
      </c>
      <c r="K54" s="10">
        <v>20000</v>
      </c>
      <c r="L54" s="10">
        <v>20000</v>
      </c>
      <c r="M54" s="10">
        <v>20000</v>
      </c>
      <c r="N54" s="10">
        <v>20000</v>
      </c>
    </row>
    <row r="55" spans="1:20" x14ac:dyDescent="0.2">
      <c r="A55" s="5" t="s">
        <v>32</v>
      </c>
      <c r="B55" s="5">
        <v>30</v>
      </c>
      <c r="C55" s="5" t="s">
        <v>76</v>
      </c>
      <c r="E55" s="10">
        <v>300000</v>
      </c>
      <c r="F55" s="10">
        <v>300000</v>
      </c>
      <c r="G55" s="10">
        <v>300000</v>
      </c>
      <c r="H55" s="10">
        <v>300000</v>
      </c>
      <c r="I55" s="10">
        <v>300000</v>
      </c>
      <c r="J55" s="10">
        <v>300000</v>
      </c>
      <c r="K55" s="10">
        <v>300000</v>
      </c>
      <c r="L55" s="10">
        <v>300000</v>
      </c>
      <c r="M55" s="10">
        <v>300000</v>
      </c>
      <c r="N55" s="10">
        <v>300000</v>
      </c>
    </row>
    <row r="56" spans="1:20" x14ac:dyDescent="0.2">
      <c r="A56" s="5" t="s">
        <v>78</v>
      </c>
      <c r="E56" s="10">
        <f>B56+E38</f>
        <v>10000</v>
      </c>
      <c r="F56" s="10">
        <f t="shared" ref="F56:N56" si="17">E56+F38</f>
        <v>20000</v>
      </c>
      <c r="G56" s="10">
        <f t="shared" si="17"/>
        <v>30000</v>
      </c>
      <c r="H56" s="10">
        <f t="shared" si="17"/>
        <v>40000</v>
      </c>
      <c r="I56" s="10">
        <f t="shared" si="17"/>
        <v>50000</v>
      </c>
      <c r="J56" s="10">
        <f t="shared" si="17"/>
        <v>60000</v>
      </c>
      <c r="K56" s="10">
        <f t="shared" si="17"/>
        <v>70000</v>
      </c>
      <c r="L56" s="10">
        <f t="shared" si="17"/>
        <v>80000</v>
      </c>
      <c r="M56" s="10">
        <f t="shared" si="17"/>
        <v>90000</v>
      </c>
      <c r="N56" s="10">
        <f t="shared" si="17"/>
        <v>100000</v>
      </c>
    </row>
    <row r="57" spans="1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20" x14ac:dyDescent="0.2">
      <c r="A58" s="5" t="s">
        <v>103</v>
      </c>
      <c r="E58" s="10">
        <v>175000</v>
      </c>
      <c r="F58" s="10">
        <f>E58</f>
        <v>175000</v>
      </c>
      <c r="G58" s="10">
        <f t="shared" ref="G58:N58" si="18">F58</f>
        <v>175000</v>
      </c>
      <c r="H58" s="10">
        <f t="shared" si="18"/>
        <v>175000</v>
      </c>
      <c r="I58" s="10">
        <f t="shared" si="18"/>
        <v>175000</v>
      </c>
      <c r="J58" s="10">
        <f t="shared" si="18"/>
        <v>175000</v>
      </c>
      <c r="K58" s="10">
        <f t="shared" si="18"/>
        <v>175000</v>
      </c>
      <c r="L58" s="10">
        <f t="shared" si="18"/>
        <v>175000</v>
      </c>
      <c r="M58" s="10">
        <f t="shared" si="18"/>
        <v>175000</v>
      </c>
      <c r="N58" s="10">
        <f t="shared" si="18"/>
        <v>175000</v>
      </c>
    </row>
    <row r="59" spans="1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20" x14ac:dyDescent="0.2">
      <c r="A60" s="9" t="s">
        <v>22</v>
      </c>
      <c r="E60" s="10">
        <f>SUM(E47:E52)+E55-E53-E56+E54+E58</f>
        <v>690120.88767123292</v>
      </c>
      <c r="F60" s="10">
        <f t="shared" ref="F60:N60" si="19">SUM(F47:F52)+F55-F53-F56+F54+F58</f>
        <v>678716.58304657531</v>
      </c>
      <c r="G60" s="10">
        <f t="shared" si="19"/>
        <v>667312.47275453701</v>
      </c>
      <c r="H60" s="10">
        <f t="shared" si="19"/>
        <v>655908.55698876898</v>
      </c>
      <c r="I60" s="10">
        <f t="shared" si="19"/>
        <v>644504.83594311611</v>
      </c>
      <c r="J60" s="10">
        <f t="shared" si="19"/>
        <v>634701.30981161608</v>
      </c>
      <c r="K60" s="10">
        <f t="shared" si="19"/>
        <v>624897.97878850088</v>
      </c>
      <c r="L60" s="10">
        <f t="shared" si="19"/>
        <v>615094.84306819621</v>
      </c>
      <c r="M60" s="10">
        <f t="shared" si="19"/>
        <v>605291.90284532157</v>
      </c>
      <c r="N60" s="10">
        <f t="shared" si="19"/>
        <v>595489.15831469116</v>
      </c>
    </row>
    <row r="61" spans="1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20" x14ac:dyDescent="0.2">
      <c r="A62" s="5" t="s">
        <v>23</v>
      </c>
      <c r="E62" s="10">
        <f>(E32+E31)/365*E23</f>
        <v>33551.824657534256</v>
      </c>
      <c r="F62" s="10">
        <f t="shared" ref="F62:N62" si="20">(F32+F31)/365*F23</f>
        <v>33583.5594739726</v>
      </c>
      <c r="G62" s="10">
        <f t="shared" si="20"/>
        <v>33615.325116723281</v>
      </c>
      <c r="H62" s="10">
        <f t="shared" si="20"/>
        <v>33647.121616158351</v>
      </c>
      <c r="I62" s="10">
        <f t="shared" si="20"/>
        <v>33678.949002680027</v>
      </c>
      <c r="J62" s="10">
        <f t="shared" si="20"/>
        <v>33710.807306720664</v>
      </c>
      <c r="K62" s="10">
        <f t="shared" si="20"/>
        <v>33742.696558742857</v>
      </c>
      <c r="L62" s="10">
        <f t="shared" si="20"/>
        <v>33774.616789239437</v>
      </c>
      <c r="M62" s="10">
        <f t="shared" si="20"/>
        <v>33806.568028733484</v>
      </c>
      <c r="N62" s="10">
        <f t="shared" si="20"/>
        <v>33838.55030777838</v>
      </c>
    </row>
    <row r="63" spans="1:20" x14ac:dyDescent="0.2">
      <c r="A63" s="5" t="s">
        <v>24</v>
      </c>
      <c r="E63" s="10">
        <f>E42</f>
        <v>4118.0015899129439</v>
      </c>
      <c r="F63" s="10">
        <f t="shared" ref="F63:N63" si="21">F42</f>
        <v>4543.0499677256912</v>
      </c>
      <c r="G63" s="10">
        <f t="shared" si="21"/>
        <v>4995.9908161866479</v>
      </c>
      <c r="H63" s="10">
        <f t="shared" si="21"/>
        <v>5478.7858184008628</v>
      </c>
      <c r="I63" s="10">
        <f t="shared" si="21"/>
        <v>5993.5388962451834</v>
      </c>
      <c r="J63" s="10">
        <f t="shared" si="21"/>
        <v>7022.5067460093414</v>
      </c>
      <c r="K63" s="10">
        <f t="shared" si="21"/>
        <v>7592.1101665003225</v>
      </c>
      <c r="L63" s="10">
        <f t="shared" si="21"/>
        <v>8199.7017954236126</v>
      </c>
      <c r="M63" s="10">
        <f t="shared" si="21"/>
        <v>8847.9713065672422</v>
      </c>
      <c r="N63" s="10">
        <f t="shared" si="21"/>
        <v>9539.8043132147523</v>
      </c>
    </row>
    <row r="64" spans="1:20" x14ac:dyDescent="0.2">
      <c r="A64" s="5" t="s">
        <v>34</v>
      </c>
      <c r="B64" s="8">
        <v>0.1</v>
      </c>
      <c r="C64" s="8" t="s">
        <v>85</v>
      </c>
      <c r="D64" s="8"/>
      <c r="E64" s="10">
        <v>257120.95054946569</v>
      </c>
      <c r="F64" s="10">
        <v>239156.87153234152</v>
      </c>
      <c r="G64" s="10">
        <v>220338.30009522237</v>
      </c>
      <c r="H64" s="10">
        <v>200605.38730338661</v>
      </c>
      <c r="I64" s="10">
        <v>179893.83512449861</v>
      </c>
      <c r="J64" s="10">
        <v>158134.56023374447</v>
      </c>
      <c r="K64" s="10">
        <v>135786.66550411552</v>
      </c>
      <c r="L64" s="10">
        <v>112278.53202737276</v>
      </c>
      <c r="M64" s="10">
        <v>87527.663289410586</v>
      </c>
      <c r="N64" s="10">
        <v>61445.40669585338</v>
      </c>
      <c r="P64" s="14">
        <f>AVERAGE(E64:N64)</f>
        <v>165228.81723554118</v>
      </c>
      <c r="Q64" s="15">
        <f>P64/$P$69</f>
        <v>0.27498002646685771</v>
      </c>
      <c r="S64" s="4">
        <f>Q64/(Q64+Q65)</f>
        <v>0.38633075986213128</v>
      </c>
      <c r="T64" s="4">
        <f>S64*B64</f>
        <v>3.8633075986213128E-2</v>
      </c>
    </row>
    <row r="65" spans="1:20" x14ac:dyDescent="0.2">
      <c r="A65" s="5" t="s">
        <v>35</v>
      </c>
      <c r="E65" s="10">
        <f>Mortgage!F13</f>
        <v>285721.44049785426</v>
      </c>
      <c r="F65" s="10">
        <f>Mortgage!F27</f>
        <v>281223.98177137895</v>
      </c>
      <c r="G65" s="10">
        <f>Mortgage!F41</f>
        <v>276496.42452081235</v>
      </c>
      <c r="H65" s="10">
        <f>Mortgage!F55</f>
        <v>271526.99646896205</v>
      </c>
      <c r="I65" s="10">
        <f>Mortgage!F69</f>
        <v>266303.32304659241</v>
      </c>
      <c r="J65" s="10">
        <f>Mortgage!F83</f>
        <v>260812.39657802015</v>
      </c>
      <c r="K65" s="10">
        <f>Mortgage!F97</f>
        <v>255040.54389018656</v>
      </c>
      <c r="L65" s="10">
        <f>Mortgage!F111</f>
        <v>248973.39226454965</v>
      </c>
      <c r="M65" s="10">
        <f>Mortgage!F125</f>
        <v>242595.8336470089</v>
      </c>
      <c r="N65" s="10">
        <f>Mortgage!F139</f>
        <v>235891.98702674278</v>
      </c>
      <c r="P65" s="14">
        <f t="shared" ref="P65:P68" si="22">AVERAGE(E65:N65)</f>
        <v>262458.63197121082</v>
      </c>
      <c r="Q65" s="15">
        <f>P65/$P$69</f>
        <v>0.43679354953570809</v>
      </c>
      <c r="S65" s="4">
        <f>Q65/(Q64+Q65)</f>
        <v>0.61366924013786861</v>
      </c>
      <c r="T65" s="4">
        <f>S65*E18</f>
        <v>3.0683462006893432E-2</v>
      </c>
    </row>
    <row r="66" spans="1:20" x14ac:dyDescent="0.2">
      <c r="E66" s="10"/>
      <c r="F66" s="10"/>
      <c r="G66" s="10"/>
      <c r="H66" s="10"/>
      <c r="I66" s="10"/>
      <c r="J66" s="10"/>
      <c r="K66" s="10"/>
      <c r="L66" s="10"/>
      <c r="M66" s="10"/>
      <c r="N66" s="10"/>
      <c r="P66" s="14"/>
      <c r="T66" s="4">
        <f>SUM(T64:T65)</f>
        <v>6.9316537993106553E-2</v>
      </c>
    </row>
    <row r="67" spans="1:20" x14ac:dyDescent="0.2">
      <c r="A67" s="5" t="s">
        <v>41</v>
      </c>
      <c r="B67" s="5">
        <v>100000</v>
      </c>
      <c r="C67" s="5" t="s">
        <v>86</v>
      </c>
      <c r="E67" s="10">
        <f>B67</f>
        <v>100000</v>
      </c>
      <c r="F67" s="10">
        <f t="shared" ref="F67:N67" si="23">E67</f>
        <v>100000</v>
      </c>
      <c r="G67" s="10">
        <f t="shared" si="23"/>
        <v>100000</v>
      </c>
      <c r="H67" s="10">
        <f t="shared" si="23"/>
        <v>100000</v>
      </c>
      <c r="I67" s="10">
        <f t="shared" si="23"/>
        <v>100000</v>
      </c>
      <c r="J67" s="10">
        <f t="shared" si="23"/>
        <v>100000</v>
      </c>
      <c r="K67" s="10">
        <f t="shared" si="23"/>
        <v>100000</v>
      </c>
      <c r="L67" s="10">
        <f t="shared" si="23"/>
        <v>100000</v>
      </c>
      <c r="M67" s="10">
        <f t="shared" si="23"/>
        <v>100000</v>
      </c>
      <c r="N67" s="10">
        <f t="shared" si="23"/>
        <v>100000</v>
      </c>
      <c r="P67" s="14">
        <f t="shared" si="22"/>
        <v>100000</v>
      </c>
      <c r="Q67" s="15">
        <f>(P67+P68)/P69</f>
        <v>0.2882264239974342</v>
      </c>
    </row>
    <row r="68" spans="1:20" x14ac:dyDescent="0.2">
      <c r="A68" s="5" t="s">
        <v>42</v>
      </c>
      <c r="E68" s="10">
        <f>B68+E44</f>
        <v>9608.6703764635386</v>
      </c>
      <c r="F68" s="10">
        <f t="shared" ref="F68:N68" si="24">E68+F44</f>
        <v>20209.120301156818</v>
      </c>
      <c r="G68" s="10">
        <f t="shared" si="24"/>
        <v>31866.432205592329</v>
      </c>
      <c r="H68" s="10">
        <f t="shared" si="24"/>
        <v>44650.26578186101</v>
      </c>
      <c r="I68" s="10">
        <f t="shared" si="24"/>
        <v>58635.189873099771</v>
      </c>
      <c r="J68" s="10">
        <f t="shared" si="24"/>
        <v>75021.03894712156</v>
      </c>
      <c r="K68" s="10">
        <f t="shared" si="24"/>
        <v>92735.962668955646</v>
      </c>
      <c r="L68" s="10">
        <f t="shared" si="24"/>
        <v>111868.60019161075</v>
      </c>
      <c r="M68" s="10">
        <f t="shared" si="24"/>
        <v>132513.86657360097</v>
      </c>
      <c r="N68" s="10">
        <f t="shared" si="24"/>
        <v>154773.40997110205</v>
      </c>
      <c r="P68" s="14">
        <f t="shared" si="22"/>
        <v>73188.255689056445</v>
      </c>
    </row>
    <row r="69" spans="1:20" x14ac:dyDescent="0.2">
      <c r="E69" s="10"/>
      <c r="F69" s="10"/>
      <c r="G69" s="10"/>
      <c r="H69" s="10"/>
      <c r="I69" s="10"/>
      <c r="J69" s="10"/>
      <c r="K69" s="10"/>
      <c r="L69" s="10"/>
      <c r="M69" s="10"/>
      <c r="N69" s="10"/>
      <c r="P69" s="14">
        <f>SUM(P64:P68)</f>
        <v>600875.70489580848</v>
      </c>
    </row>
    <row r="70" spans="1:20" x14ac:dyDescent="0.2">
      <c r="A70" s="9" t="s">
        <v>43</v>
      </c>
      <c r="E70" s="10">
        <f>SUM(E62:E68)</f>
        <v>690120.88767123071</v>
      </c>
      <c r="F70" s="10">
        <f t="shared" ref="F70:N70" si="25">SUM(F62:F68)</f>
        <v>678716.58304657554</v>
      </c>
      <c r="G70" s="10">
        <f t="shared" si="25"/>
        <v>667312.4727545369</v>
      </c>
      <c r="H70" s="10">
        <f t="shared" si="25"/>
        <v>655908.55698876898</v>
      </c>
      <c r="I70" s="10">
        <f t="shared" si="25"/>
        <v>644504.83594311599</v>
      </c>
      <c r="J70" s="10">
        <f t="shared" si="25"/>
        <v>634701.3098116162</v>
      </c>
      <c r="K70" s="10">
        <f t="shared" si="25"/>
        <v>624897.97878850088</v>
      </c>
      <c r="L70" s="10">
        <f t="shared" si="25"/>
        <v>615094.84306819621</v>
      </c>
      <c r="M70" s="10">
        <f t="shared" si="25"/>
        <v>605291.90284532122</v>
      </c>
      <c r="N70" s="10">
        <f t="shared" si="25"/>
        <v>595489.15831469127</v>
      </c>
    </row>
    <row r="72" spans="1:20" x14ac:dyDescent="0.2">
      <c r="A72" s="5" t="s">
        <v>45</v>
      </c>
      <c r="E72" s="16">
        <f>E60-E70</f>
        <v>2.2118911147117615E-9</v>
      </c>
      <c r="F72" s="16">
        <f t="shared" ref="F72:N72" si="26">F60-F70</f>
        <v>0</v>
      </c>
      <c r="G72" s="16">
        <f t="shared" si="26"/>
        <v>0</v>
      </c>
      <c r="H72" s="16">
        <f t="shared" si="26"/>
        <v>0</v>
      </c>
      <c r="I72" s="16">
        <f t="shared" si="26"/>
        <v>0</v>
      </c>
      <c r="J72" s="16">
        <f t="shared" si="26"/>
        <v>0</v>
      </c>
      <c r="K72" s="16">
        <f t="shared" si="26"/>
        <v>0</v>
      </c>
      <c r="L72" s="16">
        <f t="shared" si="26"/>
        <v>0</v>
      </c>
      <c r="M72" s="16">
        <f t="shared" si="26"/>
        <v>0</v>
      </c>
      <c r="N72" s="16">
        <f t="shared" si="26"/>
        <v>0</v>
      </c>
    </row>
    <row r="75" spans="1:20" x14ac:dyDescent="0.2">
      <c r="A75" s="9" t="s">
        <v>89</v>
      </c>
      <c r="D75" s="5">
        <v>0</v>
      </c>
      <c r="E75" s="5">
        <v>1</v>
      </c>
      <c r="F75" s="5">
        <v>2</v>
      </c>
      <c r="G75" s="5">
        <v>3</v>
      </c>
      <c r="H75" s="5">
        <v>4</v>
      </c>
      <c r="I75" s="5">
        <v>5</v>
      </c>
      <c r="J75" s="5">
        <v>6</v>
      </c>
      <c r="K75" s="5">
        <v>7</v>
      </c>
      <c r="L75" s="5">
        <v>8</v>
      </c>
      <c r="M75" s="5">
        <v>9</v>
      </c>
      <c r="N75" s="5">
        <v>10</v>
      </c>
    </row>
    <row r="76" spans="1:20" x14ac:dyDescent="0.2">
      <c r="A76" s="5" t="s">
        <v>90</v>
      </c>
      <c r="E76" s="14">
        <f>E28+E29-E31-E32-(SUM(E34:E36))</f>
        <v>65441.599999999948</v>
      </c>
      <c r="F76" s="14">
        <f t="shared" ref="F76:N76" si="27">F28+F29-F31-F32-(SUM(F34:F36))</f>
        <v>64843.12080000015</v>
      </c>
      <c r="G76" s="14">
        <f t="shared" si="27"/>
        <v>64240.967960400187</v>
      </c>
      <c r="H76" s="14">
        <f t="shared" si="27"/>
        <v>63635.122553980356</v>
      </c>
      <c r="I76" s="14">
        <f t="shared" si="27"/>
        <v>63025.565558386821</v>
      </c>
      <c r="J76" s="14">
        <f t="shared" si="27"/>
        <v>62412.27785565579</v>
      </c>
      <c r="K76" s="14">
        <f t="shared" si="27"/>
        <v>61795.240231734759</v>
      </c>
      <c r="L76" s="14">
        <f t="shared" si="27"/>
        <v>61174.433376001281</v>
      </c>
      <c r="M76" s="14">
        <f t="shared" si="27"/>
        <v>60549.837880780135</v>
      </c>
      <c r="N76" s="14">
        <f t="shared" si="27"/>
        <v>59921.434240857809</v>
      </c>
    </row>
    <row r="77" spans="1:20" x14ac:dyDescent="0.2">
      <c r="A77" s="5" t="s">
        <v>91</v>
      </c>
      <c r="E77" s="14">
        <f>E37+E38</f>
        <v>11600</v>
      </c>
      <c r="F77" s="14">
        <f t="shared" ref="F77:N77" si="28">F37+F38</f>
        <v>11600</v>
      </c>
      <c r="G77" s="14">
        <f t="shared" si="28"/>
        <v>11600</v>
      </c>
      <c r="H77" s="14">
        <f t="shared" si="28"/>
        <v>11600</v>
      </c>
      <c r="I77" s="14">
        <f t="shared" si="28"/>
        <v>11600</v>
      </c>
      <c r="J77" s="14">
        <f t="shared" si="28"/>
        <v>10000</v>
      </c>
      <c r="K77" s="14">
        <f t="shared" si="28"/>
        <v>10000</v>
      </c>
      <c r="L77" s="14">
        <f t="shared" si="28"/>
        <v>10000</v>
      </c>
      <c r="M77" s="14">
        <f t="shared" si="28"/>
        <v>10000</v>
      </c>
      <c r="N77" s="14">
        <f t="shared" si="28"/>
        <v>10000</v>
      </c>
    </row>
    <row r="78" spans="1:20" x14ac:dyDescent="0.2">
      <c r="A78" s="5" t="s">
        <v>92</v>
      </c>
      <c r="E78" s="14">
        <f>E76-E77</f>
        <v>53841.599999999948</v>
      </c>
      <c r="F78" s="14">
        <f t="shared" ref="F78:N78" si="29">F76-F77</f>
        <v>53243.12080000015</v>
      </c>
      <c r="G78" s="14">
        <f t="shared" si="29"/>
        <v>52640.967960400187</v>
      </c>
      <c r="H78" s="14">
        <f t="shared" si="29"/>
        <v>52035.122553980356</v>
      </c>
      <c r="I78" s="14">
        <f t="shared" si="29"/>
        <v>51425.565558386821</v>
      </c>
      <c r="J78" s="14">
        <f t="shared" si="29"/>
        <v>52412.27785565579</v>
      </c>
      <c r="K78" s="14">
        <f t="shared" si="29"/>
        <v>51795.240231734759</v>
      </c>
      <c r="L78" s="14">
        <f t="shared" si="29"/>
        <v>51174.433376001281</v>
      </c>
      <c r="M78" s="14">
        <f t="shared" si="29"/>
        <v>50549.837880780135</v>
      </c>
      <c r="N78" s="14">
        <f t="shared" si="29"/>
        <v>49921.434240857809</v>
      </c>
    </row>
    <row r="79" spans="1:20" x14ac:dyDescent="0.2">
      <c r="A79" s="5" t="s">
        <v>93</v>
      </c>
      <c r="E79" s="17">
        <f>E78*$B$42</f>
        <v>16152.479999999983</v>
      </c>
      <c r="F79" s="17">
        <f t="shared" ref="F79:N79" si="30">F78*$B$42</f>
        <v>15972.936240000045</v>
      </c>
      <c r="G79" s="17">
        <f t="shared" si="30"/>
        <v>15792.290388120055</v>
      </c>
      <c r="H79" s="17">
        <f t="shared" si="30"/>
        <v>15610.536766194105</v>
      </c>
      <c r="I79" s="17">
        <f t="shared" si="30"/>
        <v>15427.669667516046</v>
      </c>
      <c r="J79" s="17">
        <f t="shared" si="30"/>
        <v>15723.683356696736</v>
      </c>
      <c r="K79" s="17">
        <f t="shared" si="30"/>
        <v>15538.572069520427</v>
      </c>
      <c r="L79" s="17">
        <f t="shared" si="30"/>
        <v>15352.330012800383</v>
      </c>
      <c r="M79" s="17">
        <f t="shared" si="30"/>
        <v>15164.951364234039</v>
      </c>
      <c r="N79" s="17">
        <f t="shared" si="30"/>
        <v>14976.430272257341</v>
      </c>
    </row>
    <row r="80" spans="1:20" x14ac:dyDescent="0.2">
      <c r="A80" s="5" t="s">
        <v>94</v>
      </c>
      <c r="E80" s="14">
        <f>E76-E79</f>
        <v>49289.119999999966</v>
      </c>
      <c r="F80" s="14">
        <f t="shared" ref="F80:N80" si="31">F76-F79</f>
        <v>48870.184560000103</v>
      </c>
      <c r="G80" s="14">
        <f t="shared" si="31"/>
        <v>48448.677572280132</v>
      </c>
      <c r="H80" s="14">
        <f t="shared" si="31"/>
        <v>48024.585787786251</v>
      </c>
      <c r="I80" s="14">
        <f t="shared" si="31"/>
        <v>47597.895890870772</v>
      </c>
      <c r="J80" s="14">
        <f t="shared" si="31"/>
        <v>46688.59449895905</v>
      </c>
      <c r="K80" s="14">
        <f t="shared" si="31"/>
        <v>46256.66816221433</v>
      </c>
      <c r="L80" s="14">
        <f t="shared" si="31"/>
        <v>45822.103363200898</v>
      </c>
      <c r="M80" s="14">
        <f t="shared" si="31"/>
        <v>45384.886516546096</v>
      </c>
      <c r="N80" s="14">
        <f t="shared" si="31"/>
        <v>44945.003968600467</v>
      </c>
    </row>
    <row r="82" spans="1:16" x14ac:dyDescent="0.2">
      <c r="A82" s="9" t="s">
        <v>16</v>
      </c>
    </row>
    <row r="83" spans="1:16" x14ac:dyDescent="0.2">
      <c r="A83" s="18" t="s">
        <v>95</v>
      </c>
    </row>
    <row r="84" spans="1:16" x14ac:dyDescent="0.2">
      <c r="A84" s="5" t="s">
        <v>17</v>
      </c>
      <c r="D84" s="10">
        <f>-(E47-D47)</f>
        <v>-300</v>
      </c>
      <c r="E84" s="10">
        <f t="shared" ref="E84:N84" si="32">-(F47-E47)</f>
        <v>0</v>
      </c>
      <c r="F84" s="10">
        <f t="shared" si="32"/>
        <v>0</v>
      </c>
      <c r="G84" s="10">
        <f t="shared" si="32"/>
        <v>0</v>
      </c>
      <c r="H84" s="10">
        <f t="shared" si="32"/>
        <v>0</v>
      </c>
      <c r="I84" s="10">
        <f t="shared" si="32"/>
        <v>0</v>
      </c>
      <c r="J84" s="10">
        <f t="shared" si="32"/>
        <v>0</v>
      </c>
      <c r="K84" s="10">
        <f t="shared" si="32"/>
        <v>0</v>
      </c>
      <c r="L84" s="10">
        <f t="shared" si="32"/>
        <v>0</v>
      </c>
      <c r="M84" s="10">
        <f t="shared" si="32"/>
        <v>0</v>
      </c>
      <c r="N84" s="10">
        <f t="shared" si="32"/>
        <v>300</v>
      </c>
    </row>
    <row r="85" spans="1:16" x14ac:dyDescent="0.2">
      <c r="A85" s="5" t="s">
        <v>18</v>
      </c>
      <c r="D85" s="10">
        <f>-(E48-D48)</f>
        <v>0</v>
      </c>
      <c r="E85" s="10">
        <f t="shared" ref="E85:N85" si="33">-(F48-E48)</f>
        <v>0</v>
      </c>
      <c r="F85" s="10">
        <f t="shared" si="33"/>
        <v>0</v>
      </c>
      <c r="G85" s="10">
        <f t="shared" si="33"/>
        <v>0</v>
      </c>
      <c r="H85" s="10">
        <f t="shared" si="33"/>
        <v>0</v>
      </c>
      <c r="I85" s="10">
        <f t="shared" si="33"/>
        <v>0</v>
      </c>
      <c r="J85" s="10">
        <f t="shared" si="33"/>
        <v>0</v>
      </c>
      <c r="K85" s="10">
        <f t="shared" si="33"/>
        <v>0</v>
      </c>
      <c r="L85" s="10">
        <f t="shared" si="33"/>
        <v>0</v>
      </c>
      <c r="M85" s="10">
        <f t="shared" si="33"/>
        <v>0</v>
      </c>
      <c r="N85" s="10">
        <f t="shared" si="33"/>
        <v>0</v>
      </c>
    </row>
    <row r="86" spans="1:16" x14ac:dyDescent="0.2">
      <c r="A86" s="5" t="s">
        <v>19</v>
      </c>
      <c r="D86" s="10">
        <f>-(E49-D49)</f>
        <v>-148093.15068493155</v>
      </c>
      <c r="E86" s="10">
        <f t="shared" ref="E86:N86" si="34">-(F49-E49)</f>
        <v>-148.09315068493015</v>
      </c>
      <c r="F86" s="10">
        <f t="shared" si="34"/>
        <v>-148.24124383559683</v>
      </c>
      <c r="G86" s="10">
        <f t="shared" si="34"/>
        <v>-148.38948507941677</v>
      </c>
      <c r="H86" s="10">
        <f t="shared" si="34"/>
        <v>-148.53787456452847</v>
      </c>
      <c r="I86" s="10">
        <f t="shared" si="34"/>
        <v>-148.68641243907041</v>
      </c>
      <c r="J86" s="10">
        <f t="shared" si="34"/>
        <v>-148.83509885153035</v>
      </c>
      <c r="K86" s="10">
        <f t="shared" si="34"/>
        <v>-148.98393395039602</v>
      </c>
      <c r="L86" s="10">
        <f t="shared" si="34"/>
        <v>-149.1329178843007</v>
      </c>
      <c r="M86" s="10">
        <f t="shared" si="34"/>
        <v>-149.28205080219777</v>
      </c>
      <c r="N86" s="10">
        <f t="shared" si="34"/>
        <v>149431.33285302352</v>
      </c>
    </row>
    <row r="87" spans="1:16" x14ac:dyDescent="0.2">
      <c r="A87" s="5" t="s">
        <v>20</v>
      </c>
      <c r="D87" s="10">
        <f>-(E50-D50)</f>
        <v>-50327.736986301388</v>
      </c>
      <c r="E87" s="10">
        <f t="shared" ref="E87:N87" si="35">-(F50-E50)</f>
        <v>-47.602224657515762</v>
      </c>
      <c r="F87" s="10">
        <f t="shared" si="35"/>
        <v>-47.648464126024919</v>
      </c>
      <c r="G87" s="10">
        <f t="shared" si="35"/>
        <v>-47.694749152600707</v>
      </c>
      <c r="H87" s="10">
        <f t="shared" si="35"/>
        <v>-47.741079782506858</v>
      </c>
      <c r="I87" s="10">
        <f t="shared" si="35"/>
        <v>-47.78745606096345</v>
      </c>
      <c r="J87" s="10">
        <f t="shared" si="35"/>
        <v>-47.833878033292422</v>
      </c>
      <c r="K87" s="10">
        <f t="shared" si="35"/>
        <v>-47.880345744866645</v>
      </c>
      <c r="L87" s="10">
        <f t="shared" si="35"/>
        <v>-47.926859241073544</v>
      </c>
      <c r="M87" s="10">
        <f t="shared" si="35"/>
        <v>-47.973418567336921</v>
      </c>
      <c r="N87" s="10">
        <f t="shared" si="35"/>
        <v>50757.825461667569</v>
      </c>
    </row>
    <row r="88" spans="1:16" x14ac:dyDescent="0.2">
      <c r="A88" s="5" t="s">
        <v>23</v>
      </c>
      <c r="D88" s="14">
        <f>E62-D62</f>
        <v>33551.824657534256</v>
      </c>
      <c r="E88" s="14">
        <f t="shared" ref="E88:N88" si="36">F62-E62</f>
        <v>31.734816438343842</v>
      </c>
      <c r="F88" s="14">
        <f t="shared" si="36"/>
        <v>31.765642750680854</v>
      </c>
      <c r="G88" s="14">
        <f t="shared" si="36"/>
        <v>31.796499435069563</v>
      </c>
      <c r="H88" s="14">
        <f t="shared" si="36"/>
        <v>31.82738652167609</v>
      </c>
      <c r="I88" s="14">
        <f t="shared" si="36"/>
        <v>31.858304040637449</v>
      </c>
      <c r="J88" s="14">
        <f t="shared" si="36"/>
        <v>31.889252022192522</v>
      </c>
      <c r="K88" s="14">
        <f t="shared" si="36"/>
        <v>31.920230496580189</v>
      </c>
      <c r="L88" s="14">
        <f t="shared" si="36"/>
        <v>31.951239494046604</v>
      </c>
      <c r="M88" s="14">
        <f t="shared" si="36"/>
        <v>31.982279044896131</v>
      </c>
      <c r="N88" s="14">
        <f t="shared" si="36"/>
        <v>-33838.55030777838</v>
      </c>
    </row>
    <row r="89" spans="1:16" x14ac:dyDescent="0.2">
      <c r="A89" s="5" t="s">
        <v>24</v>
      </c>
      <c r="D89" s="17">
        <f>E79-D79</f>
        <v>16152.479999999983</v>
      </c>
      <c r="E89" s="17">
        <f t="shared" ref="E89:N89" si="37">F79-E79</f>
        <v>-179.54375999993863</v>
      </c>
      <c r="F89" s="17">
        <f t="shared" si="37"/>
        <v>-180.64585187999</v>
      </c>
      <c r="G89" s="17">
        <f t="shared" si="37"/>
        <v>-181.75362192594912</v>
      </c>
      <c r="H89" s="17">
        <f t="shared" si="37"/>
        <v>-182.86709867805985</v>
      </c>
      <c r="I89" s="17">
        <f t="shared" si="37"/>
        <v>296.01368918069056</v>
      </c>
      <c r="J89" s="17">
        <f t="shared" si="37"/>
        <v>-185.11128717630891</v>
      </c>
      <c r="K89" s="17">
        <f t="shared" si="37"/>
        <v>-186.24205672004427</v>
      </c>
      <c r="L89" s="17">
        <f t="shared" si="37"/>
        <v>-187.37864856634405</v>
      </c>
      <c r="M89" s="17">
        <f t="shared" si="37"/>
        <v>-188.52109197669779</v>
      </c>
      <c r="N89" s="17">
        <f t="shared" si="37"/>
        <v>-14976.430272257341</v>
      </c>
    </row>
    <row r="90" spans="1:16" x14ac:dyDescent="0.2">
      <c r="A90" s="18" t="s">
        <v>96</v>
      </c>
    </row>
    <row r="91" spans="1:16" x14ac:dyDescent="0.2">
      <c r="A91" s="5" t="s">
        <v>97</v>
      </c>
      <c r="D91" s="10">
        <f>-(E52-D52)</f>
        <v>-8000</v>
      </c>
      <c r="E91" s="10">
        <f t="shared" ref="E91:N91" si="38">-(F52-E52)</f>
        <v>0</v>
      </c>
      <c r="F91" s="10">
        <f t="shared" si="38"/>
        <v>0</v>
      </c>
      <c r="G91" s="10">
        <f t="shared" si="38"/>
        <v>0</v>
      </c>
      <c r="H91" s="10">
        <f t="shared" si="38"/>
        <v>0</v>
      </c>
      <c r="I91" s="10">
        <f t="shared" si="38"/>
        <v>0</v>
      </c>
      <c r="J91" s="10">
        <f t="shared" si="38"/>
        <v>0</v>
      </c>
      <c r="K91" s="10">
        <f t="shared" si="38"/>
        <v>0</v>
      </c>
      <c r="L91" s="10">
        <f t="shared" si="38"/>
        <v>0</v>
      </c>
      <c r="M91" s="10">
        <f t="shared" si="38"/>
        <v>0</v>
      </c>
      <c r="N91" s="10">
        <f t="shared" si="38"/>
        <v>8000</v>
      </c>
    </row>
    <row r="92" spans="1:16" x14ac:dyDescent="0.2">
      <c r="A92" s="5" t="s">
        <v>98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>
        <f>N91*O92</f>
        <v>-7600</v>
      </c>
      <c r="O92" s="5">
        <v>-0.95</v>
      </c>
    </row>
    <row r="93" spans="1:16" x14ac:dyDescent="0.2">
      <c r="A93" s="5" t="s">
        <v>99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f>-P94*B42</f>
        <v>-120</v>
      </c>
      <c r="O93" s="5" t="s">
        <v>100</v>
      </c>
      <c r="P93" s="14">
        <f>N52-N53</f>
        <v>0</v>
      </c>
    </row>
    <row r="94" spans="1:16" x14ac:dyDescent="0.2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5" t="s">
        <v>101</v>
      </c>
      <c r="P94" s="14">
        <f>N91+N92-P93</f>
        <v>400</v>
      </c>
    </row>
    <row r="95" spans="1:16" x14ac:dyDescent="0.2">
      <c r="A95" s="5" t="s">
        <v>87</v>
      </c>
      <c r="D95" s="10">
        <f>-(E54-D54)</f>
        <v>-20000</v>
      </c>
      <c r="E95" s="10">
        <f t="shared" ref="E95:N95" si="39">-(F54-E54)</f>
        <v>0</v>
      </c>
      <c r="F95" s="10">
        <f t="shared" si="39"/>
        <v>0</v>
      </c>
      <c r="G95" s="10">
        <f t="shared" si="39"/>
        <v>0</v>
      </c>
      <c r="H95" s="10">
        <f t="shared" si="39"/>
        <v>0</v>
      </c>
      <c r="I95" s="10">
        <f t="shared" si="39"/>
        <v>0</v>
      </c>
      <c r="J95" s="10">
        <f t="shared" si="39"/>
        <v>0</v>
      </c>
      <c r="K95" s="10">
        <f t="shared" si="39"/>
        <v>0</v>
      </c>
      <c r="L95" s="10">
        <f t="shared" si="39"/>
        <v>0</v>
      </c>
      <c r="M95" s="10">
        <f t="shared" si="39"/>
        <v>0</v>
      </c>
      <c r="N95" s="10">
        <f t="shared" si="39"/>
        <v>20000</v>
      </c>
    </row>
    <row r="96" spans="1:16" x14ac:dyDescent="0.2">
      <c r="A96" s="5" t="s">
        <v>98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f>N95*O96</f>
        <v>1400.0000000000002</v>
      </c>
      <c r="O96" s="8">
        <v>7.0000000000000007E-2</v>
      </c>
    </row>
    <row r="97" spans="1:16" x14ac:dyDescent="0.2">
      <c r="A97" s="5" t="s">
        <v>99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>
        <f>-P98*B42</f>
        <v>-420</v>
      </c>
      <c r="O97" s="5" t="s">
        <v>100</v>
      </c>
      <c r="P97" s="5">
        <f>N95</f>
        <v>20000</v>
      </c>
    </row>
    <row r="98" spans="1:16" x14ac:dyDescent="0.2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5" t="s">
        <v>101</v>
      </c>
      <c r="P98" s="5">
        <f>N95+N96-P97</f>
        <v>1400</v>
      </c>
    </row>
    <row r="99" spans="1:16" x14ac:dyDescent="0.2">
      <c r="A99" s="5" t="s">
        <v>32</v>
      </c>
      <c r="D99" s="10">
        <f>-(E55-D55)</f>
        <v>-300000</v>
      </c>
      <c r="E99" s="10">
        <f t="shared" ref="E99:N99" si="40">-(F55-E55)</f>
        <v>0</v>
      </c>
      <c r="F99" s="10">
        <f t="shared" si="40"/>
        <v>0</v>
      </c>
      <c r="G99" s="10">
        <f t="shared" si="40"/>
        <v>0</v>
      </c>
      <c r="H99" s="10">
        <f t="shared" si="40"/>
        <v>0</v>
      </c>
      <c r="I99" s="10">
        <f t="shared" si="40"/>
        <v>0</v>
      </c>
      <c r="J99" s="10">
        <f t="shared" si="40"/>
        <v>0</v>
      </c>
      <c r="K99" s="10">
        <f t="shared" si="40"/>
        <v>0</v>
      </c>
      <c r="L99" s="10">
        <f t="shared" si="40"/>
        <v>0</v>
      </c>
      <c r="M99" s="10">
        <f t="shared" si="40"/>
        <v>0</v>
      </c>
      <c r="N99" s="10">
        <f t="shared" si="40"/>
        <v>300000</v>
      </c>
    </row>
    <row r="100" spans="1:16" x14ac:dyDescent="0.2">
      <c r="A100" s="5" t="s">
        <v>98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>N99*O100</f>
        <v>-30000</v>
      </c>
      <c r="O100" s="8">
        <v>-0.1</v>
      </c>
    </row>
    <row r="101" spans="1:16" x14ac:dyDescent="0.2">
      <c r="A101" s="5" t="s">
        <v>99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f>-P102*B42</f>
        <v>-21000</v>
      </c>
      <c r="O101" s="5" t="s">
        <v>102</v>
      </c>
      <c r="P101" s="14">
        <f>N55-N56</f>
        <v>200000</v>
      </c>
    </row>
    <row r="102" spans="1:16" x14ac:dyDescent="0.2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5" t="s">
        <v>101</v>
      </c>
      <c r="P102" s="14">
        <f>N99+N100-P101</f>
        <v>70000</v>
      </c>
    </row>
    <row r="103" spans="1:16" x14ac:dyDescent="0.2">
      <c r="A103" s="5" t="s">
        <v>103</v>
      </c>
      <c r="D103" s="10">
        <f>-(E58-D58)</f>
        <v>-175000</v>
      </c>
      <c r="E103" s="10">
        <f t="shared" ref="E103:N103" si="41">-(F58-E58)</f>
        <v>0</v>
      </c>
      <c r="F103" s="10">
        <f t="shared" si="41"/>
        <v>0</v>
      </c>
      <c r="G103" s="10">
        <f t="shared" si="41"/>
        <v>0</v>
      </c>
      <c r="H103" s="10">
        <f t="shared" si="41"/>
        <v>0</v>
      </c>
      <c r="I103" s="10">
        <f t="shared" si="41"/>
        <v>0</v>
      </c>
      <c r="J103" s="10">
        <f t="shared" si="41"/>
        <v>0</v>
      </c>
      <c r="K103" s="10">
        <f t="shared" si="41"/>
        <v>0</v>
      </c>
      <c r="L103" s="10">
        <f t="shared" si="41"/>
        <v>0</v>
      </c>
      <c r="M103" s="10">
        <f t="shared" si="41"/>
        <v>0</v>
      </c>
      <c r="N103" s="10">
        <f t="shared" si="41"/>
        <v>175000</v>
      </c>
    </row>
    <row r="104" spans="1:16" x14ac:dyDescent="0.2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6" x14ac:dyDescent="0.2">
      <c r="A105" s="9" t="s">
        <v>104</v>
      </c>
      <c r="D105" s="10">
        <f>SUM(D80:D103)</f>
        <v>-652016.58301369869</v>
      </c>
      <c r="E105" s="10">
        <f t="shared" ref="E105:N105" si="42">SUM(E80:E103)</f>
        <v>48945.615681095922</v>
      </c>
      <c r="F105" s="10">
        <f t="shared" si="42"/>
        <v>48525.414642909171</v>
      </c>
      <c r="G105" s="10">
        <f t="shared" si="42"/>
        <v>48102.636215557235</v>
      </c>
      <c r="H105" s="10">
        <f t="shared" si="42"/>
        <v>47677.267121282828</v>
      </c>
      <c r="I105" s="10">
        <f t="shared" si="42"/>
        <v>47729.294015592066</v>
      </c>
      <c r="J105" s="10">
        <f t="shared" si="42"/>
        <v>46338.703486920109</v>
      </c>
      <c r="K105" s="10">
        <f t="shared" si="42"/>
        <v>45905.482056295601</v>
      </c>
      <c r="L105" s="10">
        <f t="shared" si="42"/>
        <v>45469.616177003227</v>
      </c>
      <c r="M105" s="10">
        <f t="shared" si="42"/>
        <v>45031.092234244759</v>
      </c>
      <c r="N105" s="10">
        <f t="shared" si="42"/>
        <v>641879.18170325586</v>
      </c>
    </row>
    <row r="107" spans="1:16" x14ac:dyDescent="0.2">
      <c r="A107" s="5" t="s">
        <v>105</v>
      </c>
      <c r="D107" s="19">
        <f>-PV($D$109,D75,,D105)</f>
        <v>-652016.58301369869</v>
      </c>
      <c r="E107" s="19">
        <f t="shared" ref="E107:N107" si="43">-PV($D$109,E75,,E105)</f>
        <v>45883.688415615863</v>
      </c>
      <c r="F107" s="19">
        <f t="shared" si="43"/>
        <v>42644.036584825866</v>
      </c>
      <c r="G107" s="19">
        <f t="shared" si="43"/>
        <v>39628.027563170224</v>
      </c>
      <c r="H107" s="19">
        <f t="shared" si="43"/>
        <v>36820.481031355346</v>
      </c>
      <c r="I107" s="19">
        <f t="shared" si="43"/>
        <v>34554.740917134957</v>
      </c>
      <c r="J107" s="19">
        <f t="shared" si="43"/>
        <v>31449.303746847214</v>
      </c>
      <c r="K107" s="19">
        <f t="shared" si="43"/>
        <v>29206.279364401307</v>
      </c>
      <c r="L107" s="19">
        <f t="shared" si="43"/>
        <v>27119.238906482569</v>
      </c>
      <c r="M107" s="19">
        <f t="shared" si="43"/>
        <v>25177.535434778976</v>
      </c>
      <c r="N107" s="19">
        <f t="shared" si="43"/>
        <v>336432.97138198715</v>
      </c>
    </row>
    <row r="108" spans="1:16" x14ac:dyDescent="0.2">
      <c r="A108" s="5" t="s">
        <v>108</v>
      </c>
      <c r="D108" s="19">
        <f>SUM(D107:N107)</f>
        <v>-3100.2796670992975</v>
      </c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6" x14ac:dyDescent="0.2">
      <c r="A109" s="5" t="s">
        <v>106</v>
      </c>
      <c r="D109" s="4">
        <f>(1-B42)*T66*(Q64+Q65)+Q67*H5</f>
        <v>6.6732369851024709E-2</v>
      </c>
    </row>
    <row r="110" spans="1:16" x14ac:dyDescent="0.2">
      <c r="A110" s="5" t="s">
        <v>107</v>
      </c>
      <c r="D110" s="4">
        <f>IRR(D105:N105)</f>
        <v>6.6041407130139174E-2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A4" sqref="A4"/>
    </sheetView>
  </sheetViews>
  <sheetFormatPr defaultRowHeight="15" x14ac:dyDescent="0.25"/>
  <cols>
    <col min="2" max="2" width="11.5703125" bestFit="1" customWidth="1"/>
    <col min="3" max="4" width="10.140625" bestFit="1" customWidth="1"/>
    <col min="6" max="6" width="11.5703125" bestFit="1" customWidth="1"/>
    <col min="9" max="9" width="11.140625" bestFit="1" customWidth="1"/>
  </cols>
  <sheetData>
    <row r="1" spans="1:9" x14ac:dyDescent="0.25">
      <c r="A1" s="5"/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65</v>
      </c>
      <c r="H1" s="5" t="s">
        <v>58</v>
      </c>
      <c r="I1" s="4">
        <f>Consulting!E18</f>
        <v>0.05</v>
      </c>
    </row>
    <row r="2" spans="1:9" x14ac:dyDescent="0.25">
      <c r="A2" s="20">
        <v>1</v>
      </c>
      <c r="B2" s="21">
        <f>I6</f>
        <v>290000</v>
      </c>
      <c r="C2" s="21">
        <f t="shared" ref="C2:C13" si="0">+E2-D2</f>
        <v>348.44937340187016</v>
      </c>
      <c r="D2" s="21">
        <f t="shared" ref="D2:D13" si="1">B2*$I$2</f>
        <v>1208.3333333333333</v>
      </c>
      <c r="E2" s="21">
        <f t="shared" ref="E2:E13" si="2">-$I$8</f>
        <v>1556.7827067352034</v>
      </c>
      <c r="F2" s="21">
        <f t="shared" ref="F2:F13" si="3">+B2-C2</f>
        <v>289651.55062659812</v>
      </c>
      <c r="G2" s="5"/>
      <c r="H2" s="5" t="s">
        <v>59</v>
      </c>
      <c r="I2" s="4">
        <f>+I1/12</f>
        <v>4.1666666666666666E-3</v>
      </c>
    </row>
    <row r="3" spans="1:9" x14ac:dyDescent="0.25">
      <c r="A3" s="20">
        <v>2</v>
      </c>
      <c r="B3" s="21">
        <f t="shared" ref="B3:B13" si="4">+F2</f>
        <v>289651.55062659812</v>
      </c>
      <c r="C3" s="21">
        <f t="shared" si="0"/>
        <v>349.90124579104463</v>
      </c>
      <c r="D3" s="21">
        <f t="shared" si="1"/>
        <v>1206.8814609441588</v>
      </c>
      <c r="E3" s="21">
        <f t="shared" si="2"/>
        <v>1556.7827067352034</v>
      </c>
      <c r="F3" s="21">
        <f t="shared" si="3"/>
        <v>289301.64938080707</v>
      </c>
      <c r="G3" s="5"/>
      <c r="H3" s="5" t="s">
        <v>60</v>
      </c>
      <c r="I3" s="22">
        <v>0</v>
      </c>
    </row>
    <row r="4" spans="1:9" x14ac:dyDescent="0.25">
      <c r="A4" s="20">
        <v>3</v>
      </c>
      <c r="B4" s="21">
        <f t="shared" si="4"/>
        <v>289301.64938080707</v>
      </c>
      <c r="C4" s="21">
        <f t="shared" si="0"/>
        <v>351.35916764850731</v>
      </c>
      <c r="D4" s="21">
        <f t="shared" si="1"/>
        <v>1205.4235390866961</v>
      </c>
      <c r="E4" s="21">
        <f t="shared" si="2"/>
        <v>1556.7827067352034</v>
      </c>
      <c r="F4" s="21">
        <f t="shared" si="3"/>
        <v>288950.29021315859</v>
      </c>
      <c r="G4" s="5"/>
      <c r="H4" s="5" t="s">
        <v>61</v>
      </c>
      <c r="I4" s="23">
        <f>12*Consulting!F18</f>
        <v>360</v>
      </c>
    </row>
    <row r="5" spans="1:9" x14ac:dyDescent="0.25">
      <c r="A5" s="20">
        <v>4</v>
      </c>
      <c r="B5" s="21">
        <f t="shared" si="4"/>
        <v>288950.29021315859</v>
      </c>
      <c r="C5" s="21">
        <f t="shared" si="0"/>
        <v>352.8231641803759</v>
      </c>
      <c r="D5" s="21">
        <f t="shared" si="1"/>
        <v>1203.9595425548275</v>
      </c>
      <c r="E5" s="21">
        <f t="shared" si="2"/>
        <v>1556.7827067352034</v>
      </c>
      <c r="F5" s="21">
        <f t="shared" si="3"/>
        <v>288597.4670489782</v>
      </c>
      <c r="G5" s="5"/>
      <c r="H5" s="5" t="s">
        <v>62</v>
      </c>
      <c r="I5" s="5">
        <v>0</v>
      </c>
    </row>
    <row r="6" spans="1:9" x14ac:dyDescent="0.25">
      <c r="A6" s="20">
        <v>5</v>
      </c>
      <c r="B6" s="21">
        <f t="shared" si="4"/>
        <v>288597.4670489782</v>
      </c>
      <c r="C6" s="21">
        <f t="shared" si="0"/>
        <v>354.29326069779427</v>
      </c>
      <c r="D6" s="21">
        <f t="shared" si="1"/>
        <v>1202.4894460374092</v>
      </c>
      <c r="E6" s="21">
        <f t="shared" si="2"/>
        <v>1556.7827067352034</v>
      </c>
      <c r="F6" s="21">
        <f t="shared" si="3"/>
        <v>288243.1737882804</v>
      </c>
      <c r="G6" s="5"/>
      <c r="H6" s="5" t="s">
        <v>63</v>
      </c>
      <c r="I6" s="22">
        <f>Consulting!A18</f>
        <v>290000</v>
      </c>
    </row>
    <row r="7" spans="1:9" x14ac:dyDescent="0.25">
      <c r="A7" s="20">
        <v>6</v>
      </c>
      <c r="B7" s="21">
        <f t="shared" si="4"/>
        <v>288243.1737882804</v>
      </c>
      <c r="C7" s="21">
        <f t="shared" si="0"/>
        <v>355.76948261736834</v>
      </c>
      <c r="D7" s="21">
        <f t="shared" si="1"/>
        <v>1201.0132241178351</v>
      </c>
      <c r="E7" s="21">
        <f t="shared" si="2"/>
        <v>1556.7827067352034</v>
      </c>
      <c r="F7" s="21">
        <f t="shared" si="3"/>
        <v>287887.40430566302</v>
      </c>
      <c r="G7" s="5"/>
      <c r="H7" s="5"/>
      <c r="I7" s="5"/>
    </row>
    <row r="8" spans="1:9" x14ac:dyDescent="0.25">
      <c r="A8" s="20">
        <v>7</v>
      </c>
      <c r="B8" s="21">
        <f t="shared" si="4"/>
        <v>287887.40430566302</v>
      </c>
      <c r="C8" s="21">
        <f t="shared" si="0"/>
        <v>357.25185546160742</v>
      </c>
      <c r="D8" s="21">
        <f t="shared" si="1"/>
        <v>1199.530851273596</v>
      </c>
      <c r="E8" s="21">
        <f t="shared" si="2"/>
        <v>1556.7827067352034</v>
      </c>
      <c r="F8" s="21">
        <f t="shared" si="3"/>
        <v>287530.15245020139</v>
      </c>
      <c r="G8" s="5"/>
      <c r="H8" s="5" t="s">
        <v>56</v>
      </c>
      <c r="I8" s="22">
        <f>PMT(I2,I4,I6,I3,I5)</f>
        <v>-1556.7827067352034</v>
      </c>
    </row>
    <row r="9" spans="1:9" x14ac:dyDescent="0.25">
      <c r="A9" s="20">
        <v>8</v>
      </c>
      <c r="B9" s="21">
        <f t="shared" si="4"/>
        <v>287530.15245020139</v>
      </c>
      <c r="C9" s="21">
        <f t="shared" si="0"/>
        <v>358.74040485936439</v>
      </c>
      <c r="D9" s="21">
        <f t="shared" si="1"/>
        <v>1198.042301875839</v>
      </c>
      <c r="E9" s="21">
        <f t="shared" si="2"/>
        <v>1556.7827067352034</v>
      </c>
      <c r="F9" s="21">
        <f t="shared" si="3"/>
        <v>287171.41204534203</v>
      </c>
      <c r="G9" s="5"/>
      <c r="H9" s="5"/>
      <c r="I9" s="5"/>
    </row>
    <row r="10" spans="1:9" x14ac:dyDescent="0.25">
      <c r="A10" s="20">
        <v>9</v>
      </c>
      <c r="B10" s="21">
        <f t="shared" si="4"/>
        <v>287171.41204534203</v>
      </c>
      <c r="C10" s="21">
        <f t="shared" si="0"/>
        <v>360.2351565462784</v>
      </c>
      <c r="D10" s="21">
        <f t="shared" si="1"/>
        <v>1196.547550188925</v>
      </c>
      <c r="E10" s="21">
        <f t="shared" si="2"/>
        <v>1556.7827067352034</v>
      </c>
      <c r="F10" s="21">
        <f t="shared" si="3"/>
        <v>286811.17688879574</v>
      </c>
      <c r="G10" s="5"/>
      <c r="H10" s="5"/>
      <c r="I10" s="5"/>
    </row>
    <row r="11" spans="1:9" x14ac:dyDescent="0.25">
      <c r="A11" s="20">
        <v>10</v>
      </c>
      <c r="B11" s="21">
        <f t="shared" si="4"/>
        <v>286811.17688879574</v>
      </c>
      <c r="C11" s="21">
        <f t="shared" si="0"/>
        <v>361.73613636522123</v>
      </c>
      <c r="D11" s="21">
        <f t="shared" si="1"/>
        <v>1195.0465703699822</v>
      </c>
      <c r="E11" s="21">
        <f t="shared" si="2"/>
        <v>1556.7827067352034</v>
      </c>
      <c r="F11" s="21">
        <f t="shared" si="3"/>
        <v>286449.44075243053</v>
      </c>
      <c r="G11" s="5"/>
      <c r="H11" s="5"/>
      <c r="I11" s="5"/>
    </row>
    <row r="12" spans="1:9" x14ac:dyDescent="0.25">
      <c r="A12" s="20">
        <v>11</v>
      </c>
      <c r="B12" s="21">
        <f t="shared" si="4"/>
        <v>286449.44075243053</v>
      </c>
      <c r="C12" s="21">
        <f t="shared" si="0"/>
        <v>363.24337026674289</v>
      </c>
      <c r="D12" s="21">
        <f t="shared" si="1"/>
        <v>1193.5393364684605</v>
      </c>
      <c r="E12" s="21">
        <f t="shared" si="2"/>
        <v>1556.7827067352034</v>
      </c>
      <c r="F12" s="21">
        <f t="shared" si="3"/>
        <v>286086.19738216378</v>
      </c>
      <c r="G12" s="5"/>
      <c r="H12" s="5"/>
      <c r="I12" s="5"/>
    </row>
    <row r="13" spans="1:9" x14ac:dyDescent="0.25">
      <c r="A13" s="20">
        <v>12</v>
      </c>
      <c r="B13" s="21">
        <f t="shared" si="4"/>
        <v>286086.19738216378</v>
      </c>
      <c r="C13" s="21">
        <f t="shared" si="0"/>
        <v>364.75688430952096</v>
      </c>
      <c r="D13" s="21">
        <f t="shared" si="1"/>
        <v>1192.0258224256825</v>
      </c>
      <c r="E13" s="21">
        <f t="shared" si="2"/>
        <v>1556.7827067352034</v>
      </c>
      <c r="F13" s="1">
        <f t="shared" si="3"/>
        <v>285721.44049785426</v>
      </c>
      <c r="G13" s="5"/>
      <c r="H13" s="5"/>
      <c r="I13" s="5"/>
    </row>
    <row r="14" spans="1:9" x14ac:dyDescent="0.25">
      <c r="A14" s="2" t="s">
        <v>64</v>
      </c>
      <c r="B14" s="2"/>
      <c r="C14" s="1">
        <f>SUM(C2:C13)</f>
        <v>4278.5595021456957</v>
      </c>
      <c r="D14" s="1">
        <f>SUM(D2:D13)</f>
        <v>14402.832978676746</v>
      </c>
      <c r="E14" s="21"/>
      <c r="F14" s="21"/>
      <c r="G14" s="5"/>
      <c r="H14" s="5"/>
      <c r="I14" s="5"/>
    </row>
    <row r="15" spans="1:9" x14ac:dyDescent="0.25">
      <c r="A15" s="24"/>
      <c r="B15" s="24"/>
      <c r="C15" s="21"/>
      <c r="D15" s="21"/>
      <c r="E15" s="21"/>
      <c r="F15" s="21"/>
      <c r="G15" s="5" t="s">
        <v>66</v>
      </c>
      <c r="H15" s="5"/>
      <c r="I15" s="5"/>
    </row>
    <row r="16" spans="1:9" x14ac:dyDescent="0.25">
      <c r="A16" s="20">
        <v>1</v>
      </c>
      <c r="B16" s="21">
        <f>+F13</f>
        <v>285721.44049785426</v>
      </c>
      <c r="C16" s="21">
        <f t="shared" ref="C16:C27" si="5">+E16-D16</f>
        <v>366.27670466081076</v>
      </c>
      <c r="D16" s="21">
        <f t="shared" ref="D16:D27" si="6">B16*$I$2</f>
        <v>1190.5060020743927</v>
      </c>
      <c r="E16" s="21">
        <f t="shared" ref="E16:E27" si="7">-$I$8</f>
        <v>1556.7827067352034</v>
      </c>
      <c r="F16" s="21">
        <f t="shared" ref="F16:F27" si="8">+B16-C16</f>
        <v>285355.16379319347</v>
      </c>
      <c r="G16" s="5"/>
      <c r="H16" s="5"/>
      <c r="I16" s="5"/>
    </row>
    <row r="17" spans="1:9" x14ac:dyDescent="0.25">
      <c r="A17" s="20">
        <v>2</v>
      </c>
      <c r="B17" s="21">
        <f t="shared" ref="B17:B27" si="9">+F16</f>
        <v>285355.16379319347</v>
      </c>
      <c r="C17" s="21">
        <f t="shared" si="5"/>
        <v>367.80285759689741</v>
      </c>
      <c r="D17" s="21">
        <f t="shared" si="6"/>
        <v>1188.979849138306</v>
      </c>
      <c r="E17" s="21">
        <f t="shared" si="7"/>
        <v>1556.7827067352034</v>
      </c>
      <c r="F17" s="21">
        <f t="shared" si="8"/>
        <v>284987.36093559657</v>
      </c>
      <c r="G17" s="5"/>
      <c r="H17" s="5"/>
      <c r="I17" s="5"/>
    </row>
    <row r="18" spans="1:9" x14ac:dyDescent="0.25">
      <c r="A18" s="20">
        <v>3</v>
      </c>
      <c r="B18" s="21">
        <f t="shared" si="9"/>
        <v>284987.36093559657</v>
      </c>
      <c r="C18" s="21">
        <f t="shared" si="5"/>
        <v>369.33536950355096</v>
      </c>
      <c r="D18" s="21">
        <f t="shared" si="6"/>
        <v>1187.4473372316525</v>
      </c>
      <c r="E18" s="21">
        <f t="shared" si="7"/>
        <v>1556.7827067352034</v>
      </c>
      <c r="F18" s="21">
        <f t="shared" si="8"/>
        <v>284618.02556609304</v>
      </c>
      <c r="G18" s="5"/>
      <c r="H18" s="5"/>
      <c r="I18" s="5"/>
    </row>
    <row r="19" spans="1:9" x14ac:dyDescent="0.25">
      <c r="A19" s="20">
        <v>4</v>
      </c>
      <c r="B19" s="21">
        <f t="shared" si="9"/>
        <v>284618.02556609304</v>
      </c>
      <c r="C19" s="21">
        <f t="shared" si="5"/>
        <v>370.87426687648235</v>
      </c>
      <c r="D19" s="21">
        <f t="shared" si="6"/>
        <v>1185.9084398587211</v>
      </c>
      <c r="E19" s="21">
        <f t="shared" si="7"/>
        <v>1556.7827067352034</v>
      </c>
      <c r="F19" s="21">
        <f t="shared" si="8"/>
        <v>284247.15129921655</v>
      </c>
      <c r="G19" s="5"/>
      <c r="H19" s="5"/>
      <c r="I19" s="5"/>
    </row>
    <row r="20" spans="1:9" x14ac:dyDescent="0.25">
      <c r="A20" s="20">
        <v>5</v>
      </c>
      <c r="B20" s="21">
        <f t="shared" si="9"/>
        <v>284247.15129921655</v>
      </c>
      <c r="C20" s="21">
        <f t="shared" si="5"/>
        <v>372.41957632180106</v>
      </c>
      <c r="D20" s="21">
        <f t="shared" si="6"/>
        <v>1184.3631304134024</v>
      </c>
      <c r="E20" s="21">
        <f t="shared" si="7"/>
        <v>1556.7827067352034</v>
      </c>
      <c r="F20" s="21">
        <f t="shared" si="8"/>
        <v>283874.73172289476</v>
      </c>
      <c r="G20" s="5"/>
      <c r="H20" s="5"/>
      <c r="I20" s="5"/>
    </row>
    <row r="21" spans="1:9" x14ac:dyDescent="0.25">
      <c r="A21" s="20">
        <v>6</v>
      </c>
      <c r="B21" s="21">
        <f t="shared" si="9"/>
        <v>283874.73172289476</v>
      </c>
      <c r="C21" s="21">
        <f t="shared" si="5"/>
        <v>373.97132455647534</v>
      </c>
      <c r="D21" s="21">
        <f t="shared" si="6"/>
        <v>1182.8113821787281</v>
      </c>
      <c r="E21" s="21">
        <f t="shared" si="7"/>
        <v>1556.7827067352034</v>
      </c>
      <c r="F21" s="21">
        <f t="shared" si="8"/>
        <v>283500.76039833832</v>
      </c>
      <c r="G21" s="5"/>
      <c r="H21" s="5"/>
      <c r="I21" s="5"/>
    </row>
    <row r="22" spans="1:9" x14ac:dyDescent="0.25">
      <c r="A22" s="20">
        <v>7</v>
      </c>
      <c r="B22" s="21">
        <f t="shared" si="9"/>
        <v>283500.76039833832</v>
      </c>
      <c r="C22" s="21">
        <f t="shared" si="5"/>
        <v>375.52953840879377</v>
      </c>
      <c r="D22" s="21">
        <f t="shared" si="6"/>
        <v>1181.2531683264097</v>
      </c>
      <c r="E22" s="21">
        <f t="shared" si="7"/>
        <v>1556.7827067352034</v>
      </c>
      <c r="F22" s="21">
        <f t="shared" si="8"/>
        <v>283125.23085992952</v>
      </c>
      <c r="G22" s="5"/>
      <c r="H22" s="5"/>
      <c r="I22" s="5"/>
    </row>
    <row r="23" spans="1:9" x14ac:dyDescent="0.25">
      <c r="A23" s="20">
        <v>8</v>
      </c>
      <c r="B23" s="21">
        <f t="shared" si="9"/>
        <v>283125.23085992952</v>
      </c>
      <c r="C23" s="21">
        <f t="shared" si="5"/>
        <v>377.09424481883048</v>
      </c>
      <c r="D23" s="21">
        <f t="shared" si="6"/>
        <v>1179.6884619163729</v>
      </c>
      <c r="E23" s="21">
        <f t="shared" si="7"/>
        <v>1556.7827067352034</v>
      </c>
      <c r="F23" s="21">
        <f t="shared" si="8"/>
        <v>282748.13661511068</v>
      </c>
      <c r="G23" s="5"/>
      <c r="H23" s="5"/>
      <c r="I23" s="5"/>
    </row>
    <row r="24" spans="1:9" x14ac:dyDescent="0.25">
      <c r="A24" s="20">
        <v>9</v>
      </c>
      <c r="B24" s="21">
        <f t="shared" si="9"/>
        <v>282748.13661511068</v>
      </c>
      <c r="C24" s="21">
        <f t="shared" si="5"/>
        <v>378.66547083890896</v>
      </c>
      <c r="D24" s="21">
        <f t="shared" si="6"/>
        <v>1178.1172358962945</v>
      </c>
      <c r="E24" s="21">
        <f t="shared" si="7"/>
        <v>1556.7827067352034</v>
      </c>
      <c r="F24" s="21">
        <f t="shared" si="8"/>
        <v>282369.47114427178</v>
      </c>
      <c r="G24" s="5"/>
      <c r="H24" s="5"/>
      <c r="I24" s="5"/>
    </row>
    <row r="25" spans="1:9" x14ac:dyDescent="0.25">
      <c r="A25" s="20">
        <v>10</v>
      </c>
      <c r="B25" s="21">
        <f t="shared" si="9"/>
        <v>282369.47114427178</v>
      </c>
      <c r="C25" s="21">
        <f t="shared" si="5"/>
        <v>380.24324363407095</v>
      </c>
      <c r="D25" s="21">
        <f t="shared" si="6"/>
        <v>1176.5394631011325</v>
      </c>
      <c r="E25" s="21">
        <f t="shared" si="7"/>
        <v>1556.7827067352034</v>
      </c>
      <c r="F25" s="21">
        <f t="shared" si="8"/>
        <v>281989.22790063772</v>
      </c>
      <c r="G25" s="5"/>
      <c r="H25" s="5"/>
      <c r="I25" s="5"/>
    </row>
    <row r="26" spans="1:9" x14ac:dyDescent="0.25">
      <c r="A26" s="20">
        <v>11</v>
      </c>
      <c r="B26" s="21">
        <f t="shared" si="9"/>
        <v>281989.22790063772</v>
      </c>
      <c r="C26" s="21">
        <f t="shared" si="5"/>
        <v>381.82759048254616</v>
      </c>
      <c r="D26" s="21">
        <f t="shared" si="6"/>
        <v>1174.9551162526573</v>
      </c>
      <c r="E26" s="21">
        <f t="shared" si="7"/>
        <v>1556.7827067352034</v>
      </c>
      <c r="F26" s="21">
        <f t="shared" si="8"/>
        <v>281607.40031015518</v>
      </c>
      <c r="G26" s="5"/>
      <c r="H26" s="5"/>
      <c r="I26" s="5"/>
    </row>
    <row r="27" spans="1:9" x14ac:dyDescent="0.25">
      <c r="A27" s="20">
        <v>12</v>
      </c>
      <c r="B27" s="21">
        <f t="shared" si="9"/>
        <v>281607.40031015518</v>
      </c>
      <c r="C27" s="21">
        <f t="shared" si="5"/>
        <v>383.41853877622361</v>
      </c>
      <c r="D27" s="21">
        <f t="shared" si="6"/>
        <v>1173.3641679589798</v>
      </c>
      <c r="E27" s="21">
        <f t="shared" si="7"/>
        <v>1556.7827067352034</v>
      </c>
      <c r="F27" s="1">
        <f t="shared" si="8"/>
        <v>281223.98177137895</v>
      </c>
      <c r="G27" s="5"/>
      <c r="H27" s="5"/>
      <c r="I27" s="5"/>
    </row>
    <row r="28" spans="1:9" x14ac:dyDescent="0.25">
      <c r="A28" s="2" t="s">
        <v>64</v>
      </c>
      <c r="B28" s="2"/>
      <c r="C28" s="1">
        <f>SUM(C16:C27)</f>
        <v>4497.4587264753918</v>
      </c>
      <c r="D28" s="1">
        <f>SUM(D16:D27)</f>
        <v>14183.93375434705</v>
      </c>
      <c r="E28" s="21"/>
      <c r="F28" s="21"/>
      <c r="G28" s="5"/>
      <c r="H28" s="5"/>
      <c r="I28" s="5"/>
    </row>
    <row r="29" spans="1:9" x14ac:dyDescent="0.25">
      <c r="A29" s="24"/>
      <c r="B29" s="24"/>
      <c r="C29" s="21"/>
      <c r="D29" s="21"/>
      <c r="E29" s="21"/>
      <c r="F29" s="21"/>
      <c r="G29" s="5" t="s">
        <v>67</v>
      </c>
      <c r="H29" s="5"/>
      <c r="I29" s="5"/>
    </row>
    <row r="30" spans="1:9" x14ac:dyDescent="0.25">
      <c r="A30" s="20">
        <v>1</v>
      </c>
      <c r="B30" s="21">
        <f>+F27</f>
        <v>281223.98177137895</v>
      </c>
      <c r="C30" s="21">
        <f t="shared" ref="C30:C41" si="10">+E30-D30</f>
        <v>385.01611602112439</v>
      </c>
      <c r="D30" s="21">
        <f t="shared" ref="D30:D41" si="11">B30*$I$2</f>
        <v>1171.766590714079</v>
      </c>
      <c r="E30" s="21">
        <f t="shared" ref="E30:E41" si="12">-$I$8</f>
        <v>1556.7827067352034</v>
      </c>
      <c r="F30" s="21">
        <f t="shared" ref="F30:F41" si="13">+B30-C30</f>
        <v>280838.96565535781</v>
      </c>
      <c r="G30" s="5"/>
      <c r="H30" s="5"/>
      <c r="I30" s="5"/>
    </row>
    <row r="31" spans="1:9" x14ac:dyDescent="0.25">
      <c r="A31" s="20">
        <v>2</v>
      </c>
      <c r="B31" s="21">
        <f t="shared" ref="B31:B41" si="14">+F30</f>
        <v>280838.96565535781</v>
      </c>
      <c r="C31" s="21">
        <f t="shared" si="10"/>
        <v>386.6203498378793</v>
      </c>
      <c r="D31" s="21">
        <f t="shared" si="11"/>
        <v>1170.1623568973241</v>
      </c>
      <c r="E31" s="21">
        <f t="shared" si="12"/>
        <v>1556.7827067352034</v>
      </c>
      <c r="F31" s="21">
        <f t="shared" si="13"/>
        <v>280452.34530551994</v>
      </c>
      <c r="G31" s="5"/>
      <c r="H31" s="5"/>
      <c r="I31" s="5"/>
    </row>
    <row r="32" spans="1:9" x14ac:dyDescent="0.25">
      <c r="A32" s="20">
        <v>3</v>
      </c>
      <c r="B32" s="21">
        <f t="shared" si="14"/>
        <v>280452.34530551994</v>
      </c>
      <c r="C32" s="21">
        <f t="shared" si="10"/>
        <v>388.23126796220367</v>
      </c>
      <c r="D32" s="21">
        <f t="shared" si="11"/>
        <v>1168.5514387729997</v>
      </c>
      <c r="E32" s="21">
        <f t="shared" si="12"/>
        <v>1556.7827067352034</v>
      </c>
      <c r="F32" s="21">
        <f t="shared" si="13"/>
        <v>280064.11403755774</v>
      </c>
      <c r="G32" s="5"/>
      <c r="H32" s="5"/>
      <c r="I32" s="5"/>
    </row>
    <row r="33" spans="1:9" x14ac:dyDescent="0.25">
      <c r="A33" s="20">
        <v>4</v>
      </c>
      <c r="B33" s="21">
        <f t="shared" si="14"/>
        <v>280064.11403755774</v>
      </c>
      <c r="C33" s="21">
        <f t="shared" si="10"/>
        <v>389.84889824537959</v>
      </c>
      <c r="D33" s="21">
        <f t="shared" si="11"/>
        <v>1166.9338084898238</v>
      </c>
      <c r="E33" s="21">
        <f t="shared" si="12"/>
        <v>1556.7827067352034</v>
      </c>
      <c r="F33" s="21">
        <f t="shared" si="13"/>
        <v>279674.26513931237</v>
      </c>
      <c r="G33" s="5"/>
      <c r="H33" s="5"/>
      <c r="I33" s="5"/>
    </row>
    <row r="34" spans="1:9" x14ac:dyDescent="0.25">
      <c r="A34" s="20">
        <v>5</v>
      </c>
      <c r="B34" s="21">
        <f t="shared" si="14"/>
        <v>279674.26513931237</v>
      </c>
      <c r="C34" s="21">
        <f t="shared" si="10"/>
        <v>391.47326865473519</v>
      </c>
      <c r="D34" s="21">
        <f t="shared" si="11"/>
        <v>1165.3094380804682</v>
      </c>
      <c r="E34" s="21">
        <f t="shared" si="12"/>
        <v>1556.7827067352034</v>
      </c>
      <c r="F34" s="21">
        <f t="shared" si="13"/>
        <v>279282.79187065765</v>
      </c>
      <c r="G34" s="5"/>
      <c r="H34" s="5"/>
      <c r="I34" s="5"/>
    </row>
    <row r="35" spans="1:9" x14ac:dyDescent="0.25">
      <c r="A35" s="20">
        <v>6</v>
      </c>
      <c r="B35" s="21">
        <f t="shared" si="14"/>
        <v>279282.79187065765</v>
      </c>
      <c r="C35" s="21">
        <f t="shared" si="10"/>
        <v>393.10440727412993</v>
      </c>
      <c r="D35" s="21">
        <f t="shared" si="11"/>
        <v>1163.6782994610735</v>
      </c>
      <c r="E35" s="21">
        <f t="shared" si="12"/>
        <v>1556.7827067352034</v>
      </c>
      <c r="F35" s="21">
        <f t="shared" si="13"/>
        <v>278889.68746338354</v>
      </c>
      <c r="G35" s="5"/>
      <c r="H35" s="5"/>
      <c r="I35" s="5"/>
    </row>
    <row r="36" spans="1:9" x14ac:dyDescent="0.25">
      <c r="A36" s="20">
        <v>7</v>
      </c>
      <c r="B36" s="21">
        <f t="shared" si="14"/>
        <v>278889.68746338354</v>
      </c>
      <c r="C36" s="21">
        <f t="shared" si="10"/>
        <v>394.74234230443858</v>
      </c>
      <c r="D36" s="21">
        <f t="shared" si="11"/>
        <v>1162.0403644307648</v>
      </c>
      <c r="E36" s="21">
        <f t="shared" si="12"/>
        <v>1556.7827067352034</v>
      </c>
      <c r="F36" s="21">
        <f t="shared" si="13"/>
        <v>278494.9451210791</v>
      </c>
      <c r="G36" s="5"/>
      <c r="H36" s="5"/>
      <c r="I36" s="5"/>
    </row>
    <row r="37" spans="1:9" x14ac:dyDescent="0.25">
      <c r="A37" s="20">
        <v>8</v>
      </c>
      <c r="B37" s="21">
        <f t="shared" si="14"/>
        <v>278494.9451210791</v>
      </c>
      <c r="C37" s="21">
        <f t="shared" si="10"/>
        <v>396.38710206404062</v>
      </c>
      <c r="D37" s="21">
        <f t="shared" si="11"/>
        <v>1160.3956046711628</v>
      </c>
      <c r="E37" s="21">
        <f t="shared" si="12"/>
        <v>1556.7827067352034</v>
      </c>
      <c r="F37" s="21">
        <f t="shared" si="13"/>
        <v>278098.55801901506</v>
      </c>
      <c r="G37" s="5"/>
      <c r="H37" s="5"/>
      <c r="I37" s="5"/>
    </row>
    <row r="38" spans="1:9" x14ac:dyDescent="0.25">
      <c r="A38" s="20">
        <v>9</v>
      </c>
      <c r="B38" s="21">
        <f t="shared" si="14"/>
        <v>278098.55801901506</v>
      </c>
      <c r="C38" s="21">
        <f t="shared" si="10"/>
        <v>398.03871498930744</v>
      </c>
      <c r="D38" s="21">
        <f t="shared" si="11"/>
        <v>1158.743991745896</v>
      </c>
      <c r="E38" s="21">
        <f t="shared" si="12"/>
        <v>1556.7827067352034</v>
      </c>
      <c r="F38" s="21">
        <f t="shared" si="13"/>
        <v>277700.51930402574</v>
      </c>
      <c r="G38" s="5"/>
      <c r="H38" s="5"/>
      <c r="I38" s="5"/>
    </row>
    <row r="39" spans="1:9" x14ac:dyDescent="0.25">
      <c r="A39" s="20">
        <v>10</v>
      </c>
      <c r="B39" s="21">
        <f t="shared" si="14"/>
        <v>277700.51930402574</v>
      </c>
      <c r="C39" s="21">
        <f t="shared" si="10"/>
        <v>399.69720963509621</v>
      </c>
      <c r="D39" s="21">
        <f t="shared" si="11"/>
        <v>1157.0854971001072</v>
      </c>
      <c r="E39" s="21">
        <f t="shared" si="12"/>
        <v>1556.7827067352034</v>
      </c>
      <c r="F39" s="21">
        <f t="shared" si="13"/>
        <v>277300.82209439063</v>
      </c>
      <c r="G39" s="5"/>
      <c r="H39" s="5"/>
      <c r="I39" s="5"/>
    </row>
    <row r="40" spans="1:9" x14ac:dyDescent="0.25">
      <c r="A40" s="20">
        <v>11</v>
      </c>
      <c r="B40" s="21">
        <f t="shared" si="14"/>
        <v>277300.82209439063</v>
      </c>
      <c r="C40" s="21">
        <f t="shared" si="10"/>
        <v>401.36261467524241</v>
      </c>
      <c r="D40" s="21">
        <f t="shared" si="11"/>
        <v>1155.420092059961</v>
      </c>
      <c r="E40" s="21">
        <f t="shared" si="12"/>
        <v>1556.7827067352034</v>
      </c>
      <c r="F40" s="21">
        <f t="shared" si="13"/>
        <v>276899.45947971538</v>
      </c>
      <c r="G40" s="5"/>
      <c r="H40" s="5"/>
      <c r="I40" s="5"/>
    </row>
    <row r="41" spans="1:9" x14ac:dyDescent="0.25">
      <c r="A41" s="20">
        <v>12</v>
      </c>
      <c r="B41" s="21">
        <f t="shared" si="14"/>
        <v>276899.45947971538</v>
      </c>
      <c r="C41" s="21">
        <f t="shared" si="10"/>
        <v>403.03495890305589</v>
      </c>
      <c r="D41" s="21">
        <f t="shared" si="11"/>
        <v>1153.7477478321475</v>
      </c>
      <c r="E41" s="21">
        <f t="shared" si="12"/>
        <v>1556.7827067352034</v>
      </c>
      <c r="F41" s="1">
        <f t="shared" si="13"/>
        <v>276496.42452081235</v>
      </c>
      <c r="G41" s="5"/>
      <c r="H41" s="5"/>
      <c r="I41" s="5"/>
    </row>
    <row r="42" spans="1:9" x14ac:dyDescent="0.25">
      <c r="A42" s="2" t="s">
        <v>64</v>
      </c>
      <c r="B42" s="2"/>
      <c r="C42" s="1">
        <f>SUM(C30:C41)</f>
        <v>4727.5572505666332</v>
      </c>
      <c r="D42" s="1">
        <f>SUM(D30:D41)</f>
        <v>13953.835230255807</v>
      </c>
      <c r="E42" s="21"/>
      <c r="F42" s="21"/>
      <c r="G42" s="5"/>
      <c r="H42" s="5"/>
      <c r="I42" s="5"/>
    </row>
    <row r="43" spans="1:9" x14ac:dyDescent="0.25">
      <c r="A43" s="24"/>
      <c r="B43" s="24"/>
      <c r="C43" s="21"/>
      <c r="D43" s="21"/>
      <c r="E43" s="21"/>
      <c r="F43" s="21"/>
      <c r="G43" s="5" t="s">
        <v>68</v>
      </c>
      <c r="H43" s="5"/>
      <c r="I43" s="5"/>
    </row>
    <row r="44" spans="1:9" x14ac:dyDescent="0.25">
      <c r="A44" s="20">
        <v>1</v>
      </c>
      <c r="B44" s="21">
        <f>+F41</f>
        <v>276496.42452081235</v>
      </c>
      <c r="C44" s="21">
        <f t="shared" ref="C44:C55" si="15">+E44-D44</f>
        <v>404.71427123181866</v>
      </c>
      <c r="D44" s="21">
        <f t="shared" ref="D44:D55" si="16">B44*$I$2</f>
        <v>1152.0684355033848</v>
      </c>
      <c r="E44" s="21">
        <f t="shared" ref="E44:E55" si="17">-$I$8</f>
        <v>1556.7827067352034</v>
      </c>
      <c r="F44" s="21">
        <f t="shared" ref="F44:F55" si="18">+B44-C44</f>
        <v>276091.7102495805</v>
      </c>
      <c r="G44" s="5"/>
      <c r="H44" s="5"/>
      <c r="I44" s="5"/>
    </row>
    <row r="45" spans="1:9" x14ac:dyDescent="0.25">
      <c r="A45" s="20">
        <v>2</v>
      </c>
      <c r="B45" s="21">
        <f t="shared" ref="B45:B55" si="19">+F44</f>
        <v>276091.7102495805</v>
      </c>
      <c r="C45" s="21">
        <f t="shared" si="15"/>
        <v>406.40058069528459</v>
      </c>
      <c r="D45" s="21">
        <f t="shared" si="16"/>
        <v>1150.3821260399188</v>
      </c>
      <c r="E45" s="21">
        <f t="shared" si="17"/>
        <v>1556.7827067352034</v>
      </c>
      <c r="F45" s="21">
        <f t="shared" si="18"/>
        <v>275685.30966888519</v>
      </c>
      <c r="G45" s="5"/>
      <c r="H45" s="5"/>
      <c r="I45" s="5"/>
    </row>
    <row r="46" spans="1:9" x14ac:dyDescent="0.25">
      <c r="A46" s="20">
        <v>3</v>
      </c>
      <c r="B46" s="21">
        <f t="shared" si="19"/>
        <v>275685.30966888519</v>
      </c>
      <c r="C46" s="21">
        <f t="shared" si="15"/>
        <v>408.09391644818174</v>
      </c>
      <c r="D46" s="21">
        <f t="shared" si="16"/>
        <v>1148.6887902870217</v>
      </c>
      <c r="E46" s="21">
        <f t="shared" si="17"/>
        <v>1556.7827067352034</v>
      </c>
      <c r="F46" s="21">
        <f t="shared" si="18"/>
        <v>275277.21575243701</v>
      </c>
      <c r="G46" s="5"/>
      <c r="H46" s="5"/>
      <c r="I46" s="5"/>
    </row>
    <row r="47" spans="1:9" x14ac:dyDescent="0.25">
      <c r="A47" s="20">
        <v>4</v>
      </c>
      <c r="B47" s="21">
        <f t="shared" si="19"/>
        <v>275277.21575243701</v>
      </c>
      <c r="C47" s="21">
        <f t="shared" si="15"/>
        <v>409.79430776671597</v>
      </c>
      <c r="D47" s="21">
        <f t="shared" si="16"/>
        <v>1146.9883989684874</v>
      </c>
      <c r="E47" s="21">
        <f t="shared" si="17"/>
        <v>1556.7827067352034</v>
      </c>
      <c r="F47" s="21">
        <f t="shared" si="18"/>
        <v>274867.4214446703</v>
      </c>
      <c r="G47" s="5"/>
      <c r="H47" s="5"/>
      <c r="I47" s="5"/>
    </row>
    <row r="48" spans="1:9" x14ac:dyDescent="0.25">
      <c r="A48" s="20">
        <v>5</v>
      </c>
      <c r="B48" s="21">
        <f t="shared" si="19"/>
        <v>274867.4214446703</v>
      </c>
      <c r="C48" s="21">
        <f t="shared" si="15"/>
        <v>411.50178404907729</v>
      </c>
      <c r="D48" s="21">
        <f t="shared" si="16"/>
        <v>1145.2809226861261</v>
      </c>
      <c r="E48" s="21">
        <f t="shared" si="17"/>
        <v>1556.7827067352034</v>
      </c>
      <c r="F48" s="21">
        <f t="shared" si="18"/>
        <v>274455.91966062121</v>
      </c>
      <c r="G48" s="5"/>
      <c r="H48" s="5"/>
      <c r="I48" s="5"/>
    </row>
    <row r="49" spans="1:9" x14ac:dyDescent="0.25">
      <c r="A49" s="20">
        <v>6</v>
      </c>
      <c r="B49" s="21">
        <f t="shared" si="19"/>
        <v>274455.91966062121</v>
      </c>
      <c r="C49" s="21">
        <f t="shared" si="15"/>
        <v>413.21637481594848</v>
      </c>
      <c r="D49" s="21">
        <f t="shared" si="16"/>
        <v>1143.5663319192549</v>
      </c>
      <c r="E49" s="21">
        <f t="shared" si="17"/>
        <v>1556.7827067352034</v>
      </c>
      <c r="F49" s="21">
        <f t="shared" si="18"/>
        <v>274042.70328580524</v>
      </c>
      <c r="G49" s="5"/>
      <c r="H49" s="5"/>
      <c r="I49" s="5"/>
    </row>
    <row r="50" spans="1:9" x14ac:dyDescent="0.25">
      <c r="A50" s="20">
        <v>7</v>
      </c>
      <c r="B50" s="21">
        <f t="shared" si="19"/>
        <v>274042.70328580524</v>
      </c>
      <c r="C50" s="21">
        <f t="shared" si="15"/>
        <v>414.93810971101493</v>
      </c>
      <c r="D50" s="21">
        <f t="shared" si="16"/>
        <v>1141.8445970241885</v>
      </c>
      <c r="E50" s="21">
        <f t="shared" si="17"/>
        <v>1556.7827067352034</v>
      </c>
      <c r="F50" s="21">
        <f t="shared" si="18"/>
        <v>273627.76517609425</v>
      </c>
      <c r="G50" s="5"/>
      <c r="H50" s="5"/>
      <c r="I50" s="5"/>
    </row>
    <row r="51" spans="1:9" x14ac:dyDescent="0.25">
      <c r="A51" s="20">
        <v>8</v>
      </c>
      <c r="B51" s="21">
        <f t="shared" si="19"/>
        <v>273627.76517609425</v>
      </c>
      <c r="C51" s="21">
        <f t="shared" si="15"/>
        <v>416.66701850147729</v>
      </c>
      <c r="D51" s="21">
        <f t="shared" si="16"/>
        <v>1140.1156882337261</v>
      </c>
      <c r="E51" s="21">
        <f t="shared" si="17"/>
        <v>1556.7827067352034</v>
      </c>
      <c r="F51" s="21">
        <f t="shared" si="18"/>
        <v>273211.09815759276</v>
      </c>
      <c r="G51" s="5"/>
      <c r="H51" s="5"/>
      <c r="I51" s="5"/>
    </row>
    <row r="52" spans="1:9" x14ac:dyDescent="0.25">
      <c r="A52" s="20">
        <v>9</v>
      </c>
      <c r="B52" s="21">
        <f t="shared" si="19"/>
        <v>273211.09815759276</v>
      </c>
      <c r="C52" s="21">
        <f t="shared" si="15"/>
        <v>418.40313107856696</v>
      </c>
      <c r="D52" s="21">
        <f t="shared" si="16"/>
        <v>1138.3795756566365</v>
      </c>
      <c r="E52" s="21">
        <f t="shared" si="17"/>
        <v>1556.7827067352034</v>
      </c>
      <c r="F52" s="21">
        <f t="shared" si="18"/>
        <v>272792.69502651418</v>
      </c>
      <c r="G52" s="5"/>
      <c r="H52" s="5"/>
      <c r="I52" s="5"/>
    </row>
    <row r="53" spans="1:9" x14ac:dyDescent="0.25">
      <c r="A53" s="20">
        <v>10</v>
      </c>
      <c r="B53" s="21">
        <f t="shared" si="19"/>
        <v>272792.69502651418</v>
      </c>
      <c r="C53" s="21">
        <f t="shared" si="15"/>
        <v>420.1464774580611</v>
      </c>
      <c r="D53" s="21">
        <f t="shared" si="16"/>
        <v>1136.6362292771423</v>
      </c>
      <c r="E53" s="21">
        <f t="shared" si="17"/>
        <v>1556.7827067352034</v>
      </c>
      <c r="F53" s="21">
        <f t="shared" si="18"/>
        <v>272372.54854905611</v>
      </c>
      <c r="G53" s="5"/>
      <c r="H53" s="5"/>
      <c r="I53" s="5"/>
    </row>
    <row r="54" spans="1:9" x14ac:dyDescent="0.25">
      <c r="A54" s="20">
        <v>11</v>
      </c>
      <c r="B54" s="21">
        <f t="shared" si="19"/>
        <v>272372.54854905611</v>
      </c>
      <c r="C54" s="21">
        <f t="shared" si="15"/>
        <v>421.89708778080308</v>
      </c>
      <c r="D54" s="21">
        <f t="shared" si="16"/>
        <v>1134.8856189544003</v>
      </c>
      <c r="E54" s="21">
        <f t="shared" si="17"/>
        <v>1556.7827067352034</v>
      </c>
      <c r="F54" s="21">
        <f t="shared" si="18"/>
        <v>271950.65146127529</v>
      </c>
      <c r="G54" s="5"/>
      <c r="H54" s="5"/>
      <c r="I54" s="5"/>
    </row>
    <row r="55" spans="1:9" x14ac:dyDescent="0.25">
      <c r="A55" s="20">
        <v>12</v>
      </c>
      <c r="B55" s="21">
        <f t="shared" si="19"/>
        <v>271950.65146127529</v>
      </c>
      <c r="C55" s="21">
        <f t="shared" si="15"/>
        <v>423.65499231322315</v>
      </c>
      <c r="D55" s="21">
        <f t="shared" si="16"/>
        <v>1133.1277144219803</v>
      </c>
      <c r="E55" s="21">
        <f t="shared" si="17"/>
        <v>1556.7827067352034</v>
      </c>
      <c r="F55" s="1">
        <f t="shared" si="18"/>
        <v>271526.99646896205</v>
      </c>
      <c r="G55" s="5"/>
      <c r="H55" s="5"/>
      <c r="I55" s="5"/>
    </row>
    <row r="56" spans="1:9" x14ac:dyDescent="0.25">
      <c r="A56" s="2" t="s">
        <v>64</v>
      </c>
      <c r="B56" s="3"/>
      <c r="C56" s="1">
        <f>SUM(C44:C55)</f>
        <v>4969.4280518501737</v>
      </c>
      <c r="D56" s="1">
        <f>SUM(D44:D55)</f>
        <v>13711.964428972267</v>
      </c>
      <c r="E56" s="5"/>
      <c r="F56" s="5"/>
      <c r="G56" s="5"/>
      <c r="H56" s="5"/>
      <c r="I56" s="5"/>
    </row>
    <row r="57" spans="1:9" x14ac:dyDescent="0.25">
      <c r="A57" s="5"/>
      <c r="B57" s="5"/>
      <c r="C57" s="5"/>
      <c r="D57" s="5"/>
      <c r="E57" s="5"/>
      <c r="F57" s="5"/>
      <c r="G57" s="5" t="s">
        <v>69</v>
      </c>
      <c r="H57" s="5"/>
      <c r="I57" s="5"/>
    </row>
    <row r="58" spans="1:9" x14ac:dyDescent="0.25">
      <c r="A58" s="20">
        <v>1</v>
      </c>
      <c r="B58" s="21">
        <f>+F55</f>
        <v>271526.99646896205</v>
      </c>
      <c r="C58" s="21">
        <f t="shared" ref="C58:C69" si="20">+E58-D58</f>
        <v>425.42022144786165</v>
      </c>
      <c r="D58" s="21">
        <f t="shared" ref="D58:D69" si="21">B58*$I$2</f>
        <v>1131.3624852873418</v>
      </c>
      <c r="E58" s="21">
        <f t="shared" ref="E58:E69" si="22">-$I$8</f>
        <v>1556.7827067352034</v>
      </c>
      <c r="F58" s="21">
        <f t="shared" ref="F58:F69" si="23">+B58-C58</f>
        <v>271101.57624751417</v>
      </c>
      <c r="G58" s="5"/>
      <c r="H58" s="5"/>
      <c r="I58" s="5"/>
    </row>
    <row r="59" spans="1:9" x14ac:dyDescent="0.25">
      <c r="A59" s="20">
        <v>2</v>
      </c>
      <c r="B59" s="21">
        <f t="shared" ref="B59:B69" si="24">+F58</f>
        <v>271101.57624751417</v>
      </c>
      <c r="C59" s="21">
        <f t="shared" si="20"/>
        <v>427.19280570389446</v>
      </c>
      <c r="D59" s="21">
        <f t="shared" si="21"/>
        <v>1129.589901031309</v>
      </c>
      <c r="E59" s="21">
        <f t="shared" si="22"/>
        <v>1556.7827067352034</v>
      </c>
      <c r="F59" s="21">
        <f t="shared" si="23"/>
        <v>270674.38344181026</v>
      </c>
      <c r="G59" s="5"/>
      <c r="H59" s="5"/>
      <c r="I59" s="5"/>
    </row>
    <row r="60" spans="1:9" x14ac:dyDescent="0.25">
      <c r="A60" s="20">
        <v>3</v>
      </c>
      <c r="B60" s="21">
        <f t="shared" si="24"/>
        <v>270674.38344181026</v>
      </c>
      <c r="C60" s="21">
        <f t="shared" si="20"/>
        <v>428.97277572766075</v>
      </c>
      <c r="D60" s="21">
        <f t="shared" si="21"/>
        <v>1127.8099310075427</v>
      </c>
      <c r="E60" s="21">
        <f t="shared" si="22"/>
        <v>1556.7827067352034</v>
      </c>
      <c r="F60" s="21">
        <f t="shared" si="23"/>
        <v>270245.41066608258</v>
      </c>
      <c r="G60" s="5"/>
      <c r="H60" s="5"/>
      <c r="I60" s="5"/>
    </row>
    <row r="61" spans="1:9" x14ac:dyDescent="0.25">
      <c r="A61" s="20">
        <v>4</v>
      </c>
      <c r="B61" s="21">
        <f t="shared" si="24"/>
        <v>270245.41066608258</v>
      </c>
      <c r="C61" s="21">
        <f t="shared" si="20"/>
        <v>430.76016229319271</v>
      </c>
      <c r="D61" s="21">
        <f t="shared" si="21"/>
        <v>1126.0225444420107</v>
      </c>
      <c r="E61" s="21">
        <f t="shared" si="22"/>
        <v>1556.7827067352034</v>
      </c>
      <c r="F61" s="21">
        <f t="shared" si="23"/>
        <v>269814.65050378937</v>
      </c>
      <c r="G61" s="5"/>
      <c r="H61" s="5"/>
      <c r="I61" s="5"/>
    </row>
    <row r="62" spans="1:9" x14ac:dyDescent="0.25">
      <c r="A62" s="20">
        <v>5</v>
      </c>
      <c r="B62" s="21">
        <f t="shared" si="24"/>
        <v>269814.65050378937</v>
      </c>
      <c r="C62" s="21">
        <f t="shared" si="20"/>
        <v>432.55499630274767</v>
      </c>
      <c r="D62" s="21">
        <f t="shared" si="21"/>
        <v>1124.2277104324558</v>
      </c>
      <c r="E62" s="21">
        <f t="shared" si="22"/>
        <v>1556.7827067352034</v>
      </c>
      <c r="F62" s="21">
        <f t="shared" si="23"/>
        <v>269382.09550748661</v>
      </c>
      <c r="G62" s="5"/>
      <c r="H62" s="5"/>
      <c r="I62" s="5"/>
    </row>
    <row r="63" spans="1:9" x14ac:dyDescent="0.25">
      <c r="A63" s="20">
        <v>6</v>
      </c>
      <c r="B63" s="21">
        <f t="shared" si="24"/>
        <v>269382.09550748661</v>
      </c>
      <c r="C63" s="21">
        <f t="shared" si="20"/>
        <v>434.35730878734262</v>
      </c>
      <c r="D63" s="21">
        <f t="shared" si="21"/>
        <v>1122.4253979478608</v>
      </c>
      <c r="E63" s="21">
        <f t="shared" si="22"/>
        <v>1556.7827067352034</v>
      </c>
      <c r="F63" s="21">
        <f t="shared" si="23"/>
        <v>268947.73819869926</v>
      </c>
      <c r="G63" s="5"/>
      <c r="H63" s="5"/>
      <c r="I63" s="5"/>
    </row>
    <row r="64" spans="1:9" x14ac:dyDescent="0.25">
      <c r="A64" s="20">
        <v>7</v>
      </c>
      <c r="B64" s="21">
        <f t="shared" si="24"/>
        <v>268947.73819869926</v>
      </c>
      <c r="C64" s="21">
        <f t="shared" si="20"/>
        <v>436.1671309072899</v>
      </c>
      <c r="D64" s="21">
        <f t="shared" si="21"/>
        <v>1120.6155758279135</v>
      </c>
      <c r="E64" s="21">
        <f t="shared" si="22"/>
        <v>1556.7827067352034</v>
      </c>
      <c r="F64" s="21">
        <f t="shared" si="23"/>
        <v>268511.57106779196</v>
      </c>
      <c r="G64" s="5"/>
      <c r="H64" s="5"/>
      <c r="I64" s="5"/>
    </row>
    <row r="65" spans="1:9" x14ac:dyDescent="0.25">
      <c r="A65" s="20">
        <v>8</v>
      </c>
      <c r="B65" s="21">
        <f t="shared" si="24"/>
        <v>268511.57106779196</v>
      </c>
      <c r="C65" s="21">
        <f t="shared" si="20"/>
        <v>437.98449395273701</v>
      </c>
      <c r="D65" s="21">
        <f t="shared" si="21"/>
        <v>1118.7982127824664</v>
      </c>
      <c r="E65" s="21">
        <f t="shared" si="22"/>
        <v>1556.7827067352034</v>
      </c>
      <c r="F65" s="21">
        <f t="shared" si="23"/>
        <v>268073.58657383925</v>
      </c>
      <c r="G65" s="5"/>
      <c r="H65" s="5"/>
      <c r="I65" s="5"/>
    </row>
    <row r="66" spans="1:9" x14ac:dyDescent="0.25">
      <c r="A66" s="20">
        <v>9</v>
      </c>
      <c r="B66" s="21">
        <f t="shared" si="24"/>
        <v>268073.58657383925</v>
      </c>
      <c r="C66" s="21">
        <f t="shared" si="20"/>
        <v>439.80942934420659</v>
      </c>
      <c r="D66" s="21">
        <f t="shared" si="21"/>
        <v>1116.9732773909968</v>
      </c>
      <c r="E66" s="21">
        <f t="shared" si="22"/>
        <v>1556.7827067352034</v>
      </c>
      <c r="F66" s="21">
        <f t="shared" si="23"/>
        <v>267633.77714449505</v>
      </c>
      <c r="G66" s="5"/>
      <c r="H66" s="5"/>
      <c r="I66" s="5"/>
    </row>
    <row r="67" spans="1:9" x14ac:dyDescent="0.25">
      <c r="A67" s="20">
        <v>10</v>
      </c>
      <c r="B67" s="21">
        <f t="shared" si="24"/>
        <v>267633.77714449505</v>
      </c>
      <c r="C67" s="21">
        <f t="shared" si="20"/>
        <v>441.64196863314078</v>
      </c>
      <c r="D67" s="21">
        <f t="shared" si="21"/>
        <v>1115.1407381020626</v>
      </c>
      <c r="E67" s="21">
        <f t="shared" si="22"/>
        <v>1556.7827067352034</v>
      </c>
      <c r="F67" s="21">
        <f t="shared" si="23"/>
        <v>267192.13517586188</v>
      </c>
      <c r="G67" s="5"/>
      <c r="H67" s="5"/>
      <c r="I67" s="5"/>
    </row>
    <row r="68" spans="1:9" x14ac:dyDescent="0.25">
      <c r="A68" s="20">
        <v>11</v>
      </c>
      <c r="B68" s="21">
        <f t="shared" si="24"/>
        <v>267192.13517586188</v>
      </c>
      <c r="C68" s="21">
        <f t="shared" si="20"/>
        <v>443.48214350244552</v>
      </c>
      <c r="D68" s="21">
        <f t="shared" si="21"/>
        <v>1113.3005632327579</v>
      </c>
      <c r="E68" s="21">
        <f t="shared" si="22"/>
        <v>1556.7827067352034</v>
      </c>
      <c r="F68" s="21">
        <f t="shared" si="23"/>
        <v>266748.65303235943</v>
      </c>
      <c r="G68" s="5"/>
      <c r="H68" s="5"/>
      <c r="I68" s="5"/>
    </row>
    <row r="69" spans="1:9" x14ac:dyDescent="0.25">
      <c r="A69" s="20">
        <v>12</v>
      </c>
      <c r="B69" s="21">
        <f t="shared" si="24"/>
        <v>266748.65303235943</v>
      </c>
      <c r="C69" s="21">
        <f t="shared" si="20"/>
        <v>445.32998576703903</v>
      </c>
      <c r="D69" s="21">
        <f t="shared" si="21"/>
        <v>1111.4527209681644</v>
      </c>
      <c r="E69" s="21">
        <f t="shared" si="22"/>
        <v>1556.7827067352034</v>
      </c>
      <c r="F69" s="1">
        <f t="shared" si="23"/>
        <v>266303.32304659241</v>
      </c>
      <c r="G69" s="5"/>
      <c r="H69" s="5"/>
      <c r="I69" s="5"/>
    </row>
    <row r="70" spans="1:9" x14ac:dyDescent="0.25">
      <c r="A70" s="2" t="s">
        <v>64</v>
      </c>
      <c r="B70" s="2"/>
      <c r="C70" s="1">
        <f>SUM(C58:C69)</f>
        <v>5223.6734223695585</v>
      </c>
      <c r="D70" s="1">
        <f>SUM(D58:D69)</f>
        <v>13457.719058452882</v>
      </c>
      <c r="E70" s="21"/>
      <c r="F70" s="21"/>
      <c r="G70" s="5"/>
      <c r="H70" s="5"/>
      <c r="I70" s="5"/>
    </row>
    <row r="71" spans="1:9" x14ac:dyDescent="0.25">
      <c r="A71" s="5"/>
      <c r="B71" s="5"/>
      <c r="C71" s="5"/>
      <c r="D71" s="5"/>
      <c r="E71" s="5"/>
      <c r="F71" s="5"/>
      <c r="G71" s="5" t="s">
        <v>70</v>
      </c>
      <c r="H71" s="5"/>
      <c r="I71" s="5"/>
    </row>
    <row r="72" spans="1:9" x14ac:dyDescent="0.25">
      <c r="A72" s="20">
        <v>1</v>
      </c>
      <c r="B72" s="21">
        <f>+F69</f>
        <v>266303.32304659241</v>
      </c>
      <c r="C72" s="21">
        <f t="shared" ref="C72:C83" si="25">+E72-D72</f>
        <v>447.18552737440177</v>
      </c>
      <c r="D72" s="21">
        <f t="shared" ref="D72:D83" si="26">B72*$I$2</f>
        <v>1109.5971793608016</v>
      </c>
      <c r="E72" s="21">
        <f t="shared" ref="E72:E83" si="27">-$I$8</f>
        <v>1556.7827067352034</v>
      </c>
      <c r="F72" s="21">
        <f t="shared" ref="F72:F83" si="28">+B72-C72</f>
        <v>265856.13751921803</v>
      </c>
      <c r="G72" s="5"/>
      <c r="H72" s="5"/>
      <c r="I72" s="5"/>
    </row>
    <row r="73" spans="1:9" x14ac:dyDescent="0.25">
      <c r="A73" s="20">
        <v>2</v>
      </c>
      <c r="B73" s="21">
        <f t="shared" ref="B73:B83" si="29">+F72</f>
        <v>265856.13751921803</v>
      </c>
      <c r="C73" s="21">
        <f t="shared" si="25"/>
        <v>449.0488004051283</v>
      </c>
      <c r="D73" s="21">
        <f t="shared" si="26"/>
        <v>1107.7339063300751</v>
      </c>
      <c r="E73" s="21">
        <f t="shared" si="27"/>
        <v>1556.7827067352034</v>
      </c>
      <c r="F73" s="21">
        <f t="shared" si="28"/>
        <v>265407.08871881291</v>
      </c>
      <c r="G73" s="5"/>
      <c r="H73" s="5"/>
      <c r="I73" s="5"/>
    </row>
    <row r="74" spans="1:9" x14ac:dyDescent="0.25">
      <c r="A74" s="20">
        <v>3</v>
      </c>
      <c r="B74" s="21">
        <f t="shared" si="29"/>
        <v>265407.08871881291</v>
      </c>
      <c r="C74" s="21">
        <f t="shared" si="25"/>
        <v>450.919837073483</v>
      </c>
      <c r="D74" s="21">
        <f t="shared" si="26"/>
        <v>1105.8628696617204</v>
      </c>
      <c r="E74" s="21">
        <f t="shared" si="27"/>
        <v>1556.7827067352034</v>
      </c>
      <c r="F74" s="21">
        <f t="shared" si="28"/>
        <v>264956.16888173943</v>
      </c>
      <c r="G74" s="5"/>
      <c r="H74" s="5"/>
      <c r="I74" s="5"/>
    </row>
    <row r="75" spans="1:9" x14ac:dyDescent="0.25">
      <c r="A75" s="20">
        <v>4</v>
      </c>
      <c r="B75" s="21">
        <f t="shared" si="29"/>
        <v>264956.16888173943</v>
      </c>
      <c r="C75" s="21">
        <f t="shared" si="25"/>
        <v>452.79866972795571</v>
      </c>
      <c r="D75" s="21">
        <f t="shared" si="26"/>
        <v>1103.9840370072477</v>
      </c>
      <c r="E75" s="21">
        <f t="shared" si="27"/>
        <v>1556.7827067352034</v>
      </c>
      <c r="F75" s="21">
        <f t="shared" si="28"/>
        <v>264503.3702120115</v>
      </c>
      <c r="G75" s="5"/>
      <c r="H75" s="5"/>
      <c r="I75" s="5"/>
    </row>
    <row r="76" spans="1:9" x14ac:dyDescent="0.25">
      <c r="A76" s="20">
        <v>5</v>
      </c>
      <c r="B76" s="21">
        <f t="shared" si="29"/>
        <v>264503.3702120115</v>
      </c>
      <c r="C76" s="21">
        <f t="shared" si="25"/>
        <v>454.68533085182207</v>
      </c>
      <c r="D76" s="21">
        <f t="shared" si="26"/>
        <v>1102.0973758833813</v>
      </c>
      <c r="E76" s="21">
        <f t="shared" si="27"/>
        <v>1556.7827067352034</v>
      </c>
      <c r="F76" s="21">
        <f t="shared" si="28"/>
        <v>264048.68488115969</v>
      </c>
      <c r="G76" s="5"/>
      <c r="H76" s="5"/>
      <c r="I76" s="5"/>
    </row>
    <row r="77" spans="1:9" x14ac:dyDescent="0.25">
      <c r="A77" s="20">
        <v>6</v>
      </c>
      <c r="B77" s="21">
        <f t="shared" si="29"/>
        <v>264048.68488115969</v>
      </c>
      <c r="C77" s="21">
        <f t="shared" si="25"/>
        <v>456.57985306370483</v>
      </c>
      <c r="D77" s="21">
        <f t="shared" si="26"/>
        <v>1100.2028536714986</v>
      </c>
      <c r="E77" s="21">
        <f t="shared" si="27"/>
        <v>1556.7827067352034</v>
      </c>
      <c r="F77" s="21">
        <f t="shared" si="28"/>
        <v>263592.105028096</v>
      </c>
      <c r="G77" s="5"/>
      <c r="H77" s="5"/>
      <c r="I77" s="5"/>
    </row>
    <row r="78" spans="1:9" x14ac:dyDescent="0.25">
      <c r="A78" s="20">
        <v>7</v>
      </c>
      <c r="B78" s="21">
        <f t="shared" si="29"/>
        <v>263592.105028096</v>
      </c>
      <c r="C78" s="21">
        <f t="shared" si="25"/>
        <v>458.48226911813686</v>
      </c>
      <c r="D78" s="21">
        <f t="shared" si="26"/>
        <v>1098.3004376170666</v>
      </c>
      <c r="E78" s="21">
        <f t="shared" si="27"/>
        <v>1556.7827067352034</v>
      </c>
      <c r="F78" s="21">
        <f t="shared" si="28"/>
        <v>263133.62275897787</v>
      </c>
      <c r="G78" s="5"/>
      <c r="H78" s="5"/>
      <c r="I78" s="5"/>
    </row>
    <row r="79" spans="1:9" x14ac:dyDescent="0.25">
      <c r="A79" s="20">
        <v>8</v>
      </c>
      <c r="B79" s="21">
        <f t="shared" si="29"/>
        <v>263133.62275897787</v>
      </c>
      <c r="C79" s="21">
        <f t="shared" si="25"/>
        <v>460.39261190612888</v>
      </c>
      <c r="D79" s="21">
        <f t="shared" si="26"/>
        <v>1096.3900948290745</v>
      </c>
      <c r="E79" s="21">
        <f t="shared" si="27"/>
        <v>1556.7827067352034</v>
      </c>
      <c r="F79" s="21">
        <f t="shared" si="28"/>
        <v>262673.23014707176</v>
      </c>
      <c r="G79" s="5"/>
      <c r="H79" s="5"/>
      <c r="I79" s="5"/>
    </row>
    <row r="80" spans="1:9" x14ac:dyDescent="0.25">
      <c r="A80" s="20">
        <v>9</v>
      </c>
      <c r="B80" s="21">
        <f t="shared" si="29"/>
        <v>262673.23014707176</v>
      </c>
      <c r="C80" s="21">
        <f t="shared" si="25"/>
        <v>462.3109144557377</v>
      </c>
      <c r="D80" s="21">
        <f t="shared" si="26"/>
        <v>1094.4717922794657</v>
      </c>
      <c r="E80" s="21">
        <f t="shared" si="27"/>
        <v>1556.7827067352034</v>
      </c>
      <c r="F80" s="21">
        <f t="shared" si="28"/>
        <v>262210.91923261603</v>
      </c>
      <c r="G80" s="5"/>
      <c r="H80" s="5"/>
      <c r="I80" s="5"/>
    </row>
    <row r="81" spans="1:9" x14ac:dyDescent="0.25">
      <c r="A81" s="20">
        <v>10</v>
      </c>
      <c r="B81" s="21">
        <f t="shared" si="29"/>
        <v>262210.91923261603</v>
      </c>
      <c r="C81" s="21">
        <f t="shared" si="25"/>
        <v>464.23720993263669</v>
      </c>
      <c r="D81" s="21">
        <f t="shared" si="26"/>
        <v>1092.5454968025667</v>
      </c>
      <c r="E81" s="21">
        <f t="shared" si="27"/>
        <v>1556.7827067352034</v>
      </c>
      <c r="F81" s="21">
        <f t="shared" si="28"/>
        <v>261746.68202268338</v>
      </c>
      <c r="G81" s="5"/>
      <c r="H81" s="5"/>
      <c r="I81" s="5"/>
    </row>
    <row r="82" spans="1:9" x14ac:dyDescent="0.25">
      <c r="A82" s="20">
        <v>11</v>
      </c>
      <c r="B82" s="21">
        <f t="shared" si="29"/>
        <v>261746.68202268338</v>
      </c>
      <c r="C82" s="21">
        <f t="shared" si="25"/>
        <v>466.17153164068941</v>
      </c>
      <c r="D82" s="21">
        <f t="shared" si="26"/>
        <v>1090.611175094514</v>
      </c>
      <c r="E82" s="21">
        <f t="shared" si="27"/>
        <v>1556.7827067352034</v>
      </c>
      <c r="F82" s="21">
        <f t="shared" si="28"/>
        <v>261280.51049104269</v>
      </c>
      <c r="G82" s="5"/>
      <c r="H82" s="5"/>
      <c r="I82" s="5"/>
    </row>
    <row r="83" spans="1:9" x14ac:dyDescent="0.25">
      <c r="A83" s="20">
        <v>12</v>
      </c>
      <c r="B83" s="21">
        <f t="shared" si="29"/>
        <v>261280.51049104269</v>
      </c>
      <c r="C83" s="21">
        <f t="shared" si="25"/>
        <v>468.11391302252559</v>
      </c>
      <c r="D83" s="21">
        <f t="shared" si="26"/>
        <v>1088.6687937126778</v>
      </c>
      <c r="E83" s="21">
        <f t="shared" si="27"/>
        <v>1556.7827067352034</v>
      </c>
      <c r="F83" s="1">
        <f t="shared" si="28"/>
        <v>260812.39657802015</v>
      </c>
      <c r="G83" s="5"/>
      <c r="H83" s="5"/>
      <c r="I83" s="5"/>
    </row>
    <row r="84" spans="1:9" x14ac:dyDescent="0.25">
      <c r="A84" s="2" t="s">
        <v>64</v>
      </c>
      <c r="B84" s="2"/>
      <c r="C84" s="1">
        <f>SUM(C72:C83)</f>
        <v>5490.9264685723501</v>
      </c>
      <c r="D84" s="1">
        <f>SUM(D72:D83)</f>
        <v>13190.46601225009</v>
      </c>
      <c r="E84" s="21"/>
      <c r="F84" s="21"/>
      <c r="G84" s="5"/>
      <c r="H84" s="5"/>
      <c r="I84" s="5"/>
    </row>
    <row r="85" spans="1:9" x14ac:dyDescent="0.25">
      <c r="A85" s="5"/>
      <c r="B85" s="5"/>
      <c r="C85" s="5"/>
      <c r="D85" s="5"/>
      <c r="E85" s="5"/>
      <c r="F85" s="5"/>
      <c r="G85" s="5" t="s">
        <v>71</v>
      </c>
      <c r="H85" s="5"/>
      <c r="I85" s="5"/>
    </row>
    <row r="86" spans="1:9" x14ac:dyDescent="0.25">
      <c r="A86" s="20">
        <v>1</v>
      </c>
      <c r="B86" s="21">
        <f>+F83</f>
        <v>260812.39657802015</v>
      </c>
      <c r="C86" s="21">
        <f t="shared" ref="C86:C97" si="30">+E86-D86</f>
        <v>470.06438766011956</v>
      </c>
      <c r="D86" s="21">
        <f t="shared" ref="D86:D97" si="31">B86*$I$2</f>
        <v>1086.7183190750839</v>
      </c>
      <c r="E86" s="21">
        <f t="shared" ref="E86:E97" si="32">-$I$8</f>
        <v>1556.7827067352034</v>
      </c>
      <c r="F86" s="21">
        <f t="shared" ref="F86:F97" si="33">+B86-C86</f>
        <v>260342.33219036003</v>
      </c>
      <c r="G86" s="5"/>
      <c r="H86" s="5"/>
      <c r="I86" s="5"/>
    </row>
    <row r="87" spans="1:9" x14ac:dyDescent="0.25">
      <c r="A87" s="20">
        <v>2</v>
      </c>
      <c r="B87" s="21">
        <f t="shared" ref="B87:B97" si="34">+F86</f>
        <v>260342.33219036003</v>
      </c>
      <c r="C87" s="21">
        <f t="shared" si="30"/>
        <v>472.02298927537004</v>
      </c>
      <c r="D87" s="21">
        <f t="shared" si="31"/>
        <v>1084.7597174598334</v>
      </c>
      <c r="E87" s="21">
        <f t="shared" si="32"/>
        <v>1556.7827067352034</v>
      </c>
      <c r="F87" s="21">
        <f t="shared" si="33"/>
        <v>259870.30920108466</v>
      </c>
      <c r="G87" s="5"/>
      <c r="H87" s="5"/>
      <c r="I87" s="5"/>
    </row>
    <row r="88" spans="1:9" x14ac:dyDescent="0.25">
      <c r="A88" s="20">
        <v>3</v>
      </c>
      <c r="B88" s="21">
        <f t="shared" si="34"/>
        <v>259870.30920108466</v>
      </c>
      <c r="C88" s="21">
        <f t="shared" si="30"/>
        <v>473.98975173068402</v>
      </c>
      <c r="D88" s="21">
        <f t="shared" si="31"/>
        <v>1082.7929550045194</v>
      </c>
      <c r="E88" s="21">
        <f t="shared" si="32"/>
        <v>1556.7827067352034</v>
      </c>
      <c r="F88" s="21">
        <f t="shared" si="33"/>
        <v>259396.31944935396</v>
      </c>
      <c r="G88" s="5"/>
      <c r="H88" s="5"/>
      <c r="I88" s="5"/>
    </row>
    <row r="89" spans="1:9" x14ac:dyDescent="0.25">
      <c r="A89" s="20">
        <v>4</v>
      </c>
      <c r="B89" s="21">
        <f t="shared" si="34"/>
        <v>259396.31944935396</v>
      </c>
      <c r="C89" s="21">
        <f t="shared" si="30"/>
        <v>475.96470902956185</v>
      </c>
      <c r="D89" s="21">
        <f t="shared" si="31"/>
        <v>1080.8179977056416</v>
      </c>
      <c r="E89" s="21">
        <f t="shared" si="32"/>
        <v>1556.7827067352034</v>
      </c>
      <c r="F89" s="21">
        <f t="shared" si="33"/>
        <v>258920.3547403244</v>
      </c>
      <c r="G89" s="5"/>
      <c r="H89" s="5"/>
      <c r="I89" s="5"/>
    </row>
    <row r="90" spans="1:9" x14ac:dyDescent="0.25">
      <c r="A90" s="20">
        <v>5</v>
      </c>
      <c r="B90" s="21">
        <f t="shared" si="34"/>
        <v>258920.3547403244</v>
      </c>
      <c r="C90" s="21">
        <f t="shared" si="30"/>
        <v>477.94789531718516</v>
      </c>
      <c r="D90" s="21">
        <f t="shared" si="31"/>
        <v>1078.8348114180183</v>
      </c>
      <c r="E90" s="21">
        <f t="shared" si="32"/>
        <v>1556.7827067352034</v>
      </c>
      <c r="F90" s="21">
        <f t="shared" si="33"/>
        <v>258442.40684500721</v>
      </c>
      <c r="G90" s="5"/>
      <c r="H90" s="5"/>
      <c r="I90" s="5"/>
    </row>
    <row r="91" spans="1:9" x14ac:dyDescent="0.25">
      <c r="A91" s="20">
        <v>6</v>
      </c>
      <c r="B91" s="21">
        <f t="shared" si="34"/>
        <v>258442.40684500721</v>
      </c>
      <c r="C91" s="21">
        <f t="shared" si="30"/>
        <v>479.93934488100672</v>
      </c>
      <c r="D91" s="21">
        <f t="shared" si="31"/>
        <v>1076.8433618541967</v>
      </c>
      <c r="E91" s="21">
        <f t="shared" si="32"/>
        <v>1556.7827067352034</v>
      </c>
      <c r="F91" s="21">
        <f t="shared" si="33"/>
        <v>257962.46750012619</v>
      </c>
      <c r="G91" s="5"/>
      <c r="H91" s="5"/>
      <c r="I91" s="5"/>
    </row>
    <row r="92" spans="1:9" x14ac:dyDescent="0.25">
      <c r="A92" s="20">
        <v>7</v>
      </c>
      <c r="B92" s="21">
        <f t="shared" si="34"/>
        <v>257962.46750012619</v>
      </c>
      <c r="C92" s="21">
        <f t="shared" si="30"/>
        <v>481.93909215134431</v>
      </c>
      <c r="D92" s="21">
        <f t="shared" si="31"/>
        <v>1074.8436145838591</v>
      </c>
      <c r="E92" s="21">
        <f t="shared" si="32"/>
        <v>1556.7827067352034</v>
      </c>
      <c r="F92" s="21">
        <f t="shared" si="33"/>
        <v>257480.52840797484</v>
      </c>
      <c r="G92" s="5"/>
      <c r="H92" s="5"/>
      <c r="I92" s="5"/>
    </row>
    <row r="93" spans="1:9" x14ac:dyDescent="0.25">
      <c r="A93" s="20">
        <v>8</v>
      </c>
      <c r="B93" s="21">
        <f t="shared" si="34"/>
        <v>257480.52840797484</v>
      </c>
      <c r="C93" s="21">
        <f t="shared" si="30"/>
        <v>483.94717170197487</v>
      </c>
      <c r="D93" s="21">
        <f t="shared" si="31"/>
        <v>1072.8355350332286</v>
      </c>
      <c r="E93" s="21">
        <f t="shared" si="32"/>
        <v>1556.7827067352034</v>
      </c>
      <c r="F93" s="21">
        <f t="shared" si="33"/>
        <v>256996.58123627288</v>
      </c>
      <c r="G93" s="5"/>
      <c r="H93" s="5"/>
      <c r="I93" s="5"/>
    </row>
    <row r="94" spans="1:9" x14ac:dyDescent="0.25">
      <c r="A94" s="20">
        <v>9</v>
      </c>
      <c r="B94" s="21">
        <f t="shared" si="34"/>
        <v>256996.58123627288</v>
      </c>
      <c r="C94" s="21">
        <f t="shared" si="30"/>
        <v>485.96361825073313</v>
      </c>
      <c r="D94" s="21">
        <f t="shared" si="31"/>
        <v>1070.8190884844703</v>
      </c>
      <c r="E94" s="21">
        <f t="shared" si="32"/>
        <v>1556.7827067352034</v>
      </c>
      <c r="F94" s="21">
        <f t="shared" si="33"/>
        <v>256510.61761802214</v>
      </c>
      <c r="G94" s="5"/>
      <c r="H94" s="5"/>
      <c r="I94" s="5"/>
    </row>
    <row r="95" spans="1:9" x14ac:dyDescent="0.25">
      <c r="A95" s="20">
        <v>10</v>
      </c>
      <c r="B95" s="21">
        <f t="shared" si="34"/>
        <v>256510.61761802214</v>
      </c>
      <c r="C95" s="21">
        <f t="shared" si="30"/>
        <v>487.98846666011127</v>
      </c>
      <c r="D95" s="21">
        <f t="shared" si="31"/>
        <v>1068.7942400750921</v>
      </c>
      <c r="E95" s="21">
        <f t="shared" si="32"/>
        <v>1556.7827067352034</v>
      </c>
      <c r="F95" s="21">
        <f t="shared" si="33"/>
        <v>256022.62915136202</v>
      </c>
      <c r="G95" s="5"/>
      <c r="H95" s="5"/>
      <c r="I95" s="5"/>
    </row>
    <row r="96" spans="1:9" x14ac:dyDescent="0.25">
      <c r="A96" s="20">
        <v>11</v>
      </c>
      <c r="B96" s="21">
        <f t="shared" si="34"/>
        <v>256022.62915136202</v>
      </c>
      <c r="C96" s="21">
        <f t="shared" si="30"/>
        <v>490.02175193786161</v>
      </c>
      <c r="D96" s="21">
        <f t="shared" si="31"/>
        <v>1066.7609547973418</v>
      </c>
      <c r="E96" s="21">
        <f t="shared" si="32"/>
        <v>1556.7827067352034</v>
      </c>
      <c r="F96" s="21">
        <f t="shared" si="33"/>
        <v>255532.60739942416</v>
      </c>
      <c r="G96" s="5"/>
      <c r="H96" s="5"/>
      <c r="I96" s="5"/>
    </row>
    <row r="97" spans="1:9" x14ac:dyDescent="0.25">
      <c r="A97" s="20">
        <v>12</v>
      </c>
      <c r="B97" s="21">
        <f t="shared" si="34"/>
        <v>255532.60739942416</v>
      </c>
      <c r="C97" s="21">
        <f t="shared" si="30"/>
        <v>492.06350923760283</v>
      </c>
      <c r="D97" s="21">
        <f t="shared" si="31"/>
        <v>1064.7191974976006</v>
      </c>
      <c r="E97" s="21">
        <f t="shared" si="32"/>
        <v>1556.7827067352034</v>
      </c>
      <c r="F97" s="1">
        <f t="shared" si="33"/>
        <v>255040.54389018656</v>
      </c>
      <c r="G97" s="5"/>
      <c r="H97" s="5"/>
      <c r="I97" s="5"/>
    </row>
    <row r="98" spans="1:9" x14ac:dyDescent="0.25">
      <c r="A98" s="2" t="s">
        <v>64</v>
      </c>
      <c r="B98" s="2"/>
      <c r="C98" s="1">
        <f>SUM(C86:C97)</f>
        <v>5771.852687833556</v>
      </c>
      <c r="D98" s="1">
        <f>SUM(D86:D97)</f>
        <v>12909.539792988886</v>
      </c>
      <c r="E98" s="21"/>
      <c r="F98" s="21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 t="s">
        <v>72</v>
      </c>
      <c r="H99" s="5"/>
      <c r="I99" s="5"/>
    </row>
    <row r="100" spans="1:9" x14ac:dyDescent="0.25">
      <c r="A100" s="20">
        <v>1</v>
      </c>
      <c r="B100" s="21">
        <f>+F97</f>
        <v>255040.54389018656</v>
      </c>
      <c r="C100" s="21">
        <f t="shared" ref="C100:C111" si="35">+E100-D100</f>
        <v>494.11377385942615</v>
      </c>
      <c r="D100" s="21">
        <f t="shared" ref="D100:D111" si="36">B100*$I$2</f>
        <v>1062.6689328757773</v>
      </c>
      <c r="E100" s="21">
        <f t="shared" ref="E100:E111" si="37">-$I$8</f>
        <v>1556.7827067352034</v>
      </c>
      <c r="F100" s="21">
        <f t="shared" ref="F100:F111" si="38">+B100-C100</f>
        <v>254546.43011632713</v>
      </c>
      <c r="G100" s="5"/>
      <c r="H100" s="5"/>
      <c r="I100" s="5"/>
    </row>
    <row r="101" spans="1:9" x14ac:dyDescent="0.25">
      <c r="A101" s="20">
        <v>2</v>
      </c>
      <c r="B101" s="21">
        <f t="shared" ref="B101:B111" si="39">+F100</f>
        <v>254546.43011632713</v>
      </c>
      <c r="C101" s="21">
        <f t="shared" si="35"/>
        <v>496.17258125050716</v>
      </c>
      <c r="D101" s="21">
        <f t="shared" si="36"/>
        <v>1060.6101254846963</v>
      </c>
      <c r="E101" s="21">
        <f t="shared" si="37"/>
        <v>1556.7827067352034</v>
      </c>
      <c r="F101" s="21">
        <f t="shared" si="38"/>
        <v>254050.25753507661</v>
      </c>
      <c r="G101" s="5"/>
      <c r="H101" s="5"/>
      <c r="I101" s="5"/>
    </row>
    <row r="102" spans="1:9" x14ac:dyDescent="0.25">
      <c r="A102" s="20">
        <v>3</v>
      </c>
      <c r="B102" s="21">
        <f t="shared" si="39"/>
        <v>254050.25753507661</v>
      </c>
      <c r="C102" s="21">
        <f t="shared" si="35"/>
        <v>498.23996700571752</v>
      </c>
      <c r="D102" s="21">
        <f t="shared" si="36"/>
        <v>1058.5427397294859</v>
      </c>
      <c r="E102" s="21">
        <f t="shared" si="37"/>
        <v>1556.7827067352034</v>
      </c>
      <c r="F102" s="21">
        <f t="shared" si="38"/>
        <v>253552.01756807091</v>
      </c>
      <c r="G102" s="5"/>
      <c r="H102" s="5"/>
      <c r="I102" s="5"/>
    </row>
    <row r="103" spans="1:9" x14ac:dyDescent="0.25">
      <c r="A103" s="20">
        <v>4</v>
      </c>
      <c r="B103" s="21">
        <f t="shared" si="39"/>
        <v>253552.01756807091</v>
      </c>
      <c r="C103" s="21">
        <f t="shared" si="35"/>
        <v>500.31596686824128</v>
      </c>
      <c r="D103" s="21">
        <f t="shared" si="36"/>
        <v>1056.4667398669621</v>
      </c>
      <c r="E103" s="21">
        <f t="shared" si="37"/>
        <v>1556.7827067352034</v>
      </c>
      <c r="F103" s="21">
        <f t="shared" si="38"/>
        <v>253051.70160120266</v>
      </c>
      <c r="G103" s="5"/>
      <c r="H103" s="5"/>
      <c r="I103" s="5"/>
    </row>
    <row r="104" spans="1:9" x14ac:dyDescent="0.25">
      <c r="A104" s="20">
        <v>5</v>
      </c>
      <c r="B104" s="21">
        <f t="shared" si="39"/>
        <v>253051.70160120266</v>
      </c>
      <c r="C104" s="21">
        <f t="shared" si="35"/>
        <v>502.40061673019227</v>
      </c>
      <c r="D104" s="21">
        <f t="shared" si="36"/>
        <v>1054.3820900050112</v>
      </c>
      <c r="E104" s="21">
        <f t="shared" si="37"/>
        <v>1556.7827067352034</v>
      </c>
      <c r="F104" s="21">
        <f t="shared" si="38"/>
        <v>252549.30098447247</v>
      </c>
      <c r="G104" s="5"/>
      <c r="H104" s="5"/>
      <c r="I104" s="5"/>
    </row>
    <row r="105" spans="1:9" x14ac:dyDescent="0.25">
      <c r="A105" s="20">
        <v>6</v>
      </c>
      <c r="B105" s="21">
        <f t="shared" si="39"/>
        <v>252549.30098447247</v>
      </c>
      <c r="C105" s="21">
        <f t="shared" si="35"/>
        <v>504.49395263323481</v>
      </c>
      <c r="D105" s="21">
        <f t="shared" si="36"/>
        <v>1052.2887541019686</v>
      </c>
      <c r="E105" s="21">
        <f t="shared" si="37"/>
        <v>1556.7827067352034</v>
      </c>
      <c r="F105" s="21">
        <f t="shared" si="38"/>
        <v>252044.80703183924</v>
      </c>
      <c r="G105" s="5"/>
      <c r="H105" s="5"/>
      <c r="I105" s="5"/>
    </row>
    <row r="106" spans="1:9" x14ac:dyDescent="0.25">
      <c r="A106" s="20">
        <v>7</v>
      </c>
      <c r="B106" s="21">
        <f t="shared" si="39"/>
        <v>252044.80703183924</v>
      </c>
      <c r="C106" s="21">
        <f t="shared" si="35"/>
        <v>506.59601076920649</v>
      </c>
      <c r="D106" s="21">
        <f t="shared" si="36"/>
        <v>1050.1866959659969</v>
      </c>
      <c r="E106" s="21">
        <f t="shared" si="37"/>
        <v>1556.7827067352034</v>
      </c>
      <c r="F106" s="21">
        <f t="shared" si="38"/>
        <v>251538.21102107005</v>
      </c>
      <c r="G106" s="5"/>
      <c r="H106" s="5"/>
      <c r="I106" s="5"/>
    </row>
    <row r="107" spans="1:9" x14ac:dyDescent="0.25">
      <c r="A107" s="20">
        <v>8</v>
      </c>
      <c r="B107" s="21">
        <f t="shared" si="39"/>
        <v>251538.21102107005</v>
      </c>
      <c r="C107" s="21">
        <f t="shared" si="35"/>
        <v>508.70682748074501</v>
      </c>
      <c r="D107" s="21">
        <f t="shared" si="36"/>
        <v>1048.0758792544584</v>
      </c>
      <c r="E107" s="21">
        <f t="shared" si="37"/>
        <v>1556.7827067352034</v>
      </c>
      <c r="F107" s="21">
        <f t="shared" si="38"/>
        <v>251029.5041935893</v>
      </c>
      <c r="G107" s="5"/>
      <c r="H107" s="5"/>
      <c r="I107" s="5"/>
    </row>
    <row r="108" spans="1:9" x14ac:dyDescent="0.25">
      <c r="A108" s="20">
        <v>9</v>
      </c>
      <c r="B108" s="21">
        <f t="shared" si="39"/>
        <v>251029.5041935893</v>
      </c>
      <c r="C108" s="21">
        <f t="shared" si="35"/>
        <v>510.82643926191463</v>
      </c>
      <c r="D108" s="21">
        <f t="shared" si="36"/>
        <v>1045.9562674732888</v>
      </c>
      <c r="E108" s="21">
        <f t="shared" si="37"/>
        <v>1556.7827067352034</v>
      </c>
      <c r="F108" s="21">
        <f t="shared" si="38"/>
        <v>250518.67775432739</v>
      </c>
      <c r="G108" s="5"/>
      <c r="H108" s="5"/>
      <c r="I108" s="5"/>
    </row>
    <row r="109" spans="1:9" x14ac:dyDescent="0.25">
      <c r="A109" s="20">
        <v>10</v>
      </c>
      <c r="B109" s="21">
        <f t="shared" si="39"/>
        <v>250518.67775432739</v>
      </c>
      <c r="C109" s="21">
        <f t="shared" si="35"/>
        <v>512.9548827588394</v>
      </c>
      <c r="D109" s="21">
        <f t="shared" si="36"/>
        <v>1043.827823976364</v>
      </c>
      <c r="E109" s="21">
        <f t="shared" si="37"/>
        <v>1556.7827067352034</v>
      </c>
      <c r="F109" s="21">
        <f t="shared" si="38"/>
        <v>250005.72287156855</v>
      </c>
      <c r="G109" s="5"/>
      <c r="H109" s="5"/>
      <c r="I109" s="5"/>
    </row>
    <row r="110" spans="1:9" x14ac:dyDescent="0.25">
      <c r="A110" s="20">
        <v>11</v>
      </c>
      <c r="B110" s="21">
        <f t="shared" si="39"/>
        <v>250005.72287156855</v>
      </c>
      <c r="C110" s="21">
        <f t="shared" si="35"/>
        <v>515.09219477033457</v>
      </c>
      <c r="D110" s="21">
        <f t="shared" si="36"/>
        <v>1041.6905119648688</v>
      </c>
      <c r="E110" s="21">
        <f t="shared" si="37"/>
        <v>1556.7827067352034</v>
      </c>
      <c r="F110" s="21">
        <f t="shared" si="38"/>
        <v>249490.6306767982</v>
      </c>
      <c r="G110" s="5"/>
      <c r="H110" s="5"/>
      <c r="I110" s="5"/>
    </row>
    <row r="111" spans="1:9" x14ac:dyDescent="0.25">
      <c r="A111" s="20">
        <v>12</v>
      </c>
      <c r="B111" s="21">
        <f t="shared" si="39"/>
        <v>249490.6306767982</v>
      </c>
      <c r="C111" s="21">
        <f t="shared" si="35"/>
        <v>517.23841224854436</v>
      </c>
      <c r="D111" s="21">
        <f t="shared" si="36"/>
        <v>1039.5442944866591</v>
      </c>
      <c r="E111" s="21">
        <f t="shared" si="37"/>
        <v>1556.7827067352034</v>
      </c>
      <c r="F111" s="1">
        <f t="shared" si="38"/>
        <v>248973.39226454965</v>
      </c>
      <c r="G111" s="5"/>
      <c r="H111" s="5"/>
      <c r="I111" s="5"/>
    </row>
    <row r="112" spans="1:9" x14ac:dyDescent="0.25">
      <c r="A112" s="2" t="s">
        <v>64</v>
      </c>
      <c r="B112" s="2"/>
      <c r="C112" s="1">
        <f>SUM(C100:C111)</f>
        <v>6067.1516256369041</v>
      </c>
      <c r="D112" s="1">
        <f>SUM(D100:D111)</f>
        <v>12614.240855185537</v>
      </c>
      <c r="E112" s="21"/>
      <c r="F112" s="21"/>
      <c r="G112" s="5"/>
      <c r="H112" s="5"/>
      <c r="I112" s="5"/>
    </row>
    <row r="113" spans="1:9" x14ac:dyDescent="0.25">
      <c r="A113" s="5"/>
      <c r="B113" s="5"/>
      <c r="C113" s="5"/>
      <c r="D113" s="5"/>
      <c r="E113" s="5"/>
      <c r="F113" s="5"/>
      <c r="G113" s="5" t="s">
        <v>73</v>
      </c>
      <c r="H113" s="5"/>
      <c r="I113" s="5"/>
    </row>
    <row r="114" spans="1:9" x14ac:dyDescent="0.25">
      <c r="A114" s="20">
        <v>1</v>
      </c>
      <c r="B114" s="21">
        <f>+F111</f>
        <v>248973.39226454965</v>
      </c>
      <c r="C114" s="21">
        <f t="shared" ref="C114:C125" si="40">+E114-D114</f>
        <v>519.39357229958</v>
      </c>
      <c r="D114" s="21">
        <f t="shared" ref="D114:D125" si="41">B114*$I$2</f>
        <v>1037.3891344356234</v>
      </c>
      <c r="E114" s="21">
        <f t="shared" ref="E114:E125" si="42">-$I$8</f>
        <v>1556.7827067352034</v>
      </c>
      <c r="F114" s="21">
        <f t="shared" ref="F114:F125" si="43">+B114-C114</f>
        <v>248453.99869225008</v>
      </c>
      <c r="G114" s="5"/>
      <c r="H114" s="5"/>
      <c r="I114" s="5"/>
    </row>
    <row r="115" spans="1:9" x14ac:dyDescent="0.25">
      <c r="A115" s="20">
        <v>2</v>
      </c>
      <c r="B115" s="21">
        <f t="shared" ref="B115:B125" si="44">+F114</f>
        <v>248453.99869225008</v>
      </c>
      <c r="C115" s="21">
        <f t="shared" si="40"/>
        <v>521.55771218416135</v>
      </c>
      <c r="D115" s="21">
        <f t="shared" si="41"/>
        <v>1035.2249945510421</v>
      </c>
      <c r="E115" s="21">
        <f t="shared" si="42"/>
        <v>1556.7827067352034</v>
      </c>
      <c r="F115" s="21">
        <f t="shared" si="43"/>
        <v>247932.44098006593</v>
      </c>
      <c r="G115" s="5"/>
      <c r="H115" s="5"/>
      <c r="I115" s="5"/>
    </row>
    <row r="116" spans="1:9" x14ac:dyDescent="0.25">
      <c r="A116" s="20">
        <v>3</v>
      </c>
      <c r="B116" s="21">
        <f t="shared" si="44"/>
        <v>247932.44098006593</v>
      </c>
      <c r="C116" s="21">
        <f t="shared" si="40"/>
        <v>523.73086931826197</v>
      </c>
      <c r="D116" s="21">
        <f t="shared" si="41"/>
        <v>1033.0518374169415</v>
      </c>
      <c r="E116" s="21">
        <f t="shared" si="42"/>
        <v>1556.7827067352034</v>
      </c>
      <c r="F116" s="21">
        <f t="shared" si="43"/>
        <v>247408.71011074766</v>
      </c>
      <c r="G116" s="5"/>
      <c r="H116" s="5"/>
      <c r="I116" s="5"/>
    </row>
    <row r="117" spans="1:9" x14ac:dyDescent="0.25">
      <c r="A117" s="20">
        <v>4</v>
      </c>
      <c r="B117" s="21">
        <f t="shared" si="44"/>
        <v>247408.71011074766</v>
      </c>
      <c r="C117" s="21">
        <f t="shared" si="40"/>
        <v>525.91308127375487</v>
      </c>
      <c r="D117" s="21">
        <f t="shared" si="41"/>
        <v>1030.8696254614485</v>
      </c>
      <c r="E117" s="21">
        <f t="shared" si="42"/>
        <v>1556.7827067352034</v>
      </c>
      <c r="F117" s="21">
        <f t="shared" si="43"/>
        <v>246882.79702947391</v>
      </c>
      <c r="G117" s="5"/>
      <c r="H117" s="5"/>
      <c r="I117" s="5"/>
    </row>
    <row r="118" spans="1:9" x14ac:dyDescent="0.25">
      <c r="A118" s="20">
        <v>5</v>
      </c>
      <c r="B118" s="21">
        <f t="shared" si="44"/>
        <v>246882.79702947391</v>
      </c>
      <c r="C118" s="21">
        <f t="shared" si="40"/>
        <v>528.10438577906211</v>
      </c>
      <c r="D118" s="21">
        <f t="shared" si="41"/>
        <v>1028.6783209561413</v>
      </c>
      <c r="E118" s="21">
        <f t="shared" si="42"/>
        <v>1556.7827067352034</v>
      </c>
      <c r="F118" s="21">
        <f t="shared" si="43"/>
        <v>246354.69264369484</v>
      </c>
      <c r="G118" s="5"/>
      <c r="H118" s="5"/>
      <c r="I118" s="5"/>
    </row>
    <row r="119" spans="1:9" x14ac:dyDescent="0.25">
      <c r="A119" s="20">
        <v>6</v>
      </c>
      <c r="B119" s="21">
        <f t="shared" si="44"/>
        <v>246354.69264369484</v>
      </c>
      <c r="C119" s="21">
        <f t="shared" si="40"/>
        <v>530.30482071980828</v>
      </c>
      <c r="D119" s="21">
        <f t="shared" si="41"/>
        <v>1026.4778860153951</v>
      </c>
      <c r="E119" s="21">
        <f t="shared" si="42"/>
        <v>1556.7827067352034</v>
      </c>
      <c r="F119" s="21">
        <f t="shared" si="43"/>
        <v>245824.38782297503</v>
      </c>
      <c r="G119" s="5"/>
      <c r="H119" s="5"/>
      <c r="I119" s="5"/>
    </row>
    <row r="120" spans="1:9" x14ac:dyDescent="0.25">
      <c r="A120" s="20">
        <v>7</v>
      </c>
      <c r="B120" s="21">
        <f t="shared" si="44"/>
        <v>245824.38782297503</v>
      </c>
      <c r="C120" s="21">
        <f t="shared" si="40"/>
        <v>532.51442413947416</v>
      </c>
      <c r="D120" s="21">
        <f t="shared" si="41"/>
        <v>1024.2682825957293</v>
      </c>
      <c r="E120" s="21">
        <f t="shared" si="42"/>
        <v>1556.7827067352034</v>
      </c>
      <c r="F120" s="21">
        <f t="shared" si="43"/>
        <v>245291.87339883554</v>
      </c>
      <c r="G120" s="5"/>
      <c r="H120" s="5"/>
      <c r="I120" s="5"/>
    </row>
    <row r="121" spans="1:9" x14ac:dyDescent="0.25">
      <c r="A121" s="20">
        <v>8</v>
      </c>
      <c r="B121" s="21">
        <f t="shared" si="44"/>
        <v>245291.87339883554</v>
      </c>
      <c r="C121" s="21">
        <f t="shared" si="40"/>
        <v>534.73323424005537</v>
      </c>
      <c r="D121" s="21">
        <f t="shared" si="41"/>
        <v>1022.0494724951481</v>
      </c>
      <c r="E121" s="21">
        <f t="shared" si="42"/>
        <v>1556.7827067352034</v>
      </c>
      <c r="F121" s="21">
        <f t="shared" si="43"/>
        <v>244757.14016459548</v>
      </c>
      <c r="G121" s="5"/>
      <c r="H121" s="5"/>
      <c r="I121" s="5"/>
    </row>
    <row r="122" spans="1:9" x14ac:dyDescent="0.25">
      <c r="A122" s="20">
        <v>9</v>
      </c>
      <c r="B122" s="21">
        <f t="shared" si="44"/>
        <v>244757.14016459548</v>
      </c>
      <c r="C122" s="21">
        <f t="shared" si="40"/>
        <v>536.96128938272227</v>
      </c>
      <c r="D122" s="21">
        <f t="shared" si="41"/>
        <v>1019.8214173524811</v>
      </c>
      <c r="E122" s="21">
        <f t="shared" si="42"/>
        <v>1556.7827067352034</v>
      </c>
      <c r="F122" s="21">
        <f t="shared" si="43"/>
        <v>244220.17887521276</v>
      </c>
      <c r="G122" s="5"/>
      <c r="H122" s="5"/>
      <c r="I122" s="5"/>
    </row>
    <row r="123" spans="1:9" x14ac:dyDescent="0.25">
      <c r="A123" s="20">
        <v>10</v>
      </c>
      <c r="B123" s="21">
        <f t="shared" si="44"/>
        <v>244220.17887521276</v>
      </c>
      <c r="C123" s="21">
        <f t="shared" si="40"/>
        <v>539.19862808848359</v>
      </c>
      <c r="D123" s="21">
        <f t="shared" si="41"/>
        <v>1017.5840786467198</v>
      </c>
      <c r="E123" s="21">
        <f t="shared" si="42"/>
        <v>1556.7827067352034</v>
      </c>
      <c r="F123" s="21">
        <f t="shared" si="43"/>
        <v>243680.98024712427</v>
      </c>
      <c r="G123" s="5"/>
      <c r="H123" s="5"/>
      <c r="I123" s="5"/>
    </row>
    <row r="124" spans="1:9" x14ac:dyDescent="0.25">
      <c r="A124" s="20">
        <v>11</v>
      </c>
      <c r="B124" s="21">
        <f t="shared" si="44"/>
        <v>243680.98024712427</v>
      </c>
      <c r="C124" s="21">
        <f t="shared" si="40"/>
        <v>541.44528903885225</v>
      </c>
      <c r="D124" s="21">
        <f t="shared" si="41"/>
        <v>1015.3374176963512</v>
      </c>
      <c r="E124" s="21">
        <f t="shared" si="42"/>
        <v>1556.7827067352034</v>
      </c>
      <c r="F124" s="21">
        <f t="shared" si="43"/>
        <v>243139.53495808542</v>
      </c>
      <c r="G124" s="5"/>
      <c r="H124" s="5"/>
      <c r="I124" s="5"/>
    </row>
    <row r="125" spans="1:9" x14ac:dyDescent="0.25">
      <c r="A125" s="20">
        <v>12</v>
      </c>
      <c r="B125" s="21">
        <f t="shared" si="44"/>
        <v>243139.53495808542</v>
      </c>
      <c r="C125" s="21">
        <f t="shared" si="40"/>
        <v>543.70131107651412</v>
      </c>
      <c r="D125" s="21">
        <f t="shared" si="41"/>
        <v>1013.0813956586893</v>
      </c>
      <c r="E125" s="21">
        <f t="shared" si="42"/>
        <v>1556.7827067352034</v>
      </c>
      <c r="F125" s="1">
        <f t="shared" si="43"/>
        <v>242595.8336470089</v>
      </c>
      <c r="G125" s="5"/>
      <c r="H125" s="5"/>
      <c r="I125" s="5"/>
    </row>
    <row r="126" spans="1:9" x14ac:dyDescent="0.25">
      <c r="A126" s="2" t="s">
        <v>64</v>
      </c>
      <c r="B126" s="2"/>
      <c r="C126" s="1">
        <f>SUM(C114:C125)</f>
        <v>6377.5586175407298</v>
      </c>
      <c r="D126" s="1">
        <f>SUM(D114:D125)</f>
        <v>12303.83386328171</v>
      </c>
      <c r="E126" s="21"/>
      <c r="F126" s="21"/>
      <c r="G126" s="5"/>
      <c r="H126" s="5"/>
      <c r="I126" s="5"/>
    </row>
    <row r="127" spans="1:9" x14ac:dyDescent="0.25">
      <c r="A127" s="5"/>
      <c r="B127" s="5"/>
      <c r="C127" s="5"/>
      <c r="D127" s="5"/>
      <c r="E127" s="5"/>
      <c r="F127" s="5"/>
      <c r="G127" s="5" t="s">
        <v>74</v>
      </c>
      <c r="H127" s="5"/>
      <c r="I127" s="5"/>
    </row>
    <row r="128" spans="1:9" x14ac:dyDescent="0.25">
      <c r="A128" s="20">
        <v>1</v>
      </c>
      <c r="B128" s="21">
        <f>+F125</f>
        <v>242595.8336470089</v>
      </c>
      <c r="C128" s="21">
        <f t="shared" ref="C128:C139" si="45">+E128-D128</f>
        <v>545.96673320599973</v>
      </c>
      <c r="D128" s="21">
        <f t="shared" ref="D128:D139" si="46">B128*$I$2</f>
        <v>1010.8159735292037</v>
      </c>
      <c r="E128" s="21">
        <f t="shared" ref="E128:E139" si="47">-$I$8</f>
        <v>1556.7827067352034</v>
      </c>
      <c r="F128" s="21">
        <f t="shared" ref="F128:F139" si="48">+B128-C128</f>
        <v>242049.86691380289</v>
      </c>
      <c r="G128" s="5"/>
      <c r="H128" s="5"/>
      <c r="I128" s="5"/>
    </row>
    <row r="129" spans="1:9" x14ac:dyDescent="0.25">
      <c r="A129" s="20">
        <v>2</v>
      </c>
      <c r="B129" s="21">
        <f t="shared" ref="B129:B139" si="49">+F128</f>
        <v>242049.86691380289</v>
      </c>
      <c r="C129" s="21">
        <f t="shared" si="45"/>
        <v>548.24159459435805</v>
      </c>
      <c r="D129" s="21">
        <f t="shared" si="46"/>
        <v>1008.5411121408454</v>
      </c>
      <c r="E129" s="21">
        <f t="shared" si="47"/>
        <v>1556.7827067352034</v>
      </c>
      <c r="F129" s="21">
        <f t="shared" si="48"/>
        <v>241501.62531920854</v>
      </c>
      <c r="G129" s="5"/>
      <c r="H129" s="5"/>
      <c r="I129" s="5"/>
    </row>
    <row r="130" spans="1:9" x14ac:dyDescent="0.25">
      <c r="A130" s="20">
        <v>3</v>
      </c>
      <c r="B130" s="21">
        <f t="shared" si="49"/>
        <v>241501.62531920854</v>
      </c>
      <c r="C130" s="21">
        <f t="shared" si="45"/>
        <v>550.52593457183445</v>
      </c>
      <c r="D130" s="21">
        <f t="shared" si="46"/>
        <v>1006.256772163369</v>
      </c>
      <c r="E130" s="21">
        <f t="shared" si="47"/>
        <v>1556.7827067352034</v>
      </c>
      <c r="F130" s="21">
        <f t="shared" si="48"/>
        <v>240951.09938463671</v>
      </c>
      <c r="G130" s="5"/>
      <c r="H130" s="5"/>
      <c r="I130" s="5"/>
    </row>
    <row r="131" spans="1:9" x14ac:dyDescent="0.25">
      <c r="A131" s="20">
        <v>4</v>
      </c>
      <c r="B131" s="21">
        <f t="shared" si="49"/>
        <v>240951.09938463671</v>
      </c>
      <c r="C131" s="21">
        <f t="shared" si="45"/>
        <v>552.8197926325505</v>
      </c>
      <c r="D131" s="21">
        <f t="shared" si="46"/>
        <v>1003.9629141026529</v>
      </c>
      <c r="E131" s="21">
        <f t="shared" si="47"/>
        <v>1556.7827067352034</v>
      </c>
      <c r="F131" s="21">
        <f t="shared" si="48"/>
        <v>240398.27959200417</v>
      </c>
      <c r="G131" s="5"/>
      <c r="H131" s="5"/>
      <c r="I131" s="5"/>
    </row>
    <row r="132" spans="1:9" x14ac:dyDescent="0.25">
      <c r="A132" s="20">
        <v>5</v>
      </c>
      <c r="B132" s="21">
        <f t="shared" si="49"/>
        <v>240398.27959200417</v>
      </c>
      <c r="C132" s="21">
        <f t="shared" si="45"/>
        <v>555.12320843518603</v>
      </c>
      <c r="D132" s="21">
        <f t="shared" si="46"/>
        <v>1001.6594983000174</v>
      </c>
      <c r="E132" s="21">
        <f t="shared" si="47"/>
        <v>1556.7827067352034</v>
      </c>
      <c r="F132" s="21">
        <f t="shared" si="48"/>
        <v>239843.15638356897</v>
      </c>
      <c r="G132" s="5"/>
      <c r="H132" s="5"/>
      <c r="I132" s="5"/>
    </row>
    <row r="133" spans="1:9" x14ac:dyDescent="0.25">
      <c r="A133" s="20">
        <v>6</v>
      </c>
      <c r="B133" s="21">
        <f t="shared" si="49"/>
        <v>239843.15638356897</v>
      </c>
      <c r="C133" s="21">
        <f t="shared" si="45"/>
        <v>557.43622180366606</v>
      </c>
      <c r="D133" s="21">
        <f t="shared" si="46"/>
        <v>999.34648493153736</v>
      </c>
      <c r="E133" s="21">
        <f t="shared" si="47"/>
        <v>1556.7827067352034</v>
      </c>
      <c r="F133" s="21">
        <f t="shared" si="48"/>
        <v>239285.72016176532</v>
      </c>
      <c r="G133" s="5"/>
      <c r="H133" s="5"/>
      <c r="I133" s="5"/>
    </row>
    <row r="134" spans="1:9" x14ac:dyDescent="0.25">
      <c r="A134" s="20">
        <v>7</v>
      </c>
      <c r="B134" s="21">
        <f t="shared" si="49"/>
        <v>239285.72016176532</v>
      </c>
      <c r="C134" s="21">
        <f t="shared" si="45"/>
        <v>559.75887272784792</v>
      </c>
      <c r="D134" s="21">
        <f t="shared" si="46"/>
        <v>997.0238340073555</v>
      </c>
      <c r="E134" s="21">
        <f t="shared" si="47"/>
        <v>1556.7827067352034</v>
      </c>
      <c r="F134" s="21">
        <f t="shared" si="48"/>
        <v>238725.96128903748</v>
      </c>
      <c r="G134" s="5"/>
      <c r="H134" s="5"/>
      <c r="I134" s="5"/>
    </row>
    <row r="135" spans="1:9" x14ac:dyDescent="0.25">
      <c r="A135" s="20">
        <v>8</v>
      </c>
      <c r="B135" s="21">
        <f t="shared" si="49"/>
        <v>238725.96128903748</v>
      </c>
      <c r="C135" s="21">
        <f t="shared" si="45"/>
        <v>562.09120136421393</v>
      </c>
      <c r="D135" s="21">
        <f t="shared" si="46"/>
        <v>994.69150537098949</v>
      </c>
      <c r="E135" s="21">
        <f t="shared" si="47"/>
        <v>1556.7827067352034</v>
      </c>
      <c r="F135" s="21">
        <f t="shared" si="48"/>
        <v>238163.87008767328</v>
      </c>
      <c r="G135" s="5"/>
      <c r="H135" s="5"/>
      <c r="I135" s="5"/>
    </row>
    <row r="136" spans="1:9" x14ac:dyDescent="0.25">
      <c r="A136" s="20">
        <v>9</v>
      </c>
      <c r="B136" s="21">
        <f t="shared" si="49"/>
        <v>238163.87008767328</v>
      </c>
      <c r="C136" s="21">
        <f t="shared" si="45"/>
        <v>564.43324803656481</v>
      </c>
      <c r="D136" s="21">
        <f t="shared" si="46"/>
        <v>992.34945869863861</v>
      </c>
      <c r="E136" s="21">
        <f t="shared" si="47"/>
        <v>1556.7827067352034</v>
      </c>
      <c r="F136" s="21">
        <f t="shared" si="48"/>
        <v>237599.43683963671</v>
      </c>
      <c r="G136" s="5"/>
      <c r="H136" s="5"/>
      <c r="I136" s="5"/>
    </row>
    <row r="137" spans="1:9" x14ac:dyDescent="0.25">
      <c r="A137" s="20">
        <v>10</v>
      </c>
      <c r="B137" s="21">
        <f t="shared" si="49"/>
        <v>237599.43683963671</v>
      </c>
      <c r="C137" s="21">
        <f t="shared" si="45"/>
        <v>566.7850532367172</v>
      </c>
      <c r="D137" s="21">
        <f t="shared" si="46"/>
        <v>989.99765349848622</v>
      </c>
      <c r="E137" s="21">
        <f t="shared" si="47"/>
        <v>1556.7827067352034</v>
      </c>
      <c r="F137" s="21">
        <f t="shared" si="48"/>
        <v>237032.65178639998</v>
      </c>
      <c r="G137" s="5"/>
      <c r="H137" s="5"/>
      <c r="I137" s="5"/>
    </row>
    <row r="138" spans="1:9" x14ac:dyDescent="0.25">
      <c r="A138" s="20">
        <v>11</v>
      </c>
      <c r="B138" s="21">
        <f t="shared" si="49"/>
        <v>237032.65178639998</v>
      </c>
      <c r="C138" s="21">
        <f t="shared" si="45"/>
        <v>569.14665762520349</v>
      </c>
      <c r="D138" s="21">
        <f t="shared" si="46"/>
        <v>987.63604910999993</v>
      </c>
      <c r="E138" s="21">
        <f t="shared" si="47"/>
        <v>1556.7827067352034</v>
      </c>
      <c r="F138" s="21">
        <f t="shared" si="48"/>
        <v>236463.50512877476</v>
      </c>
      <c r="G138" s="5"/>
      <c r="H138" s="5"/>
      <c r="I138" s="5"/>
    </row>
    <row r="139" spans="1:9" x14ac:dyDescent="0.25">
      <c r="A139" s="20">
        <v>12</v>
      </c>
      <c r="B139" s="21">
        <f t="shared" si="49"/>
        <v>236463.50512877476</v>
      </c>
      <c r="C139" s="21">
        <f t="shared" si="45"/>
        <v>571.51810203197522</v>
      </c>
      <c r="D139" s="21">
        <f t="shared" si="46"/>
        <v>985.2646047032282</v>
      </c>
      <c r="E139" s="21">
        <f t="shared" si="47"/>
        <v>1556.7827067352034</v>
      </c>
      <c r="F139" s="1">
        <f t="shared" si="48"/>
        <v>235891.98702674278</v>
      </c>
      <c r="G139" s="5"/>
      <c r="H139" s="5"/>
      <c r="I139" s="5"/>
    </row>
    <row r="140" spans="1:9" x14ac:dyDescent="0.25">
      <c r="A140" s="2" t="s">
        <v>64</v>
      </c>
      <c r="B140" s="2"/>
      <c r="C140" s="1">
        <f>SUM(C128:C139)</f>
        <v>6703.8466202661175</v>
      </c>
      <c r="D140" s="1">
        <f>SUM(D128:D139)</f>
        <v>11977.545860556324</v>
      </c>
      <c r="E140" s="21"/>
      <c r="F140" s="21"/>
      <c r="G140" s="5"/>
      <c r="H140" s="5"/>
      <c r="I14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zoomScale="115" zoomScaleNormal="115" workbookViewId="0">
      <selection activeCell="L52" sqref="L52"/>
    </sheetView>
  </sheetViews>
  <sheetFormatPr defaultRowHeight="12.75" x14ac:dyDescent="0.2"/>
  <cols>
    <col min="1" max="1" width="27.28515625" style="5" bestFit="1" customWidth="1"/>
    <col min="2" max="2" width="30.7109375" style="5" customWidth="1"/>
    <col min="3" max="3" width="16.85546875" style="5" bestFit="1" customWidth="1"/>
    <col min="4" max="4" width="21.28515625" style="5" bestFit="1" customWidth="1"/>
    <col min="5" max="14" width="15.28515625" style="5" bestFit="1" customWidth="1"/>
    <col min="15" max="15" width="9.140625" style="5"/>
    <col min="16" max="16" width="11.5703125" style="5" bestFit="1" customWidth="1"/>
    <col min="17" max="18" width="9.140625" style="5"/>
    <col min="19" max="19" width="21.28515625" style="5" bestFit="1" customWidth="1"/>
    <col min="20" max="20" width="24.7109375" style="5" bestFit="1" customWidth="1"/>
    <col min="21" max="16384" width="9.140625" style="5"/>
  </cols>
  <sheetData>
    <row r="1" spans="1:8" x14ac:dyDescent="0.2">
      <c r="A1" s="4" t="s">
        <v>0</v>
      </c>
      <c r="B1" s="5" t="s">
        <v>1</v>
      </c>
    </row>
    <row r="2" spans="1:8" x14ac:dyDescent="0.2">
      <c r="A2" s="4">
        <v>7.0000000000000007E-2</v>
      </c>
      <c r="B2" s="5" t="s">
        <v>26</v>
      </c>
      <c r="G2" s="5" t="s">
        <v>109</v>
      </c>
      <c r="H2" s="5">
        <v>0.69</v>
      </c>
    </row>
    <row r="3" spans="1:8" x14ac:dyDescent="0.2">
      <c r="A3" s="4" t="s">
        <v>5</v>
      </c>
      <c r="G3" s="5" t="s">
        <v>110</v>
      </c>
      <c r="H3" s="6">
        <f>H2*(1+((1-B42)*((Q64+Q65)/Q67)))</f>
        <v>17.379798215137139</v>
      </c>
    </row>
    <row r="4" spans="1:8" x14ac:dyDescent="0.2">
      <c r="A4" s="5">
        <v>182200</v>
      </c>
      <c r="B4" s="5" t="s">
        <v>2</v>
      </c>
    </row>
    <row r="5" spans="1:8" x14ac:dyDescent="0.2">
      <c r="A5" s="5">
        <v>25</v>
      </c>
      <c r="B5" s="5" t="s">
        <v>3</v>
      </c>
      <c r="G5" s="5" t="s">
        <v>111</v>
      </c>
      <c r="H5" s="7">
        <f>H6+H3*(H7-H6)</f>
        <v>0.82783168108291671</v>
      </c>
    </row>
    <row r="6" spans="1:8" x14ac:dyDescent="0.2">
      <c r="A6" s="5" t="s">
        <v>6</v>
      </c>
      <c r="G6" s="5" t="s">
        <v>112</v>
      </c>
      <c r="H6" s="4">
        <v>2.47E-2</v>
      </c>
    </row>
    <row r="7" spans="1:8" x14ac:dyDescent="0.2">
      <c r="G7" s="5" t="s">
        <v>113</v>
      </c>
      <c r="H7" s="7">
        <f>G9/10</f>
        <v>7.0910644746348075E-2</v>
      </c>
    </row>
    <row r="8" spans="1:8" x14ac:dyDescent="0.2">
      <c r="A8" s="8">
        <v>0.01</v>
      </c>
      <c r="B8" s="5" t="s">
        <v>25</v>
      </c>
    </row>
    <row r="9" spans="1:8" x14ac:dyDescent="0.2">
      <c r="A9" s="5">
        <v>6500000</v>
      </c>
      <c r="B9" s="5" t="s">
        <v>4</v>
      </c>
      <c r="G9" s="5">
        <f>(1939.87-1135.02)/1135.02</f>
        <v>0.70910644746348073</v>
      </c>
    </row>
    <row r="10" spans="1:8" x14ac:dyDescent="0.2">
      <c r="A10" s="5">
        <v>22</v>
      </c>
      <c r="B10" s="5" t="s">
        <v>29</v>
      </c>
    </row>
    <row r="11" spans="1:8" x14ac:dyDescent="0.2">
      <c r="A11" s="5">
        <v>10</v>
      </c>
      <c r="B11" s="5" t="s">
        <v>30</v>
      </c>
    </row>
    <row r="12" spans="1:8" x14ac:dyDescent="0.2">
      <c r="A12" s="5" t="s">
        <v>46</v>
      </c>
    </row>
    <row r="13" spans="1:8" x14ac:dyDescent="0.2">
      <c r="A13" s="5">
        <v>2000</v>
      </c>
      <c r="B13" s="5" t="s">
        <v>47</v>
      </c>
    </row>
    <row r="14" spans="1:8" x14ac:dyDescent="0.2">
      <c r="A14" s="5">
        <v>4</v>
      </c>
      <c r="B14" s="5" t="s">
        <v>48</v>
      </c>
      <c r="E14" s="5">
        <v>1</v>
      </c>
      <c r="F14" s="5" t="s">
        <v>49</v>
      </c>
    </row>
    <row r="15" spans="1:8" x14ac:dyDescent="0.2">
      <c r="A15" s="5">
        <v>10</v>
      </c>
      <c r="B15" s="5" t="s">
        <v>50</v>
      </c>
      <c r="E15" s="5">
        <v>20</v>
      </c>
      <c r="F15" s="5" t="s">
        <v>50</v>
      </c>
    </row>
    <row r="16" spans="1:8" x14ac:dyDescent="0.2">
      <c r="A16" s="5">
        <v>45</v>
      </c>
      <c r="B16" s="5" t="s">
        <v>51</v>
      </c>
    </row>
    <row r="17" spans="1:14" x14ac:dyDescent="0.2">
      <c r="A17" s="5">
        <v>1000</v>
      </c>
      <c r="B17" s="5" t="s">
        <v>52</v>
      </c>
    </row>
    <row r="18" spans="1:14" x14ac:dyDescent="0.2">
      <c r="A18" s="5">
        <v>290000</v>
      </c>
      <c r="B18" s="5" t="s">
        <v>75</v>
      </c>
      <c r="E18" s="8">
        <v>0.05</v>
      </c>
      <c r="F18" s="5">
        <v>30</v>
      </c>
      <c r="G18" s="5" t="s">
        <v>76</v>
      </c>
    </row>
    <row r="21" spans="1:14" x14ac:dyDescent="0.2">
      <c r="A21" s="5" t="s">
        <v>36</v>
      </c>
      <c r="E21" s="5">
        <v>15</v>
      </c>
      <c r="F21" s="5">
        <v>15</v>
      </c>
      <c r="G21" s="5">
        <v>15</v>
      </c>
      <c r="H21" s="5">
        <v>15</v>
      </c>
      <c r="I21" s="5">
        <v>15</v>
      </c>
      <c r="J21" s="5">
        <v>15</v>
      </c>
    </row>
    <row r="22" spans="1:14" x14ac:dyDescent="0.2">
      <c r="A22" s="5" t="s">
        <v>37</v>
      </c>
      <c r="E22" s="5">
        <v>45</v>
      </c>
      <c r="F22" s="5">
        <v>45</v>
      </c>
      <c r="G22" s="5">
        <v>45</v>
      </c>
      <c r="H22" s="5">
        <v>45</v>
      </c>
      <c r="I22" s="5">
        <v>45</v>
      </c>
      <c r="J22" s="5">
        <v>45</v>
      </c>
    </row>
    <row r="23" spans="1:14" x14ac:dyDescent="0.2">
      <c r="A23" s="5" t="s">
        <v>38</v>
      </c>
      <c r="E23" s="5">
        <v>10</v>
      </c>
      <c r="F23" s="5">
        <v>10</v>
      </c>
      <c r="G23" s="5">
        <v>10</v>
      </c>
      <c r="H23" s="5">
        <v>10</v>
      </c>
      <c r="I23" s="5">
        <v>10</v>
      </c>
      <c r="J23" s="5">
        <v>10</v>
      </c>
    </row>
    <row r="25" spans="1:14" x14ac:dyDescent="0.2">
      <c r="E25" s="9">
        <v>2015</v>
      </c>
      <c r="F25" s="9">
        <v>2016</v>
      </c>
      <c r="G25" s="9">
        <v>2017</v>
      </c>
      <c r="H25" s="9">
        <v>2018</v>
      </c>
      <c r="I25" s="9">
        <v>2019</v>
      </c>
      <c r="J25" s="9">
        <v>2020</v>
      </c>
      <c r="K25" s="9"/>
      <c r="L25" s="9"/>
      <c r="M25" s="9"/>
      <c r="N25" s="9"/>
    </row>
    <row r="26" spans="1:14" x14ac:dyDescent="0.2">
      <c r="A26" s="9" t="s">
        <v>15</v>
      </c>
    </row>
    <row r="27" spans="1:14" x14ac:dyDescent="0.2">
      <c r="A27" s="5" t="s">
        <v>7</v>
      </c>
    </row>
    <row r="28" spans="1:14" x14ac:dyDescent="0.2">
      <c r="A28" s="5" t="s">
        <v>8</v>
      </c>
      <c r="B28" s="4">
        <v>-0.1</v>
      </c>
      <c r="C28" s="8" t="s">
        <v>79</v>
      </c>
      <c r="D28" s="8"/>
      <c r="E28" s="10">
        <f>A2*A9*A10*A8*12</f>
        <v>1201200.0000000002</v>
      </c>
      <c r="F28" s="10">
        <f>E28*(1+$B$28)</f>
        <v>1081080.0000000002</v>
      </c>
      <c r="G28" s="10">
        <f t="shared" ref="G28:J28" si="0">F28*(1+$B$28)</f>
        <v>972972.00000000023</v>
      </c>
      <c r="H28" s="10">
        <f t="shared" si="0"/>
        <v>875674.80000000028</v>
      </c>
      <c r="I28" s="10">
        <f t="shared" si="0"/>
        <v>788107.3200000003</v>
      </c>
      <c r="J28" s="10">
        <f t="shared" si="0"/>
        <v>709296.58800000034</v>
      </c>
      <c r="K28" s="10"/>
      <c r="L28" s="10"/>
      <c r="M28" s="10"/>
      <c r="N28" s="10"/>
    </row>
    <row r="29" spans="1:14" x14ac:dyDescent="0.2">
      <c r="A29" s="5" t="s">
        <v>9</v>
      </c>
      <c r="B29" s="4">
        <v>-0.1</v>
      </c>
      <c r="C29" s="4" t="s">
        <v>79</v>
      </c>
      <c r="D29" s="4"/>
      <c r="E29" s="10">
        <f>A4*A2/A5*A11*52</f>
        <v>265283.20000000001</v>
      </c>
      <c r="F29" s="10">
        <f>E29*(1+$B$29)</f>
        <v>238754.88</v>
      </c>
      <c r="G29" s="10">
        <f t="shared" ref="G29:J29" si="1">F29*(1+$B$29)</f>
        <v>214879.39200000002</v>
      </c>
      <c r="H29" s="10">
        <f t="shared" si="1"/>
        <v>193391.45280000003</v>
      </c>
      <c r="I29" s="10">
        <f t="shared" si="1"/>
        <v>174052.30752000003</v>
      </c>
      <c r="J29" s="10">
        <f t="shared" si="1"/>
        <v>156647.07676800003</v>
      </c>
      <c r="K29" s="10"/>
      <c r="L29" s="10"/>
      <c r="M29" s="10"/>
      <c r="N29" s="10"/>
    </row>
    <row r="30" spans="1:14" x14ac:dyDescent="0.2"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5" t="s">
        <v>27</v>
      </c>
      <c r="B31" s="11">
        <v>1.1000000000000001</v>
      </c>
      <c r="C31" s="11" t="s">
        <v>80</v>
      </c>
      <c r="D31" s="11"/>
      <c r="E31" s="10">
        <f>E28/$B$31</f>
        <v>1092000.0000000002</v>
      </c>
      <c r="F31" s="10">
        <f t="shared" ref="F31:J31" si="2">F28/$B$31</f>
        <v>982800.00000000012</v>
      </c>
      <c r="G31" s="10">
        <f t="shared" si="2"/>
        <v>884520.00000000012</v>
      </c>
      <c r="H31" s="10">
        <f t="shared" si="2"/>
        <v>796068.00000000023</v>
      </c>
      <c r="I31" s="10">
        <f t="shared" si="2"/>
        <v>716461.20000000019</v>
      </c>
      <c r="J31" s="10">
        <f t="shared" si="2"/>
        <v>644815.08000000031</v>
      </c>
      <c r="K31" s="10"/>
      <c r="L31" s="10"/>
      <c r="M31" s="10"/>
      <c r="N31" s="10"/>
    </row>
    <row r="32" spans="1:14" x14ac:dyDescent="0.2">
      <c r="A32" s="5" t="s">
        <v>28</v>
      </c>
      <c r="B32" s="8">
        <v>0.5</v>
      </c>
      <c r="C32" s="8" t="s">
        <v>81</v>
      </c>
      <c r="D32" s="8"/>
      <c r="E32" s="10">
        <f>E29*$B$32</f>
        <v>132641.60000000001</v>
      </c>
      <c r="F32" s="10">
        <f t="shared" ref="F32:J32" si="3">F29*$B$32</f>
        <v>119377.44</v>
      </c>
      <c r="G32" s="10">
        <f t="shared" si="3"/>
        <v>107439.69600000001</v>
      </c>
      <c r="H32" s="10">
        <f t="shared" si="3"/>
        <v>96695.726400000014</v>
      </c>
      <c r="I32" s="10">
        <f t="shared" si="3"/>
        <v>87026.153760000016</v>
      </c>
      <c r="J32" s="10">
        <f t="shared" si="3"/>
        <v>78323.538384000014</v>
      </c>
      <c r="K32" s="10"/>
      <c r="L32" s="10"/>
      <c r="M32" s="10"/>
      <c r="N32" s="10"/>
    </row>
    <row r="33" spans="1:14" x14ac:dyDescent="0.2">
      <c r="B33" s="8"/>
      <c r="C33" s="8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A34" s="5" t="s">
        <v>31</v>
      </c>
      <c r="B34" s="7">
        <f>E34/E29</f>
        <v>9.0469355013811648E-2</v>
      </c>
      <c r="C34" s="5" t="s">
        <v>82</v>
      </c>
      <c r="E34" s="10">
        <f>A13*12</f>
        <v>24000</v>
      </c>
      <c r="F34" s="10">
        <f>$B$34*F29</f>
        <v>21600</v>
      </c>
      <c r="G34" s="10">
        <f t="shared" ref="G34:J34" si="4">$B$34*G29</f>
        <v>19440</v>
      </c>
      <c r="H34" s="10">
        <f t="shared" si="4"/>
        <v>17496</v>
      </c>
      <c r="I34" s="10">
        <f t="shared" si="4"/>
        <v>15746.400000000001</v>
      </c>
      <c r="J34" s="10">
        <f t="shared" si="4"/>
        <v>14171.760000000002</v>
      </c>
      <c r="K34" s="10"/>
      <c r="L34" s="10"/>
      <c r="M34" s="10"/>
      <c r="N34" s="10"/>
    </row>
    <row r="35" spans="1:14" x14ac:dyDescent="0.2">
      <c r="A35" s="5" t="s">
        <v>10</v>
      </c>
      <c r="B35" s="12">
        <v>5.0000000000000001E-3</v>
      </c>
      <c r="E35" s="10">
        <f>$A$14*$A$15*$A$16*52+$E$14*$E$15*$A$16*52</f>
        <v>140400</v>
      </c>
      <c r="F35" s="10">
        <f>E35*(1+$B$35)</f>
        <v>141101.99999999997</v>
      </c>
      <c r="G35" s="10">
        <f t="shared" ref="G35:J35" si="5">F35*(1+$B$35)</f>
        <v>141807.50999999995</v>
      </c>
      <c r="H35" s="10">
        <f t="shared" si="5"/>
        <v>142516.54754999993</v>
      </c>
      <c r="I35" s="10">
        <f t="shared" si="5"/>
        <v>143229.13028774993</v>
      </c>
      <c r="J35" s="10">
        <f t="shared" si="5"/>
        <v>143945.27593918866</v>
      </c>
      <c r="K35" s="10"/>
      <c r="L35" s="10"/>
      <c r="M35" s="10"/>
      <c r="N35" s="10"/>
    </row>
    <row r="36" spans="1:14" x14ac:dyDescent="0.2">
      <c r="A36" s="5" t="s">
        <v>11</v>
      </c>
      <c r="B36" s="12">
        <v>5.0000000000000001E-3</v>
      </c>
      <c r="E36" s="10">
        <f>$A$17*12</f>
        <v>12000</v>
      </c>
      <c r="F36" s="10">
        <f>E36*(1+$B$36)</f>
        <v>12059.999999999998</v>
      </c>
      <c r="G36" s="10">
        <f t="shared" ref="G36:J36" si="6">F36*(1+$B$36)</f>
        <v>12120.299999999997</v>
      </c>
      <c r="H36" s="10">
        <f t="shared" si="6"/>
        <v>12180.901499999996</v>
      </c>
      <c r="I36" s="10">
        <f t="shared" si="6"/>
        <v>12241.806007499996</v>
      </c>
      <c r="J36" s="10">
        <f t="shared" si="6"/>
        <v>12303.015037537494</v>
      </c>
      <c r="K36" s="10"/>
      <c r="L36" s="10"/>
      <c r="M36" s="10"/>
      <c r="N36" s="10"/>
    </row>
    <row r="37" spans="1:14" x14ac:dyDescent="0.2">
      <c r="A37" s="5" t="s">
        <v>39</v>
      </c>
      <c r="E37" s="10">
        <f>(E52/B52)</f>
        <v>1600</v>
      </c>
      <c r="F37" s="10">
        <f>(F52/$B$52)</f>
        <v>1600</v>
      </c>
      <c r="G37" s="10">
        <f t="shared" ref="G37:I37" si="7">(G52/$B$52)</f>
        <v>1600</v>
      </c>
      <c r="H37" s="10">
        <f t="shared" si="7"/>
        <v>1600</v>
      </c>
      <c r="I37" s="10">
        <f t="shared" si="7"/>
        <v>1600</v>
      </c>
      <c r="J37" s="10">
        <v>0</v>
      </c>
      <c r="K37" s="10"/>
      <c r="L37" s="10"/>
      <c r="M37" s="10"/>
      <c r="N37" s="10"/>
    </row>
    <row r="38" spans="1:14" x14ac:dyDescent="0.2">
      <c r="A38" s="5" t="s">
        <v>40</v>
      </c>
      <c r="E38" s="10">
        <f t="shared" ref="E38:J38" si="8">E55/$B$55</f>
        <v>10000</v>
      </c>
      <c r="F38" s="10">
        <f t="shared" si="8"/>
        <v>10000</v>
      </c>
      <c r="G38" s="10">
        <f t="shared" si="8"/>
        <v>10000</v>
      </c>
      <c r="H38" s="10">
        <f t="shared" si="8"/>
        <v>10000</v>
      </c>
      <c r="I38" s="10">
        <f t="shared" si="8"/>
        <v>10000</v>
      </c>
      <c r="J38" s="10">
        <f t="shared" si="8"/>
        <v>10000</v>
      </c>
      <c r="K38" s="10"/>
      <c r="L38" s="10"/>
      <c r="M38" s="10"/>
      <c r="N38" s="10"/>
    </row>
    <row r="39" spans="1:14" x14ac:dyDescent="0.2">
      <c r="A39" s="5" t="s">
        <v>33</v>
      </c>
      <c r="E39" s="13">
        <f>E64*$B$64</f>
        <v>25712.095054946571</v>
      </c>
      <c r="F39" s="13">
        <f t="shared" ref="F39:J39" si="9">F64*$B$64</f>
        <v>24504.222035425915</v>
      </c>
      <c r="G39" s="13">
        <f t="shared" si="9"/>
        <v>25151.279018205361</v>
      </c>
      <c r="H39" s="13">
        <f t="shared" si="9"/>
        <v>28081.190134307471</v>
      </c>
      <c r="I39" s="13">
        <f t="shared" si="9"/>
        <v>33335.48907393877</v>
      </c>
      <c r="J39" s="13">
        <f t="shared" si="9"/>
        <v>40981.580954289595</v>
      </c>
      <c r="K39" s="13"/>
      <c r="L39" s="13"/>
      <c r="M39" s="13"/>
      <c r="N39" s="13"/>
    </row>
    <row r="40" spans="1:14" x14ac:dyDescent="0.2">
      <c r="A40" s="5" t="s">
        <v>44</v>
      </c>
      <c r="E40" s="10">
        <f>Mortgage!D14</f>
        <v>14402.832978676746</v>
      </c>
      <c r="F40" s="10">
        <f>Mortgage!D28</f>
        <v>14183.93375434705</v>
      </c>
      <c r="G40" s="10">
        <f>Mortgage!D42</f>
        <v>13953.835230255807</v>
      </c>
      <c r="H40" s="10">
        <f>Mortgage!D56</f>
        <v>13711.964428972267</v>
      </c>
      <c r="I40" s="10">
        <f>Mortgage!D70</f>
        <v>13457.719058452882</v>
      </c>
      <c r="J40" s="10">
        <f>Mortgage!D84</f>
        <v>13190.46601225009</v>
      </c>
      <c r="K40" s="10"/>
      <c r="L40" s="10"/>
      <c r="M40" s="10"/>
      <c r="N40" s="10"/>
    </row>
    <row r="41" spans="1:14" x14ac:dyDescent="0.2">
      <c r="A41" s="5" t="s">
        <v>12</v>
      </c>
      <c r="E41" s="10">
        <f>E28+E29-SUM(E31:E40)</f>
        <v>13726.671966376482</v>
      </c>
      <c r="F41" s="10">
        <f t="shared" ref="F41:J41" si="10">F28+F29-SUM(F31:F40)</f>
        <v>-7392.715789772803</v>
      </c>
      <c r="G41" s="10">
        <f t="shared" si="10"/>
        <v>-28181.228248460917</v>
      </c>
      <c r="H41" s="10">
        <f t="shared" si="10"/>
        <v>-49284.077213279437</v>
      </c>
      <c r="I41" s="10">
        <f t="shared" si="10"/>
        <v>-70938.27066764154</v>
      </c>
      <c r="J41" s="10">
        <f t="shared" si="10"/>
        <v>-91787.051559265936</v>
      </c>
      <c r="K41" s="10"/>
      <c r="L41" s="10"/>
      <c r="M41" s="10"/>
      <c r="N41" s="10"/>
    </row>
    <row r="42" spans="1:14" x14ac:dyDescent="0.2">
      <c r="A42" s="5" t="s">
        <v>13</v>
      </c>
      <c r="B42" s="8">
        <v>0.3</v>
      </c>
      <c r="C42" s="8" t="s">
        <v>83</v>
      </c>
      <c r="D42" s="8"/>
      <c r="E42" s="13">
        <f>MAX(E41*$B$42,0)</f>
        <v>4118.0015899129439</v>
      </c>
      <c r="F42" s="13">
        <f t="shared" ref="F42:J42" si="11">MAX(F41*$B$42,0)</f>
        <v>0</v>
      </c>
      <c r="G42" s="13">
        <f t="shared" si="11"/>
        <v>0</v>
      </c>
      <c r="H42" s="13">
        <f t="shared" si="11"/>
        <v>0</v>
      </c>
      <c r="I42" s="13">
        <f t="shared" si="11"/>
        <v>0</v>
      </c>
      <c r="J42" s="13">
        <f t="shared" si="11"/>
        <v>0</v>
      </c>
      <c r="K42" s="13"/>
      <c r="L42" s="13"/>
      <c r="M42" s="13"/>
      <c r="N42" s="13"/>
    </row>
    <row r="43" spans="1:14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2">
      <c r="A44" s="9" t="s">
        <v>14</v>
      </c>
      <c r="E44" s="10">
        <f>E41-E42</f>
        <v>9608.6703764635386</v>
      </c>
      <c r="F44" s="10">
        <f t="shared" ref="F44:J44" si="12">F41-F42</f>
        <v>-7392.715789772803</v>
      </c>
      <c r="G44" s="10">
        <f t="shared" si="12"/>
        <v>-28181.228248460917</v>
      </c>
      <c r="H44" s="10">
        <f t="shared" si="12"/>
        <v>-49284.077213279437</v>
      </c>
      <c r="I44" s="10">
        <f t="shared" si="12"/>
        <v>-70938.27066764154</v>
      </c>
      <c r="J44" s="10">
        <f t="shared" si="12"/>
        <v>-91787.051559265936</v>
      </c>
      <c r="K44" s="10"/>
      <c r="L44" s="10"/>
      <c r="M44" s="10"/>
      <c r="N44" s="10"/>
    </row>
    <row r="45" spans="1:14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2">
      <c r="A46" s="9" t="s">
        <v>16</v>
      </c>
      <c r="E46" s="10"/>
      <c r="F46" s="10"/>
      <c r="G46" s="10"/>
      <c r="H46" s="10"/>
      <c r="I46" s="10"/>
      <c r="J46" s="10"/>
      <c r="K46" s="10"/>
      <c r="L46" s="25" t="s">
        <v>114</v>
      </c>
      <c r="M46" s="25" t="s">
        <v>115</v>
      </c>
      <c r="N46" s="25" t="s">
        <v>116</v>
      </c>
    </row>
    <row r="47" spans="1:14" x14ac:dyDescent="0.2">
      <c r="A47" s="5" t="s">
        <v>17</v>
      </c>
      <c r="B47" s="5">
        <v>300</v>
      </c>
      <c r="C47" s="5" t="s">
        <v>84</v>
      </c>
      <c r="E47" s="10">
        <f>B47</f>
        <v>300</v>
      </c>
      <c r="F47" s="10">
        <f t="shared" ref="F47:J47" si="13">E47</f>
        <v>300</v>
      </c>
      <c r="G47" s="10">
        <f t="shared" si="13"/>
        <v>300</v>
      </c>
      <c r="H47" s="10">
        <f t="shared" si="13"/>
        <v>300</v>
      </c>
      <c r="I47" s="10">
        <f t="shared" si="13"/>
        <v>300</v>
      </c>
      <c r="J47" s="10">
        <f t="shared" si="13"/>
        <v>300</v>
      </c>
      <c r="K47" s="10"/>
      <c r="L47" s="26">
        <v>1</v>
      </c>
      <c r="M47" s="25"/>
      <c r="N47" s="27">
        <f>J47*L47</f>
        <v>300</v>
      </c>
    </row>
    <row r="48" spans="1:14" x14ac:dyDescent="0.2">
      <c r="A48" s="5" t="s">
        <v>18</v>
      </c>
      <c r="E48" s="10"/>
      <c r="F48" s="10"/>
      <c r="G48" s="10"/>
      <c r="H48" s="10"/>
      <c r="I48" s="10"/>
      <c r="J48" s="10"/>
      <c r="K48" s="10"/>
      <c r="L48" s="26"/>
      <c r="M48" s="25"/>
      <c r="N48" s="27"/>
    </row>
    <row r="49" spans="1:20" x14ac:dyDescent="0.2">
      <c r="A49" s="5" t="s">
        <v>19</v>
      </c>
      <c r="E49" s="10">
        <f t="shared" ref="E49:J49" si="14">E28/365*E22</f>
        <v>148093.15068493155</v>
      </c>
      <c r="F49" s="10">
        <f t="shared" si="14"/>
        <v>133283.83561643839</v>
      </c>
      <c r="G49" s="10">
        <f t="shared" si="14"/>
        <v>119955.45205479454</v>
      </c>
      <c r="H49" s="10">
        <f t="shared" si="14"/>
        <v>107959.90684931511</v>
      </c>
      <c r="I49" s="10">
        <f t="shared" si="14"/>
        <v>97163.916164383583</v>
      </c>
      <c r="J49" s="10">
        <f t="shared" si="14"/>
        <v>87447.524547945257</v>
      </c>
      <c r="K49" s="10"/>
      <c r="L49" s="26">
        <v>0.7</v>
      </c>
      <c r="M49" s="25"/>
      <c r="N49" s="27">
        <f>J49*L49</f>
        <v>61213.267183561678</v>
      </c>
    </row>
    <row r="50" spans="1:20" x14ac:dyDescent="0.2">
      <c r="A50" s="5" t="s">
        <v>20</v>
      </c>
      <c r="E50" s="10">
        <f t="shared" ref="E50:J50" si="15">(E32+E31)/365*E21</f>
        <v>50327.736986301388</v>
      </c>
      <c r="F50" s="10">
        <f t="shared" si="15"/>
        <v>45294.963287671235</v>
      </c>
      <c r="G50" s="10">
        <f t="shared" si="15"/>
        <v>40765.466958904115</v>
      </c>
      <c r="H50" s="10">
        <f t="shared" si="15"/>
        <v>36688.920263013708</v>
      </c>
      <c r="I50" s="10">
        <f t="shared" si="15"/>
        <v>33020.028236712336</v>
      </c>
      <c r="J50" s="10">
        <f t="shared" si="15"/>
        <v>29718.025413041112</v>
      </c>
      <c r="K50" s="10"/>
      <c r="L50" s="26">
        <f>L49</f>
        <v>0.7</v>
      </c>
      <c r="M50" s="25"/>
      <c r="N50" s="27">
        <f t="shared" ref="N50" si="16">J50*L50</f>
        <v>20802.617789128777</v>
      </c>
    </row>
    <row r="51" spans="1:20" x14ac:dyDescent="0.2">
      <c r="E51" s="10"/>
      <c r="F51" s="10"/>
      <c r="G51" s="10"/>
      <c r="H51" s="10"/>
      <c r="I51" s="10"/>
      <c r="J51" s="10"/>
      <c r="K51" s="10"/>
      <c r="L51" s="25"/>
      <c r="M51" s="25"/>
      <c r="N51" s="27"/>
    </row>
    <row r="52" spans="1:20" x14ac:dyDescent="0.2">
      <c r="A52" s="5" t="s">
        <v>21</v>
      </c>
      <c r="B52" s="5">
        <v>5</v>
      </c>
      <c r="C52" s="5" t="s">
        <v>76</v>
      </c>
      <c r="E52" s="10">
        <v>8000</v>
      </c>
      <c r="F52" s="10">
        <v>8000</v>
      </c>
      <c r="G52" s="10">
        <v>8000</v>
      </c>
      <c r="H52" s="10">
        <v>8000</v>
      </c>
      <c r="I52" s="10">
        <v>8000</v>
      </c>
      <c r="J52" s="10">
        <v>8000</v>
      </c>
      <c r="K52" s="10"/>
      <c r="L52" s="26">
        <v>0.05</v>
      </c>
      <c r="M52" s="27"/>
      <c r="N52" s="27">
        <f>J52*L52</f>
        <v>400</v>
      </c>
    </row>
    <row r="53" spans="1:20" x14ac:dyDescent="0.2">
      <c r="A53" s="5" t="s">
        <v>77</v>
      </c>
      <c r="E53" s="10">
        <f>B53+E37</f>
        <v>1600</v>
      </c>
      <c r="F53" s="10">
        <f t="shared" ref="F53:J53" si="17">E53+F37</f>
        <v>3200</v>
      </c>
      <c r="G53" s="10">
        <f t="shared" si="17"/>
        <v>4800</v>
      </c>
      <c r="H53" s="10">
        <f t="shared" si="17"/>
        <v>6400</v>
      </c>
      <c r="I53" s="10">
        <f t="shared" si="17"/>
        <v>8000</v>
      </c>
      <c r="J53" s="10">
        <f t="shared" si="17"/>
        <v>8000</v>
      </c>
      <c r="K53" s="10"/>
      <c r="L53" s="26"/>
      <c r="M53" s="27"/>
      <c r="N53" s="27"/>
    </row>
    <row r="54" spans="1:20" x14ac:dyDescent="0.2">
      <c r="A54" s="5" t="s">
        <v>87</v>
      </c>
      <c r="B54" s="5" t="s">
        <v>88</v>
      </c>
      <c r="E54" s="10">
        <v>20000</v>
      </c>
      <c r="F54" s="10">
        <v>20000</v>
      </c>
      <c r="G54" s="10">
        <v>20000</v>
      </c>
      <c r="H54" s="10">
        <v>20000</v>
      </c>
      <c r="I54" s="10">
        <v>20000</v>
      </c>
      <c r="J54" s="10">
        <v>20000</v>
      </c>
      <c r="K54" s="10"/>
      <c r="L54" s="26">
        <v>1.07</v>
      </c>
      <c r="M54" s="28">
        <f>J54*L54</f>
        <v>21400</v>
      </c>
      <c r="N54" s="27"/>
    </row>
    <row r="55" spans="1:20" x14ac:dyDescent="0.2">
      <c r="A55" s="5" t="s">
        <v>32</v>
      </c>
      <c r="B55" s="5">
        <v>30</v>
      </c>
      <c r="C55" s="5" t="s">
        <v>76</v>
      </c>
      <c r="E55" s="10">
        <v>300000</v>
      </c>
      <c r="F55" s="10">
        <v>300000</v>
      </c>
      <c r="G55" s="10">
        <v>300000</v>
      </c>
      <c r="H55" s="10">
        <v>300000</v>
      </c>
      <c r="I55" s="10">
        <v>300000</v>
      </c>
      <c r="J55" s="10">
        <v>300000</v>
      </c>
      <c r="K55" s="10"/>
      <c r="L55" s="26">
        <v>0.9</v>
      </c>
      <c r="M55" s="28">
        <f>J55*L55</f>
        <v>270000</v>
      </c>
      <c r="N55" s="27"/>
    </row>
    <row r="56" spans="1:20" x14ac:dyDescent="0.2">
      <c r="A56" s="5" t="s">
        <v>78</v>
      </c>
      <c r="E56" s="10">
        <f>B56+E38</f>
        <v>10000</v>
      </c>
      <c r="F56" s="10">
        <f t="shared" ref="F56:J56" si="18">E56+F38</f>
        <v>20000</v>
      </c>
      <c r="G56" s="10">
        <f t="shared" si="18"/>
        <v>30000</v>
      </c>
      <c r="H56" s="10">
        <f t="shared" si="18"/>
        <v>40000</v>
      </c>
      <c r="I56" s="10">
        <f t="shared" si="18"/>
        <v>50000</v>
      </c>
      <c r="J56" s="10">
        <f t="shared" si="18"/>
        <v>60000</v>
      </c>
      <c r="K56" s="10"/>
      <c r="L56" s="25"/>
      <c r="M56" s="25"/>
      <c r="N56" s="27"/>
    </row>
    <row r="57" spans="1:20" x14ac:dyDescent="0.2">
      <c r="E57" s="10"/>
      <c r="F57" s="10"/>
      <c r="G57" s="10"/>
      <c r="H57" s="10"/>
      <c r="I57" s="10"/>
      <c r="J57" s="10"/>
      <c r="K57" s="10"/>
      <c r="L57" s="25"/>
      <c r="M57" s="25"/>
      <c r="N57" s="27"/>
    </row>
    <row r="58" spans="1:20" x14ac:dyDescent="0.2">
      <c r="A58" s="5" t="s">
        <v>103</v>
      </c>
      <c r="E58" s="10">
        <v>175000</v>
      </c>
      <c r="F58" s="10">
        <f>E58</f>
        <v>175000</v>
      </c>
      <c r="G58" s="10">
        <f t="shared" ref="G58:J58" si="19">F58</f>
        <v>175000</v>
      </c>
      <c r="H58" s="10">
        <f t="shared" si="19"/>
        <v>175000</v>
      </c>
      <c r="I58" s="10">
        <f t="shared" si="19"/>
        <v>175000</v>
      </c>
      <c r="J58" s="10">
        <f t="shared" si="19"/>
        <v>175000</v>
      </c>
      <c r="K58" s="10"/>
      <c r="L58" s="25"/>
      <c r="M58" s="25"/>
      <c r="N58" s="27"/>
    </row>
    <row r="59" spans="1:20" x14ac:dyDescent="0.2">
      <c r="E59" s="10"/>
      <c r="F59" s="10"/>
      <c r="G59" s="10"/>
      <c r="H59" s="10"/>
      <c r="I59" s="10"/>
      <c r="J59" s="10"/>
      <c r="K59" s="10"/>
      <c r="L59" s="26"/>
      <c r="M59" s="25"/>
      <c r="N59" s="27"/>
    </row>
    <row r="60" spans="1:20" x14ac:dyDescent="0.2">
      <c r="A60" s="9" t="s">
        <v>22</v>
      </c>
      <c r="E60" s="10">
        <f>SUM(E47:E52)+E55-E53-E56+E54+E58</f>
        <v>690120.88767123292</v>
      </c>
      <c r="F60" s="10">
        <f t="shared" ref="F60:J60" si="20">SUM(F47:F52)+F55-F53-F56+F54+F58</f>
        <v>658678.79890410963</v>
      </c>
      <c r="G60" s="10">
        <f t="shared" si="20"/>
        <v>629220.91901369859</v>
      </c>
      <c r="H60" s="10">
        <f t="shared" si="20"/>
        <v>601548.82711232884</v>
      </c>
      <c r="I60" s="10">
        <f t="shared" si="20"/>
        <v>575483.94440109585</v>
      </c>
      <c r="J60" s="10">
        <f t="shared" si="20"/>
        <v>552465.54996098636</v>
      </c>
      <c r="K60" s="10"/>
      <c r="L60" s="25"/>
      <c r="M60" s="25"/>
      <c r="N60" s="27"/>
    </row>
    <row r="61" spans="1:20" x14ac:dyDescent="0.2">
      <c r="E61" s="10"/>
      <c r="F61" s="10"/>
      <c r="G61" s="10"/>
      <c r="H61" s="10"/>
      <c r="I61" s="10"/>
      <c r="J61" s="10"/>
      <c r="K61" s="10"/>
    </row>
    <row r="62" spans="1:20" x14ac:dyDescent="0.2">
      <c r="A62" s="5" t="s">
        <v>23</v>
      </c>
      <c r="E62" s="10">
        <f t="shared" ref="E62:J62" si="21">(E32+E31)/365*E23</f>
        <v>33551.824657534256</v>
      </c>
      <c r="F62" s="10">
        <f t="shared" si="21"/>
        <v>30196.642191780826</v>
      </c>
      <c r="G62" s="10">
        <f t="shared" si="21"/>
        <v>27176.977972602745</v>
      </c>
      <c r="H62" s="10">
        <f t="shared" si="21"/>
        <v>24459.280175342472</v>
      </c>
      <c r="I62" s="10">
        <f t="shared" si="21"/>
        <v>22013.352157808225</v>
      </c>
      <c r="J62" s="10">
        <f t="shared" si="21"/>
        <v>19812.016942027407</v>
      </c>
      <c r="K62" s="10"/>
      <c r="L62" s="26">
        <v>-1</v>
      </c>
      <c r="M62" s="25"/>
      <c r="N62" s="27">
        <f>J62*L62</f>
        <v>-19812.016942027407</v>
      </c>
    </row>
    <row r="63" spans="1:20" x14ac:dyDescent="0.2">
      <c r="A63" s="5" t="s">
        <v>24</v>
      </c>
      <c r="E63" s="10">
        <f>E42</f>
        <v>4118.0015899129439</v>
      </c>
      <c r="F63" s="10">
        <f t="shared" ref="F63:J63" si="22">F42</f>
        <v>0</v>
      </c>
      <c r="G63" s="10">
        <f t="shared" si="22"/>
        <v>0</v>
      </c>
      <c r="H63" s="10">
        <f t="shared" si="22"/>
        <v>0</v>
      </c>
      <c r="I63" s="10">
        <f t="shared" si="22"/>
        <v>0</v>
      </c>
      <c r="J63" s="10">
        <f t="shared" si="22"/>
        <v>0</v>
      </c>
      <c r="K63" s="10"/>
      <c r="L63" s="26" t="s">
        <v>117</v>
      </c>
      <c r="M63" s="27">
        <f>SUM(M47:M62)</f>
        <v>291400</v>
      </c>
      <c r="N63" s="27">
        <f>SUM(N47:N62)</f>
        <v>62903.868030663056</v>
      </c>
    </row>
    <row r="64" spans="1:20" x14ac:dyDescent="0.2">
      <c r="A64" s="5" t="s">
        <v>34</v>
      </c>
      <c r="B64" s="8">
        <v>0.1</v>
      </c>
      <c r="C64" s="8" t="s">
        <v>85</v>
      </c>
      <c r="D64" s="8"/>
      <c r="E64" s="10">
        <v>257120.95054946569</v>
      </c>
      <c r="F64" s="10">
        <v>245042.22035425913</v>
      </c>
      <c r="G64" s="10">
        <v>251512.79018205361</v>
      </c>
      <c r="H64" s="10">
        <v>280811.90134307469</v>
      </c>
      <c r="I64" s="10">
        <v>333354.89073938766</v>
      </c>
      <c r="J64" s="10">
        <v>409815.80954289594</v>
      </c>
      <c r="K64" s="10"/>
      <c r="L64" s="29"/>
      <c r="M64" s="29"/>
      <c r="N64" s="29"/>
      <c r="P64" s="14">
        <f>AVERAGE(E64:N64)</f>
        <v>296276.42711852276</v>
      </c>
      <c r="Q64" s="15">
        <f>P64/$P$69</f>
        <v>0.53798107638490567</v>
      </c>
      <c r="S64" s="30">
        <f>Q64/(Q64+Q65)</f>
        <v>0.55355015975813882</v>
      </c>
      <c r="T64" s="4">
        <f>S64*B64</f>
        <v>5.5355015975813882E-2</v>
      </c>
    </row>
    <row r="65" spans="1:20" x14ac:dyDescent="0.2">
      <c r="A65" s="5" t="s">
        <v>35</v>
      </c>
      <c r="E65" s="10">
        <f>Mortgage!F13</f>
        <v>285721.44049785426</v>
      </c>
      <c r="F65" s="10">
        <f>Mortgage!F27</f>
        <v>281223.98177137895</v>
      </c>
      <c r="G65" s="10">
        <f>Mortgage!F41</f>
        <v>276496.42452081235</v>
      </c>
      <c r="H65" s="10">
        <f>Mortgage!F55</f>
        <v>271526.99646896205</v>
      </c>
      <c r="I65" s="10">
        <f>Mortgage!F69</f>
        <v>266303.32304659241</v>
      </c>
      <c r="J65" s="10">
        <f>Mortgage!F83</f>
        <v>260812.39657802015</v>
      </c>
      <c r="K65" s="10"/>
      <c r="L65" s="27" t="s">
        <v>118</v>
      </c>
      <c r="M65" s="31">
        <f>M63-J65</f>
        <v>30587.603421979846</v>
      </c>
      <c r="N65" s="31"/>
      <c r="P65" s="14">
        <f t="shared" ref="P65:P68" si="23">AVERAGE(E65:N65)</f>
        <v>238953.16661508573</v>
      </c>
      <c r="Q65" s="15">
        <f>P65/$P$69</f>
        <v>0.43389304721748695</v>
      </c>
      <c r="S65" s="30">
        <f>Q65/(Q64+Q65)</f>
        <v>0.44644984024186107</v>
      </c>
      <c r="T65" s="4">
        <f>S65*E18</f>
        <v>2.2322492012093055E-2</v>
      </c>
    </row>
    <row r="66" spans="1:20" x14ac:dyDescent="0.2">
      <c r="E66" s="10"/>
      <c r="F66" s="10"/>
      <c r="G66" s="10"/>
      <c r="H66" s="10"/>
      <c r="I66" s="10"/>
      <c r="J66" s="10"/>
      <c r="K66" s="10"/>
      <c r="L66" s="25" t="s">
        <v>119</v>
      </c>
      <c r="M66" s="31"/>
      <c r="N66" s="31">
        <v>-2000</v>
      </c>
      <c r="P66" s="14"/>
      <c r="T66" s="4">
        <f>SUM(T64:T65)</f>
        <v>7.767750798790693E-2</v>
      </c>
    </row>
    <row r="67" spans="1:20" x14ac:dyDescent="0.2">
      <c r="A67" s="5" t="s">
        <v>41</v>
      </c>
      <c r="B67" s="5">
        <v>100000</v>
      </c>
      <c r="C67" s="5" t="s">
        <v>86</v>
      </c>
      <c r="E67" s="10">
        <f>B67</f>
        <v>100000</v>
      </c>
      <c r="F67" s="10">
        <f t="shared" ref="F67:J67" si="24">E67</f>
        <v>100000</v>
      </c>
      <c r="G67" s="10">
        <f t="shared" si="24"/>
        <v>100000</v>
      </c>
      <c r="H67" s="10">
        <f t="shared" si="24"/>
        <v>100000</v>
      </c>
      <c r="I67" s="10">
        <f t="shared" si="24"/>
        <v>100000</v>
      </c>
      <c r="J67" s="10">
        <f t="shared" si="24"/>
        <v>100000</v>
      </c>
      <c r="K67" s="10"/>
      <c r="L67" s="27"/>
      <c r="M67" s="31"/>
      <c r="N67" s="27">
        <f>N63+N66</f>
        <v>60903.868030663056</v>
      </c>
      <c r="P67" s="14">
        <f t="shared" si="23"/>
        <v>94414.838290094733</v>
      </c>
      <c r="Q67" s="15">
        <f>(P67+P68)/P69</f>
        <v>2.8125876397607389E-2</v>
      </c>
    </row>
    <row r="68" spans="1:20" x14ac:dyDescent="0.2">
      <c r="A68" s="5" t="s">
        <v>42</v>
      </c>
      <c r="E68" s="10">
        <f>B68+E44</f>
        <v>9608.6703764635386</v>
      </c>
      <c r="F68" s="10">
        <f t="shared" ref="F68:J68" si="25">E68+F44</f>
        <v>2215.9545866907356</v>
      </c>
      <c r="G68" s="10">
        <f t="shared" si="25"/>
        <v>-25965.273661770181</v>
      </c>
      <c r="H68" s="10">
        <f t="shared" si="25"/>
        <v>-75249.350875049626</v>
      </c>
      <c r="I68" s="10">
        <f t="shared" si="25"/>
        <v>-146187.62154269117</v>
      </c>
      <c r="J68" s="10">
        <f t="shared" si="25"/>
        <v>-237974.6731019571</v>
      </c>
      <c r="K68" s="10"/>
      <c r="L68" s="25"/>
      <c r="M68" s="25"/>
      <c r="N68" s="27"/>
      <c r="P68" s="14">
        <f t="shared" si="23"/>
        <v>-78925.382369718965</v>
      </c>
    </row>
    <row r="69" spans="1:20" x14ac:dyDescent="0.2">
      <c r="E69" s="10"/>
      <c r="F69" s="10"/>
      <c r="G69" s="10"/>
      <c r="H69" s="10"/>
      <c r="I69" s="10"/>
      <c r="J69" s="10"/>
      <c r="K69" s="10"/>
      <c r="L69" s="25" t="s">
        <v>34</v>
      </c>
      <c r="M69" s="27">
        <f>M65+N67</f>
        <v>91491.471452642902</v>
      </c>
      <c r="N69" s="25"/>
      <c r="P69" s="14">
        <f>SUM(P64:P68)</f>
        <v>550719.04965398426</v>
      </c>
    </row>
    <row r="70" spans="1:20" x14ac:dyDescent="0.2">
      <c r="A70" s="9" t="s">
        <v>43</v>
      </c>
      <c r="E70" s="10">
        <f>SUM(E62:E68)</f>
        <v>690120.88767123071</v>
      </c>
      <c r="F70" s="10">
        <f t="shared" ref="F70:J70" si="26">SUM(F62:F68)</f>
        <v>658678.79890410975</v>
      </c>
      <c r="G70" s="10">
        <f t="shared" si="26"/>
        <v>629220.91901369859</v>
      </c>
      <c r="H70" s="10">
        <f t="shared" si="26"/>
        <v>601548.82711232966</v>
      </c>
      <c r="I70" s="10">
        <f t="shared" si="26"/>
        <v>575483.94440109713</v>
      </c>
      <c r="J70" s="10">
        <f t="shared" si="26"/>
        <v>552465.54996098648</v>
      </c>
      <c r="K70" s="10"/>
      <c r="L70" s="27"/>
      <c r="M70" s="32">
        <v>1</v>
      </c>
      <c r="N70" s="31">
        <f>J64-M69</f>
        <v>318324.33809025306</v>
      </c>
    </row>
    <row r="71" spans="1:20" x14ac:dyDescent="0.2">
      <c r="L71" s="27"/>
      <c r="M71" s="33">
        <f>M69/J64</f>
        <v>0.22325022442323902</v>
      </c>
      <c r="N71" s="31"/>
    </row>
    <row r="72" spans="1:20" x14ac:dyDescent="0.2">
      <c r="A72" s="5" t="s">
        <v>45</v>
      </c>
      <c r="E72" s="16">
        <f>E60-E70</f>
        <v>2.2118911147117615E-9</v>
      </c>
      <c r="F72" s="16">
        <f t="shared" ref="F72:J72" si="27">F60-F70</f>
        <v>0</v>
      </c>
      <c r="G72" s="16">
        <f t="shared" si="27"/>
        <v>0</v>
      </c>
      <c r="H72" s="16">
        <f t="shared" si="27"/>
        <v>0</v>
      </c>
      <c r="I72" s="16">
        <f t="shared" si="27"/>
        <v>-1.280568540096283E-9</v>
      </c>
      <c r="J72" s="16">
        <f t="shared" si="27"/>
        <v>0</v>
      </c>
      <c r="K72" s="16"/>
    </row>
    <row r="73" spans="1:20" x14ac:dyDescent="0.2">
      <c r="E73" s="14">
        <f>E60-(E64+E65)</f>
        <v>147278.49662391294</v>
      </c>
      <c r="F73" s="14">
        <f t="shared" ref="F73:J73" si="28">F60-(F64+F65)</f>
        <v>132412.5967784716</v>
      </c>
      <c r="G73" s="14">
        <f t="shared" si="28"/>
        <v>101211.70431083266</v>
      </c>
      <c r="H73" s="14">
        <f t="shared" si="28"/>
        <v>49209.929300292046</v>
      </c>
      <c r="I73" s="14">
        <f t="shared" si="28"/>
        <v>-24174.269384884275</v>
      </c>
      <c r="J73" s="14">
        <f t="shared" si="28"/>
        <v>-118162.6561599297</v>
      </c>
      <c r="K73" s="14"/>
    </row>
    <row r="74" spans="1:20" x14ac:dyDescent="0.2">
      <c r="A74" s="29"/>
      <c r="B74" s="29"/>
      <c r="C74" s="29"/>
      <c r="D74" s="35"/>
      <c r="E74" s="35"/>
      <c r="F74" s="35"/>
      <c r="G74" s="35"/>
    </row>
    <row r="75" spans="1:20" x14ac:dyDescent="0.2">
      <c r="A75" s="34" t="s">
        <v>120</v>
      </c>
      <c r="B75" s="29"/>
      <c r="C75" s="29"/>
      <c r="D75" s="35"/>
      <c r="E75" s="35"/>
      <c r="F75" s="35"/>
      <c r="G75" s="35"/>
    </row>
    <row r="76" spans="1:20" x14ac:dyDescent="0.2">
      <c r="A76" s="29" t="s">
        <v>121</v>
      </c>
      <c r="B76" s="29" t="s">
        <v>122</v>
      </c>
      <c r="D76" s="36">
        <f t="shared" ref="D76:I76" si="29">-(E65-D65)</f>
        <v>-285721.44049785426</v>
      </c>
      <c r="E76" s="36">
        <f t="shared" si="29"/>
        <v>4497.4587264753063</v>
      </c>
      <c r="F76" s="36">
        <f t="shared" si="29"/>
        <v>4727.5572505666059</v>
      </c>
      <c r="G76" s="36">
        <f t="shared" si="29"/>
        <v>4969.4280518502928</v>
      </c>
      <c r="H76" s="36">
        <f t="shared" si="29"/>
        <v>5223.6734223696403</v>
      </c>
      <c r="I76" s="36">
        <f t="shared" si="29"/>
        <v>5490.9264685722592</v>
      </c>
    </row>
    <row r="77" spans="1:20" x14ac:dyDescent="0.2">
      <c r="A77" s="29" t="s">
        <v>123</v>
      </c>
      <c r="B77" s="29" t="s">
        <v>124</v>
      </c>
      <c r="D77" s="29"/>
      <c r="E77" s="37"/>
      <c r="F77" s="37"/>
      <c r="G77" s="37"/>
      <c r="H77" s="37"/>
      <c r="J77" s="36">
        <f>-(K65-J65)</f>
        <v>260812.39657802015</v>
      </c>
    </row>
    <row r="78" spans="1:20" x14ac:dyDescent="0.2">
      <c r="A78" s="29" t="s">
        <v>123</v>
      </c>
      <c r="B78" s="29" t="s">
        <v>125</v>
      </c>
      <c r="D78" s="29"/>
      <c r="E78" s="37">
        <f t="shared" ref="E78:J78" si="30">E40</f>
        <v>14402.832978676746</v>
      </c>
      <c r="F78" s="37">
        <f t="shared" si="30"/>
        <v>14183.93375434705</v>
      </c>
      <c r="G78" s="37">
        <f t="shared" si="30"/>
        <v>13953.835230255807</v>
      </c>
      <c r="H78" s="37">
        <f t="shared" si="30"/>
        <v>13711.964428972267</v>
      </c>
      <c r="I78" s="37">
        <f t="shared" si="30"/>
        <v>13457.719058452882</v>
      </c>
      <c r="J78" s="37">
        <f t="shared" si="30"/>
        <v>13190.46601225009</v>
      </c>
    </row>
    <row r="79" spans="1:20" x14ac:dyDescent="0.2">
      <c r="A79" s="29"/>
      <c r="B79" s="29" t="s">
        <v>117</v>
      </c>
      <c r="D79" s="36">
        <f>SUM(D76:D78)</f>
        <v>-285721.44049785426</v>
      </c>
      <c r="E79" s="36">
        <f t="shared" ref="E79:I79" si="31">SUM(E76:E78)</f>
        <v>18900.291705152053</v>
      </c>
      <c r="F79" s="36">
        <f t="shared" si="31"/>
        <v>18911.491004913656</v>
      </c>
      <c r="G79" s="36">
        <f t="shared" si="31"/>
        <v>18923.263282106098</v>
      </c>
      <c r="H79" s="36">
        <f t="shared" si="31"/>
        <v>18935.637851341908</v>
      </c>
      <c r="I79" s="36">
        <f t="shared" si="31"/>
        <v>18948.645527025139</v>
      </c>
      <c r="J79" s="36">
        <f>SUM(J77:J78)</f>
        <v>274002.86259027023</v>
      </c>
    </row>
    <row r="80" spans="1:20" x14ac:dyDescent="0.2">
      <c r="A80" s="29"/>
      <c r="B80" s="34" t="s">
        <v>107</v>
      </c>
      <c r="D80" s="38">
        <f>IRR(D79:J79)</f>
        <v>5.0480355117446862E-2</v>
      </c>
      <c r="E80" s="35"/>
      <c r="F80" s="35"/>
      <c r="G80" s="35"/>
      <c r="H80" s="35"/>
    </row>
    <row r="81" spans="1:10" x14ac:dyDescent="0.2">
      <c r="A81" s="29"/>
      <c r="B81" s="29"/>
      <c r="D81" s="39"/>
      <c r="E81" s="35"/>
      <c r="F81" s="35"/>
      <c r="G81" s="35"/>
      <c r="H81" s="35"/>
    </row>
    <row r="82" spans="1:10" x14ac:dyDescent="0.2">
      <c r="A82" s="29"/>
      <c r="B82" s="29"/>
      <c r="D82" s="39"/>
      <c r="E82" s="35"/>
      <c r="F82" s="35"/>
      <c r="G82" s="35"/>
      <c r="H82" s="35"/>
    </row>
    <row r="83" spans="1:10" x14ac:dyDescent="0.2">
      <c r="A83" s="34"/>
      <c r="B83" s="34"/>
      <c r="D83" s="40"/>
      <c r="E83" s="41"/>
      <c r="F83" s="35"/>
      <c r="G83" s="35"/>
      <c r="H83" s="35"/>
    </row>
    <row r="84" spans="1:10" x14ac:dyDescent="0.2">
      <c r="A84" s="29"/>
      <c r="B84" s="29"/>
      <c r="D84" s="39"/>
      <c r="E84" s="35"/>
      <c r="F84" s="35"/>
      <c r="G84" s="35"/>
      <c r="H84" s="35"/>
    </row>
    <row r="85" spans="1:10" x14ac:dyDescent="0.2">
      <c r="A85" s="34" t="s">
        <v>34</v>
      </c>
      <c r="B85" s="29"/>
      <c r="D85" s="39"/>
      <c r="E85" s="35"/>
      <c r="F85" s="35"/>
      <c r="G85" s="35"/>
      <c r="H85" s="35"/>
    </row>
    <row r="86" spans="1:10" x14ac:dyDescent="0.2">
      <c r="A86" s="29" t="s">
        <v>121</v>
      </c>
      <c r="B86" s="29" t="s">
        <v>122</v>
      </c>
      <c r="D86" s="36">
        <f t="shared" ref="D86:I86" si="32">-(E64-D64)</f>
        <v>-257120.95054946569</v>
      </c>
      <c r="E86" s="36">
        <f t="shared" si="32"/>
        <v>12078.730195206561</v>
      </c>
      <c r="F86" s="36">
        <f t="shared" si="32"/>
        <v>-6470.5698277944757</v>
      </c>
      <c r="G86" s="36">
        <f t="shared" si="32"/>
        <v>-29299.111161021079</v>
      </c>
      <c r="H86" s="36">
        <f t="shared" si="32"/>
        <v>-52542.989396312973</v>
      </c>
      <c r="I86" s="36">
        <f t="shared" si="32"/>
        <v>-76460.918803508277</v>
      </c>
      <c r="J86" s="36"/>
    </row>
    <row r="87" spans="1:10" x14ac:dyDescent="0.2">
      <c r="A87" s="29" t="s">
        <v>123</v>
      </c>
      <c r="B87" s="29" t="s">
        <v>124</v>
      </c>
      <c r="D87" s="39"/>
      <c r="E87" s="37"/>
      <c r="F87" s="37"/>
      <c r="G87" s="37"/>
      <c r="H87" s="37"/>
      <c r="J87" s="42">
        <f>M69</f>
        <v>91491.471452642902</v>
      </c>
    </row>
    <row r="88" spans="1:10" x14ac:dyDescent="0.2">
      <c r="A88" s="29" t="s">
        <v>123</v>
      </c>
      <c r="B88" s="29" t="s">
        <v>125</v>
      </c>
      <c r="D88" s="43"/>
      <c r="E88" s="43">
        <f t="shared" ref="E88:J88" si="33">E39</f>
        <v>25712.095054946571</v>
      </c>
      <c r="F88" s="43">
        <f t="shared" si="33"/>
        <v>24504.222035425915</v>
      </c>
      <c r="G88" s="43">
        <f t="shared" si="33"/>
        <v>25151.279018205361</v>
      </c>
      <c r="H88" s="43">
        <f t="shared" si="33"/>
        <v>28081.190134307471</v>
      </c>
      <c r="I88" s="43">
        <f t="shared" si="33"/>
        <v>33335.48907393877</v>
      </c>
      <c r="J88" s="43">
        <f t="shared" si="33"/>
        <v>40981.580954289595</v>
      </c>
    </row>
    <row r="89" spans="1:10" x14ac:dyDescent="0.2">
      <c r="A89" s="29"/>
      <c r="B89" s="29" t="s">
        <v>117</v>
      </c>
      <c r="D89" s="44">
        <f>SUM(D86:D88)</f>
        <v>-257120.95054946569</v>
      </c>
      <c r="E89" s="36">
        <f t="shared" ref="E89:J89" si="34">SUM(E86:E88)</f>
        <v>37790.825250153131</v>
      </c>
      <c r="F89" s="36">
        <f t="shared" si="34"/>
        <v>18033.65220763144</v>
      </c>
      <c r="G89" s="36">
        <f t="shared" si="34"/>
        <v>-4147.8321428157178</v>
      </c>
      <c r="H89" s="36">
        <f t="shared" si="34"/>
        <v>-24461.799262005501</v>
      </c>
      <c r="I89" s="36">
        <f t="shared" si="34"/>
        <v>-43125.429729569507</v>
      </c>
      <c r="J89" s="36">
        <f t="shared" si="34"/>
        <v>132473.05240693249</v>
      </c>
    </row>
    <row r="90" spans="1:10" x14ac:dyDescent="0.2">
      <c r="A90" s="29"/>
      <c r="B90" s="34" t="s">
        <v>107</v>
      </c>
      <c r="D90" s="38">
        <f>IRR(D89:J89)</f>
        <v>-0.14258985169709426</v>
      </c>
      <c r="E90" s="35"/>
      <c r="F90" s="35"/>
      <c r="G90" s="35"/>
      <c r="H90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Consulting</vt:lpstr>
      <vt:lpstr>Mortgage</vt:lpstr>
      <vt:lpstr>Bankruptcy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2014-07-17T15:54:36Z</dcterms:created>
  <dcterms:modified xsi:type="dcterms:W3CDTF">2019-08-23T21:29:01Z</dcterms:modified>
</cp:coreProperties>
</file>