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120" windowWidth="16380" windowHeight="8070"/>
  </bookViews>
  <sheets>
    <sheet name="Play It Again Sports" sheetId="1" r:id="rId1"/>
    <sheet name="Bankruptcy" sheetId="3" r:id="rId2"/>
    <sheet name="Mortgage" sheetId="2" r:id="rId3"/>
  </sheets>
  <externalReferences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O123" i="1" l="1"/>
  <c r="O104" i="1"/>
  <c r="O103" i="1"/>
  <c r="J123" i="1" l="1"/>
  <c r="J108" i="1"/>
  <c r="J107" i="1"/>
  <c r="J106" i="1"/>
  <c r="J105" i="1"/>
  <c r="J104" i="1"/>
  <c r="J103" i="1"/>
  <c r="D25" i="1"/>
  <c r="C73" i="3"/>
  <c r="F73" i="3" s="1"/>
  <c r="C72" i="3"/>
  <c r="F72" i="3" s="1"/>
  <c r="E30" i="3"/>
  <c r="F30" i="3"/>
  <c r="G30" i="3"/>
  <c r="H30" i="3"/>
  <c r="D30" i="3"/>
  <c r="C101" i="3" l="1"/>
  <c r="G99" i="3"/>
  <c r="F99" i="3"/>
  <c r="E99" i="3"/>
  <c r="D99" i="3"/>
  <c r="C99" i="3"/>
  <c r="C89" i="3"/>
  <c r="H60" i="3"/>
  <c r="H93" i="3" s="1"/>
  <c r="G60" i="3"/>
  <c r="F60" i="3"/>
  <c r="E60" i="3"/>
  <c r="D93" i="3" s="1"/>
  <c r="D60" i="3"/>
  <c r="C93" i="3" s="1"/>
  <c r="C95" i="3" s="1"/>
  <c r="E48" i="3"/>
  <c r="F48" i="3" s="1"/>
  <c r="G48" i="3" s="1"/>
  <c r="H48" i="3" s="1"/>
  <c r="E46" i="3"/>
  <c r="E27" i="3" s="1"/>
  <c r="E45" i="3"/>
  <c r="F45" i="3" s="1"/>
  <c r="E43" i="3"/>
  <c r="F43" i="3" s="1"/>
  <c r="G43" i="3" s="1"/>
  <c r="H43" i="3" s="1"/>
  <c r="H100" i="3"/>
  <c r="G100" i="3"/>
  <c r="G101" i="3" s="1"/>
  <c r="F100" i="3"/>
  <c r="E100" i="3"/>
  <c r="D100" i="3"/>
  <c r="H29" i="3"/>
  <c r="H94" i="3" s="1"/>
  <c r="G29" i="3"/>
  <c r="G94" i="3" s="1"/>
  <c r="F29" i="3"/>
  <c r="F94" i="3" s="1"/>
  <c r="E29" i="3"/>
  <c r="E94" i="3" s="1"/>
  <c r="D29" i="3"/>
  <c r="D94" i="3" s="1"/>
  <c r="D27" i="3"/>
  <c r="D47" i="3" s="1"/>
  <c r="D26" i="3"/>
  <c r="D49" i="3" s="1"/>
  <c r="D24" i="3"/>
  <c r="H23" i="3"/>
  <c r="G23" i="3"/>
  <c r="F23" i="3"/>
  <c r="E23" i="3"/>
  <c r="D23" i="3"/>
  <c r="E22" i="3"/>
  <c r="F22" i="3" s="1"/>
  <c r="G22" i="3" s="1"/>
  <c r="H22" i="3" s="1"/>
  <c r="E21" i="3"/>
  <c r="F21" i="3" s="1"/>
  <c r="G21" i="3" s="1"/>
  <c r="H21" i="3" s="1"/>
  <c r="E20" i="3"/>
  <c r="F20" i="3" s="1"/>
  <c r="G20" i="3" s="1"/>
  <c r="H20" i="3" s="1"/>
  <c r="E19" i="3"/>
  <c r="F19" i="3" s="1"/>
  <c r="G19" i="3" s="1"/>
  <c r="H19" i="3" s="1"/>
  <c r="D16" i="3"/>
  <c r="D57" i="3" s="1"/>
  <c r="E13" i="3"/>
  <c r="E16" i="3" s="1"/>
  <c r="E57" i="3" s="1"/>
  <c r="E10" i="3"/>
  <c r="F10" i="3" s="1"/>
  <c r="G10" i="3" s="1"/>
  <c r="H10" i="3" s="1"/>
  <c r="E9" i="3"/>
  <c r="F9" i="3" s="1"/>
  <c r="D8" i="3"/>
  <c r="E7" i="3"/>
  <c r="F7" i="3" s="1"/>
  <c r="G7" i="3" s="1"/>
  <c r="H7" i="3" s="1"/>
  <c r="E6" i="3"/>
  <c r="F6" i="3" s="1"/>
  <c r="D5" i="3"/>
  <c r="F93" i="3" l="1"/>
  <c r="E47" i="3"/>
  <c r="C78" i="3"/>
  <c r="F78" i="3" s="1"/>
  <c r="E26" i="3"/>
  <c r="F26" i="3" s="1"/>
  <c r="D12" i="3"/>
  <c r="D14" i="3" s="1"/>
  <c r="D32" i="3" s="1"/>
  <c r="E5" i="3"/>
  <c r="E24" i="3"/>
  <c r="E93" i="3"/>
  <c r="E95" i="3" s="1"/>
  <c r="H95" i="3"/>
  <c r="D42" i="3"/>
  <c r="F95" i="3"/>
  <c r="F101" i="3"/>
  <c r="E101" i="3"/>
  <c r="D101" i="3"/>
  <c r="G6" i="3"/>
  <c r="F5" i="3"/>
  <c r="G9" i="3"/>
  <c r="F8" i="3"/>
  <c r="D95" i="3"/>
  <c r="G93" i="3"/>
  <c r="G95" i="3" s="1"/>
  <c r="E8" i="3"/>
  <c r="E12" i="3" s="1"/>
  <c r="E14" i="3" s="1"/>
  <c r="G45" i="3"/>
  <c r="F46" i="3"/>
  <c r="E42" i="3"/>
  <c r="G26" i="3"/>
  <c r="F13" i="3"/>
  <c r="D40" i="3" l="1"/>
  <c r="D53" i="3" s="1"/>
  <c r="F49" i="3"/>
  <c r="E49" i="3"/>
  <c r="C96" i="3"/>
  <c r="E32" i="3"/>
  <c r="E40" i="3"/>
  <c r="E53" i="3" s="1"/>
  <c r="H6" i="3"/>
  <c r="H5" i="3" s="1"/>
  <c r="G5" i="3"/>
  <c r="D33" i="3"/>
  <c r="D59" i="3" s="1"/>
  <c r="F16" i="3"/>
  <c r="G13" i="3"/>
  <c r="F27" i="3"/>
  <c r="F47" i="3" s="1"/>
  <c r="G46" i="3"/>
  <c r="G8" i="3"/>
  <c r="H9" i="3"/>
  <c r="H8" i="3" s="1"/>
  <c r="G49" i="3"/>
  <c r="H26" i="3"/>
  <c r="H45" i="3"/>
  <c r="C76" i="3" s="1"/>
  <c r="E76" i="3" s="1"/>
  <c r="F24" i="3"/>
  <c r="F12" i="3"/>
  <c r="F14" i="3" s="1"/>
  <c r="E82" i="3" l="1"/>
  <c r="G12" i="3"/>
  <c r="G14" i="3" s="1"/>
  <c r="H49" i="3"/>
  <c r="H12" i="3"/>
  <c r="D34" i="3"/>
  <c r="D65" i="3" s="1"/>
  <c r="D67" i="3" s="1"/>
  <c r="D68" i="3" s="1"/>
  <c r="F40" i="3"/>
  <c r="F32" i="3"/>
  <c r="H46" i="3"/>
  <c r="C77" i="3" s="1"/>
  <c r="E77" i="3" s="1"/>
  <c r="G27" i="3"/>
  <c r="G47" i="3" s="1"/>
  <c r="F57" i="3"/>
  <c r="F42" i="3"/>
  <c r="H13" i="3"/>
  <c r="G16" i="3"/>
  <c r="G24" i="3"/>
  <c r="E33" i="3"/>
  <c r="E59" i="3" s="1"/>
  <c r="E34" i="3" l="1"/>
  <c r="E65" i="3" s="1"/>
  <c r="E67" i="3" s="1"/>
  <c r="E68" i="3" s="1"/>
  <c r="G57" i="3"/>
  <c r="G42" i="3"/>
  <c r="H16" i="3"/>
  <c r="H14" i="3"/>
  <c r="F33" i="3"/>
  <c r="F59" i="3" s="1"/>
  <c r="G40" i="3"/>
  <c r="G32" i="3"/>
  <c r="H27" i="3"/>
  <c r="H47" i="3" s="1"/>
  <c r="B88" i="3"/>
  <c r="H24" i="3"/>
  <c r="F53" i="3"/>
  <c r="F34" i="3" l="1"/>
  <c r="F65" i="3" s="1"/>
  <c r="F67" i="3" s="1"/>
  <c r="F68" i="3" s="1"/>
  <c r="C88" i="3"/>
  <c r="G33" i="3"/>
  <c r="G59" i="3" s="1"/>
  <c r="H40" i="3"/>
  <c r="C74" i="3" s="1"/>
  <c r="F74" i="3" s="1"/>
  <c r="H32" i="3"/>
  <c r="G53" i="3"/>
  <c r="H57" i="3"/>
  <c r="C80" i="3" s="1"/>
  <c r="F80" i="3" s="1"/>
  <c r="H42" i="3"/>
  <c r="F82" i="3" l="1"/>
  <c r="C75" i="3"/>
  <c r="F75" i="3" s="1"/>
  <c r="H33" i="3"/>
  <c r="H59" i="3" s="1"/>
  <c r="F83" i="3"/>
  <c r="C90" i="3"/>
  <c r="D89" i="3" s="1"/>
  <c r="H53" i="3"/>
  <c r="G34" i="3"/>
  <c r="G65" i="3" s="1"/>
  <c r="G67" i="3" s="1"/>
  <c r="G68" i="3" s="1"/>
  <c r="H34" i="3" l="1"/>
  <c r="H65" i="3" s="1"/>
  <c r="H67" i="3" s="1"/>
  <c r="H68" i="3" s="1"/>
  <c r="F85" i="3"/>
  <c r="D88" i="3"/>
  <c r="E89" i="3" l="1"/>
  <c r="F89" i="3" s="1"/>
  <c r="E88" i="3"/>
  <c r="F88" i="3" s="1"/>
  <c r="G88" i="3" s="1"/>
  <c r="H99" i="3" l="1"/>
  <c r="H101" i="3" s="1"/>
  <c r="C102" i="3" s="1"/>
  <c r="G89" i="3"/>
  <c r="D123" i="1" l="1"/>
  <c r="E123" i="1"/>
  <c r="F123" i="1"/>
  <c r="G123" i="1"/>
  <c r="H123" i="1"/>
  <c r="K123" i="1"/>
  <c r="L123" i="1"/>
  <c r="M123" i="1"/>
  <c r="N123" i="1"/>
  <c r="C123" i="1"/>
  <c r="B123" i="1"/>
  <c r="M139" i="1" l="1"/>
  <c r="N139" i="1" s="1"/>
  <c r="N138" i="1"/>
  <c r="K139" i="1"/>
  <c r="C119" i="1" l="1"/>
  <c r="C115" i="1"/>
  <c r="C111" i="1"/>
  <c r="D103" i="1"/>
  <c r="E103" i="1"/>
  <c r="F103" i="1"/>
  <c r="G103" i="1"/>
  <c r="H103" i="1"/>
  <c r="K103" i="1"/>
  <c r="L103" i="1"/>
  <c r="M103" i="1"/>
  <c r="N103" i="1"/>
  <c r="D104" i="1"/>
  <c r="E104" i="1"/>
  <c r="F104" i="1"/>
  <c r="G104" i="1"/>
  <c r="H104" i="1"/>
  <c r="K104" i="1"/>
  <c r="L104" i="1"/>
  <c r="M104" i="1"/>
  <c r="N104" i="1"/>
  <c r="C104" i="1"/>
  <c r="C103" i="1"/>
  <c r="B108" i="1"/>
  <c r="B107" i="1"/>
  <c r="B106" i="1"/>
  <c r="B104" i="1"/>
  <c r="B105" i="1"/>
  <c r="B103" i="1"/>
  <c r="D23" i="1" l="1"/>
  <c r="I7" i="2"/>
  <c r="I5" i="2"/>
  <c r="E57" i="1"/>
  <c r="D115" i="1" s="1"/>
  <c r="D26" i="1"/>
  <c r="D58" i="1" s="1"/>
  <c r="E56" i="1"/>
  <c r="D111" i="1" s="1"/>
  <c r="F56" i="1" l="1"/>
  <c r="E111" i="1" s="1"/>
  <c r="F57" i="1"/>
  <c r="E115" i="1" s="1"/>
  <c r="G56" i="1"/>
  <c r="E26" i="1"/>
  <c r="E58" i="1" s="1"/>
  <c r="E23" i="1"/>
  <c r="E59" i="1"/>
  <c r="E25" i="1" s="1"/>
  <c r="F23" i="1" l="1"/>
  <c r="G57" i="1"/>
  <c r="F115" i="1" s="1"/>
  <c r="F26" i="1"/>
  <c r="F58" i="1" s="1"/>
  <c r="F59" i="1"/>
  <c r="F25" i="1" s="1"/>
  <c r="D119" i="1"/>
  <c r="H56" i="1"/>
  <c r="F111" i="1"/>
  <c r="G23" i="1"/>
  <c r="D60" i="1"/>
  <c r="D96" i="1"/>
  <c r="E22" i="1"/>
  <c r="F22" i="1" s="1"/>
  <c r="G22" i="1" s="1"/>
  <c r="H22" i="1" s="1"/>
  <c r="K22" i="1" s="1"/>
  <c r="L22" i="1" s="1"/>
  <c r="M22" i="1" s="1"/>
  <c r="N22" i="1" s="1"/>
  <c r="O22" i="1" s="1"/>
  <c r="E21" i="1"/>
  <c r="F21" i="1" s="1"/>
  <c r="G21" i="1" s="1"/>
  <c r="H21" i="1" s="1"/>
  <c r="K21" i="1" s="1"/>
  <c r="L21" i="1" s="1"/>
  <c r="M21" i="1" s="1"/>
  <c r="N21" i="1" s="1"/>
  <c r="O21" i="1" s="1"/>
  <c r="E20" i="1"/>
  <c r="F20" i="1" s="1"/>
  <c r="G20" i="1" s="1"/>
  <c r="H20" i="1" s="1"/>
  <c r="K20" i="1" s="1"/>
  <c r="L20" i="1" s="1"/>
  <c r="M20" i="1" s="1"/>
  <c r="N20" i="1" s="1"/>
  <c r="O20" i="1" s="1"/>
  <c r="E19" i="1"/>
  <c r="F19" i="1" s="1"/>
  <c r="G19" i="1" s="1"/>
  <c r="H19" i="1" s="1"/>
  <c r="K19" i="1" s="1"/>
  <c r="L19" i="1" s="1"/>
  <c r="M19" i="1" s="1"/>
  <c r="N19" i="1" s="1"/>
  <c r="O19" i="1" s="1"/>
  <c r="G26" i="1" l="1"/>
  <c r="H57" i="1"/>
  <c r="K57" i="1" s="1"/>
  <c r="G58" i="1"/>
  <c r="G59" i="1"/>
  <c r="G25" i="1" s="1"/>
  <c r="E119" i="1"/>
  <c r="K56" i="1"/>
  <c r="G111" i="1"/>
  <c r="H23" i="1"/>
  <c r="E60" i="1"/>
  <c r="E96" i="1"/>
  <c r="G115" i="1" l="1"/>
  <c r="H26" i="1"/>
  <c r="H58" i="1" s="1"/>
  <c r="H59" i="1"/>
  <c r="H25" i="1" s="1"/>
  <c r="F119" i="1"/>
  <c r="L57" i="1"/>
  <c r="H115" i="1"/>
  <c r="K26" i="1"/>
  <c r="K96" i="1" s="1"/>
  <c r="L56" i="1"/>
  <c r="H111" i="1"/>
  <c r="K23" i="1"/>
  <c r="F96" i="1"/>
  <c r="E13" i="1"/>
  <c r="F13" i="1" s="1"/>
  <c r="G13" i="1" s="1"/>
  <c r="D16" i="1"/>
  <c r="K59" i="1" l="1"/>
  <c r="G119" i="1"/>
  <c r="M57" i="1"/>
  <c r="K115" i="1"/>
  <c r="L26" i="1"/>
  <c r="L96" i="1" s="1"/>
  <c r="M56" i="1"/>
  <c r="K111" i="1"/>
  <c r="L23" i="1"/>
  <c r="K58" i="1"/>
  <c r="L58" i="1" s="1"/>
  <c r="H96" i="1"/>
  <c r="G96" i="1"/>
  <c r="G16" i="1"/>
  <c r="F16" i="1"/>
  <c r="E16" i="1"/>
  <c r="H13" i="1"/>
  <c r="N56" i="1" l="1"/>
  <c r="L111" i="1"/>
  <c r="M23" i="1"/>
  <c r="N57" i="1"/>
  <c r="L115" i="1"/>
  <c r="M26" i="1"/>
  <c r="M96" i="1" s="1"/>
  <c r="L59" i="1"/>
  <c r="H119" i="1"/>
  <c r="H16" i="1"/>
  <c r="K13" i="1"/>
  <c r="E54" i="1"/>
  <c r="F54" i="1" s="1"/>
  <c r="G54" i="1" s="1"/>
  <c r="H54" i="1" s="1"/>
  <c r="K54" i="1" s="1"/>
  <c r="L54" i="1" s="1"/>
  <c r="M54" i="1" s="1"/>
  <c r="N54" i="1" s="1"/>
  <c r="O54" i="1" s="1"/>
  <c r="M59" i="1" l="1"/>
  <c r="K119" i="1"/>
  <c r="O57" i="1"/>
  <c r="O115" i="1" s="1"/>
  <c r="M115" i="1"/>
  <c r="N26" i="1"/>
  <c r="N96" i="1" s="1"/>
  <c r="M58" i="1"/>
  <c r="O56" i="1"/>
  <c r="O111" i="1" s="1"/>
  <c r="M111" i="1"/>
  <c r="N23" i="1"/>
  <c r="H68" i="1"/>
  <c r="H53" i="1"/>
  <c r="L13" i="1"/>
  <c r="K16" i="1"/>
  <c r="E6" i="1"/>
  <c r="F6" i="1" s="1"/>
  <c r="G6" i="1" s="1"/>
  <c r="H6" i="1" s="1"/>
  <c r="F60" i="1"/>
  <c r="D5" i="1"/>
  <c r="D8" i="1"/>
  <c r="E10" i="1"/>
  <c r="F10" i="1" s="1"/>
  <c r="G10" i="1" s="1"/>
  <c r="H10" i="1" s="1"/>
  <c r="K10" i="1" s="1"/>
  <c r="L10" i="1" s="1"/>
  <c r="M10" i="1" s="1"/>
  <c r="N10" i="1" s="1"/>
  <c r="O10" i="1" s="1"/>
  <c r="E7" i="1"/>
  <c r="F7" i="1" s="1"/>
  <c r="G7" i="1" s="1"/>
  <c r="H7" i="1" s="1"/>
  <c r="K7" i="1" s="1"/>
  <c r="L7" i="1" s="1"/>
  <c r="M7" i="1" s="1"/>
  <c r="N7" i="1" s="1"/>
  <c r="O7" i="1" s="1"/>
  <c r="E9" i="1"/>
  <c r="F9" i="1" s="1"/>
  <c r="I3" i="2"/>
  <c r="I9" i="2" s="1"/>
  <c r="B3" i="2"/>
  <c r="N58" i="1" l="1"/>
  <c r="N111" i="1"/>
  <c r="O23" i="1"/>
  <c r="N115" i="1"/>
  <c r="O26" i="1"/>
  <c r="O96" i="1" s="1"/>
  <c r="N59" i="1"/>
  <c r="L119" i="1"/>
  <c r="G60" i="1"/>
  <c r="E140" i="2"/>
  <c r="E136" i="2"/>
  <c r="E132" i="2"/>
  <c r="E124" i="2"/>
  <c r="E120" i="2"/>
  <c r="E116" i="2"/>
  <c r="E112" i="2"/>
  <c r="E108" i="2"/>
  <c r="E104" i="2"/>
  <c r="E139" i="2"/>
  <c r="E135" i="2"/>
  <c r="E131" i="2"/>
  <c r="E123" i="2"/>
  <c r="E119" i="2"/>
  <c r="E115" i="2"/>
  <c r="E111" i="2"/>
  <c r="E107" i="2"/>
  <c r="E103" i="2"/>
  <c r="E138" i="2"/>
  <c r="E134" i="2"/>
  <c r="E130" i="2"/>
  <c r="E126" i="2"/>
  <c r="E122" i="2"/>
  <c r="E118" i="2"/>
  <c r="E110" i="2"/>
  <c r="E106" i="2"/>
  <c r="E102" i="2"/>
  <c r="E137" i="2"/>
  <c r="E133" i="2"/>
  <c r="E129" i="2"/>
  <c r="E125" i="2"/>
  <c r="E121" i="2"/>
  <c r="E117" i="2"/>
  <c r="E109" i="2"/>
  <c r="E105" i="2"/>
  <c r="E101" i="2"/>
  <c r="E95" i="2"/>
  <c r="E65" i="2"/>
  <c r="E90" i="2"/>
  <c r="E81" i="2"/>
  <c r="E73" i="2"/>
  <c r="E64" i="2"/>
  <c r="E93" i="2"/>
  <c r="E84" i="2"/>
  <c r="E76" i="2"/>
  <c r="E67" i="2"/>
  <c r="E59" i="2"/>
  <c r="E96" i="2"/>
  <c r="E92" i="2"/>
  <c r="E88" i="2"/>
  <c r="E83" i="2"/>
  <c r="E79" i="2"/>
  <c r="E75" i="2"/>
  <c r="E70" i="2"/>
  <c r="E66" i="2"/>
  <c r="E62" i="2"/>
  <c r="E91" i="2"/>
  <c r="E87" i="2"/>
  <c r="E82" i="2"/>
  <c r="E78" i="2"/>
  <c r="E74" i="2"/>
  <c r="E69" i="2"/>
  <c r="E61" i="2"/>
  <c r="E98" i="2"/>
  <c r="E94" i="2"/>
  <c r="E77" i="2"/>
  <c r="E68" i="2"/>
  <c r="E60" i="2"/>
  <c r="E97" i="2"/>
  <c r="E89" i="2"/>
  <c r="E80" i="2"/>
  <c r="E63" i="2"/>
  <c r="K68" i="1"/>
  <c r="H107" i="1" s="1"/>
  <c r="K53" i="1"/>
  <c r="H106" i="1" s="1"/>
  <c r="L16" i="1"/>
  <c r="M13" i="1"/>
  <c r="K6" i="1"/>
  <c r="H5" i="1"/>
  <c r="D12" i="1"/>
  <c r="D14" i="1" s="1"/>
  <c r="G9" i="1"/>
  <c r="F8" i="1"/>
  <c r="G5" i="1"/>
  <c r="F5" i="1"/>
  <c r="E5" i="1"/>
  <c r="E8" i="1"/>
  <c r="E53" i="2"/>
  <c r="E47" i="2"/>
  <c r="E37" i="2"/>
  <c r="E31" i="2"/>
  <c r="E27" i="2"/>
  <c r="E21" i="2"/>
  <c r="E11" i="2"/>
  <c r="E54" i="2"/>
  <c r="E48" i="2"/>
  <c r="E38" i="2"/>
  <c r="E32" i="2"/>
  <c r="E28" i="2"/>
  <c r="E22" i="2"/>
  <c r="E12" i="2"/>
  <c r="E55" i="2"/>
  <c r="E49" i="2"/>
  <c r="E39" i="2"/>
  <c r="E33" i="2"/>
  <c r="E23" i="2"/>
  <c r="E17" i="2"/>
  <c r="E13" i="2"/>
  <c r="E6" i="2"/>
  <c r="E5" i="2"/>
  <c r="E56" i="2"/>
  <c r="E50" i="2"/>
  <c r="E40" i="2"/>
  <c r="E34" i="2"/>
  <c r="E24" i="2"/>
  <c r="E18" i="2"/>
  <c r="E14" i="2"/>
  <c r="E7" i="2"/>
  <c r="E45" i="2"/>
  <c r="E9" i="2"/>
  <c r="E46" i="2"/>
  <c r="E4" i="2"/>
  <c r="E25" i="2"/>
  <c r="E41" i="2"/>
  <c r="E8" i="2"/>
  <c r="E26" i="2"/>
  <c r="E42" i="2"/>
  <c r="E35" i="2"/>
  <c r="E51" i="2"/>
  <c r="E10" i="2"/>
  <c r="D3" i="2"/>
  <c r="E19" i="2"/>
  <c r="E3" i="2"/>
  <c r="E20" i="2"/>
  <c r="E36" i="2"/>
  <c r="E52" i="2"/>
  <c r="D95" i="1" l="1"/>
  <c r="D97" i="1" s="1"/>
  <c r="D98" i="1" s="1"/>
  <c r="P112" i="1"/>
  <c r="O112" i="1"/>
  <c r="O59" i="1"/>
  <c r="O119" i="1" s="1"/>
  <c r="M119" i="1"/>
  <c r="O116" i="1"/>
  <c r="O58" i="1"/>
  <c r="P116" i="1" s="1"/>
  <c r="H60" i="1"/>
  <c r="L53" i="1"/>
  <c r="K106" i="1" s="1"/>
  <c r="L68" i="1"/>
  <c r="K107" i="1" s="1"/>
  <c r="D51" i="1"/>
  <c r="N13" i="1"/>
  <c r="M16" i="1"/>
  <c r="G8" i="1"/>
  <c r="G12" i="1" s="1"/>
  <c r="G14" i="1" s="1"/>
  <c r="H9" i="1"/>
  <c r="L6" i="1"/>
  <c r="K5" i="1"/>
  <c r="D53" i="1"/>
  <c r="C106" i="1" s="1"/>
  <c r="C3" i="2"/>
  <c r="F3" i="2" s="1"/>
  <c r="B4" i="2" s="1"/>
  <c r="F12" i="1"/>
  <c r="F14" i="1" s="1"/>
  <c r="E12" i="1"/>
  <c r="E14" i="1" s="1"/>
  <c r="C108" i="1" l="1"/>
  <c r="D99" i="1"/>
  <c r="F95" i="1"/>
  <c r="F97" i="1" s="1"/>
  <c r="F98" i="1" s="1"/>
  <c r="F99" i="1" s="1"/>
  <c r="G95" i="1"/>
  <c r="E95" i="1"/>
  <c r="E97" i="1" s="1"/>
  <c r="E98" i="1" s="1"/>
  <c r="D108" i="1" s="1"/>
  <c r="P117" i="1"/>
  <c r="O117" i="1" s="1"/>
  <c r="P113" i="1"/>
  <c r="O113" i="1" s="1"/>
  <c r="C105" i="1"/>
  <c r="D64" i="1"/>
  <c r="G97" i="1"/>
  <c r="G98" i="1" s="1"/>
  <c r="N119" i="1"/>
  <c r="K60" i="1"/>
  <c r="M53" i="1"/>
  <c r="L106" i="1" s="1"/>
  <c r="M68" i="1"/>
  <c r="L107" i="1" s="1"/>
  <c r="O13" i="1"/>
  <c r="N16" i="1"/>
  <c r="G51" i="1"/>
  <c r="E51" i="1"/>
  <c r="F51" i="1"/>
  <c r="K9" i="1"/>
  <c r="H8" i="1"/>
  <c r="H12" i="1" s="1"/>
  <c r="H14" i="1" s="1"/>
  <c r="D68" i="1"/>
  <c r="M6" i="1"/>
  <c r="L5" i="1"/>
  <c r="F68" i="1"/>
  <c r="F53" i="1"/>
  <c r="G53" i="1"/>
  <c r="G68" i="1"/>
  <c r="E68" i="1"/>
  <c r="E53" i="1"/>
  <c r="D106" i="1" s="1"/>
  <c r="D4" i="2"/>
  <c r="H95" i="1" l="1"/>
  <c r="E99" i="1"/>
  <c r="D107" i="1"/>
  <c r="F108" i="1"/>
  <c r="F106" i="1"/>
  <c r="G106" i="1"/>
  <c r="H97" i="1"/>
  <c r="H98" i="1" s="1"/>
  <c r="G108" i="1" s="1"/>
  <c r="G99" i="1"/>
  <c r="E108" i="1"/>
  <c r="E106" i="1"/>
  <c r="D105" i="1"/>
  <c r="D125" i="1" s="1"/>
  <c r="E64" i="1"/>
  <c r="E107" i="1"/>
  <c r="F105" i="1"/>
  <c r="G64" i="1"/>
  <c r="F107" i="1"/>
  <c r="G107" i="1"/>
  <c r="C107" i="1"/>
  <c r="C125" i="1" s="1"/>
  <c r="E105" i="1"/>
  <c r="F64" i="1"/>
  <c r="O120" i="1"/>
  <c r="L60" i="1"/>
  <c r="N68" i="1"/>
  <c r="M107" i="1" s="1"/>
  <c r="N53" i="1"/>
  <c r="M106" i="1" s="1"/>
  <c r="O16" i="1"/>
  <c r="H51" i="1"/>
  <c r="L9" i="1"/>
  <c r="K8" i="1"/>
  <c r="K12" i="1" s="1"/>
  <c r="K14" i="1" s="1"/>
  <c r="N6" i="1"/>
  <c r="M5" i="1"/>
  <c r="C4" i="2"/>
  <c r="K95" i="1" l="1"/>
  <c r="K97" i="1" s="1"/>
  <c r="K98" i="1" s="1"/>
  <c r="H108" i="1" s="1"/>
  <c r="E125" i="1"/>
  <c r="F125" i="1"/>
  <c r="G105" i="1"/>
  <c r="G125" i="1" s="1"/>
  <c r="H64" i="1"/>
  <c r="H99" i="1"/>
  <c r="M60" i="1"/>
  <c r="O68" i="1"/>
  <c r="O107" i="1" s="1"/>
  <c r="O53" i="1"/>
  <c r="O106" i="1" s="1"/>
  <c r="K51" i="1"/>
  <c r="M9" i="1"/>
  <c r="L8" i="1"/>
  <c r="L12" i="1" s="1"/>
  <c r="L14" i="1" s="1"/>
  <c r="O6" i="1"/>
  <c r="O5" i="1" s="1"/>
  <c r="N5" i="1"/>
  <c r="F4" i="2"/>
  <c r="B5" i="2" s="1"/>
  <c r="L95" i="1" l="1"/>
  <c r="K99" i="1"/>
  <c r="L97" i="1"/>
  <c r="L98" i="1" s="1"/>
  <c r="K108" i="1" s="1"/>
  <c r="N107" i="1"/>
  <c r="H105" i="1"/>
  <c r="H125" i="1" s="1"/>
  <c r="K64" i="1"/>
  <c r="N106" i="1"/>
  <c r="N60" i="1"/>
  <c r="L51" i="1"/>
  <c r="N9" i="1"/>
  <c r="M8" i="1"/>
  <c r="M12" i="1" s="1"/>
  <c r="M14" i="1" s="1"/>
  <c r="D5" i="2"/>
  <c r="M95" i="1" l="1"/>
  <c r="L99" i="1"/>
  <c r="K105" i="1"/>
  <c r="K125" i="1" s="1"/>
  <c r="L64" i="1"/>
  <c r="M97" i="1"/>
  <c r="M98" i="1" s="1"/>
  <c r="L108" i="1" s="1"/>
  <c r="O60" i="1"/>
  <c r="M51" i="1"/>
  <c r="O9" i="1"/>
  <c r="O8" i="1" s="1"/>
  <c r="O12" i="1" s="1"/>
  <c r="O14" i="1" s="1"/>
  <c r="N8" i="1"/>
  <c r="N12" i="1" s="1"/>
  <c r="N14" i="1" s="1"/>
  <c r="C5" i="2"/>
  <c r="N95" i="1" l="1"/>
  <c r="N97" i="1" s="1"/>
  <c r="N98" i="1" s="1"/>
  <c r="M108" i="1" s="1"/>
  <c r="O95" i="1"/>
  <c r="O97" i="1" s="1"/>
  <c r="O98" i="1" s="1"/>
  <c r="O108" i="1" s="1"/>
  <c r="L105" i="1"/>
  <c r="L125" i="1" s="1"/>
  <c r="M64" i="1"/>
  <c r="M99" i="1"/>
  <c r="P120" i="1"/>
  <c r="P121" i="1" s="1"/>
  <c r="O121" i="1" s="1"/>
  <c r="N51" i="1"/>
  <c r="O51" i="1"/>
  <c r="F5" i="2"/>
  <c r="B6" i="2" s="1"/>
  <c r="O64" i="1" l="1"/>
  <c r="O105" i="1"/>
  <c r="N99" i="1"/>
  <c r="N108" i="1"/>
  <c r="N105" i="1"/>
  <c r="M105" i="1"/>
  <c r="M125" i="1" s="1"/>
  <c r="N64" i="1"/>
  <c r="O99" i="1"/>
  <c r="D6" i="2"/>
  <c r="N125" i="1" l="1"/>
  <c r="O125" i="1"/>
  <c r="C6" i="2"/>
  <c r="K126" i="1" l="1"/>
  <c r="F6" i="2"/>
  <c r="B7" i="2" s="1"/>
  <c r="D7" i="2" l="1"/>
  <c r="C7" i="2" s="1"/>
  <c r="F7" i="2" s="1"/>
  <c r="B8" i="2" s="1"/>
  <c r="D8" i="2" l="1"/>
  <c r="C8" i="2" s="1"/>
  <c r="F8" i="2" s="1"/>
  <c r="B9" i="2" s="1"/>
  <c r="D9" i="2" l="1"/>
  <c r="C9" i="2" s="1"/>
  <c r="F9" i="2" s="1"/>
  <c r="B10" i="2" s="1"/>
  <c r="D10" i="2" l="1"/>
  <c r="C10" i="2" s="1"/>
  <c r="F10" i="2" s="1"/>
  <c r="B11" i="2" s="1"/>
  <c r="D11" i="2" l="1"/>
  <c r="C11" i="2" s="1"/>
  <c r="F11" i="2" s="1"/>
  <c r="B12" i="2" s="1"/>
  <c r="D12" i="2" l="1"/>
  <c r="C12" i="2" s="1"/>
  <c r="F12" i="2" s="1"/>
  <c r="B13" i="2" s="1"/>
  <c r="D13" i="2" l="1"/>
  <c r="C13" i="2" s="1"/>
  <c r="F13" i="2" s="1"/>
  <c r="B14" i="2" s="1"/>
  <c r="D14" i="2" l="1"/>
  <c r="C14" i="2" l="1"/>
  <c r="D15" i="2"/>
  <c r="D28" i="1" s="1"/>
  <c r="D31" i="1" s="1"/>
  <c r="C15" i="2" l="1"/>
  <c r="F14" i="2"/>
  <c r="B17" i="2" l="1"/>
  <c r="D17" i="2" s="1"/>
  <c r="D72" i="1"/>
  <c r="D32" i="1"/>
  <c r="D33" i="1" s="1"/>
  <c r="D77" i="1" s="1"/>
  <c r="D70" i="1" l="1"/>
  <c r="D79" i="1" s="1"/>
  <c r="C17" i="2"/>
  <c r="F17" i="2" l="1"/>
  <c r="B18" i="2" s="1"/>
  <c r="D81" i="1" l="1"/>
  <c r="D18" i="2"/>
  <c r="C18" i="2" l="1"/>
  <c r="F18" i="2" l="1"/>
  <c r="B19" i="2" s="1"/>
  <c r="D19" i="2" l="1"/>
  <c r="C19" i="2" l="1"/>
  <c r="F19" i="2" l="1"/>
  <c r="B20" i="2" s="1"/>
  <c r="D20" i="2" l="1"/>
  <c r="C20" i="2" l="1"/>
  <c r="F20" i="2" l="1"/>
  <c r="B21" i="2" s="1"/>
  <c r="D21" i="2" l="1"/>
  <c r="C21" i="2" l="1"/>
  <c r="F21" i="2" l="1"/>
  <c r="B22" i="2" s="1"/>
  <c r="D22" i="2" l="1"/>
  <c r="C22" i="2" s="1"/>
  <c r="F22" i="2" s="1"/>
  <c r="B23" i="2" s="1"/>
  <c r="D23" i="2" l="1"/>
  <c r="C23" i="2" s="1"/>
  <c r="F23" i="2" s="1"/>
  <c r="B24" i="2" s="1"/>
  <c r="D24" i="2" l="1"/>
  <c r="C24" i="2" s="1"/>
  <c r="F24" i="2" s="1"/>
  <c r="B25" i="2" s="1"/>
  <c r="D25" i="2" l="1"/>
  <c r="C25" i="2" s="1"/>
  <c r="F25" i="2" s="1"/>
  <c r="B26" i="2" s="1"/>
  <c r="D26" i="2" l="1"/>
  <c r="C26" i="2" s="1"/>
  <c r="F26" i="2" s="1"/>
  <c r="B27" i="2" s="1"/>
  <c r="D27" i="2" l="1"/>
  <c r="C27" i="2" s="1"/>
  <c r="F27" i="2" s="1"/>
  <c r="B28" i="2" s="1"/>
  <c r="D28" i="2" l="1"/>
  <c r="C28" i="2" l="1"/>
  <c r="D29" i="2"/>
  <c r="E28" i="1" s="1"/>
  <c r="E31" i="1" s="1"/>
  <c r="C29" i="2" l="1"/>
  <c r="F28" i="2"/>
  <c r="B31" i="2" l="1"/>
  <c r="D31" i="2" s="1"/>
  <c r="E72" i="1"/>
  <c r="E32" i="1"/>
  <c r="E33" i="1" l="1"/>
  <c r="E77" i="1" s="1"/>
  <c r="E70" i="1"/>
  <c r="C31" i="2"/>
  <c r="E79" i="1" l="1"/>
  <c r="F31" i="2"/>
  <c r="B32" i="2" s="1"/>
  <c r="D32" i="2" l="1"/>
  <c r="E81" i="1" l="1"/>
  <c r="C32" i="2"/>
  <c r="F32" i="2" l="1"/>
  <c r="B33" i="2" s="1"/>
  <c r="D33" i="2" l="1"/>
  <c r="C33" i="2" l="1"/>
  <c r="F33" i="2" l="1"/>
  <c r="B34" i="2" s="1"/>
  <c r="D34" i="2" l="1"/>
  <c r="C34" i="2" l="1"/>
  <c r="F34" i="2" l="1"/>
  <c r="B35" i="2" s="1"/>
  <c r="D35" i="2" l="1"/>
  <c r="C35" i="2" l="1"/>
  <c r="F35" i="2" l="1"/>
  <c r="B36" i="2" s="1"/>
  <c r="D36" i="2" l="1"/>
  <c r="C36" i="2" s="1"/>
  <c r="F36" i="2" s="1"/>
  <c r="B37" i="2" s="1"/>
  <c r="D37" i="2" l="1"/>
  <c r="C37" i="2" s="1"/>
  <c r="F37" i="2" s="1"/>
  <c r="B38" i="2" s="1"/>
  <c r="D38" i="2" l="1"/>
  <c r="C38" i="2" s="1"/>
  <c r="F38" i="2" s="1"/>
  <c r="B39" i="2" s="1"/>
  <c r="D39" i="2" l="1"/>
  <c r="C39" i="2" s="1"/>
  <c r="F39" i="2" s="1"/>
  <c r="B40" i="2" s="1"/>
  <c r="D40" i="2" l="1"/>
  <c r="C40" i="2" s="1"/>
  <c r="F40" i="2" s="1"/>
  <c r="B41" i="2" s="1"/>
  <c r="D41" i="2" l="1"/>
  <c r="C41" i="2" s="1"/>
  <c r="F41" i="2" s="1"/>
  <c r="B42" i="2" s="1"/>
  <c r="D42" i="2" l="1"/>
  <c r="C42" i="2" l="1"/>
  <c r="D43" i="2"/>
  <c r="F28" i="1" s="1"/>
  <c r="F31" i="1" s="1"/>
  <c r="C43" i="2" l="1"/>
  <c r="F42" i="2"/>
  <c r="B45" i="2" l="1"/>
  <c r="D45" i="2" s="1"/>
  <c r="F72" i="1"/>
  <c r="F32" i="1"/>
  <c r="F33" i="1" s="1"/>
  <c r="F77" i="1" l="1"/>
  <c r="F70" i="1"/>
  <c r="C45" i="2"/>
  <c r="F79" i="1" l="1"/>
  <c r="F45" i="2"/>
  <c r="B46" i="2" s="1"/>
  <c r="F81" i="1" l="1"/>
  <c r="D46" i="2"/>
  <c r="C46" i="2" l="1"/>
  <c r="F46" i="2" l="1"/>
  <c r="B47" i="2" s="1"/>
  <c r="D47" i="2" l="1"/>
  <c r="C47" i="2" l="1"/>
  <c r="F47" i="2" l="1"/>
  <c r="B48" i="2" s="1"/>
  <c r="D48" i="2" l="1"/>
  <c r="C48" i="2" l="1"/>
  <c r="F48" i="2" l="1"/>
  <c r="B49" i="2" s="1"/>
  <c r="D49" i="2" l="1"/>
  <c r="C49" i="2" l="1"/>
  <c r="F49" i="2" l="1"/>
  <c r="B50" i="2" s="1"/>
  <c r="D50" i="2" l="1"/>
  <c r="C50" i="2" s="1"/>
  <c r="F50" i="2" s="1"/>
  <c r="B51" i="2" s="1"/>
  <c r="D51" i="2" l="1"/>
  <c r="C51" i="2" s="1"/>
  <c r="F51" i="2" s="1"/>
  <c r="B52" i="2" s="1"/>
  <c r="D52" i="2" l="1"/>
  <c r="C52" i="2" s="1"/>
  <c r="F52" i="2" s="1"/>
  <c r="B53" i="2" s="1"/>
  <c r="D53" i="2" l="1"/>
  <c r="C53" i="2" s="1"/>
  <c r="F53" i="2" s="1"/>
  <c r="B54" i="2" s="1"/>
  <c r="D54" i="2" l="1"/>
  <c r="C54" i="2" s="1"/>
  <c r="F54" i="2" s="1"/>
  <c r="B55" i="2" s="1"/>
  <c r="D55" i="2" l="1"/>
  <c r="C55" i="2" s="1"/>
  <c r="F55" i="2" s="1"/>
  <c r="B56" i="2" s="1"/>
  <c r="D56" i="2" l="1"/>
  <c r="C56" i="2" l="1"/>
  <c r="D57" i="2"/>
  <c r="G28" i="1" s="1"/>
  <c r="G31" i="1" s="1"/>
  <c r="C57" i="2" l="1"/>
  <c r="F56" i="2"/>
  <c r="B59" i="2" l="1"/>
  <c r="D59" i="2" s="1"/>
  <c r="G72" i="1"/>
  <c r="G32" i="1"/>
  <c r="G33" i="1" s="1"/>
  <c r="C59" i="2" l="1"/>
  <c r="G77" i="1"/>
  <c r="G70" i="1"/>
  <c r="G79" i="1" l="1"/>
  <c r="F59" i="2"/>
  <c r="B60" i="2" s="1"/>
  <c r="D60" i="2" l="1"/>
  <c r="G81" i="1"/>
  <c r="C60" i="2" l="1"/>
  <c r="F60" i="2" l="1"/>
  <c r="B61" i="2" s="1"/>
  <c r="D61" i="2" l="1"/>
  <c r="C61" i="2" l="1"/>
  <c r="F61" i="2" l="1"/>
  <c r="B62" i="2" s="1"/>
  <c r="D62" i="2" l="1"/>
  <c r="C62" i="2" l="1"/>
  <c r="F62" i="2" l="1"/>
  <c r="B63" i="2" s="1"/>
  <c r="D63" i="2" s="1"/>
  <c r="C63" i="2" l="1"/>
  <c r="F63" i="2" l="1"/>
  <c r="B64" i="2" s="1"/>
  <c r="D64" i="2" s="1"/>
  <c r="C64" i="2" s="1"/>
  <c r="F64" i="2" s="1"/>
  <c r="B65" i="2" s="1"/>
  <c r="D65" i="2" s="1"/>
  <c r="C65" i="2" s="1"/>
  <c r="F65" i="2" s="1"/>
  <c r="B66" i="2" s="1"/>
  <c r="D66" i="2" s="1"/>
  <c r="C66" i="2" s="1"/>
  <c r="F66" i="2" s="1"/>
  <c r="B67" i="2" s="1"/>
  <c r="D67" i="2" s="1"/>
  <c r="C67" i="2" s="1"/>
  <c r="F67" i="2" s="1"/>
  <c r="B68" i="2" s="1"/>
  <c r="D68" i="2" s="1"/>
  <c r="C68" i="2" s="1"/>
  <c r="F68" i="2" s="1"/>
  <c r="B69" i="2" s="1"/>
  <c r="D69" i="2" l="1"/>
  <c r="C69" i="2" s="1"/>
  <c r="F69" i="2" s="1"/>
  <c r="B70" i="2" s="1"/>
  <c r="D70" i="2" l="1"/>
  <c r="C70" i="2" l="1"/>
  <c r="D71" i="2"/>
  <c r="H28" i="1" s="1"/>
  <c r="H31" i="1" s="1"/>
  <c r="H32" i="1" l="1"/>
  <c r="H70" i="1" s="1"/>
  <c r="C71" i="2"/>
  <c r="F70" i="2"/>
  <c r="H33" i="1" l="1"/>
  <c r="H77" i="1" s="1"/>
  <c r="B73" i="2"/>
  <c r="D73" i="2" s="1"/>
  <c r="H72" i="1"/>
  <c r="H79" i="1" l="1"/>
  <c r="H81" i="1" s="1"/>
  <c r="C73" i="2"/>
  <c r="F73" i="2" l="1"/>
  <c r="B74" i="2" s="1"/>
  <c r="D74" i="2" l="1"/>
  <c r="C74" i="2" l="1"/>
  <c r="F74" i="2" l="1"/>
  <c r="B75" i="2" s="1"/>
  <c r="D75" i="2" l="1"/>
  <c r="C75" i="2" l="1"/>
  <c r="F75" i="2" l="1"/>
  <c r="B76" i="2" s="1"/>
  <c r="D76" i="2" l="1"/>
  <c r="C76" i="2" l="1"/>
  <c r="F76" i="2" l="1"/>
  <c r="B77" i="2" s="1"/>
  <c r="D77" i="2" l="1"/>
  <c r="C77" i="2" l="1"/>
  <c r="F77" i="2" l="1"/>
  <c r="B78" i="2" s="1"/>
  <c r="D78" i="2" s="1"/>
  <c r="C78" i="2" s="1"/>
  <c r="F78" i="2" s="1"/>
  <c r="B79" i="2" s="1"/>
  <c r="D79" i="2" l="1"/>
  <c r="C79" i="2" s="1"/>
  <c r="F79" i="2" s="1"/>
  <c r="B80" i="2" s="1"/>
  <c r="D80" i="2" s="1"/>
  <c r="C80" i="2" s="1"/>
  <c r="F80" i="2" s="1"/>
  <c r="B81" i="2" s="1"/>
  <c r="D81" i="2" s="1"/>
  <c r="C81" i="2" s="1"/>
  <c r="F81" i="2" s="1"/>
  <c r="B82" i="2" s="1"/>
  <c r="D82" i="2" s="1"/>
  <c r="C82" i="2" s="1"/>
  <c r="F82" i="2" s="1"/>
  <c r="B83" i="2" s="1"/>
  <c r="D83" i="2" s="1"/>
  <c r="C83" i="2" s="1"/>
  <c r="F83" i="2" s="1"/>
  <c r="B84" i="2" s="1"/>
  <c r="D84" i="2" l="1"/>
  <c r="C84" i="2" l="1"/>
  <c r="D85" i="2"/>
  <c r="K28" i="1" s="1"/>
  <c r="K31" i="1" s="1"/>
  <c r="K32" i="1" l="1"/>
  <c r="K70" i="1" s="1"/>
  <c r="C85" i="2"/>
  <c r="F84" i="2"/>
  <c r="K33" i="1" l="1"/>
  <c r="K77" i="1" s="1"/>
  <c r="B87" i="2"/>
  <c r="D87" i="2" s="1"/>
  <c r="K72" i="1"/>
  <c r="K79" i="1" l="1"/>
  <c r="K81" i="1" s="1"/>
  <c r="C87" i="2"/>
  <c r="F87" i="2" l="1"/>
  <c r="B88" i="2" s="1"/>
  <c r="D88" i="2" l="1"/>
  <c r="C88" i="2" l="1"/>
  <c r="F88" i="2" l="1"/>
  <c r="B89" i="2" s="1"/>
  <c r="D89" i="2" l="1"/>
  <c r="C89" i="2" l="1"/>
  <c r="F89" i="2" l="1"/>
  <c r="B90" i="2" s="1"/>
  <c r="D90" i="2" l="1"/>
  <c r="C90" i="2" l="1"/>
  <c r="F90" i="2" l="1"/>
  <c r="B91" i="2" s="1"/>
  <c r="D91" i="2" l="1"/>
  <c r="C91" i="2" l="1"/>
  <c r="F91" i="2" l="1"/>
  <c r="B92" i="2" s="1"/>
  <c r="D92" i="2" s="1"/>
  <c r="C92" i="2" s="1"/>
  <c r="F92" i="2" s="1"/>
  <c r="B93" i="2" s="1"/>
  <c r="D93" i="2" s="1"/>
  <c r="C93" i="2" s="1"/>
  <c r="F93" i="2" s="1"/>
  <c r="B94" i="2" s="1"/>
  <c r="D94" i="2" s="1"/>
  <c r="C94" i="2" s="1"/>
  <c r="F94" i="2" s="1"/>
  <c r="B95" i="2" s="1"/>
  <c r="D95" i="2" s="1"/>
  <c r="C95" i="2" s="1"/>
  <c r="F95" i="2" s="1"/>
  <c r="B96" i="2" s="1"/>
  <c r="D96" i="2" s="1"/>
  <c r="C96" i="2" s="1"/>
  <c r="F96" i="2" s="1"/>
  <c r="B97" i="2" s="1"/>
  <c r="D97" i="2" s="1"/>
  <c r="C97" i="2" s="1"/>
  <c r="F97" i="2" s="1"/>
  <c r="B98" i="2" s="1"/>
  <c r="D98" i="2" l="1"/>
  <c r="C98" i="2" l="1"/>
  <c r="D99" i="2"/>
  <c r="L28" i="1" s="1"/>
  <c r="L31" i="1" s="1"/>
  <c r="L32" i="1" l="1"/>
  <c r="L70" i="1" s="1"/>
  <c r="C99" i="2"/>
  <c r="F98" i="2"/>
  <c r="L33" i="1" l="1"/>
  <c r="L77" i="1" s="1"/>
  <c r="B101" i="2"/>
  <c r="D101" i="2" s="1"/>
  <c r="L72" i="1"/>
  <c r="L79" i="1" l="1"/>
  <c r="L81" i="1" s="1"/>
  <c r="C101" i="2"/>
  <c r="F101" i="2" l="1"/>
  <c r="B102" i="2" s="1"/>
  <c r="D102" i="2" s="1"/>
  <c r="C102" i="2" l="1"/>
  <c r="F102" i="2" l="1"/>
  <c r="B103" i="2" s="1"/>
  <c r="D103" i="2" l="1"/>
  <c r="C103" i="2" l="1"/>
  <c r="F103" i="2" l="1"/>
  <c r="B104" i="2" s="1"/>
  <c r="D104" i="2" l="1"/>
  <c r="C104" i="2" l="1"/>
  <c r="F104" i="2" l="1"/>
  <c r="B105" i="2" s="1"/>
  <c r="D105" i="2" l="1"/>
  <c r="C105" i="2" l="1"/>
  <c r="F105" i="2" l="1"/>
  <c r="B106" i="2" s="1"/>
  <c r="D106" i="2" l="1"/>
  <c r="C106" i="2" s="1"/>
  <c r="F106" i="2" s="1"/>
  <c r="B107" i="2" s="1"/>
  <c r="D107" i="2" s="1"/>
  <c r="C107" i="2" s="1"/>
  <c r="F107" i="2" s="1"/>
  <c r="B108" i="2" s="1"/>
  <c r="D108" i="2" s="1"/>
  <c r="C108" i="2" s="1"/>
  <c r="F108" i="2" s="1"/>
  <c r="B109" i="2" s="1"/>
  <c r="D109" i="2" s="1"/>
  <c r="C109" i="2" s="1"/>
  <c r="F109" i="2" s="1"/>
  <c r="B110" i="2" s="1"/>
  <c r="D110" i="2" l="1"/>
  <c r="C110" i="2" s="1"/>
  <c r="F110" i="2" s="1"/>
  <c r="B111" i="2" s="1"/>
  <c r="D111" i="2" s="1"/>
  <c r="C111" i="2" s="1"/>
  <c r="F111" i="2" s="1"/>
  <c r="B112" i="2" s="1"/>
  <c r="D112" i="2" l="1"/>
  <c r="C112" i="2" l="1"/>
  <c r="D113" i="2"/>
  <c r="M28" i="1" s="1"/>
  <c r="M31" i="1" s="1"/>
  <c r="M32" i="1" l="1"/>
  <c r="M70" i="1" s="1"/>
  <c r="C113" i="2"/>
  <c r="F112" i="2"/>
  <c r="M33" i="1" l="1"/>
  <c r="M77" i="1" s="1"/>
  <c r="B115" i="2"/>
  <c r="D115" i="2" s="1"/>
  <c r="M72" i="1"/>
  <c r="M79" i="1" l="1"/>
  <c r="M81" i="1" s="1"/>
  <c r="C115" i="2"/>
  <c r="F115" i="2" l="1"/>
  <c r="B116" i="2" s="1"/>
  <c r="D116" i="2" l="1"/>
  <c r="C116" i="2" l="1"/>
  <c r="F116" i="2" l="1"/>
  <c r="B117" i="2" s="1"/>
  <c r="D117" i="2" l="1"/>
  <c r="C117" i="2" l="1"/>
  <c r="F117" i="2" l="1"/>
  <c r="B118" i="2" s="1"/>
  <c r="D118" i="2" l="1"/>
  <c r="C118" i="2" l="1"/>
  <c r="F118" i="2" l="1"/>
  <c r="B119" i="2" s="1"/>
  <c r="D119" i="2" s="1"/>
  <c r="C119" i="2" l="1"/>
  <c r="F119" i="2" l="1"/>
  <c r="B120" i="2" s="1"/>
  <c r="D120" i="2" s="1"/>
  <c r="C120" i="2" s="1"/>
  <c r="F120" i="2" s="1"/>
  <c r="B121" i="2" s="1"/>
  <c r="D121" i="2" l="1"/>
  <c r="C121" i="2" s="1"/>
  <c r="F121" i="2" s="1"/>
  <c r="B122" i="2" s="1"/>
  <c r="D122" i="2" l="1"/>
  <c r="C122" i="2" s="1"/>
  <c r="F122" i="2" s="1"/>
  <c r="B123" i="2" s="1"/>
  <c r="D123" i="2" l="1"/>
  <c r="C123" i="2" s="1"/>
  <c r="F123" i="2" s="1"/>
  <c r="B124" i="2" s="1"/>
  <c r="D124" i="2" l="1"/>
  <c r="C124" i="2" s="1"/>
  <c r="F124" i="2" s="1"/>
  <c r="B125" i="2" s="1"/>
  <c r="D125" i="2" s="1"/>
  <c r="C125" i="2" s="1"/>
  <c r="F125" i="2" s="1"/>
  <c r="B126" i="2" s="1"/>
  <c r="D126" i="2" l="1"/>
  <c r="C126" i="2" l="1"/>
  <c r="D127" i="2"/>
  <c r="N28" i="1" s="1"/>
  <c r="N31" i="1" s="1"/>
  <c r="N32" i="1" l="1"/>
  <c r="N70" i="1" s="1"/>
  <c r="C127" i="2"/>
  <c r="F126" i="2"/>
  <c r="N33" i="1" l="1"/>
  <c r="N77" i="1" s="1"/>
  <c r="B129" i="2"/>
  <c r="D129" i="2" s="1"/>
  <c r="N72" i="1"/>
  <c r="N79" i="1" l="1"/>
  <c r="N81" i="1" s="1"/>
  <c r="C129" i="2"/>
  <c r="F129" i="2" l="1"/>
  <c r="B130" i="2" s="1"/>
  <c r="D130" i="2" l="1"/>
  <c r="C130" i="2" l="1"/>
  <c r="F130" i="2" l="1"/>
  <c r="B131" i="2" s="1"/>
  <c r="D131" i="2" l="1"/>
  <c r="C131" i="2" l="1"/>
  <c r="F131" i="2" l="1"/>
  <c r="B132" i="2" s="1"/>
  <c r="D132" i="2" l="1"/>
  <c r="C132" i="2" l="1"/>
  <c r="F132" i="2" l="1"/>
  <c r="B133" i="2" s="1"/>
  <c r="D133" i="2" s="1"/>
  <c r="C133" i="2" l="1"/>
  <c r="F133" i="2" l="1"/>
  <c r="B134" i="2" s="1"/>
  <c r="D134" i="2" l="1"/>
  <c r="C134" i="2" s="1"/>
  <c r="F134" i="2" s="1"/>
  <c r="B135" i="2" s="1"/>
  <c r="D135" i="2" l="1"/>
  <c r="C135" i="2" s="1"/>
  <c r="F135" i="2" s="1"/>
  <c r="B136" i="2" s="1"/>
  <c r="D136" i="2" s="1"/>
  <c r="C136" i="2" s="1"/>
  <c r="F136" i="2" s="1"/>
  <c r="B137" i="2" s="1"/>
  <c r="D137" i="2" s="1"/>
  <c r="C137" i="2" s="1"/>
  <c r="F137" i="2" s="1"/>
  <c r="B138" i="2" s="1"/>
  <c r="D138" i="2" s="1"/>
  <c r="C138" i="2" s="1"/>
  <c r="F138" i="2" s="1"/>
  <c r="B139" i="2" s="1"/>
  <c r="D139" i="2" s="1"/>
  <c r="C139" i="2" s="1"/>
  <c r="F139" i="2" s="1"/>
  <c r="B140" i="2" s="1"/>
  <c r="D140" i="2" l="1"/>
  <c r="C140" i="2" l="1"/>
  <c r="D141" i="2"/>
  <c r="O28" i="1" s="1"/>
  <c r="O31" i="1" s="1"/>
  <c r="O32" i="1" l="1"/>
  <c r="O70" i="1" s="1"/>
  <c r="C141" i="2"/>
  <c r="F140" i="2"/>
  <c r="O72" i="1" s="1"/>
  <c r="K138" i="1" s="1"/>
  <c r="O33" i="1" l="1"/>
  <c r="O77" i="1" s="1"/>
  <c r="K140" i="1" s="1"/>
  <c r="O79" i="1" l="1"/>
  <c r="O81" i="1" s="1"/>
  <c r="M132" i="1" l="1"/>
  <c r="M135" i="1" s="1"/>
  <c r="M140" i="1" s="1"/>
  <c r="N140" i="1" s="1"/>
  <c r="K141" i="1"/>
  <c r="L140" i="1" l="1"/>
  <c r="O140" i="1" s="1"/>
  <c r="L139" i="1"/>
  <c r="O139" i="1" s="1"/>
  <c r="L138" i="1"/>
  <c r="O138" i="1" s="1"/>
  <c r="O141" i="1" l="1"/>
  <c r="M127" i="1" l="1"/>
  <c r="D127" i="1"/>
  <c r="F127" i="1"/>
  <c r="H127" i="1"/>
  <c r="O127" i="1"/>
  <c r="E127" i="1"/>
  <c r="G127" i="1"/>
  <c r="C127" i="1"/>
  <c r="K127" i="1"/>
  <c r="L127" i="1"/>
  <c r="N127" i="1"/>
  <c r="K128" i="1" l="1"/>
</calcChain>
</file>

<file path=xl/sharedStrings.xml><?xml version="1.0" encoding="utf-8"?>
<sst xmlns="http://schemas.openxmlformats.org/spreadsheetml/2006/main" count="337" uniqueCount="126">
  <si>
    <t>FORECAST</t>
  </si>
  <si>
    <t>INCOME STATEMENT</t>
  </si>
  <si>
    <t>Cost of Goods Sold</t>
  </si>
  <si>
    <t>Operating Expenses</t>
  </si>
  <si>
    <t>Store Building Maintenance Exp</t>
  </si>
  <si>
    <t>BALANCE SHEET</t>
  </si>
  <si>
    <t>Assets</t>
  </si>
  <si>
    <t>Accounts Receivable</t>
  </si>
  <si>
    <t>Inventory</t>
  </si>
  <si>
    <t>Buildings</t>
  </si>
  <si>
    <t>Liabilities and Equity</t>
  </si>
  <si>
    <t>Income Tax Payable</t>
  </si>
  <si>
    <t>Retained Earnings</t>
  </si>
  <si>
    <t>Liaiblities</t>
  </si>
  <si>
    <t>Equity</t>
  </si>
  <si>
    <t>Common Stock</t>
  </si>
  <si>
    <t>Taxable Income</t>
  </si>
  <si>
    <t>Income Tax Expense</t>
  </si>
  <si>
    <t>Net Income</t>
  </si>
  <si>
    <t>Accounts Payable</t>
  </si>
  <si>
    <t>Minimum Cash Inventory</t>
  </si>
  <si>
    <t>Cash Above Minimum</t>
  </si>
  <si>
    <t>Extra Bank Loan Interest Expense</t>
  </si>
  <si>
    <t>Land</t>
  </si>
  <si>
    <t>Extra Bank Loan</t>
  </si>
  <si>
    <t>Mortgage Loan</t>
  </si>
  <si>
    <t>Total Liabilities and Equity</t>
  </si>
  <si>
    <t>Total Assets</t>
  </si>
  <si>
    <t>Year 1</t>
  </si>
  <si>
    <t>Year 2</t>
  </si>
  <si>
    <t>Year 3</t>
  </si>
  <si>
    <t>Year 4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</si>
  <si>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</si>
  <si>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</si>
  <si>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</si>
  <si>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</si>
  <si>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</si>
  <si>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</si>
  <si>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</si>
  <si>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</si>
  <si>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</si>
  <si>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</si>
  <si>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PV</t>
  </si>
  <si>
    <t>TOTALS</t>
  </si>
  <si>
    <t>Sales Price Per Item</t>
  </si>
  <si>
    <t>Increase/Decrease</t>
  </si>
  <si>
    <t>Total Revenue</t>
  </si>
  <si>
    <t xml:space="preserve">       Days of Receivables</t>
  </si>
  <si>
    <t xml:space="preserve">     Days of Payables</t>
  </si>
  <si>
    <t xml:space="preserve">     Inventory Turnover Rate</t>
  </si>
  <si>
    <t>Year 5</t>
  </si>
  <si>
    <t>Year 6</t>
  </si>
  <si>
    <t>Year 7</t>
  </si>
  <si>
    <t>Year 8</t>
  </si>
  <si>
    <t>Year 9</t>
  </si>
  <si>
    <t>Year 10</t>
  </si>
  <si>
    <t>Repair Revenue - Snowboards</t>
  </si>
  <si>
    <t>Repair Revenue - Bikes</t>
  </si>
  <si>
    <t>Items Repaired</t>
  </si>
  <si>
    <t>Total Repair Revenue</t>
  </si>
  <si>
    <t>Equipment Sale Revenue</t>
  </si>
  <si>
    <t>Utilities</t>
  </si>
  <si>
    <t>Wages and Salaries</t>
  </si>
  <si>
    <t>Administrative</t>
  </si>
  <si>
    <t>of Equipment Sales</t>
  </si>
  <si>
    <t>Loan Interest Expense</t>
  </si>
  <si>
    <t>Play it Again Sports</t>
  </si>
  <si>
    <t>PPE</t>
  </si>
  <si>
    <t>Goodwill</t>
  </si>
  <si>
    <t>Extra Bank Loan Interst</t>
  </si>
  <si>
    <t>Interest Rate</t>
  </si>
  <si>
    <t>Property Tax</t>
  </si>
  <si>
    <t>Less:  Accumulated Depreciation PPE</t>
  </si>
  <si>
    <t>Acc Depreciation Property</t>
  </si>
  <si>
    <t>Depreciation Expense Property</t>
  </si>
  <si>
    <t>Depreciation Expense PPE</t>
  </si>
  <si>
    <t>Building</t>
  </si>
  <si>
    <t>FREE CASH FLOWS</t>
  </si>
  <si>
    <t>Cash from Operations</t>
  </si>
  <si>
    <t>Operating Profit</t>
  </si>
  <si>
    <t>Depreciation</t>
  </si>
  <si>
    <t>Taxable Operating Profit</t>
  </si>
  <si>
    <t>Tax on Operations</t>
  </si>
  <si>
    <t>Total Cash from Operations</t>
  </si>
  <si>
    <t>Cash from Changes in Balance Sheet</t>
  </si>
  <si>
    <t>Working Capital</t>
  </si>
  <si>
    <t>(-)</t>
  </si>
  <si>
    <t>(+)</t>
  </si>
  <si>
    <t>Fixed and Other Assets</t>
  </si>
  <si>
    <t>Adjustment for Resale</t>
  </si>
  <si>
    <t>Taxes on Resale</t>
  </si>
  <si>
    <t>TOTAL FREE CASH FLOWS</t>
  </si>
  <si>
    <t>IRR</t>
  </si>
  <si>
    <t>NPV</t>
  </si>
  <si>
    <t>WACC</t>
  </si>
  <si>
    <t>Tbill</t>
  </si>
  <si>
    <t>Prop</t>
  </si>
  <si>
    <t>After tax</t>
  </si>
  <si>
    <t>Weighted</t>
  </si>
  <si>
    <t>Average</t>
  </si>
  <si>
    <t>Total</t>
  </si>
  <si>
    <t>Unlevered</t>
  </si>
  <si>
    <t>EQ Beta</t>
  </si>
  <si>
    <t>S&amp;p</t>
  </si>
  <si>
    <t>Pv</t>
  </si>
  <si>
    <t>% Sale</t>
  </si>
  <si>
    <t>Secured</t>
  </si>
  <si>
    <t>Unsecured</t>
  </si>
  <si>
    <t>Admin</t>
  </si>
  <si>
    <t>Remaining</t>
  </si>
  <si>
    <t>TOTAL</t>
  </si>
  <si>
    <t>On the $</t>
  </si>
  <si>
    <t>Principle Payments</t>
  </si>
  <si>
    <t>Interest Payments</t>
  </si>
  <si>
    <t>Extra from secured</t>
  </si>
  <si>
    <t>Extra Loan</t>
  </si>
  <si>
    <t>Proportion</t>
  </si>
  <si>
    <t>Bankruptcy</t>
  </si>
  <si>
    <t>Change</t>
  </si>
  <si>
    <t>Minimum Cash</t>
  </si>
  <si>
    <t>Store Building Maintenance</t>
  </si>
  <si>
    <t>Less:  Accumulated Dep PPE</t>
  </si>
  <si>
    <t>DFN</t>
  </si>
  <si>
    <t>Relevered</t>
  </si>
  <si>
    <t>Mortgage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</si>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</sst>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0.0"/>
    <numFmt numFmtId="167" formatCode="[$$-409]#,##0.00;[Red]\-[$$-409]#,##0.00"/>
    <numFmt numFmtId="168" formatCode="_(* #,##0_);_(* \(#,##0\);_(* &quot;-&quot;??_);_(@_)"/>
    <numFmt numFmtId="169" formatCode="0.0%"/>
    <numFmt numFmtId="170" formatCode="_(* #,##0_);_(* \(#,##0\);_(* \-??_);_(@_)"/>
    <numFmt numFmtId="171" formatCode="_(&quot;$&quot;* #,##0_);_(&quot;$&quot;* \(#,##0\);_(&quot;$&quot;* &quot;-&quot;??_);_(@_)"/>
    <numFmt numFmtId="172" formatCode="&quot;$&quot;#,##0.00"/>
    <numFmt numFmtId="173" formatCode="&quot;$&quot;#,##0"/>
  </numFmts>
  <fonts count="11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9" fontId="1" fillId="0" borderId="0"/>
    <xf numFmtId="43" fontId="6" fillId="0" borderId="0" applyFont="0" applyFill="0" applyBorder="0" applyAlignment="0" applyProtection="0"/>
  </cellStyleXfs>
  <cellXfs count="127">
    <xf numFmtId="0" fontId="0" fillId="0" borderId="0" xfId="0"/>
    <xf numFmtId="10" fontId="0" fillId="0" borderId="0" xfId="0" applyNumberFormat="1"/>
    <xf numFmtId="0" fontId="0" fillId="0" borderId="0" xfId="0" applyFont="1" applyAlignment="1">
      <alignment wrapText="1"/>
    </xf>
    <xf numFmtId="167" fontId="0" fillId="0" borderId="0" xfId="0" applyNumberFormat="1" applyFont="1" applyAlignment="1">
      <alignment wrapText="1"/>
    </xf>
    <xf numFmtId="167" fontId="0" fillId="0" borderId="0" xfId="0" applyNumberFormat="1"/>
    <xf numFmtId="0" fontId="0" fillId="0" borderId="0" xfId="0" applyNumberFormat="1"/>
    <xf numFmtId="167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/>
    <xf numFmtId="0" fontId="1" fillId="0" borderId="0" xfId="2"/>
    <xf numFmtId="9" fontId="1" fillId="0" borderId="0" xfId="3"/>
    <xf numFmtId="165" fontId="1" fillId="0" borderId="0" xfId="1" applyNumberFormat="1"/>
    <xf numFmtId="165" fontId="1" fillId="0" borderId="0" xfId="1" applyNumberFormat="1" applyFont="1" applyFill="1" applyBorder="1" applyAlignment="1" applyProtection="1"/>
    <xf numFmtId="10" fontId="1" fillId="0" borderId="0" xfId="3" applyNumberFormat="1"/>
    <xf numFmtId="165" fontId="1" fillId="0" borderId="0" xfId="2" applyNumberFormat="1"/>
    <xf numFmtId="10" fontId="0" fillId="0" borderId="0" xfId="0" applyNumberFormat="1"/>
    <xf numFmtId="167" fontId="0" fillId="0" borderId="0" xfId="0" applyNumberFormat="1"/>
    <xf numFmtId="0" fontId="3" fillId="0" borderId="0" xfId="0" applyFont="1"/>
    <xf numFmtId="0" fontId="4" fillId="0" borderId="0" xfId="2" applyFont="1"/>
    <xf numFmtId="0" fontId="2" fillId="0" borderId="1" xfId="2" applyFont="1" applyFill="1" applyBorder="1"/>
    <xf numFmtId="0" fontId="1" fillId="0" borderId="1" xfId="2" applyFill="1" applyBorder="1"/>
    <xf numFmtId="0" fontId="2" fillId="0" borderId="0" xfId="2" applyFont="1" applyFill="1"/>
    <xf numFmtId="0" fontId="1" fillId="0" borderId="0" xfId="2" applyFill="1"/>
    <xf numFmtId="0" fontId="1" fillId="0" borderId="0" xfId="2" applyFont="1" applyFill="1"/>
    <xf numFmtId="165" fontId="1" fillId="0" borderId="0" xfId="1" applyNumberFormat="1" applyFill="1"/>
    <xf numFmtId="166" fontId="1" fillId="0" borderId="0" xfId="2" applyNumberFormat="1" applyFill="1"/>
    <xf numFmtId="10" fontId="1" fillId="0" borderId="0" xfId="3" applyNumberFormat="1" applyFill="1"/>
    <xf numFmtId="9" fontId="1" fillId="0" borderId="0" xfId="3" applyFill="1"/>
    <xf numFmtId="0" fontId="5" fillId="0" borderId="0" xfId="2" applyFont="1" applyFill="1"/>
    <xf numFmtId="165" fontId="1" fillId="0" borderId="0" xfId="2" applyNumberFormat="1" applyFill="1"/>
    <xf numFmtId="0" fontId="4" fillId="0" borderId="0" xfId="2" applyFont="1" applyFill="1"/>
    <xf numFmtId="168" fontId="1" fillId="0" borderId="0" xfId="4" applyNumberFormat="1" applyFont="1" applyFill="1"/>
    <xf numFmtId="168" fontId="1" fillId="0" borderId="0" xfId="4" applyNumberFormat="1" applyFont="1" applyFill="1" applyBorder="1" applyAlignment="1" applyProtection="1"/>
    <xf numFmtId="9" fontId="1" fillId="0" borderId="0" xfId="2" applyNumberFormat="1" applyFill="1"/>
    <xf numFmtId="43" fontId="1" fillId="0" borderId="0" xfId="2" applyNumberFormat="1" applyFill="1"/>
    <xf numFmtId="164" fontId="1" fillId="0" borderId="0" xfId="1" applyNumberFormat="1" applyFont="1" applyFill="1" applyBorder="1" applyAlignment="1" applyProtection="1"/>
    <xf numFmtId="164" fontId="1" fillId="0" borderId="0" xfId="4" applyNumberFormat="1" applyFont="1" applyFill="1"/>
    <xf numFmtId="9" fontId="1" fillId="0" borderId="0" xfId="3" applyNumberFormat="1" applyFill="1"/>
    <xf numFmtId="168" fontId="1" fillId="0" borderId="0" xfId="2" applyNumberFormat="1" applyFill="1"/>
    <xf numFmtId="169" fontId="1" fillId="0" borderId="0" xfId="3" applyNumberFormat="1" applyFill="1"/>
    <xf numFmtId="170" fontId="6" fillId="0" borderId="0" xfId="4" applyNumberFormat="1"/>
    <xf numFmtId="171" fontId="0" fillId="0" borderId="0" xfId="0" applyNumberFormat="1"/>
    <xf numFmtId="165" fontId="0" fillId="0" borderId="0" xfId="0" applyNumberFormat="1"/>
    <xf numFmtId="168" fontId="0" fillId="0" borderId="0" xfId="4" applyNumberFormat="1" applyFont="1"/>
    <xf numFmtId="6" fontId="1" fillId="0" borderId="0" xfId="2" applyNumberFormat="1"/>
    <xf numFmtId="168" fontId="0" fillId="0" borderId="0" xfId="0" applyNumberFormat="1"/>
    <xf numFmtId="168" fontId="1" fillId="0" borderId="0" xfId="2" applyNumberFormat="1"/>
    <xf numFmtId="168" fontId="1" fillId="0" borderId="0" xfId="3" applyNumberFormat="1"/>
    <xf numFmtId="9" fontId="1" fillId="0" borderId="0" xfId="2" applyNumberFormat="1"/>
    <xf numFmtId="169" fontId="1" fillId="0" borderId="0" xfId="2" applyNumberFormat="1"/>
    <xf numFmtId="10" fontId="1" fillId="0" borderId="0" xfId="2" applyNumberFormat="1"/>
    <xf numFmtId="169" fontId="1" fillId="0" borderId="0" xfId="3" applyNumberFormat="1"/>
    <xf numFmtId="10" fontId="4" fillId="0" borderId="0" xfId="2" applyNumberFormat="1" applyFont="1"/>
    <xf numFmtId="10" fontId="1" fillId="0" borderId="0" xfId="2" applyNumberFormat="1" applyFill="1"/>
    <xf numFmtId="168" fontId="1" fillId="0" borderId="0" xfId="4" applyNumberFormat="1" applyFont="1"/>
    <xf numFmtId="165" fontId="1" fillId="0" borderId="0" xfId="1" applyNumberFormat="1" applyBorder="1"/>
    <xf numFmtId="0" fontId="1" fillId="0" borderId="0" xfId="2" applyBorder="1"/>
    <xf numFmtId="9" fontId="1" fillId="0" borderId="0" xfId="3" applyBorder="1"/>
    <xf numFmtId="0" fontId="1" fillId="0" borderId="0" xfId="2" applyFill="1" applyBorder="1"/>
    <xf numFmtId="164" fontId="1" fillId="0" borderId="0" xfId="1"/>
    <xf numFmtId="168" fontId="1" fillId="0" borderId="0" xfId="2" applyNumberFormat="1" applyBorder="1"/>
    <xf numFmtId="0" fontId="1" fillId="0" borderId="0" xfId="2" applyFill="1" applyAlignment="1">
      <alignment horizontal="center"/>
    </xf>
    <xf numFmtId="165" fontId="1" fillId="0" borderId="2" xfId="2" applyNumberFormat="1" applyFill="1" applyBorder="1"/>
    <xf numFmtId="9" fontId="1" fillId="0" borderId="2" xfId="3" applyBorder="1"/>
    <xf numFmtId="165" fontId="1" fillId="0" borderId="2" xfId="1" applyNumberFormat="1" applyBorder="1"/>
    <xf numFmtId="165" fontId="1" fillId="0" borderId="0" xfId="1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165" fontId="1" fillId="0" borderId="0" xfId="1" applyNumberFormat="1" applyFont="1" applyFill="1" applyBorder="1" applyAlignment="1" applyProtection="1">
      <alignment horizontal="center"/>
    </xf>
    <xf numFmtId="165" fontId="1" fillId="0" borderId="0" xfId="2" applyNumberFormat="1" applyFill="1" applyBorder="1"/>
    <xf numFmtId="168" fontId="1" fillId="0" borderId="0" xfId="2" applyNumberFormat="1" applyFill="1" applyBorder="1"/>
    <xf numFmtId="2" fontId="1" fillId="0" borderId="0" xfId="2" applyNumberFormat="1" applyFill="1" applyBorder="1"/>
    <xf numFmtId="9" fontId="1" fillId="0" borderId="0" xfId="2" applyNumberFormat="1" applyFill="1" applyBorder="1"/>
    <xf numFmtId="10" fontId="1" fillId="0" borderId="0" xfId="2" applyNumberFormat="1" applyBorder="1"/>
    <xf numFmtId="10" fontId="1" fillId="0" borderId="0" xfId="3" applyNumberFormat="1" applyBorder="1"/>
    <xf numFmtId="9" fontId="1" fillId="0" borderId="0" xfId="2" applyNumberFormat="1" applyBorder="1"/>
    <xf numFmtId="173" fontId="1" fillId="0" borderId="0" xfId="4" applyNumberFormat="1" applyFont="1"/>
    <xf numFmtId="172" fontId="1" fillId="0" borderId="0" xfId="1" applyNumberFormat="1"/>
    <xf numFmtId="0" fontId="7" fillId="0" borderId="0" xfId="2" applyFont="1"/>
    <xf numFmtId="0" fontId="8" fillId="0" borderId="1" xfId="2" applyFont="1" applyFill="1" applyBorder="1"/>
    <xf numFmtId="0" fontId="7" fillId="0" borderId="1" xfId="2" applyFont="1" applyFill="1" applyBorder="1"/>
    <xf numFmtId="0" fontId="8" fillId="0" borderId="0" xfId="2" applyFont="1" applyFill="1"/>
    <xf numFmtId="0" fontId="7" fillId="0" borderId="0" xfId="2" applyFont="1" applyFill="1"/>
    <xf numFmtId="165" fontId="7" fillId="0" borderId="0" xfId="1" applyNumberFormat="1" applyFont="1" applyFill="1"/>
    <xf numFmtId="166" fontId="7" fillId="0" borderId="0" xfId="2" applyNumberFormat="1" applyFont="1" applyFill="1"/>
    <xf numFmtId="168" fontId="7" fillId="0" borderId="0" xfId="4" applyNumberFormat="1" applyFont="1" applyFill="1"/>
    <xf numFmtId="9" fontId="7" fillId="0" borderId="0" xfId="3" applyFont="1"/>
    <xf numFmtId="165" fontId="7" fillId="0" borderId="0" xfId="1" applyNumberFormat="1" applyFont="1" applyFill="1" applyBorder="1" applyAlignment="1" applyProtection="1"/>
    <xf numFmtId="168" fontId="7" fillId="0" borderId="0" xfId="4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7" fillId="0" borderId="0" xfId="4" applyNumberFormat="1" applyFont="1" applyFill="1"/>
    <xf numFmtId="165" fontId="7" fillId="0" borderId="0" xfId="2" applyNumberFormat="1" applyFont="1" applyFill="1"/>
    <xf numFmtId="9" fontId="7" fillId="0" borderId="0" xfId="2" applyNumberFormat="1" applyFont="1" applyFill="1"/>
    <xf numFmtId="9" fontId="7" fillId="0" borderId="0" xfId="3" applyNumberFormat="1" applyFont="1" applyFill="1"/>
    <xf numFmtId="9" fontId="7" fillId="0" borderId="0" xfId="3" applyFont="1" applyFill="1"/>
    <xf numFmtId="10" fontId="7" fillId="0" borderId="0" xfId="3" applyNumberFormat="1" applyFont="1" applyFill="1"/>
    <xf numFmtId="165" fontId="7" fillId="0" borderId="0" xfId="1" applyNumberFormat="1" applyFont="1"/>
    <xf numFmtId="169" fontId="7" fillId="0" borderId="0" xfId="3" applyNumberFormat="1" applyFont="1" applyFill="1"/>
    <xf numFmtId="168" fontId="7" fillId="0" borderId="0" xfId="2" applyNumberFormat="1" applyFont="1" applyFill="1"/>
    <xf numFmtId="2" fontId="7" fillId="0" borderId="0" xfId="2" applyNumberFormat="1" applyFont="1" applyFill="1"/>
    <xf numFmtId="10" fontId="7" fillId="0" borderId="0" xfId="2" applyNumberFormat="1" applyFont="1"/>
    <xf numFmtId="10" fontId="7" fillId="0" borderId="0" xfId="3" applyNumberFormat="1" applyFont="1"/>
    <xf numFmtId="9" fontId="7" fillId="0" borderId="0" xfId="2" applyNumberFormat="1" applyFont="1"/>
    <xf numFmtId="165" fontId="7" fillId="0" borderId="0" xfId="2" applyNumberFormat="1" applyFont="1"/>
    <xf numFmtId="169" fontId="7" fillId="0" borderId="0" xfId="3" applyNumberFormat="1" applyFont="1"/>
    <xf numFmtId="169" fontId="7" fillId="0" borderId="0" xfId="2" applyNumberFormat="1" applyFont="1"/>
    <xf numFmtId="10" fontId="7" fillId="0" borderId="0" xfId="2" applyNumberFormat="1" applyFont="1" applyFill="1"/>
    <xf numFmtId="168" fontId="7" fillId="0" borderId="0" xfId="2" applyNumberFormat="1" applyFont="1"/>
    <xf numFmtId="168" fontId="7" fillId="0" borderId="0" xfId="3" applyNumberFormat="1" applyFont="1"/>
    <xf numFmtId="168" fontId="7" fillId="0" borderId="0" xfId="4" applyNumberFormat="1" applyFont="1"/>
    <xf numFmtId="6" fontId="7" fillId="0" borderId="0" xfId="2" applyNumberFormat="1" applyFont="1"/>
    <xf numFmtId="0" fontId="9" fillId="0" borderId="0" xfId="0" applyFont="1"/>
    <xf numFmtId="0" fontId="10" fillId="0" borderId="0" xfId="0" applyFont="1"/>
    <xf numFmtId="167" fontId="10" fillId="0" borderId="0" xfId="0" applyNumberFormat="1" applyFont="1"/>
    <xf numFmtId="165" fontId="10" fillId="0" borderId="0" xfId="0" applyNumberFormat="1" applyFont="1"/>
    <xf numFmtId="168" fontId="10" fillId="0" borderId="0" xfId="4" applyNumberFormat="1" applyFont="1"/>
    <xf numFmtId="168" fontId="10" fillId="0" borderId="0" xfId="0" applyNumberFormat="1" applyFont="1"/>
    <xf numFmtId="171" fontId="10" fillId="0" borderId="0" xfId="0" applyNumberFormat="1" applyFont="1"/>
    <xf numFmtId="9" fontId="10" fillId="0" borderId="0" xfId="0" applyNumberFormat="1" applyFont="1"/>
    <xf numFmtId="170" fontId="10" fillId="0" borderId="0" xfId="4" applyNumberFormat="1" applyFont="1"/>
    <xf numFmtId="43" fontId="10" fillId="0" borderId="0" xfId="4" applyNumberFormat="1" applyFont="1"/>
    <xf numFmtId="10" fontId="10" fillId="0" borderId="0" xfId="0" applyNumberFormat="1" applyFont="1"/>
    <xf numFmtId="0" fontId="7" fillId="0" borderId="0" xfId="2" applyFont="1" applyFill="1" applyAlignment="1">
      <alignment horizontal="right"/>
    </xf>
    <xf numFmtId="0" fontId="7" fillId="0" borderId="0" xfId="2" applyFont="1" applyFill="1" applyAlignment="1">
      <alignment horizontal="center"/>
    </xf>
    <xf numFmtId="165" fontId="7" fillId="0" borderId="2" xfId="2" applyNumberFormat="1" applyFont="1" applyBorder="1"/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Comma" xfId="4" builtinId="3"/>
    <cellStyle name="Currency" xfId="1" builtinId="4"/>
    <cellStyle name="Excel Built-in Normal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h/Downloads/Play%20it%20Again%20Sports%20Bankruptcy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Sheet1"/>
      <sheetName val="Sheet2"/>
      <sheetName val="Sheet3"/>
      <sheetName val="K"/>
    </sheetNames>
    <sheetDataSet>
      <sheetData sheetId="0"/>
      <sheetData sheetId="1">
        <row r="14">
          <cell r="F14">
            <v>570429.36594633712</v>
          </cell>
        </row>
        <row r="15">
          <cell r="D15">
            <v>24048.424961524794</v>
          </cell>
        </row>
        <row r="28">
          <cell r="F28">
            <v>539623.29147701501</v>
          </cell>
        </row>
        <row r="29">
          <cell r="D29">
            <v>22812.984545865624</v>
          </cell>
        </row>
        <row r="42">
          <cell r="F42">
            <v>507530.16075525875</v>
          </cell>
        </row>
        <row r="43">
          <cell r="D43">
            <v>21525.928293431545</v>
          </cell>
        </row>
        <row r="56">
          <cell r="F56">
            <v>474096.20147072192</v>
          </cell>
        </row>
        <row r="57">
          <cell r="D57">
            <v>20185.099730650723</v>
          </cell>
        </row>
        <row r="70">
          <cell r="F70">
            <v>439265.39474352746</v>
          </cell>
        </row>
        <row r="71">
          <cell r="D71">
            <v>18788.252287993211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topLeftCell="A108" zoomScale="115" zoomScaleNormal="115" workbookViewId="0">
      <selection activeCell="E51" sqref="E51"/>
    </sheetView>
  </sheetViews>
  <sheetFormatPr defaultColWidth="9.42578125" defaultRowHeight="15" x14ac:dyDescent="0.25"/>
  <cols>
    <col min="1" max="1" width="4.85546875" style="82" customWidth="1"/>
    <col min="2" max="2" width="21.28515625" style="82" customWidth="1"/>
    <col min="3" max="3" width="12" style="82" customWidth="1"/>
    <col min="4" max="8" width="10.7109375" style="82" bestFit="1" customWidth="1"/>
    <col min="9" max="9" width="4.5703125" style="82" customWidth="1"/>
    <col min="10" max="10" width="23.5703125" style="82" customWidth="1"/>
    <col min="11" max="12" width="10.7109375" style="82" bestFit="1" customWidth="1"/>
    <col min="13" max="13" width="11.28515625" style="82" bestFit="1" customWidth="1"/>
    <col min="14" max="14" width="10.7109375" style="82" bestFit="1" customWidth="1"/>
    <col min="15" max="15" width="11.140625" style="82" customWidth="1"/>
    <col min="16" max="16" width="13.42578125" style="82" customWidth="1"/>
    <col min="17" max="17" width="9.42578125" style="82"/>
    <col min="18" max="18" width="9.7109375" style="82" bestFit="1" customWidth="1"/>
    <col min="19" max="16384" width="9.42578125" style="82"/>
  </cols>
  <sheetData>
    <row r="1" spans="1:16" s="80" customFormat="1" x14ac:dyDescent="0.25">
      <c r="A1" s="79" t="s">
        <v>66</v>
      </c>
    </row>
    <row r="2" spans="1:16" x14ac:dyDescent="0.25">
      <c r="A2" s="81" t="s">
        <v>0</v>
      </c>
    </row>
    <row r="3" spans="1:16" x14ac:dyDescent="0.25">
      <c r="D3" s="123" t="s">
        <v>28</v>
      </c>
      <c r="E3" s="123" t="s">
        <v>29</v>
      </c>
      <c r="F3" s="123" t="s">
        <v>30</v>
      </c>
      <c r="G3" s="123" t="s">
        <v>31</v>
      </c>
      <c r="H3" s="123" t="s">
        <v>50</v>
      </c>
      <c r="I3" s="123"/>
      <c r="J3" s="123"/>
      <c r="K3" s="123" t="s">
        <v>51</v>
      </c>
      <c r="L3" s="123" t="s">
        <v>52</v>
      </c>
      <c r="M3" s="123" t="s">
        <v>53</v>
      </c>
      <c r="N3" s="123" t="s">
        <v>54</v>
      </c>
      <c r="O3" s="123" t="s">
        <v>55</v>
      </c>
      <c r="P3" s="123" t="s">
        <v>118</v>
      </c>
    </row>
    <row r="4" spans="1:16" x14ac:dyDescent="0.25">
      <c r="A4" s="81" t="s">
        <v>1</v>
      </c>
      <c r="I4" s="81" t="s">
        <v>1</v>
      </c>
    </row>
    <row r="5" spans="1:16" x14ac:dyDescent="0.25">
      <c r="A5" s="82" t="s">
        <v>56</v>
      </c>
      <c r="D5" s="83">
        <f>D6*D7</f>
        <v>7000</v>
      </c>
      <c r="E5" s="83">
        <f t="shared" ref="E5:H5" si="0">E6*E7</f>
        <v>8652.0000000000018</v>
      </c>
      <c r="F5" s="83">
        <f t="shared" si="0"/>
        <v>10693.872000000001</v>
      </c>
      <c r="G5" s="83">
        <f t="shared" si="0"/>
        <v>13217.625792000001</v>
      </c>
      <c r="H5" s="83">
        <f t="shared" si="0"/>
        <v>16336.985478912</v>
      </c>
      <c r="I5" s="82" t="s">
        <v>56</v>
      </c>
      <c r="K5" s="83">
        <f>K6*K7</f>
        <v>20192.514051935232</v>
      </c>
      <c r="L5" s="83">
        <f>L6*L7</f>
        <v>24957.947368191948</v>
      </c>
      <c r="M5" s="83">
        <f>M6*M7</f>
        <v>30848.02294708525</v>
      </c>
      <c r="N5" s="83">
        <f>N6*N7</f>
        <v>38128.156362597372</v>
      </c>
      <c r="O5" s="83">
        <f>O6*O7</f>
        <v>47126.401264170345</v>
      </c>
      <c r="P5" s="84"/>
    </row>
    <row r="6" spans="1:16" x14ac:dyDescent="0.25">
      <c r="B6" s="82" t="s">
        <v>58</v>
      </c>
      <c r="D6" s="85">
        <v>200</v>
      </c>
      <c r="E6" s="85">
        <f>D6*(1+$P$6)</f>
        <v>240</v>
      </c>
      <c r="F6" s="85">
        <f>E6*(1+$P$6)</f>
        <v>288</v>
      </c>
      <c r="G6" s="85">
        <f>F6*(1+$P$6)</f>
        <v>345.59999999999997</v>
      </c>
      <c r="H6" s="85">
        <f>G6*(1+$P$6)</f>
        <v>414.71999999999997</v>
      </c>
      <c r="J6" s="82" t="s">
        <v>58</v>
      </c>
      <c r="K6" s="85">
        <f>H6*(1+$P$6)</f>
        <v>497.66399999999993</v>
      </c>
      <c r="L6" s="85">
        <f>K6*(1+$P$6)</f>
        <v>597.19679999999994</v>
      </c>
      <c r="M6" s="85">
        <f>L6*(1+$P$6)</f>
        <v>716.6361599999999</v>
      </c>
      <c r="N6" s="85">
        <f>M6*(1+$P$6)</f>
        <v>859.96339199999989</v>
      </c>
      <c r="O6" s="85">
        <f>N6*(1+$P$6)</f>
        <v>1031.9560703999998</v>
      </c>
      <c r="P6" s="86">
        <v>0.2</v>
      </c>
    </row>
    <row r="7" spans="1:16" x14ac:dyDescent="0.25">
      <c r="B7" s="82" t="s">
        <v>44</v>
      </c>
      <c r="D7" s="83">
        <v>35</v>
      </c>
      <c r="E7" s="85">
        <f>D7*(1+$P$7)</f>
        <v>36.050000000000004</v>
      </c>
      <c r="F7" s="85">
        <f>E7*(1+$P$7)</f>
        <v>37.131500000000003</v>
      </c>
      <c r="G7" s="85">
        <f>F7*(1+$P$7)</f>
        <v>38.245445000000004</v>
      </c>
      <c r="H7" s="85">
        <f>G7*(1+$P$7)</f>
        <v>39.392808350000003</v>
      </c>
      <c r="J7" s="82" t="s">
        <v>44</v>
      </c>
      <c r="K7" s="85">
        <f>H7*(1+$P$7)</f>
        <v>40.574592600500004</v>
      </c>
      <c r="L7" s="85">
        <f>K7*(1+$P$7)</f>
        <v>41.791830378515009</v>
      </c>
      <c r="M7" s="85">
        <f>L7*(1+$P$7)</f>
        <v>43.045585289870459</v>
      </c>
      <c r="N7" s="85">
        <f>M7*(1+$P$7)</f>
        <v>44.336952848566575</v>
      </c>
      <c r="O7" s="85">
        <f>N7*(1+$P$7)</f>
        <v>45.667061434023573</v>
      </c>
      <c r="P7" s="86">
        <v>0.03</v>
      </c>
    </row>
    <row r="8" spans="1:16" x14ac:dyDescent="0.25">
      <c r="A8" s="82" t="s">
        <v>57</v>
      </c>
      <c r="D8" s="87">
        <f>D9*D10</f>
        <v>15000</v>
      </c>
      <c r="E8" s="87">
        <f t="shared" ref="E8:H8" si="1">E9*E10</f>
        <v>18540</v>
      </c>
      <c r="F8" s="87">
        <f t="shared" si="1"/>
        <v>22915.440000000002</v>
      </c>
      <c r="G8" s="87">
        <f t="shared" si="1"/>
        <v>28323.483839999997</v>
      </c>
      <c r="H8" s="87">
        <f t="shared" si="1"/>
        <v>35007.82602624</v>
      </c>
      <c r="I8" s="82" t="s">
        <v>57</v>
      </c>
      <c r="K8" s="87">
        <f>K9*K10</f>
        <v>43269.672968432635</v>
      </c>
      <c r="L8" s="87">
        <f>L9*L10</f>
        <v>53481.315788982734</v>
      </c>
      <c r="M8" s="87">
        <f>M9*M10</f>
        <v>66102.906315182656</v>
      </c>
      <c r="N8" s="87">
        <f>N9*N10</f>
        <v>81703.192205565763</v>
      </c>
      <c r="O8" s="87">
        <f>O9*O10</f>
        <v>100985.14556607929</v>
      </c>
      <c r="P8" s="86"/>
    </row>
    <row r="9" spans="1:16" x14ac:dyDescent="0.25">
      <c r="B9" s="82" t="s">
        <v>58</v>
      </c>
      <c r="D9" s="88">
        <v>300</v>
      </c>
      <c r="E9" s="85">
        <f>D9*(1+$P$9)</f>
        <v>360</v>
      </c>
      <c r="F9" s="85">
        <f>E9*(1+$P$9)</f>
        <v>432</v>
      </c>
      <c r="G9" s="85">
        <f>F9*(1+$P$9)</f>
        <v>518.4</v>
      </c>
      <c r="H9" s="85">
        <f>G9*(1+$P$9)</f>
        <v>622.07999999999993</v>
      </c>
      <c r="J9" s="82" t="s">
        <v>58</v>
      </c>
      <c r="K9" s="85">
        <f>H9*(1+$P$9)</f>
        <v>746.49599999999987</v>
      </c>
      <c r="L9" s="85">
        <f>K9*(1+$P$9)</f>
        <v>895.7951999999998</v>
      </c>
      <c r="M9" s="85">
        <f>L9*(1+$P$9)</f>
        <v>1074.9542399999998</v>
      </c>
      <c r="N9" s="85">
        <f>M9*(1+$P$9)</f>
        <v>1289.9450879999997</v>
      </c>
      <c r="O9" s="85">
        <f>N9*(1+$P$9)</f>
        <v>1547.9341055999996</v>
      </c>
      <c r="P9" s="86">
        <v>0.2</v>
      </c>
    </row>
    <row r="10" spans="1:16" x14ac:dyDescent="0.25">
      <c r="B10" s="82" t="s">
        <v>44</v>
      </c>
      <c r="D10" s="89">
        <v>50</v>
      </c>
      <c r="E10" s="90">
        <f>D10*(1+$P$10)</f>
        <v>51.5</v>
      </c>
      <c r="F10" s="90">
        <f>E10*(1+$P$10)</f>
        <v>53.045000000000002</v>
      </c>
      <c r="G10" s="90">
        <f>F10*(1+$P$10)</f>
        <v>54.63635</v>
      </c>
      <c r="H10" s="90">
        <f>G10*(1+$P$10)</f>
        <v>56.275440500000002</v>
      </c>
      <c r="J10" s="82" t="s">
        <v>44</v>
      </c>
      <c r="K10" s="90">
        <f>H10*(1+$P$10)</f>
        <v>57.963703715000001</v>
      </c>
      <c r="L10" s="90">
        <f>K10*(1+$P$10)</f>
        <v>59.702614826450002</v>
      </c>
      <c r="M10" s="90">
        <f>L10*(1+$P$10)</f>
        <v>61.493693271243501</v>
      </c>
      <c r="N10" s="90">
        <f>M10*(1+$P$10)</f>
        <v>63.338504069380811</v>
      </c>
      <c r="O10" s="90">
        <f>N10*(1+$P$10)</f>
        <v>65.238659191462233</v>
      </c>
      <c r="P10" s="86">
        <v>0.03</v>
      </c>
    </row>
    <row r="12" spans="1:16" x14ac:dyDescent="0.25">
      <c r="A12" s="82" t="s">
        <v>59</v>
      </c>
      <c r="D12" s="91">
        <f>D5+D8</f>
        <v>22000</v>
      </c>
      <c r="E12" s="91">
        <f t="shared" ref="E12:H12" si="2">E5+E8</f>
        <v>27192</v>
      </c>
      <c r="F12" s="91">
        <f t="shared" si="2"/>
        <v>33609.312000000005</v>
      </c>
      <c r="G12" s="91">
        <f t="shared" si="2"/>
        <v>41541.109632</v>
      </c>
      <c r="H12" s="91">
        <f t="shared" si="2"/>
        <v>51344.811505152</v>
      </c>
      <c r="I12" s="82" t="s">
        <v>59</v>
      </c>
      <c r="K12" s="91">
        <f>K5+K8</f>
        <v>63462.18702036787</v>
      </c>
      <c r="L12" s="91">
        <f>L5+L8</f>
        <v>78439.26315717469</v>
      </c>
      <c r="M12" s="91">
        <f>M5+M8</f>
        <v>96950.929262267906</v>
      </c>
      <c r="N12" s="91">
        <f>N5+N8</f>
        <v>119831.34856816314</v>
      </c>
      <c r="O12" s="91">
        <f>O5+O8</f>
        <v>148111.54683024963</v>
      </c>
    </row>
    <row r="13" spans="1:16" x14ac:dyDescent="0.25">
      <c r="A13" s="82" t="s">
        <v>60</v>
      </c>
      <c r="D13" s="91">
        <v>300000</v>
      </c>
      <c r="E13" s="91">
        <f>D13*(1+$P$13)</f>
        <v>315000</v>
      </c>
      <c r="F13" s="91">
        <f>E13*(1+$P$13)</f>
        <v>330750</v>
      </c>
      <c r="G13" s="91">
        <f>F13*(1+$P$13)</f>
        <v>347287.5</v>
      </c>
      <c r="H13" s="91">
        <f>G13*(1+$P$13)</f>
        <v>364651.875</v>
      </c>
      <c r="I13" s="82" t="s">
        <v>60</v>
      </c>
      <c r="K13" s="91">
        <f>H13*(1+$P$13)</f>
        <v>382884.46875</v>
      </c>
      <c r="L13" s="91">
        <f>K13*(1+$P$13)</f>
        <v>402028.69218750001</v>
      </c>
      <c r="M13" s="91">
        <f>L13*(1+$P$13)</f>
        <v>422130.12679687503</v>
      </c>
      <c r="N13" s="91">
        <f>M13*(1+$P$13)</f>
        <v>443236.63313671882</v>
      </c>
      <c r="O13" s="91">
        <f>N13*(1+$P$13)</f>
        <v>465398.4647935548</v>
      </c>
      <c r="P13" s="92">
        <v>0.05</v>
      </c>
    </row>
    <row r="14" spans="1:16" x14ac:dyDescent="0.25">
      <c r="A14" s="82" t="s">
        <v>46</v>
      </c>
      <c r="D14" s="91">
        <f>D13+D12</f>
        <v>322000</v>
      </c>
      <c r="E14" s="91">
        <f t="shared" ref="E14:H14" si="3">E13+E12</f>
        <v>342192</v>
      </c>
      <c r="F14" s="91">
        <f t="shared" si="3"/>
        <v>364359.31200000003</v>
      </c>
      <c r="G14" s="91">
        <f t="shared" si="3"/>
        <v>388828.60963199998</v>
      </c>
      <c r="H14" s="91">
        <f t="shared" si="3"/>
        <v>415996.68650515203</v>
      </c>
      <c r="I14" s="82" t="s">
        <v>46</v>
      </c>
      <c r="K14" s="91">
        <f>K13+K12</f>
        <v>446346.65577036788</v>
      </c>
      <c r="L14" s="91">
        <f>L13+L12</f>
        <v>480467.9553446747</v>
      </c>
      <c r="M14" s="91">
        <f>M13+M12</f>
        <v>519081.05605914292</v>
      </c>
      <c r="N14" s="91">
        <f>N13+N12</f>
        <v>563067.981704882</v>
      </c>
      <c r="O14" s="91">
        <f>O13+O12</f>
        <v>613510.01162380446</v>
      </c>
    </row>
    <row r="16" spans="1:16" x14ac:dyDescent="0.25">
      <c r="A16" s="82" t="s">
        <v>2</v>
      </c>
      <c r="D16" s="87">
        <f>D13*$P$16</f>
        <v>222000</v>
      </c>
      <c r="E16" s="87">
        <f>E13*$P$16</f>
        <v>233100</v>
      </c>
      <c r="F16" s="87">
        <f>F13*$P$16</f>
        <v>244755</v>
      </c>
      <c r="G16" s="87">
        <f>G13*$P$16</f>
        <v>256992.75</v>
      </c>
      <c r="H16" s="87">
        <f>H13*$P$16</f>
        <v>269842.38750000001</v>
      </c>
      <c r="I16" s="82" t="s">
        <v>2</v>
      </c>
      <c r="K16" s="87">
        <f>K13*$P$16</f>
        <v>283334.50687500002</v>
      </c>
      <c r="L16" s="87">
        <f>L13*$P$16</f>
        <v>297501.23221875</v>
      </c>
      <c r="M16" s="87">
        <f>M13*$P$16</f>
        <v>312376.29382968752</v>
      </c>
      <c r="N16" s="87">
        <f>N13*$P$16</f>
        <v>327995.1085211719</v>
      </c>
      <c r="O16" s="87">
        <f>O13*$P$16</f>
        <v>344394.86394723057</v>
      </c>
      <c r="P16" s="92">
        <v>0.74</v>
      </c>
    </row>
    <row r="17" spans="1:16" x14ac:dyDescent="0.25">
      <c r="D17" s="87"/>
      <c r="E17" s="87"/>
      <c r="F17" s="87"/>
      <c r="G17" s="87"/>
      <c r="H17" s="87"/>
      <c r="K17" s="87"/>
      <c r="L17" s="87"/>
      <c r="M17" s="87"/>
      <c r="N17" s="87"/>
      <c r="O17" s="87"/>
      <c r="P17" s="122"/>
    </row>
    <row r="18" spans="1:16" x14ac:dyDescent="0.25">
      <c r="A18" s="82" t="s">
        <v>3</v>
      </c>
      <c r="D18" s="87"/>
      <c r="E18" s="87"/>
      <c r="F18" s="87"/>
      <c r="G18" s="87"/>
      <c r="H18" s="87"/>
      <c r="I18" s="82" t="s">
        <v>3</v>
      </c>
      <c r="K18" s="87"/>
      <c r="L18" s="87"/>
      <c r="M18" s="87"/>
      <c r="N18" s="87"/>
      <c r="O18" s="87"/>
    </row>
    <row r="19" spans="1:16" x14ac:dyDescent="0.25">
      <c r="B19" s="82" t="s">
        <v>61</v>
      </c>
      <c r="D19" s="87">
        <v>2650</v>
      </c>
      <c r="E19" s="87">
        <f>D19*(1+$P$19)</f>
        <v>2729.5</v>
      </c>
      <c r="F19" s="87">
        <f>E19*(1+$P$19)</f>
        <v>2811.3850000000002</v>
      </c>
      <c r="G19" s="87">
        <f>F19*(1+$P$19)</f>
        <v>2895.7265500000003</v>
      </c>
      <c r="H19" s="87">
        <f>G19*(1+$P$19)</f>
        <v>2982.5983465000004</v>
      </c>
      <c r="J19" s="82" t="s">
        <v>61</v>
      </c>
      <c r="K19" s="87">
        <f>H19*(1+$P$19)</f>
        <v>3072.0762968950003</v>
      </c>
      <c r="L19" s="87">
        <f>K19*(1+$P$19)</f>
        <v>3164.2385858018501</v>
      </c>
      <c r="M19" s="87">
        <f>L19*(1+$P$19)</f>
        <v>3259.1657433759055</v>
      </c>
      <c r="N19" s="87">
        <f>M19*(1+$P$19)</f>
        <v>3356.9407156771827</v>
      </c>
      <c r="O19" s="87">
        <f>N19*(1+$P$19)</f>
        <v>3457.6489371474981</v>
      </c>
      <c r="P19" s="92">
        <v>0.03</v>
      </c>
    </row>
    <row r="20" spans="1:16" x14ac:dyDescent="0.25">
      <c r="B20" s="82" t="s">
        <v>62</v>
      </c>
      <c r="D20" s="87">
        <v>42240</v>
      </c>
      <c r="E20" s="87">
        <f>D20*(1+$P$20)</f>
        <v>43507.200000000004</v>
      </c>
      <c r="F20" s="87">
        <f>E20*(1+$P$20)</f>
        <v>44812.416000000005</v>
      </c>
      <c r="G20" s="87">
        <f>F20*(1+$P$20)</f>
        <v>46156.788480000003</v>
      </c>
      <c r="H20" s="87">
        <f>G20*(1+$P$20)</f>
        <v>47541.492134400003</v>
      </c>
      <c r="J20" s="82" t="s">
        <v>62</v>
      </c>
      <c r="K20" s="87">
        <f>H20*(1+$P$20)</f>
        <v>48967.736898432006</v>
      </c>
      <c r="L20" s="87">
        <f>K20*(1+$P$20)</f>
        <v>50436.769005384966</v>
      </c>
      <c r="M20" s="87">
        <f>L20*(1+$P$20)</f>
        <v>51949.872075546518</v>
      </c>
      <c r="N20" s="87">
        <f>M20*(1+$P$20)</f>
        <v>53508.368237812916</v>
      </c>
      <c r="O20" s="87">
        <f>N20*(1+$P$20)</f>
        <v>55113.619284947308</v>
      </c>
      <c r="P20" s="92">
        <v>0.03</v>
      </c>
    </row>
    <row r="21" spans="1:16" x14ac:dyDescent="0.25">
      <c r="B21" s="82" t="s">
        <v>63</v>
      </c>
      <c r="D21" s="87">
        <v>12000</v>
      </c>
      <c r="E21" s="87">
        <f>D21*(1+$P$21)</f>
        <v>12120</v>
      </c>
      <c r="F21" s="87">
        <f>E21*(1+$P$21)</f>
        <v>12241.2</v>
      </c>
      <c r="G21" s="87">
        <f>F21*(1+$P$21)</f>
        <v>12363.612000000001</v>
      </c>
      <c r="H21" s="87">
        <f>G21*(1+$P$21)</f>
        <v>12487.248120000002</v>
      </c>
      <c r="J21" s="82" t="s">
        <v>63</v>
      </c>
      <c r="K21" s="87">
        <f>H21*(1+$P$21)</f>
        <v>12612.120601200002</v>
      </c>
      <c r="L21" s="87">
        <f>K21*(1+$P$21)</f>
        <v>12738.241807212002</v>
      </c>
      <c r="M21" s="87">
        <f>L21*(1+$P$21)</f>
        <v>12865.624225284122</v>
      </c>
      <c r="N21" s="87">
        <f>M21*(1+$P$21)</f>
        <v>12994.280467536963</v>
      </c>
      <c r="O21" s="87">
        <f>N21*(1+$P$21)</f>
        <v>13124.223272212332</v>
      </c>
      <c r="P21" s="93">
        <v>0.01</v>
      </c>
    </row>
    <row r="22" spans="1:16" x14ac:dyDescent="0.25">
      <c r="B22" s="82" t="s">
        <v>120</v>
      </c>
      <c r="D22" s="87">
        <v>2400</v>
      </c>
      <c r="E22" s="87">
        <f>D22*(1+$P$22)</f>
        <v>2424</v>
      </c>
      <c r="F22" s="87">
        <f>E22*(1+$P$22)</f>
        <v>2448.2400000000002</v>
      </c>
      <c r="G22" s="87">
        <f>F22*(1+$P$22)</f>
        <v>2472.7224000000001</v>
      </c>
      <c r="H22" s="87">
        <f>G22*(1+$P$22)</f>
        <v>2497.4496240000003</v>
      </c>
      <c r="J22" s="82" t="s">
        <v>120</v>
      </c>
      <c r="K22" s="87">
        <f>H22*(1+$P$22)</f>
        <v>2522.4241202400003</v>
      </c>
      <c r="L22" s="87">
        <f>K22*(1+$P$22)</f>
        <v>2547.6483614424005</v>
      </c>
      <c r="M22" s="87">
        <f>L22*(1+$P$22)</f>
        <v>2573.1248450568246</v>
      </c>
      <c r="N22" s="87">
        <f>M22*(1+$P$22)</f>
        <v>2598.8560935073929</v>
      </c>
      <c r="O22" s="87">
        <f>N22*(1+$P$22)</f>
        <v>2624.8446544424669</v>
      </c>
      <c r="P22" s="94">
        <v>0.01</v>
      </c>
    </row>
    <row r="23" spans="1:16" x14ac:dyDescent="0.25">
      <c r="B23" s="82" t="s">
        <v>71</v>
      </c>
      <c r="D23" s="87">
        <f>SUM(D56:D57)*$P$23</f>
        <v>5628</v>
      </c>
      <c r="E23" s="87">
        <f>SUM(E56:E57)*$P$23</f>
        <v>5628</v>
      </c>
      <c r="F23" s="87">
        <f>SUM(F56:F57)*$P$23</f>
        <v>5628</v>
      </c>
      <c r="G23" s="87">
        <f>SUM(G56:G57)*$P$23</f>
        <v>5628</v>
      </c>
      <c r="H23" s="87">
        <f>SUM(H56:H57)*$P$23</f>
        <v>5628</v>
      </c>
      <c r="J23" s="82" t="s">
        <v>71</v>
      </c>
      <c r="K23" s="87">
        <f>SUM(K56:K57)*$P$23</f>
        <v>5628</v>
      </c>
      <c r="L23" s="87">
        <f>SUM(L56:L57)*$P$23</f>
        <v>5628</v>
      </c>
      <c r="M23" s="87">
        <f>SUM(M56:M57)*$P$23</f>
        <v>5628</v>
      </c>
      <c r="N23" s="87">
        <f>SUM(N56:N57)*$P$23</f>
        <v>5628</v>
      </c>
      <c r="O23" s="87">
        <f>SUM(O56:O57)*$P$23</f>
        <v>5628</v>
      </c>
      <c r="P23" s="95">
        <v>9.3799999999999994E-3</v>
      </c>
    </row>
    <row r="24" spans="1:16" x14ac:dyDescent="0.25">
      <c r="D24" s="87"/>
      <c r="E24" s="87"/>
      <c r="F24" s="87"/>
      <c r="G24" s="87"/>
      <c r="H24" s="87"/>
      <c r="K24" s="87"/>
      <c r="L24" s="87"/>
      <c r="M24" s="87"/>
      <c r="N24" s="87"/>
      <c r="O24" s="87"/>
    </row>
    <row r="25" spans="1:16" x14ac:dyDescent="0.25">
      <c r="A25" s="82" t="s">
        <v>75</v>
      </c>
      <c r="D25" s="96">
        <f>D59/5</f>
        <v>4000</v>
      </c>
      <c r="E25" s="96">
        <f t="shared" ref="E25:H25" si="4">E59/5</f>
        <v>4000</v>
      </c>
      <c r="F25" s="96">
        <f t="shared" si="4"/>
        <v>4000</v>
      </c>
      <c r="G25" s="96">
        <f t="shared" si="4"/>
        <v>4000</v>
      </c>
      <c r="H25" s="96">
        <f t="shared" si="4"/>
        <v>4000</v>
      </c>
      <c r="I25" s="82" t="s">
        <v>75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</row>
    <row r="26" spans="1:16" x14ac:dyDescent="0.25">
      <c r="A26" s="82" t="s">
        <v>74</v>
      </c>
      <c r="D26" s="96">
        <f>D57/30</f>
        <v>18000</v>
      </c>
      <c r="E26" s="96">
        <f t="shared" ref="E26:H26" si="5">E57/30</f>
        <v>18000</v>
      </c>
      <c r="F26" s="96">
        <f t="shared" si="5"/>
        <v>18000</v>
      </c>
      <c r="G26" s="96">
        <f t="shared" si="5"/>
        <v>18000</v>
      </c>
      <c r="H26" s="96">
        <f t="shared" si="5"/>
        <v>18000</v>
      </c>
      <c r="I26" s="82" t="s">
        <v>74</v>
      </c>
      <c r="K26" s="96">
        <f>K57/30</f>
        <v>18000</v>
      </c>
      <c r="L26" s="96">
        <f>L57/30</f>
        <v>18000</v>
      </c>
      <c r="M26" s="96">
        <f>M57/30</f>
        <v>18000</v>
      </c>
      <c r="N26" s="96">
        <f>N57/30</f>
        <v>18000</v>
      </c>
      <c r="O26" s="96">
        <f>O57/30</f>
        <v>18000</v>
      </c>
    </row>
    <row r="27" spans="1:16" x14ac:dyDescent="0.25">
      <c r="D27" s="87"/>
      <c r="E27" s="87"/>
      <c r="F27" s="87"/>
      <c r="G27" s="87"/>
      <c r="H27" s="87"/>
      <c r="K27" s="87"/>
      <c r="L27" s="87"/>
      <c r="M27" s="87"/>
      <c r="N27" s="87"/>
      <c r="O27" s="87"/>
      <c r="P27" s="95"/>
    </row>
    <row r="28" spans="1:16" x14ac:dyDescent="0.25">
      <c r="A28" s="82" t="s">
        <v>65</v>
      </c>
      <c r="D28" s="87">
        <f>+Mortgage!D15</f>
        <v>24048.424961524794</v>
      </c>
      <c r="E28" s="87">
        <f>+Mortgage!D29</f>
        <v>22812.984545865624</v>
      </c>
      <c r="F28" s="87">
        <f>+Mortgage!D43</f>
        <v>21525.928293431545</v>
      </c>
      <c r="G28" s="87">
        <f>+Mortgage!D57</f>
        <v>20185.099730650723</v>
      </c>
      <c r="H28" s="87">
        <f>+Mortgage!D71</f>
        <v>18788.252287993211</v>
      </c>
      <c r="I28" s="82" t="s">
        <v>65</v>
      </c>
      <c r="K28" s="87">
        <f>+Mortgage!D85</f>
        <v>17333.045535824866</v>
      </c>
      <c r="L28" s="87">
        <f>+Mortgage!D99</f>
        <v>15817.041262997805</v>
      </c>
      <c r="M28" s="87">
        <f>+Mortgage!D113</f>
        <v>14237.699391607122</v>
      </c>
      <c r="N28" s="87">
        <f>+Mortgage!D127</f>
        <v>12592.373721069021</v>
      </c>
      <c r="O28" s="87">
        <f>+Mortgage!D141</f>
        <v>10878.307494389463</v>
      </c>
      <c r="P28" s="95"/>
    </row>
    <row r="29" spans="1:16" x14ac:dyDescent="0.25">
      <c r="A29" s="82" t="s">
        <v>22</v>
      </c>
      <c r="D29" s="87"/>
      <c r="E29" s="87"/>
      <c r="F29" s="87"/>
      <c r="G29" s="87"/>
      <c r="H29" s="87"/>
      <c r="I29" s="82" t="s">
        <v>22</v>
      </c>
      <c r="K29" s="87"/>
      <c r="L29" s="87"/>
      <c r="M29" s="87"/>
      <c r="N29" s="87"/>
      <c r="O29" s="87"/>
      <c r="P29" s="97">
        <v>6.5000000000000002E-2</v>
      </c>
    </row>
    <row r="30" spans="1:16" x14ac:dyDescent="0.25">
      <c r="D30" s="87"/>
      <c r="E30" s="87"/>
      <c r="F30" s="87"/>
      <c r="G30" s="87"/>
      <c r="H30" s="87"/>
      <c r="K30" s="87"/>
      <c r="L30" s="87"/>
      <c r="M30" s="87"/>
      <c r="N30" s="87"/>
      <c r="O30" s="87"/>
    </row>
    <row r="31" spans="1:16" x14ac:dyDescent="0.25">
      <c r="A31" s="82" t="s">
        <v>16</v>
      </c>
      <c r="D31" s="83">
        <f>D14-D16-D19-D20-D21-D22-D23-D25-D26-D28-D29</f>
        <v>-10966.424961524794</v>
      </c>
      <c r="E31" s="83">
        <f>E14-E16-E19-E20-E21-E22-E23-E25-E26-E28-E29</f>
        <v>-2129.684545865628</v>
      </c>
      <c r="F31" s="83">
        <f>F14-F16-F19-F20-F21-F22-F23-F25-F26-F28-F29</f>
        <v>8137.1427065684875</v>
      </c>
      <c r="G31" s="83">
        <f>G14-G16-G19-G20-G21-G22-G23-G25-G26-G28-G29</f>
        <v>20133.910471349252</v>
      </c>
      <c r="H31" s="83">
        <f>H14-H16-H19-H20-H21-H22-H23-H25-H26-H28-H29</f>
        <v>34229.258492258814</v>
      </c>
      <c r="I31" s="82" t="s">
        <v>16</v>
      </c>
      <c r="K31" s="83">
        <f>K14-K16-K19-K20-K21-K22-K23-K25-K26-K28-K29</f>
        <v>54876.745442776002</v>
      </c>
      <c r="L31" s="83">
        <f>L14-L16-L19-L20-L21-L22-L23-L25-L26-L28-L29</f>
        <v>74634.784103085665</v>
      </c>
      <c r="M31" s="83">
        <f>M14-M16-M19-M20-M21-M22-M23-M25-M26-M28-M29</f>
        <v>98191.275948584909</v>
      </c>
      <c r="N31" s="83">
        <f>N14-N16-N19-N20-N21-N22-N23-N25-N26-N28-N29</f>
        <v>126394.05394810659</v>
      </c>
      <c r="O31" s="83">
        <f>O14-O16-O19-O20-O21-O22-O23-O25-O26-O28-O29</f>
        <v>160288.50403343476</v>
      </c>
      <c r="P31" s="94"/>
    </row>
    <row r="32" spans="1:16" x14ac:dyDescent="0.25">
      <c r="A32" s="82" t="s">
        <v>17</v>
      </c>
      <c r="D32" s="87">
        <f>IF(D31&lt;0,0,D31*P32)</f>
        <v>0</v>
      </c>
      <c r="E32" s="87">
        <f>IF(E31&lt;0,0,E31*$P$32)</f>
        <v>0</v>
      </c>
      <c r="F32" s="87">
        <f>IF(F31&lt;0,0,F31*$P$32)</f>
        <v>2847.9999472989703</v>
      </c>
      <c r="G32" s="87">
        <f>IF(G31&lt;0,0,G31*$P$32)</f>
        <v>7046.8686649722376</v>
      </c>
      <c r="H32" s="87">
        <f>IF(H31&lt;0,0,H31*$P$32)</f>
        <v>11980.240472290585</v>
      </c>
      <c r="I32" s="82" t="s">
        <v>17</v>
      </c>
      <c r="K32" s="87">
        <f>IF(K31&lt;0,0,K31*$P$32)</f>
        <v>19206.8609049716</v>
      </c>
      <c r="L32" s="87">
        <f>IF(L31&lt;0,0,L31*$P$32)</f>
        <v>26122.174436079982</v>
      </c>
      <c r="M32" s="87">
        <f>IF(M31&lt;0,0,M31*$P$32)</f>
        <v>34366.946582004719</v>
      </c>
      <c r="N32" s="87">
        <f>IF(N31&lt;0,0,N31*$P$32)</f>
        <v>44237.918881837308</v>
      </c>
      <c r="O32" s="87">
        <f>IF(O31&lt;0,0,O31*$P$32)</f>
        <v>56100.976411702162</v>
      </c>
      <c r="P32" s="92">
        <v>0.35</v>
      </c>
    </row>
    <row r="33" spans="1:15" x14ac:dyDescent="0.25">
      <c r="A33" s="82" t="s">
        <v>18</v>
      </c>
      <c r="D33" s="91">
        <f>D31-D32</f>
        <v>-10966.424961524794</v>
      </c>
      <c r="E33" s="91">
        <f t="shared" ref="E33:H33" si="6">E31-E32</f>
        <v>-2129.684545865628</v>
      </c>
      <c r="F33" s="91">
        <f t="shared" si="6"/>
        <v>5289.1427592695172</v>
      </c>
      <c r="G33" s="91">
        <f t="shared" si="6"/>
        <v>13087.041806377016</v>
      </c>
      <c r="H33" s="91">
        <f t="shared" si="6"/>
        <v>22249.018019968229</v>
      </c>
      <c r="I33" s="82" t="s">
        <v>18</v>
      </c>
      <c r="K33" s="91">
        <f>K31-K32</f>
        <v>35669.884537804406</v>
      </c>
      <c r="L33" s="91">
        <f>L31-L32</f>
        <v>48512.609667005687</v>
      </c>
      <c r="M33" s="91">
        <f>M31-M32</f>
        <v>63824.32936658019</v>
      </c>
      <c r="N33" s="91">
        <f>N31-N32</f>
        <v>82156.135066269286</v>
      </c>
      <c r="O33" s="91">
        <f>O31-O32</f>
        <v>104187.52762173259</v>
      </c>
    </row>
    <row r="34" spans="1:15" x14ac:dyDescent="0.25"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5" x14ac:dyDescent="0.25"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5" x14ac:dyDescent="0.25"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1:15" x14ac:dyDescent="0.25"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15" x14ac:dyDescent="0.25"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15" x14ac:dyDescent="0.25"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1:15" x14ac:dyDescent="0.25"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1:15" x14ac:dyDescent="0.25">
      <c r="D41" s="91"/>
      <c r="E41" s="91"/>
      <c r="F41" s="91"/>
      <c r="G41" s="91"/>
      <c r="H41" s="91"/>
      <c r="I41" s="91"/>
      <c r="J41" s="91"/>
      <c r="K41" s="91"/>
      <c r="L41" s="91"/>
      <c r="M41" s="91"/>
    </row>
    <row r="42" spans="1:15" x14ac:dyDescent="0.25"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5" x14ac:dyDescent="0.25"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5" x14ac:dyDescent="0.25"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5" x14ac:dyDescent="0.25">
      <c r="D45" s="91"/>
      <c r="E45" s="91"/>
      <c r="F45" s="91"/>
      <c r="G45" s="91"/>
      <c r="H45" s="91"/>
      <c r="I45" s="91"/>
      <c r="J45" s="91"/>
      <c r="K45" s="91"/>
      <c r="L45" s="91"/>
      <c r="M45" s="91"/>
    </row>
    <row r="47" spans="1:15" x14ac:dyDescent="0.25">
      <c r="A47" s="81" t="s">
        <v>5</v>
      </c>
      <c r="I47" s="81" t="s">
        <v>5</v>
      </c>
    </row>
    <row r="48" spans="1:15" x14ac:dyDescent="0.25">
      <c r="A48" s="81" t="s">
        <v>6</v>
      </c>
      <c r="D48" s="123" t="s">
        <v>28</v>
      </c>
      <c r="E48" s="123" t="s">
        <v>29</v>
      </c>
      <c r="F48" s="123" t="s">
        <v>30</v>
      </c>
      <c r="G48" s="123" t="s">
        <v>31</v>
      </c>
      <c r="H48" s="123" t="s">
        <v>50</v>
      </c>
      <c r="I48" s="81" t="s">
        <v>6</v>
      </c>
      <c r="J48" s="123"/>
      <c r="K48" s="123" t="s">
        <v>51</v>
      </c>
      <c r="L48" s="123" t="s">
        <v>52</v>
      </c>
      <c r="M48" s="123" t="s">
        <v>53</v>
      </c>
      <c r="N48" s="123" t="s">
        <v>54</v>
      </c>
      <c r="O48" s="123" t="s">
        <v>55</v>
      </c>
    </row>
    <row r="49" spans="1:20" x14ac:dyDescent="0.25">
      <c r="B49" s="82" t="s">
        <v>119</v>
      </c>
      <c r="D49" s="87">
        <v>5000</v>
      </c>
      <c r="E49" s="87">
        <v>5000</v>
      </c>
      <c r="F49" s="87">
        <v>5000</v>
      </c>
      <c r="G49" s="87">
        <v>5000</v>
      </c>
      <c r="H49" s="87">
        <v>5000</v>
      </c>
      <c r="J49" s="82" t="s">
        <v>119</v>
      </c>
      <c r="K49" s="87">
        <v>5000</v>
      </c>
      <c r="L49" s="87">
        <v>5000</v>
      </c>
      <c r="M49" s="87">
        <v>5000</v>
      </c>
      <c r="N49" s="87">
        <v>5000</v>
      </c>
      <c r="O49" s="87">
        <v>5000</v>
      </c>
    </row>
    <row r="50" spans="1:20" x14ac:dyDescent="0.25">
      <c r="B50" s="82" t="s">
        <v>21</v>
      </c>
      <c r="D50" s="87">
        <v>78725</v>
      </c>
      <c r="E50" s="87">
        <v>64877</v>
      </c>
      <c r="F50" s="87">
        <v>59857</v>
      </c>
      <c r="G50" s="87">
        <v>62485</v>
      </c>
      <c r="H50" s="87">
        <v>73442</v>
      </c>
      <c r="J50" s="82" t="s">
        <v>21</v>
      </c>
      <c r="K50" s="87">
        <v>94477</v>
      </c>
      <c r="L50" s="87">
        <v>126334</v>
      </c>
      <c r="M50" s="87">
        <v>173048</v>
      </c>
      <c r="N50" s="87">
        <v>237855</v>
      </c>
      <c r="O50" s="87">
        <v>324735</v>
      </c>
    </row>
    <row r="51" spans="1:20" x14ac:dyDescent="0.25">
      <c r="B51" s="82" t="s">
        <v>7</v>
      </c>
      <c r="D51" s="83">
        <f>D14*(D52/365)*0.75</f>
        <v>1984.9315068493149</v>
      </c>
      <c r="E51" s="83">
        <f>E14*(E52/365)*0.75</f>
        <v>2109.4027397260274</v>
      </c>
      <c r="F51" s="83">
        <f>F14*(F52/365)*0.75</f>
        <v>2246.0505534246577</v>
      </c>
      <c r="G51" s="83">
        <f>G14*(G52/365)*0.75</f>
        <v>2396.8886895123287</v>
      </c>
      <c r="H51" s="83">
        <f>H14*(H52/365)*0.75</f>
        <v>2564.3631359906631</v>
      </c>
      <c r="J51" s="82" t="s">
        <v>7</v>
      </c>
      <c r="K51" s="83">
        <f>K14*(K52/365)*0.75</f>
        <v>2751.4519876255554</v>
      </c>
      <c r="L51" s="83">
        <f>L14*(L52/365)*0.75</f>
        <v>2961.7887658233367</v>
      </c>
      <c r="M51" s="83">
        <f>M14*(M52/365)*0.75</f>
        <v>3199.8147291317027</v>
      </c>
      <c r="N51" s="83">
        <f>N14*(N52/365)*0.75</f>
        <v>3470.9670105095465</v>
      </c>
      <c r="O51" s="83">
        <f>O14*(O52/365)*0.75</f>
        <v>3781.9110305576987</v>
      </c>
    </row>
    <row r="52" spans="1:20" x14ac:dyDescent="0.25">
      <c r="B52" s="82" t="s">
        <v>47</v>
      </c>
      <c r="D52" s="85">
        <v>3</v>
      </c>
      <c r="E52" s="85">
        <v>3</v>
      </c>
      <c r="F52" s="85">
        <v>3</v>
      </c>
      <c r="G52" s="85">
        <v>3</v>
      </c>
      <c r="H52" s="85">
        <v>3</v>
      </c>
      <c r="J52" s="82" t="s">
        <v>47</v>
      </c>
      <c r="K52" s="85">
        <v>3</v>
      </c>
      <c r="L52" s="85">
        <v>3</v>
      </c>
      <c r="M52" s="85">
        <v>3</v>
      </c>
      <c r="N52" s="85">
        <v>3</v>
      </c>
      <c r="O52" s="85">
        <v>3</v>
      </c>
    </row>
    <row r="53" spans="1:20" x14ac:dyDescent="0.25">
      <c r="B53" s="82" t="s">
        <v>8</v>
      </c>
      <c r="D53" s="83">
        <f>D16/D54</f>
        <v>74000</v>
      </c>
      <c r="E53" s="83">
        <f>E16/E54</f>
        <v>77700</v>
      </c>
      <c r="F53" s="83">
        <f>F16/F54</f>
        <v>81585</v>
      </c>
      <c r="G53" s="83">
        <f>G16/G54</f>
        <v>85664.25</v>
      </c>
      <c r="H53" s="83">
        <f>H16/H54</f>
        <v>89947.462500000009</v>
      </c>
      <c r="J53" s="82" t="s">
        <v>8</v>
      </c>
      <c r="K53" s="83">
        <f>K16/K54</f>
        <v>94444.835625000007</v>
      </c>
      <c r="L53" s="83">
        <f>L16/L54</f>
        <v>99167.077406249999</v>
      </c>
      <c r="M53" s="83">
        <f>M16/M54</f>
        <v>104125.43127656251</v>
      </c>
      <c r="N53" s="83">
        <f>N16/N54</f>
        <v>109331.70284039063</v>
      </c>
      <c r="O53" s="83">
        <f>O16/O54</f>
        <v>114798.28798241018</v>
      </c>
    </row>
    <row r="54" spans="1:20" x14ac:dyDescent="0.25">
      <c r="B54" s="82" t="s">
        <v>49</v>
      </c>
      <c r="D54" s="85">
        <v>3</v>
      </c>
      <c r="E54" s="85">
        <f>D54</f>
        <v>3</v>
      </c>
      <c r="F54" s="85">
        <f t="shared" ref="F54:H54" si="7">E54</f>
        <v>3</v>
      </c>
      <c r="G54" s="85">
        <f t="shared" si="7"/>
        <v>3</v>
      </c>
      <c r="H54" s="85">
        <f t="shared" si="7"/>
        <v>3</v>
      </c>
      <c r="J54" s="82" t="s">
        <v>49</v>
      </c>
      <c r="K54" s="85">
        <f>H54</f>
        <v>3</v>
      </c>
      <c r="L54" s="85">
        <f>K54</f>
        <v>3</v>
      </c>
      <c r="M54" s="85">
        <f>L54</f>
        <v>3</v>
      </c>
      <c r="N54" s="85">
        <f>M54</f>
        <v>3</v>
      </c>
      <c r="O54" s="85">
        <f>N54</f>
        <v>3</v>
      </c>
    </row>
    <row r="56" spans="1:20" x14ac:dyDescent="0.25">
      <c r="B56" s="82" t="s">
        <v>23</v>
      </c>
      <c r="D56" s="85">
        <v>60000</v>
      </c>
      <c r="E56" s="98">
        <f>D56</f>
        <v>60000</v>
      </c>
      <c r="F56" s="98">
        <f t="shared" ref="F56:H56" si="8">E56</f>
        <v>60000</v>
      </c>
      <c r="G56" s="98">
        <f t="shared" si="8"/>
        <v>60000</v>
      </c>
      <c r="H56" s="98">
        <f t="shared" si="8"/>
        <v>60000</v>
      </c>
      <c r="J56" s="82" t="s">
        <v>23</v>
      </c>
      <c r="K56" s="98">
        <f>H56</f>
        <v>60000</v>
      </c>
      <c r="L56" s="98">
        <f t="shared" ref="L56:O57" si="9">K56</f>
        <v>60000</v>
      </c>
      <c r="M56" s="98">
        <f t="shared" si="9"/>
        <v>60000</v>
      </c>
      <c r="N56" s="98">
        <f t="shared" si="9"/>
        <v>60000</v>
      </c>
      <c r="O56" s="98">
        <f t="shared" si="9"/>
        <v>60000</v>
      </c>
    </row>
    <row r="57" spans="1:20" x14ac:dyDescent="0.25">
      <c r="B57" s="82" t="s">
        <v>76</v>
      </c>
      <c r="D57" s="85">
        <v>540000</v>
      </c>
      <c r="E57" s="85">
        <f>D57</f>
        <v>540000</v>
      </c>
      <c r="F57" s="85">
        <f t="shared" ref="F57:H57" si="10">E57</f>
        <v>540000</v>
      </c>
      <c r="G57" s="85">
        <f t="shared" si="10"/>
        <v>540000</v>
      </c>
      <c r="H57" s="85">
        <f t="shared" si="10"/>
        <v>540000</v>
      </c>
      <c r="J57" s="82" t="s">
        <v>76</v>
      </c>
      <c r="K57" s="85">
        <f>H57</f>
        <v>540000</v>
      </c>
      <c r="L57" s="85">
        <f t="shared" si="9"/>
        <v>540000</v>
      </c>
      <c r="M57" s="85">
        <f t="shared" si="9"/>
        <v>540000</v>
      </c>
      <c r="N57" s="85">
        <f t="shared" si="9"/>
        <v>540000</v>
      </c>
      <c r="O57" s="85">
        <f t="shared" si="9"/>
        <v>540000</v>
      </c>
    </row>
    <row r="58" spans="1:20" x14ac:dyDescent="0.25">
      <c r="B58" s="82" t="s">
        <v>73</v>
      </c>
      <c r="D58" s="85">
        <f>C58+D26</f>
        <v>18000</v>
      </c>
      <c r="E58" s="85">
        <f t="shared" ref="E58:H58" si="11">D58+E26</f>
        <v>36000</v>
      </c>
      <c r="F58" s="85">
        <f t="shared" si="11"/>
        <v>54000</v>
      </c>
      <c r="G58" s="85">
        <f t="shared" si="11"/>
        <v>72000</v>
      </c>
      <c r="H58" s="85">
        <f t="shared" si="11"/>
        <v>90000</v>
      </c>
      <c r="J58" s="82" t="s">
        <v>73</v>
      </c>
      <c r="K58" s="85">
        <f>H58+K26</f>
        <v>108000</v>
      </c>
      <c r="L58" s="85">
        <f>K58+L26</f>
        <v>126000</v>
      </c>
      <c r="M58" s="85">
        <f>L58+M26</f>
        <v>144000</v>
      </c>
      <c r="N58" s="85">
        <f>M58+N26</f>
        <v>162000</v>
      </c>
      <c r="O58" s="85">
        <f>N58+O26</f>
        <v>180000</v>
      </c>
    </row>
    <row r="59" spans="1:20" x14ac:dyDescent="0.25">
      <c r="B59" s="82" t="s">
        <v>67</v>
      </c>
      <c r="D59" s="87">
        <v>20000</v>
      </c>
      <c r="E59" s="87">
        <f>D59</f>
        <v>20000</v>
      </c>
      <c r="F59" s="87">
        <f t="shared" ref="F59:H59" si="12">E59</f>
        <v>20000</v>
      </c>
      <c r="G59" s="87">
        <f t="shared" si="12"/>
        <v>20000</v>
      </c>
      <c r="H59" s="87">
        <f t="shared" si="12"/>
        <v>20000</v>
      </c>
      <c r="J59" s="82" t="s">
        <v>67</v>
      </c>
      <c r="K59" s="87">
        <f>H59</f>
        <v>20000</v>
      </c>
      <c r="L59" s="87">
        <f>K59</f>
        <v>20000</v>
      </c>
      <c r="M59" s="87">
        <f>L59</f>
        <v>20000</v>
      </c>
      <c r="N59" s="87">
        <f>M59</f>
        <v>20000</v>
      </c>
      <c r="O59" s="87">
        <f>N59</f>
        <v>20000</v>
      </c>
    </row>
    <row r="60" spans="1:20" x14ac:dyDescent="0.25">
      <c r="B60" s="82" t="s">
        <v>121</v>
      </c>
      <c r="D60" s="87">
        <f>C60+D25</f>
        <v>4000</v>
      </c>
      <c r="E60" s="87">
        <f t="shared" ref="E60:H60" si="13">E25+D60</f>
        <v>8000</v>
      </c>
      <c r="F60" s="87">
        <f t="shared" si="13"/>
        <v>12000</v>
      </c>
      <c r="G60" s="87">
        <f t="shared" si="13"/>
        <v>16000</v>
      </c>
      <c r="H60" s="87">
        <f t="shared" si="13"/>
        <v>20000</v>
      </c>
      <c r="J60" s="82" t="s">
        <v>121</v>
      </c>
      <c r="K60" s="87">
        <f>K25+H60</f>
        <v>20000</v>
      </c>
      <c r="L60" s="87">
        <f>L25+K60</f>
        <v>20000</v>
      </c>
      <c r="M60" s="87">
        <f>M25+L60</f>
        <v>20000</v>
      </c>
      <c r="N60" s="87">
        <f>N25+M60</f>
        <v>20000</v>
      </c>
      <c r="O60" s="87">
        <f>O25+N60</f>
        <v>20000</v>
      </c>
    </row>
    <row r="61" spans="1:20" x14ac:dyDescent="0.25">
      <c r="D61" s="87"/>
      <c r="E61" s="87"/>
      <c r="F61" s="87"/>
      <c r="G61" s="87"/>
      <c r="H61" s="87"/>
      <c r="K61" s="87"/>
      <c r="L61" s="87"/>
      <c r="M61" s="87"/>
      <c r="N61" s="87"/>
      <c r="O61" s="87"/>
    </row>
    <row r="62" spans="1:20" x14ac:dyDescent="0.25">
      <c r="B62" s="82" t="s">
        <v>68</v>
      </c>
      <c r="D62" s="87">
        <v>110000</v>
      </c>
      <c r="E62" s="87">
        <v>110000</v>
      </c>
      <c r="F62" s="87">
        <v>110000</v>
      </c>
      <c r="G62" s="87">
        <v>110000</v>
      </c>
      <c r="H62" s="87">
        <v>110000</v>
      </c>
      <c r="J62" s="82" t="s">
        <v>68</v>
      </c>
      <c r="K62" s="87">
        <v>110000</v>
      </c>
      <c r="L62" s="87">
        <v>110000</v>
      </c>
      <c r="M62" s="87">
        <v>110000</v>
      </c>
      <c r="N62" s="87">
        <v>110000</v>
      </c>
      <c r="O62" s="87">
        <v>110000</v>
      </c>
    </row>
    <row r="64" spans="1:20" x14ac:dyDescent="0.25">
      <c r="A64" s="81" t="s">
        <v>27</v>
      </c>
      <c r="D64" s="91">
        <f>+D49+D50+D51+D53+D56+D57-D58+D59-D60+D62</f>
        <v>867709.93150684936</v>
      </c>
      <c r="E64" s="91">
        <f t="shared" ref="E64:H64" si="14">+E49+E50+E51+E53+E56+E57-E58+E59-E60+E62</f>
        <v>835686.40273972601</v>
      </c>
      <c r="F64" s="91">
        <f t="shared" si="14"/>
        <v>812688.05055342463</v>
      </c>
      <c r="G64" s="91">
        <f t="shared" si="14"/>
        <v>797546.13868951239</v>
      </c>
      <c r="H64" s="91">
        <f t="shared" si="14"/>
        <v>790953.82563599059</v>
      </c>
      <c r="I64" s="81" t="s">
        <v>27</v>
      </c>
      <c r="K64" s="91">
        <f>+K49+K50+K51+K53+K56+K57-K58+K59-K60+K62</f>
        <v>798673.28761262563</v>
      </c>
      <c r="L64" s="91">
        <f>+L49+L50+L51+L53+L56+L57-L58+L59-L60+L62</f>
        <v>817462.86617207329</v>
      </c>
      <c r="M64" s="91">
        <f>+M49+M50+M51+M53+M56+M57-M58+M59-M60+M62</f>
        <v>851373.24600569415</v>
      </c>
      <c r="N64" s="91">
        <f>+N49+N50+N51+N53+N56+N57-N58+N59-N60+N62</f>
        <v>903657.66985090019</v>
      </c>
      <c r="O64" s="91">
        <f>+O49+O50+O51+O53+O56+O57-O58+O59-O60+O62</f>
        <v>978315.19901296787</v>
      </c>
      <c r="T64" s="78"/>
    </row>
    <row r="65" spans="1:20" x14ac:dyDescent="0.25">
      <c r="A65" s="81"/>
      <c r="D65" s="91"/>
      <c r="E65" s="91"/>
      <c r="F65" s="91"/>
      <c r="G65" s="91"/>
      <c r="H65" s="91"/>
      <c r="I65" s="81"/>
      <c r="K65" s="91"/>
      <c r="L65" s="91"/>
      <c r="M65" s="91"/>
      <c r="N65" s="91"/>
      <c r="O65" s="91"/>
      <c r="T65" s="78"/>
    </row>
    <row r="66" spans="1:20" x14ac:dyDescent="0.25">
      <c r="A66" s="81" t="s">
        <v>10</v>
      </c>
      <c r="I66" s="81" t="s">
        <v>10</v>
      </c>
      <c r="T66" s="78"/>
    </row>
    <row r="67" spans="1:20" x14ac:dyDescent="0.25">
      <c r="A67" s="82" t="s">
        <v>13</v>
      </c>
      <c r="D67" s="87"/>
      <c r="E67" s="87"/>
      <c r="F67" s="87"/>
      <c r="G67" s="87"/>
      <c r="H67" s="87"/>
      <c r="I67" s="82" t="s">
        <v>13</v>
      </c>
      <c r="K67" s="87"/>
      <c r="L67" s="87"/>
      <c r="M67" s="87"/>
      <c r="N67" s="87"/>
      <c r="O67" s="87"/>
      <c r="T67" s="78"/>
    </row>
    <row r="68" spans="1:20" x14ac:dyDescent="0.25">
      <c r="B68" s="82" t="s">
        <v>19</v>
      </c>
      <c r="D68" s="87">
        <f>D16*D69/365</f>
        <v>18246.575342465752</v>
      </c>
      <c r="E68" s="87">
        <f>E16*E69/365</f>
        <v>19158.904109589042</v>
      </c>
      <c r="F68" s="87">
        <f>F16*F69/365</f>
        <v>20116.849315068492</v>
      </c>
      <c r="G68" s="87">
        <f>G16*G69/365</f>
        <v>21122.691780821919</v>
      </c>
      <c r="H68" s="87">
        <f>H16*H69/365</f>
        <v>22178.826369863014</v>
      </c>
      <c r="J68" s="82" t="s">
        <v>19</v>
      </c>
      <c r="K68" s="87">
        <f>K16*K69/365</f>
        <v>23287.767688356165</v>
      </c>
      <c r="L68" s="87">
        <f>L16*L69/365</f>
        <v>24452.156072773974</v>
      </c>
      <c r="M68" s="87">
        <f>M16*M69/365</f>
        <v>25674.763876412671</v>
      </c>
      <c r="N68" s="87">
        <f>N16*N69/365</f>
        <v>26958.502070233306</v>
      </c>
      <c r="O68" s="87">
        <f>O16*O69/365</f>
        <v>28306.427173744978</v>
      </c>
      <c r="T68" s="78"/>
    </row>
    <row r="69" spans="1:20" x14ac:dyDescent="0.25">
      <c r="B69" s="82" t="s">
        <v>48</v>
      </c>
      <c r="D69" s="88">
        <v>30</v>
      </c>
      <c r="E69" s="88">
        <v>30</v>
      </c>
      <c r="F69" s="88">
        <v>30</v>
      </c>
      <c r="G69" s="88">
        <v>30</v>
      </c>
      <c r="H69" s="88">
        <v>30</v>
      </c>
      <c r="J69" s="82" t="s">
        <v>48</v>
      </c>
      <c r="K69" s="88">
        <v>30</v>
      </c>
      <c r="L69" s="88">
        <v>30</v>
      </c>
      <c r="M69" s="88">
        <v>30</v>
      </c>
      <c r="N69" s="88">
        <v>30</v>
      </c>
      <c r="O69" s="88">
        <v>30</v>
      </c>
      <c r="T69" s="78"/>
    </row>
    <row r="70" spans="1:20" x14ac:dyDescent="0.25">
      <c r="B70" s="82" t="s">
        <v>11</v>
      </c>
      <c r="D70" s="87">
        <f t="shared" ref="D70:H70" si="15">D32</f>
        <v>0</v>
      </c>
      <c r="E70" s="87">
        <f t="shared" si="15"/>
        <v>0</v>
      </c>
      <c r="F70" s="87">
        <f t="shared" si="15"/>
        <v>2847.9999472989703</v>
      </c>
      <c r="G70" s="87">
        <f t="shared" si="15"/>
        <v>7046.8686649722376</v>
      </c>
      <c r="H70" s="87">
        <f t="shared" si="15"/>
        <v>11980.240472290585</v>
      </c>
      <c r="J70" s="82" t="s">
        <v>11</v>
      </c>
      <c r="K70" s="87">
        <f>K32</f>
        <v>19206.8609049716</v>
      </c>
      <c r="L70" s="87">
        <f>L32</f>
        <v>26122.174436079982</v>
      </c>
      <c r="M70" s="87">
        <f>M32</f>
        <v>34366.946582004719</v>
      </c>
      <c r="N70" s="87">
        <f>N32</f>
        <v>44237.918881837308</v>
      </c>
      <c r="O70" s="87">
        <f>O32</f>
        <v>56100.976411702162</v>
      </c>
      <c r="T70" s="78"/>
    </row>
    <row r="71" spans="1:20" x14ac:dyDescent="0.25">
      <c r="D71" s="87"/>
      <c r="E71" s="87"/>
      <c r="F71" s="87"/>
      <c r="G71" s="87"/>
      <c r="H71" s="87"/>
      <c r="K71" s="87"/>
      <c r="L71" s="87"/>
      <c r="M71" s="87"/>
      <c r="N71" s="87"/>
      <c r="O71" s="87"/>
      <c r="T71" s="102"/>
    </row>
    <row r="72" spans="1:20" x14ac:dyDescent="0.25">
      <c r="B72" s="82" t="s">
        <v>25</v>
      </c>
      <c r="D72" s="87">
        <f>+Mortgage!F14</f>
        <v>570429.36594633712</v>
      </c>
      <c r="E72" s="87">
        <f>+Mortgage!F28</f>
        <v>539623.29147701501</v>
      </c>
      <c r="F72" s="87">
        <f>+Mortgage!F42</f>
        <v>507530.16075525875</v>
      </c>
      <c r="G72" s="87">
        <f>+Mortgage!F56</f>
        <v>474096.20147072192</v>
      </c>
      <c r="H72" s="87">
        <f>+Mortgage!F70</f>
        <v>439265.39474352746</v>
      </c>
      <c r="J72" s="82" t="s">
        <v>25</v>
      </c>
      <c r="K72" s="87">
        <f>+Mortgage!F84</f>
        <v>402979.38126416469</v>
      </c>
      <c r="L72" s="87">
        <f>+Mortgage!F98</f>
        <v>365177.36351197481</v>
      </c>
      <c r="M72" s="87">
        <f>+Mortgage!F112</f>
        <v>325796.00388839422</v>
      </c>
      <c r="N72" s="87">
        <f>+Mortgage!F126</f>
        <v>284769.31859427557</v>
      </c>
      <c r="O72" s="87">
        <f>+Mortgage!F140</f>
        <v>242028.56707347737</v>
      </c>
      <c r="T72" s="102"/>
    </row>
    <row r="73" spans="1:20" x14ac:dyDescent="0.25">
      <c r="B73" s="82" t="s">
        <v>24</v>
      </c>
      <c r="D73" s="87">
        <v>0</v>
      </c>
      <c r="E73" s="87">
        <v>0</v>
      </c>
      <c r="F73" s="87">
        <v>0</v>
      </c>
      <c r="G73" s="87">
        <v>0</v>
      </c>
      <c r="H73" s="87">
        <v>0</v>
      </c>
      <c r="J73" s="82" t="s">
        <v>24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T73" s="78"/>
    </row>
    <row r="74" spans="1:20" x14ac:dyDescent="0.25">
      <c r="D74" s="87"/>
      <c r="E74" s="87"/>
      <c r="F74" s="87"/>
      <c r="G74" s="87"/>
      <c r="H74" s="87"/>
      <c r="K74" s="87"/>
      <c r="L74" s="87"/>
      <c r="M74" s="87"/>
      <c r="N74" s="87"/>
      <c r="O74" s="87"/>
      <c r="T74" s="102"/>
    </row>
    <row r="75" spans="1:20" x14ac:dyDescent="0.25">
      <c r="A75" s="82" t="s">
        <v>14</v>
      </c>
      <c r="D75" s="87"/>
      <c r="E75" s="87"/>
      <c r="F75" s="87"/>
      <c r="G75" s="87"/>
      <c r="H75" s="87"/>
      <c r="I75" s="82" t="s">
        <v>14</v>
      </c>
      <c r="K75" s="87"/>
      <c r="L75" s="87"/>
      <c r="M75" s="87"/>
      <c r="N75" s="87"/>
      <c r="O75" s="87"/>
      <c r="T75" s="78"/>
    </row>
    <row r="76" spans="1:20" x14ac:dyDescent="0.25">
      <c r="B76" s="82" t="s">
        <v>15</v>
      </c>
      <c r="D76" s="87">
        <v>290000</v>
      </c>
      <c r="E76" s="87">
        <v>290000</v>
      </c>
      <c r="F76" s="87">
        <v>290000</v>
      </c>
      <c r="G76" s="87">
        <v>290000</v>
      </c>
      <c r="H76" s="87">
        <v>290000</v>
      </c>
      <c r="J76" s="82" t="s">
        <v>15</v>
      </c>
      <c r="K76" s="87">
        <v>290000</v>
      </c>
      <c r="L76" s="87">
        <v>290000</v>
      </c>
      <c r="M76" s="87">
        <v>290000</v>
      </c>
      <c r="N76" s="87">
        <v>290000</v>
      </c>
      <c r="O76" s="87">
        <v>290000</v>
      </c>
      <c r="T76" s="78"/>
    </row>
    <row r="77" spans="1:20" x14ac:dyDescent="0.25">
      <c r="B77" s="82" t="s">
        <v>12</v>
      </c>
      <c r="C77" s="87"/>
      <c r="D77" s="87">
        <f>D33</f>
        <v>-10966.424961524794</v>
      </c>
      <c r="E77" s="87">
        <f>E33+D77</f>
        <v>-13096.109507390422</v>
      </c>
      <c r="F77" s="87">
        <f t="shared" ref="F77:H77" si="16">F33+E77</f>
        <v>-7806.9667481209044</v>
      </c>
      <c r="G77" s="87">
        <f t="shared" si="16"/>
        <v>5280.0750582561113</v>
      </c>
      <c r="H77" s="87">
        <f t="shared" si="16"/>
        <v>27529.093078224341</v>
      </c>
      <c r="J77" s="82" t="s">
        <v>12</v>
      </c>
      <c r="K77" s="87">
        <f>K33+H77</f>
        <v>63198.977616028744</v>
      </c>
      <c r="L77" s="87">
        <f>L33+K77</f>
        <v>111711.58728303443</v>
      </c>
      <c r="M77" s="87">
        <f>M33+L77</f>
        <v>175535.91664961464</v>
      </c>
      <c r="N77" s="87">
        <f>N33+M77</f>
        <v>257692.05171588392</v>
      </c>
      <c r="O77" s="87">
        <f>O33+N77</f>
        <v>361879.57933761651</v>
      </c>
      <c r="T77" s="86"/>
    </row>
    <row r="78" spans="1:20" x14ac:dyDescent="0.25">
      <c r="D78" s="87"/>
      <c r="E78" s="87"/>
      <c r="F78" s="87"/>
      <c r="G78" s="87"/>
      <c r="H78" s="87"/>
      <c r="K78" s="87"/>
      <c r="L78" s="87"/>
      <c r="M78" s="87"/>
      <c r="N78" s="87"/>
      <c r="O78" s="87"/>
    </row>
    <row r="79" spans="1:20" x14ac:dyDescent="0.25">
      <c r="A79" s="81" t="s">
        <v>26</v>
      </c>
      <c r="D79" s="87">
        <f>+D68+D70+D72+D73+D76+D77</f>
        <v>867709.51632727811</v>
      </c>
      <c r="E79" s="87">
        <f t="shared" ref="E79:H79" si="17">+E68+E70+E72+E73+E76+E77</f>
        <v>835686.08607921365</v>
      </c>
      <c r="F79" s="87">
        <f t="shared" si="17"/>
        <v>812688.04326950526</v>
      </c>
      <c r="G79" s="87">
        <f t="shared" si="17"/>
        <v>797545.83697477228</v>
      </c>
      <c r="H79" s="87">
        <f t="shared" si="17"/>
        <v>790953.55466390541</v>
      </c>
      <c r="I79" s="81" t="s">
        <v>26</v>
      </c>
      <c r="K79" s="87">
        <f>+K68+K70+K72+K73+K76+K77</f>
        <v>798672.98747352127</v>
      </c>
      <c r="L79" s="87">
        <f>+L68+L70+L72+L73+L76+L77</f>
        <v>817463.28130386316</v>
      </c>
      <c r="M79" s="87">
        <f>+M68+M70+M72+M73+M76+M77</f>
        <v>851373.63099642633</v>
      </c>
      <c r="N79" s="87">
        <f>+N68+N70+N72+N73+N76+N77</f>
        <v>903657.79126223014</v>
      </c>
      <c r="O79" s="87">
        <f>+O68+O70+O72+O73+O76+O77</f>
        <v>978315.54999654111</v>
      </c>
    </row>
    <row r="81" spans="1:15" x14ac:dyDescent="0.25">
      <c r="A81" s="81" t="s">
        <v>122</v>
      </c>
      <c r="D81" s="91">
        <f>D64-D79</f>
        <v>0.41517957125324756</v>
      </c>
      <c r="E81" s="91">
        <f>E64-E79</f>
        <v>0.31666051235515624</v>
      </c>
      <c r="F81" s="91">
        <f>F64-F79</f>
        <v>7.2839193744584918E-3</v>
      </c>
      <c r="G81" s="91">
        <f>G64-G79</f>
        <v>0.30171474011149257</v>
      </c>
      <c r="H81" s="91">
        <f>H64-H79</f>
        <v>0.27097208518534899</v>
      </c>
      <c r="K81" s="91">
        <f>K64-K79</f>
        <v>0.30013910436537117</v>
      </c>
      <c r="L81" s="91">
        <f>L64-L79</f>
        <v>-0.41513178986497223</v>
      </c>
      <c r="M81" s="91">
        <f>M64-M79</f>
        <v>-0.38499073218554258</v>
      </c>
      <c r="N81" s="91">
        <f>N64-N79</f>
        <v>-0.12141132995020598</v>
      </c>
      <c r="O81" s="91">
        <f>O64-O79</f>
        <v>-0.350983573240228</v>
      </c>
    </row>
    <row r="82" spans="1:15" x14ac:dyDescent="0.25">
      <c r="A82" s="81"/>
      <c r="D82" s="91"/>
      <c r="E82" s="91"/>
      <c r="F82" s="91"/>
      <c r="G82" s="91"/>
      <c r="H82" s="91"/>
      <c r="K82" s="91"/>
      <c r="L82" s="91"/>
      <c r="M82" s="91"/>
      <c r="N82" s="91"/>
      <c r="O82" s="91"/>
    </row>
    <row r="83" spans="1:15" x14ac:dyDescent="0.25">
      <c r="A83" s="81"/>
      <c r="D83" s="91"/>
      <c r="E83" s="91"/>
      <c r="F83" s="91"/>
      <c r="G83" s="91"/>
      <c r="H83" s="91"/>
      <c r="K83" s="91"/>
      <c r="L83" s="91"/>
      <c r="M83" s="91"/>
      <c r="N83" s="91"/>
      <c r="O83" s="91"/>
    </row>
    <row r="84" spans="1:15" x14ac:dyDescent="0.25">
      <c r="A84" s="81"/>
      <c r="D84" s="91"/>
      <c r="E84" s="91"/>
      <c r="F84" s="91"/>
      <c r="G84" s="91"/>
      <c r="H84" s="91"/>
      <c r="K84" s="91"/>
      <c r="L84" s="91"/>
      <c r="M84" s="91"/>
      <c r="N84" s="91"/>
      <c r="O84" s="91"/>
    </row>
    <row r="85" spans="1:15" x14ac:dyDescent="0.25">
      <c r="A85" s="81"/>
      <c r="D85" s="91"/>
      <c r="E85" s="91"/>
      <c r="F85" s="91"/>
      <c r="G85" s="91"/>
      <c r="H85" s="91"/>
      <c r="K85" s="91"/>
      <c r="L85" s="91"/>
      <c r="M85" s="91"/>
      <c r="N85" s="91"/>
      <c r="O85" s="91"/>
    </row>
    <row r="86" spans="1:15" x14ac:dyDescent="0.25">
      <c r="A86" s="81"/>
      <c r="D86" s="91"/>
      <c r="E86" s="91"/>
      <c r="F86" s="91"/>
      <c r="G86" s="91"/>
      <c r="H86" s="91"/>
      <c r="K86" s="91"/>
      <c r="L86" s="91"/>
      <c r="M86" s="91"/>
      <c r="N86" s="91"/>
      <c r="O86" s="91"/>
    </row>
    <row r="87" spans="1:15" x14ac:dyDescent="0.25">
      <c r="A87" s="81"/>
      <c r="D87" s="91"/>
      <c r="E87" s="91"/>
      <c r="F87" s="91"/>
      <c r="G87" s="91"/>
      <c r="H87" s="91"/>
      <c r="K87" s="91"/>
      <c r="L87" s="91"/>
      <c r="M87" s="91"/>
      <c r="N87" s="91"/>
      <c r="O87" s="91"/>
    </row>
    <row r="88" spans="1:15" x14ac:dyDescent="0.25">
      <c r="A88" s="81"/>
      <c r="D88" s="91"/>
      <c r="E88" s="91"/>
      <c r="F88" s="91"/>
      <c r="G88" s="91"/>
      <c r="H88" s="91"/>
      <c r="K88" s="91"/>
      <c r="L88" s="91"/>
      <c r="M88" s="91"/>
      <c r="N88" s="91"/>
      <c r="O88" s="91"/>
    </row>
    <row r="89" spans="1:15" x14ac:dyDescent="0.25">
      <c r="A89" s="81"/>
      <c r="D89" s="91"/>
      <c r="E89" s="91"/>
      <c r="F89" s="91"/>
      <c r="G89" s="91"/>
      <c r="H89" s="91"/>
      <c r="K89" s="91"/>
      <c r="L89" s="91"/>
      <c r="M89" s="91"/>
      <c r="N89" s="91"/>
      <c r="O89" s="91"/>
    </row>
    <row r="90" spans="1:15" x14ac:dyDescent="0.25">
      <c r="A90" s="81"/>
      <c r="D90" s="91"/>
      <c r="E90" s="91"/>
      <c r="F90" s="91"/>
      <c r="G90" s="91"/>
      <c r="H90" s="91"/>
      <c r="K90" s="91"/>
      <c r="L90" s="91"/>
      <c r="M90" s="91"/>
      <c r="N90" s="91"/>
      <c r="O90" s="91"/>
    </row>
    <row r="91" spans="1:15" x14ac:dyDescent="0.25">
      <c r="A91" s="81"/>
      <c r="D91" s="91"/>
      <c r="E91" s="91"/>
      <c r="F91" s="91"/>
      <c r="G91" s="91"/>
      <c r="H91" s="91"/>
      <c r="K91" s="91"/>
      <c r="L91" s="91"/>
      <c r="M91" s="91"/>
      <c r="N91" s="91"/>
      <c r="O91" s="91"/>
    </row>
    <row r="92" spans="1:15" x14ac:dyDescent="0.25">
      <c r="A92" s="81"/>
      <c r="D92" s="91"/>
      <c r="E92" s="91"/>
      <c r="F92" s="91"/>
      <c r="G92" s="91"/>
      <c r="H92" s="91"/>
      <c r="K92" s="91"/>
      <c r="L92" s="91"/>
      <c r="M92" s="91"/>
      <c r="N92" s="91"/>
      <c r="O92" s="91"/>
    </row>
    <row r="93" spans="1:15" s="78" customFormat="1" x14ac:dyDescent="0.25">
      <c r="A93" s="111" t="s">
        <v>77</v>
      </c>
      <c r="B93" s="112"/>
      <c r="C93" s="112"/>
      <c r="D93" s="112"/>
      <c r="E93" s="113"/>
      <c r="F93" s="112"/>
      <c r="G93" s="112"/>
      <c r="H93" s="112"/>
      <c r="I93" s="111" t="s">
        <v>77</v>
      </c>
      <c r="J93" s="112"/>
      <c r="K93" s="112"/>
      <c r="L93" s="112"/>
    </row>
    <row r="94" spans="1:15" s="78" customFormat="1" x14ac:dyDescent="0.25">
      <c r="A94" s="112" t="s">
        <v>78</v>
      </c>
      <c r="B94" s="112"/>
      <c r="C94" s="112">
        <v>0</v>
      </c>
      <c r="D94" s="112">
        <v>1</v>
      </c>
      <c r="E94" s="112">
        <v>2</v>
      </c>
      <c r="F94" s="112">
        <v>3</v>
      </c>
      <c r="G94" s="112">
        <v>4</v>
      </c>
      <c r="H94" s="112">
        <v>5</v>
      </c>
      <c r="I94" s="112" t="s">
        <v>78</v>
      </c>
      <c r="J94" s="112"/>
      <c r="K94" s="112">
        <v>6</v>
      </c>
      <c r="L94" s="112">
        <v>7</v>
      </c>
      <c r="M94" s="112">
        <v>8</v>
      </c>
      <c r="N94" s="112">
        <v>9</v>
      </c>
      <c r="O94" s="112">
        <v>10</v>
      </c>
    </row>
    <row r="95" spans="1:15" s="78" customFormat="1" x14ac:dyDescent="0.25">
      <c r="A95" s="112"/>
      <c r="B95" s="112" t="s">
        <v>79</v>
      </c>
      <c r="C95" s="112"/>
      <c r="D95" s="114">
        <f>+D14-D16-D19-D20-D21-D22-D23</f>
        <v>35082</v>
      </c>
      <c r="E95" s="114">
        <f>+E14-E16-E19-E20-E21-E22-E23</f>
        <v>42683.299999999996</v>
      </c>
      <c r="F95" s="114">
        <f>+F14-F16-F19-F20-F21-F22-F23</f>
        <v>51663.071000000033</v>
      </c>
      <c r="G95" s="114">
        <f>+G14-G16-G19-G20-G21-G22-G23</f>
        <v>62319.010201999976</v>
      </c>
      <c r="H95" s="114">
        <f>+H14-H16-H19-H20-H21-H22-H23</f>
        <v>75017.510780252022</v>
      </c>
      <c r="I95" s="112"/>
      <c r="J95" s="112" t="s">
        <v>79</v>
      </c>
      <c r="K95" s="114">
        <f>+K14-K16-K19-K20-K21-K22-K23</f>
        <v>90209.790978600868</v>
      </c>
      <c r="L95" s="114">
        <f>+L14-L16-L19-L20-L21-L22-L23</f>
        <v>108451.82536608347</v>
      </c>
      <c r="M95" s="114">
        <f>+M14-M16-M19-M20-M21-M22-M23</f>
        <v>130428.97534019203</v>
      </c>
      <c r="N95" s="114">
        <f>+N14-N16-N19-N20-N21-N22-N23</f>
        <v>156986.42766917561</v>
      </c>
      <c r="O95" s="114">
        <f>+O14-O16-O19-O20-O21-O22-O23</f>
        <v>189166.81152782423</v>
      </c>
    </row>
    <row r="96" spans="1:15" s="78" customFormat="1" x14ac:dyDescent="0.25">
      <c r="A96" s="112"/>
      <c r="B96" s="112" t="s">
        <v>80</v>
      </c>
      <c r="C96" s="112"/>
      <c r="D96" s="114">
        <f>+D25+D26</f>
        <v>22000</v>
      </c>
      <c r="E96" s="114">
        <f>+E25+E26</f>
        <v>22000</v>
      </c>
      <c r="F96" s="114">
        <f>+F25+F26</f>
        <v>22000</v>
      </c>
      <c r="G96" s="114">
        <f>+G25+G26</f>
        <v>22000</v>
      </c>
      <c r="H96" s="114">
        <f>+H25+H26</f>
        <v>22000</v>
      </c>
      <c r="I96" s="112"/>
      <c r="J96" s="112" t="s">
        <v>80</v>
      </c>
      <c r="K96" s="114">
        <f>+K25+K26</f>
        <v>18000</v>
      </c>
      <c r="L96" s="114">
        <f>+L25+L26</f>
        <v>18000</v>
      </c>
      <c r="M96" s="114">
        <f>+M25+M26</f>
        <v>18000</v>
      </c>
      <c r="N96" s="114">
        <f>+N25+N26</f>
        <v>18000</v>
      </c>
      <c r="O96" s="114">
        <f>+O25+O26</f>
        <v>18000</v>
      </c>
    </row>
    <row r="97" spans="1:16" s="78" customFormat="1" x14ac:dyDescent="0.25">
      <c r="A97" s="112"/>
      <c r="B97" s="112" t="s">
        <v>81</v>
      </c>
      <c r="C97" s="112"/>
      <c r="D97" s="114">
        <f>+D95-D96</f>
        <v>13082</v>
      </c>
      <c r="E97" s="114">
        <f t="shared" ref="E97:H97" si="18">+E95-E96</f>
        <v>20683.299999999996</v>
      </c>
      <c r="F97" s="114">
        <f t="shared" si="18"/>
        <v>29663.071000000033</v>
      </c>
      <c r="G97" s="114">
        <f t="shared" si="18"/>
        <v>40319.010201999976</v>
      </c>
      <c r="H97" s="114">
        <f t="shared" si="18"/>
        <v>53017.510780252022</v>
      </c>
      <c r="I97" s="112"/>
      <c r="J97" s="112" t="s">
        <v>81</v>
      </c>
      <c r="K97" s="114">
        <f>+K95-K96</f>
        <v>72209.790978600868</v>
      </c>
      <c r="L97" s="114">
        <f>+L95-L96</f>
        <v>90451.825366083474</v>
      </c>
      <c r="M97" s="114">
        <f>+M95-M96</f>
        <v>112428.97534019203</v>
      </c>
      <c r="N97" s="114">
        <f>+N95-N96</f>
        <v>138986.42766917561</v>
      </c>
      <c r="O97" s="114">
        <f>+O95-O96</f>
        <v>171166.81152782423</v>
      </c>
    </row>
    <row r="98" spans="1:16" s="78" customFormat="1" x14ac:dyDescent="0.25">
      <c r="A98" s="112"/>
      <c r="B98" s="112" t="s">
        <v>82</v>
      </c>
      <c r="C98" s="112"/>
      <c r="D98" s="115">
        <f>IF(D97&gt;0,D97*$P$32,0)</f>
        <v>4578.7</v>
      </c>
      <c r="E98" s="115">
        <f>IF(E97&gt;0,E97*$P$32,0)</f>
        <v>7239.1549999999979</v>
      </c>
      <c r="F98" s="115">
        <f>IF(F97&gt;0,F97*$P$32,0)</f>
        <v>10382.07485000001</v>
      </c>
      <c r="G98" s="115">
        <f>IF(G97&gt;0,G97*$P$32,0)</f>
        <v>14111.653570699991</v>
      </c>
      <c r="H98" s="115">
        <f>IF(H97&gt;0,H97*$P$32,0)</f>
        <v>18556.128773088207</v>
      </c>
      <c r="I98" s="112"/>
      <c r="J98" s="112" t="s">
        <v>82</v>
      </c>
      <c r="K98" s="115">
        <f>IF(K97&gt;0,K97*$P$32,0)</f>
        <v>25273.426842510304</v>
      </c>
      <c r="L98" s="115">
        <f>IF(L97&gt;0,L97*$P$32,0)</f>
        <v>31658.138878129215</v>
      </c>
      <c r="M98" s="115">
        <f>IF(M97&gt;0,M97*$P$32,0)</f>
        <v>39350.141369067205</v>
      </c>
      <c r="N98" s="115">
        <f>IF(N97&gt;0,N97*$P$32,0)</f>
        <v>48645.249684211463</v>
      </c>
      <c r="O98" s="115">
        <f>IF(O97&gt;0,O97*$P$32,0)</f>
        <v>59908.384034738476</v>
      </c>
    </row>
    <row r="99" spans="1:16" s="78" customFormat="1" x14ac:dyDescent="0.25">
      <c r="A99" s="112"/>
      <c r="B99" s="112" t="s">
        <v>83</v>
      </c>
      <c r="C99" s="112"/>
      <c r="D99" s="114">
        <f>+D95-D98</f>
        <v>30503.3</v>
      </c>
      <c r="E99" s="114">
        <f t="shared" ref="E99:H99" si="19">+E95-E98</f>
        <v>35444.144999999997</v>
      </c>
      <c r="F99" s="114">
        <f t="shared" si="19"/>
        <v>41280.996150000021</v>
      </c>
      <c r="G99" s="114">
        <f t="shared" si="19"/>
        <v>48207.356631299983</v>
      </c>
      <c r="H99" s="114">
        <f t="shared" si="19"/>
        <v>56461.382007163818</v>
      </c>
      <c r="I99" s="112"/>
      <c r="J99" s="112" t="s">
        <v>83</v>
      </c>
      <c r="K99" s="114">
        <f>+K95-K98</f>
        <v>64936.36413609056</v>
      </c>
      <c r="L99" s="114">
        <f>+L95-L98</f>
        <v>76793.686487954255</v>
      </c>
      <c r="M99" s="114">
        <f>+M95-M98</f>
        <v>91078.833971124826</v>
      </c>
      <c r="N99" s="114">
        <f>+N95-N98</f>
        <v>108341.17798496415</v>
      </c>
      <c r="O99" s="114">
        <f>+O95-O98</f>
        <v>129258.42749308576</v>
      </c>
    </row>
    <row r="100" spans="1:16" s="78" customFormat="1" ht="8.25" customHeight="1" x14ac:dyDescent="0.25">
      <c r="A100" s="112"/>
      <c r="B100" s="112"/>
      <c r="C100" s="112"/>
      <c r="D100" s="112"/>
      <c r="E100" s="113"/>
      <c r="F100" s="112"/>
      <c r="G100" s="112"/>
      <c r="H100" s="112"/>
      <c r="I100" s="112"/>
      <c r="J100" s="112"/>
      <c r="K100" s="112"/>
      <c r="L100" s="112"/>
      <c r="M100" s="112"/>
      <c r="N100" s="112"/>
    </row>
    <row r="101" spans="1:16" s="78" customFormat="1" x14ac:dyDescent="0.25">
      <c r="A101" s="111" t="s">
        <v>84</v>
      </c>
      <c r="B101" s="112"/>
      <c r="C101" s="112"/>
      <c r="D101" s="112"/>
      <c r="E101" s="113"/>
      <c r="F101" s="112"/>
      <c r="G101" s="112"/>
      <c r="H101" s="112"/>
      <c r="I101" s="111" t="s">
        <v>84</v>
      </c>
      <c r="J101" s="112"/>
      <c r="K101" s="112"/>
      <c r="L101" s="112"/>
      <c r="M101" s="112"/>
      <c r="N101" s="112"/>
    </row>
    <row r="102" spans="1:16" s="78" customFormat="1" x14ac:dyDescent="0.25">
      <c r="A102" s="112" t="s">
        <v>85</v>
      </c>
      <c r="B102" s="112"/>
      <c r="C102" s="112"/>
      <c r="D102" s="112"/>
      <c r="E102" s="113"/>
      <c r="F102" s="112"/>
      <c r="G102" s="112"/>
      <c r="H102" s="112"/>
      <c r="I102" s="112" t="s">
        <v>85</v>
      </c>
      <c r="J102" s="112"/>
      <c r="K102" s="112"/>
      <c r="L102" s="112"/>
      <c r="M102" s="112"/>
      <c r="N102" s="112"/>
    </row>
    <row r="103" spans="1:16" s="78" customFormat="1" x14ac:dyDescent="0.25">
      <c r="A103" s="112" t="s">
        <v>86</v>
      </c>
      <c r="B103" s="112" t="str">
        <f>+B49</f>
        <v>Minimum Cash</v>
      </c>
      <c r="C103" s="114">
        <f t="shared" ref="C103:G105" si="20">-(D49-C49)</f>
        <v>-5000</v>
      </c>
      <c r="D103" s="114">
        <f t="shared" si="20"/>
        <v>0</v>
      </c>
      <c r="E103" s="114">
        <f t="shared" si="20"/>
        <v>0</v>
      </c>
      <c r="F103" s="114">
        <f t="shared" si="20"/>
        <v>0</v>
      </c>
      <c r="G103" s="114">
        <f t="shared" si="20"/>
        <v>0</v>
      </c>
      <c r="H103" s="114">
        <f>-(K49-H49)</f>
        <v>0</v>
      </c>
      <c r="I103" s="112" t="s">
        <v>86</v>
      </c>
      <c r="J103" s="112" t="str">
        <f>+J49</f>
        <v>Minimum Cash</v>
      </c>
      <c r="K103" s="114">
        <f t="shared" ref="K103:O105" si="21">-(L49-K49)</f>
        <v>0</v>
      </c>
      <c r="L103" s="114">
        <f t="shared" si="21"/>
        <v>0</v>
      </c>
      <c r="M103" s="114">
        <f t="shared" si="21"/>
        <v>0</v>
      </c>
      <c r="N103" s="114">
        <f t="shared" si="21"/>
        <v>0</v>
      </c>
      <c r="O103" s="114">
        <f t="shared" si="21"/>
        <v>5000</v>
      </c>
    </row>
    <row r="104" spans="1:16" s="78" customFormat="1" x14ac:dyDescent="0.25">
      <c r="A104" s="112" t="s">
        <v>86</v>
      </c>
      <c r="B104" s="112" t="str">
        <f>+B50</f>
        <v>Cash Above Minimum</v>
      </c>
      <c r="C104" s="114">
        <f t="shared" si="20"/>
        <v>-78725</v>
      </c>
      <c r="D104" s="114">
        <f t="shared" si="20"/>
        <v>13848</v>
      </c>
      <c r="E104" s="114">
        <f t="shared" si="20"/>
        <v>5020</v>
      </c>
      <c r="F104" s="114">
        <f t="shared" si="20"/>
        <v>-2628</v>
      </c>
      <c r="G104" s="114">
        <f t="shared" si="20"/>
        <v>-10957</v>
      </c>
      <c r="H104" s="114">
        <f>-(K50-H50)</f>
        <v>-21035</v>
      </c>
      <c r="I104" s="112" t="s">
        <v>86</v>
      </c>
      <c r="J104" s="112" t="str">
        <f>+J50</f>
        <v>Cash Above Minimum</v>
      </c>
      <c r="K104" s="114">
        <f t="shared" si="21"/>
        <v>-31857</v>
      </c>
      <c r="L104" s="114">
        <f t="shared" si="21"/>
        <v>-46714</v>
      </c>
      <c r="M104" s="114">
        <f t="shared" si="21"/>
        <v>-64807</v>
      </c>
      <c r="N104" s="114">
        <f t="shared" si="21"/>
        <v>-86880</v>
      </c>
      <c r="O104" s="114">
        <f t="shared" si="21"/>
        <v>324735</v>
      </c>
    </row>
    <row r="105" spans="1:16" s="78" customFormat="1" x14ac:dyDescent="0.25">
      <c r="A105" s="112" t="s">
        <v>86</v>
      </c>
      <c r="B105" s="112" t="str">
        <f>+B51</f>
        <v>Accounts Receivable</v>
      </c>
      <c r="C105" s="114">
        <f t="shared" si="20"/>
        <v>-1984.9315068493149</v>
      </c>
      <c r="D105" s="114">
        <f t="shared" si="20"/>
        <v>-124.47123287671252</v>
      </c>
      <c r="E105" s="114">
        <f t="shared" si="20"/>
        <v>-136.64781369863022</v>
      </c>
      <c r="F105" s="114">
        <f t="shared" si="20"/>
        <v>-150.83813608767105</v>
      </c>
      <c r="G105" s="114">
        <f t="shared" si="20"/>
        <v>-167.47444647833436</v>
      </c>
      <c r="H105" s="114">
        <f>-(K51-H51)</f>
        <v>-187.08885163489231</v>
      </c>
      <c r="I105" s="112" t="s">
        <v>86</v>
      </c>
      <c r="J105" s="112" t="str">
        <f>+J51</f>
        <v>Accounts Receivable</v>
      </c>
      <c r="K105" s="114">
        <f t="shared" si="21"/>
        <v>-210.33677819778131</v>
      </c>
      <c r="L105" s="114">
        <f t="shared" si="21"/>
        <v>-238.02596330836604</v>
      </c>
      <c r="M105" s="114">
        <f t="shared" si="21"/>
        <v>-271.15228137784379</v>
      </c>
      <c r="N105" s="114">
        <f t="shared" si="21"/>
        <v>-310.9440200481522</v>
      </c>
      <c r="O105" s="114">
        <f t="shared" si="21"/>
        <v>3781.9110305576987</v>
      </c>
    </row>
    <row r="106" spans="1:16" s="78" customFormat="1" x14ac:dyDescent="0.25">
      <c r="A106" s="112" t="s">
        <v>86</v>
      </c>
      <c r="B106" s="112" t="str">
        <f>+B53</f>
        <v>Inventory</v>
      </c>
      <c r="C106" s="114">
        <f>-(D53-C53)</f>
        <v>-74000</v>
      </c>
      <c r="D106" s="114">
        <f>-(E53-D53)</f>
        <v>-3700</v>
      </c>
      <c r="E106" s="114">
        <f>-(F53-E53)</f>
        <v>-3885</v>
      </c>
      <c r="F106" s="114">
        <f>-(G53-F53)</f>
        <v>-4079.25</v>
      </c>
      <c r="G106" s="114">
        <f>-(H53-G53)</f>
        <v>-4283.2125000000087</v>
      </c>
      <c r="H106" s="114">
        <f>-(K53-H53)</f>
        <v>-4497.3731249999983</v>
      </c>
      <c r="I106" s="112" t="s">
        <v>86</v>
      </c>
      <c r="J106" s="112" t="str">
        <f>+J53</f>
        <v>Inventory</v>
      </c>
      <c r="K106" s="114">
        <f>-(L53-K53)</f>
        <v>-4722.2417812499916</v>
      </c>
      <c r="L106" s="114">
        <f>-(M53-L53)</f>
        <v>-4958.3538703125087</v>
      </c>
      <c r="M106" s="114">
        <f>-(N53-M53)</f>
        <v>-5206.2715638281225</v>
      </c>
      <c r="N106" s="114">
        <f>-(O53-N53)</f>
        <v>-5466.585142019554</v>
      </c>
      <c r="O106" s="114">
        <f>-(P53-O53)</f>
        <v>114798.28798241018</v>
      </c>
    </row>
    <row r="107" spans="1:16" s="78" customFormat="1" x14ac:dyDescent="0.25">
      <c r="A107" s="112" t="s">
        <v>87</v>
      </c>
      <c r="B107" s="112" t="str">
        <f>+B68</f>
        <v>Accounts Payable</v>
      </c>
      <c r="C107" s="114">
        <f>D68-C68</f>
        <v>18246.575342465752</v>
      </c>
      <c r="D107" s="114">
        <f>E68-D68</f>
        <v>912.32876712329016</v>
      </c>
      <c r="E107" s="114">
        <f>F68-E68</f>
        <v>957.94520547944921</v>
      </c>
      <c r="F107" s="114">
        <f>G68-F68</f>
        <v>1005.8424657534269</v>
      </c>
      <c r="G107" s="114">
        <f>H68-G68</f>
        <v>1056.1345890410958</v>
      </c>
      <c r="H107" s="114">
        <f>K68-H68</f>
        <v>1108.9413184931509</v>
      </c>
      <c r="I107" s="112" t="s">
        <v>87</v>
      </c>
      <c r="J107" s="112" t="str">
        <f>+J68</f>
        <v>Accounts Payable</v>
      </c>
      <c r="K107" s="114">
        <f>L68-K68</f>
        <v>1164.388384417809</v>
      </c>
      <c r="L107" s="114">
        <f>M68-L68</f>
        <v>1222.6078036386971</v>
      </c>
      <c r="M107" s="114">
        <f>N68-M68</f>
        <v>1283.7381938206345</v>
      </c>
      <c r="N107" s="114">
        <f>O68-N68</f>
        <v>1347.9251035116722</v>
      </c>
      <c r="O107" s="114">
        <f>P68-O68</f>
        <v>-28306.427173744978</v>
      </c>
    </row>
    <row r="108" spans="1:16" s="78" customFormat="1" x14ac:dyDescent="0.25">
      <c r="A108" s="112" t="s">
        <v>87</v>
      </c>
      <c r="B108" s="112" t="str">
        <f>+B70</f>
        <v>Income Tax Payable</v>
      </c>
      <c r="C108" s="116">
        <f>D98-C98</f>
        <v>4578.7</v>
      </c>
      <c r="D108" s="116">
        <f t="shared" ref="D108:G108" si="22">E98-D98</f>
        <v>2660.4549999999981</v>
      </c>
      <c r="E108" s="116">
        <f t="shared" si="22"/>
        <v>3142.919850000012</v>
      </c>
      <c r="F108" s="116">
        <f t="shared" si="22"/>
        <v>3729.5787206999812</v>
      </c>
      <c r="G108" s="116">
        <f t="shared" si="22"/>
        <v>4444.4752023882156</v>
      </c>
      <c r="H108" s="116">
        <f>K98-H98</f>
        <v>6717.2980694220969</v>
      </c>
      <c r="I108" s="112" t="s">
        <v>87</v>
      </c>
      <c r="J108" s="112" t="str">
        <f>+J70</f>
        <v>Income Tax Payable</v>
      </c>
      <c r="K108" s="116">
        <f>L98-K98</f>
        <v>6384.7120356189116</v>
      </c>
      <c r="L108" s="116">
        <f>M98-L98</f>
        <v>7692.0024909379899</v>
      </c>
      <c r="M108" s="116">
        <f>N98-M98</f>
        <v>9295.1083151442581</v>
      </c>
      <c r="N108" s="116">
        <f>O98-N98</f>
        <v>11263.134350527012</v>
      </c>
      <c r="O108" s="116">
        <f>P98-O98</f>
        <v>-59908.384034738476</v>
      </c>
    </row>
    <row r="109" spans="1:16" s="78" customFormat="1" ht="8.25" customHeight="1" x14ac:dyDescent="0.25">
      <c r="A109" s="112"/>
      <c r="B109" s="112"/>
      <c r="C109" s="112"/>
      <c r="D109" s="112"/>
      <c r="E109" s="113"/>
      <c r="F109" s="112"/>
      <c r="G109" s="112"/>
      <c r="H109" s="112"/>
      <c r="I109" s="112"/>
      <c r="J109" s="112"/>
      <c r="K109" s="112"/>
      <c r="L109" s="112"/>
    </row>
    <row r="110" spans="1:16" s="78" customFormat="1" x14ac:dyDescent="0.25">
      <c r="A110" s="112" t="s">
        <v>88</v>
      </c>
      <c r="B110" s="112"/>
      <c r="C110" s="112"/>
      <c r="D110" s="112"/>
      <c r="E110" s="113"/>
      <c r="F110" s="112"/>
      <c r="G110" s="112"/>
      <c r="H110" s="112"/>
      <c r="I110" s="112" t="s">
        <v>88</v>
      </c>
      <c r="J110" s="112"/>
      <c r="K110" s="112"/>
      <c r="L110" s="112"/>
    </row>
    <row r="111" spans="1:16" s="78" customFormat="1" x14ac:dyDescent="0.25">
      <c r="A111" s="112" t="s">
        <v>86</v>
      </c>
      <c r="B111" s="112" t="s">
        <v>23</v>
      </c>
      <c r="C111" s="116">
        <f>-(D56-C56)</f>
        <v>-60000</v>
      </c>
      <c r="D111" s="116">
        <f>-(E56-D56)</f>
        <v>0</v>
      </c>
      <c r="E111" s="116">
        <f>-(F56-E56)</f>
        <v>0</v>
      </c>
      <c r="F111" s="116">
        <f>-(G56-F56)</f>
        <v>0</v>
      </c>
      <c r="G111" s="116">
        <f>-(H56-G56)</f>
        <v>0</v>
      </c>
      <c r="H111" s="116">
        <f>-(K56-H56)</f>
        <v>0</v>
      </c>
      <c r="I111" s="112" t="s">
        <v>86</v>
      </c>
      <c r="J111" s="112" t="s">
        <v>23</v>
      </c>
      <c r="K111" s="116">
        <f>-(L56-K56)</f>
        <v>0</v>
      </c>
      <c r="L111" s="116">
        <f>-(M56-L56)</f>
        <v>0</v>
      </c>
      <c r="M111" s="116">
        <f>-(N56-M56)</f>
        <v>0</v>
      </c>
      <c r="N111" s="116">
        <f>-(O56-N56)</f>
        <v>0</v>
      </c>
      <c r="O111" s="116">
        <f>-(P56-O56)</f>
        <v>60000</v>
      </c>
      <c r="P111" s="86">
        <v>0.2</v>
      </c>
    </row>
    <row r="112" spans="1:16" s="78" customFormat="1" x14ac:dyDescent="0.25">
      <c r="A112" s="112"/>
      <c r="B112" s="112" t="s">
        <v>89</v>
      </c>
      <c r="C112" s="112"/>
      <c r="D112" s="112"/>
      <c r="E112" s="113"/>
      <c r="F112" s="112"/>
      <c r="G112" s="117"/>
      <c r="H112" s="117"/>
      <c r="I112" s="112"/>
      <c r="J112" s="112" t="s">
        <v>89</v>
      </c>
      <c r="K112" s="117"/>
      <c r="L112" s="115"/>
      <c r="M112" s="115"/>
      <c r="N112" s="118"/>
      <c r="O112" s="107">
        <f>O111*P111</f>
        <v>12000</v>
      </c>
      <c r="P112" s="108">
        <f>+O111</f>
        <v>60000</v>
      </c>
    </row>
    <row r="113" spans="1:16" s="78" customFormat="1" x14ac:dyDescent="0.25">
      <c r="A113" s="112"/>
      <c r="B113" s="112" t="s">
        <v>90</v>
      </c>
      <c r="C113" s="112"/>
      <c r="D113" s="112"/>
      <c r="E113" s="113"/>
      <c r="F113" s="112"/>
      <c r="G113" s="112"/>
      <c r="H113" s="119"/>
      <c r="I113" s="112"/>
      <c r="J113" s="112" t="s">
        <v>90</v>
      </c>
      <c r="K113" s="120"/>
      <c r="L113" s="115"/>
      <c r="M113" s="115"/>
      <c r="N113" s="117"/>
      <c r="O113" s="107">
        <f>-P113*$P$32</f>
        <v>-4200</v>
      </c>
      <c r="P113" s="107">
        <f>+O111+O112-P112</f>
        <v>12000</v>
      </c>
    </row>
    <row r="114" spans="1:16" s="78" customFormat="1" ht="8.25" customHeight="1" x14ac:dyDescent="0.25">
      <c r="A114" s="112"/>
      <c r="B114" s="112"/>
      <c r="C114" s="112"/>
      <c r="D114" s="112"/>
      <c r="E114" s="113"/>
      <c r="F114" s="112"/>
      <c r="G114" s="112"/>
      <c r="H114" s="112"/>
      <c r="I114" s="112"/>
      <c r="J114" s="112"/>
      <c r="K114" s="112"/>
      <c r="L114" s="112"/>
      <c r="M114" s="112"/>
      <c r="N114" s="117"/>
      <c r="P114" s="86"/>
    </row>
    <row r="115" spans="1:16" s="78" customFormat="1" x14ac:dyDescent="0.25">
      <c r="A115" s="112" t="s">
        <v>86</v>
      </c>
      <c r="B115" s="112" t="s">
        <v>9</v>
      </c>
      <c r="C115" s="115">
        <f>-(D57-C57)</f>
        <v>-540000</v>
      </c>
      <c r="D115" s="115">
        <f>-(E57-D57)</f>
        <v>0</v>
      </c>
      <c r="E115" s="115">
        <f>-(F57-E57)</f>
        <v>0</v>
      </c>
      <c r="F115" s="115">
        <f>-(G57-F57)</f>
        <v>0</v>
      </c>
      <c r="G115" s="115">
        <f>-(H57-G57)</f>
        <v>0</v>
      </c>
      <c r="H115" s="115">
        <f>-(K57-H57)</f>
        <v>0</v>
      </c>
      <c r="I115" s="112" t="s">
        <v>86</v>
      </c>
      <c r="J115" s="112" t="s">
        <v>9</v>
      </c>
      <c r="K115" s="115">
        <f>-(L57-K57)</f>
        <v>0</v>
      </c>
      <c r="L115" s="115">
        <f>-(M57-L57)</f>
        <v>0</v>
      </c>
      <c r="M115" s="115">
        <f>-(N57-M57)</f>
        <v>0</v>
      </c>
      <c r="N115" s="115">
        <f>-(O57-N57)</f>
        <v>0</v>
      </c>
      <c r="O115" s="115">
        <f>-(P57-O57)</f>
        <v>540000</v>
      </c>
      <c r="P115" s="86">
        <v>-0.1</v>
      </c>
    </row>
    <row r="116" spans="1:16" s="78" customFormat="1" x14ac:dyDescent="0.25">
      <c r="A116" s="112"/>
      <c r="B116" s="112" t="s">
        <v>89</v>
      </c>
      <c r="C116" s="112"/>
      <c r="D116" s="112"/>
      <c r="E116" s="113"/>
      <c r="F116" s="112"/>
      <c r="G116" s="112"/>
      <c r="H116" s="119"/>
      <c r="I116" s="112"/>
      <c r="J116" s="112" t="s">
        <v>89</v>
      </c>
      <c r="K116" s="114"/>
      <c r="L116" s="115"/>
      <c r="M116" s="115"/>
      <c r="N116" s="118"/>
      <c r="O116" s="107">
        <f>O115*P115</f>
        <v>-54000</v>
      </c>
      <c r="P116" s="108">
        <f>+O115-O58</f>
        <v>360000</v>
      </c>
    </row>
    <row r="117" spans="1:16" s="78" customFormat="1" x14ac:dyDescent="0.25">
      <c r="A117" s="112"/>
      <c r="B117" s="112" t="s">
        <v>90</v>
      </c>
      <c r="C117" s="112"/>
      <c r="D117" s="112"/>
      <c r="E117" s="113"/>
      <c r="F117" s="112"/>
      <c r="G117" s="112"/>
      <c r="H117" s="119"/>
      <c r="I117" s="112"/>
      <c r="J117" s="112" t="s">
        <v>90</v>
      </c>
      <c r="K117" s="120"/>
      <c r="L117" s="115"/>
      <c r="M117" s="115"/>
      <c r="N117" s="117"/>
      <c r="O117" s="107">
        <f>-P117*$P$32</f>
        <v>-44100</v>
      </c>
      <c r="P117" s="107">
        <f>+O115+O116-P116</f>
        <v>126000</v>
      </c>
    </row>
    <row r="118" spans="1:16" s="78" customFormat="1" ht="7.5" customHeight="1" x14ac:dyDescent="0.25">
      <c r="A118" s="112"/>
      <c r="B118" s="112"/>
      <c r="C118" s="112"/>
      <c r="D118" s="112"/>
      <c r="E118" s="113"/>
      <c r="F118" s="112"/>
      <c r="G118" s="112"/>
      <c r="H118" s="119"/>
      <c r="I118" s="112"/>
      <c r="J118" s="112"/>
      <c r="K118" s="120"/>
      <c r="L118" s="115"/>
      <c r="M118" s="115"/>
      <c r="N118" s="117"/>
      <c r="P118" s="86"/>
    </row>
    <row r="119" spans="1:16" s="78" customFormat="1" x14ac:dyDescent="0.25">
      <c r="A119" s="112" t="s">
        <v>86</v>
      </c>
      <c r="B119" s="112" t="s">
        <v>67</v>
      </c>
      <c r="C119" s="115">
        <f>-(D59-C59)</f>
        <v>-20000</v>
      </c>
      <c r="D119" s="115">
        <f>-(E59-D59)</f>
        <v>0</v>
      </c>
      <c r="E119" s="115">
        <f>-(F59-E59)</f>
        <v>0</v>
      </c>
      <c r="F119" s="115">
        <f>-(G59-F59)</f>
        <v>0</v>
      </c>
      <c r="G119" s="115">
        <f>-(H59-G59)</f>
        <v>0</v>
      </c>
      <c r="H119" s="115">
        <f>-(K59-H59)</f>
        <v>0</v>
      </c>
      <c r="I119" s="112" t="s">
        <v>86</v>
      </c>
      <c r="J119" s="112" t="s">
        <v>67</v>
      </c>
      <c r="K119" s="115">
        <f>-(L59-K59)</f>
        <v>0</v>
      </c>
      <c r="L119" s="115">
        <f>-(M59-L59)</f>
        <v>0</v>
      </c>
      <c r="M119" s="115">
        <f>-(N59-M59)</f>
        <v>0</v>
      </c>
      <c r="N119" s="115">
        <f>-(O59-N59)</f>
        <v>0</v>
      </c>
      <c r="O119" s="115">
        <f>-(P59-O59)</f>
        <v>20000</v>
      </c>
      <c r="P119" s="86">
        <v>-0.6</v>
      </c>
    </row>
    <row r="120" spans="1:16" s="78" customFormat="1" x14ac:dyDescent="0.25">
      <c r="A120" s="112"/>
      <c r="B120" s="112" t="s">
        <v>89</v>
      </c>
      <c r="C120" s="112"/>
      <c r="D120" s="112"/>
      <c r="E120" s="113"/>
      <c r="F120" s="112"/>
      <c r="G120" s="112"/>
      <c r="H120" s="119"/>
      <c r="I120" s="112"/>
      <c r="J120" s="112" t="s">
        <v>89</v>
      </c>
      <c r="K120" s="114"/>
      <c r="L120" s="115"/>
      <c r="M120" s="115"/>
      <c r="N120" s="118"/>
      <c r="O120" s="107">
        <f>O119*P119</f>
        <v>-12000</v>
      </c>
      <c r="P120" s="103">
        <f>+O119-O60</f>
        <v>0</v>
      </c>
    </row>
    <row r="121" spans="1:16" s="78" customFormat="1" x14ac:dyDescent="0.25">
      <c r="A121" s="112"/>
      <c r="B121" s="112" t="s">
        <v>90</v>
      </c>
      <c r="C121" s="112"/>
      <c r="D121" s="112"/>
      <c r="E121" s="113"/>
      <c r="F121" s="112"/>
      <c r="G121" s="112"/>
      <c r="H121" s="119"/>
      <c r="I121" s="112"/>
      <c r="J121" s="112" t="s">
        <v>90</v>
      </c>
      <c r="K121" s="120"/>
      <c r="L121" s="115"/>
      <c r="M121" s="115"/>
      <c r="N121" s="117"/>
      <c r="O121" s="107">
        <f>-P121*$P$32</f>
        <v>-2800</v>
      </c>
      <c r="P121" s="107">
        <f>+O119+O120-P120</f>
        <v>8000</v>
      </c>
    </row>
    <row r="122" spans="1:16" s="78" customFormat="1" ht="8.25" customHeight="1" x14ac:dyDescent="0.25">
      <c r="A122" s="112"/>
      <c r="B122" s="112"/>
      <c r="C122" s="112"/>
      <c r="D122" s="112"/>
      <c r="E122" s="113"/>
      <c r="F122" s="112"/>
      <c r="G122" s="112"/>
      <c r="H122" s="119"/>
      <c r="I122" s="112"/>
      <c r="J122" s="112"/>
      <c r="K122" s="120"/>
      <c r="L122" s="115"/>
      <c r="M122" s="115"/>
      <c r="N122" s="117"/>
      <c r="O122" s="107"/>
      <c r="P122" s="107"/>
    </row>
    <row r="123" spans="1:16" s="78" customFormat="1" x14ac:dyDescent="0.25">
      <c r="A123" s="112" t="s">
        <v>86</v>
      </c>
      <c r="B123" s="112" t="str">
        <f>+B62</f>
        <v>Goodwill</v>
      </c>
      <c r="C123" s="114">
        <f>-(D62-C62)</f>
        <v>-110000</v>
      </c>
      <c r="D123" s="114">
        <f>-(E62-D62)</f>
        <v>0</v>
      </c>
      <c r="E123" s="114">
        <f>-(F62-E62)</f>
        <v>0</v>
      </c>
      <c r="F123" s="114">
        <f>-(G62-F62)</f>
        <v>0</v>
      </c>
      <c r="G123" s="114">
        <f>-(H62-G62)</f>
        <v>0</v>
      </c>
      <c r="H123" s="114">
        <f>-(K62-H62)</f>
        <v>0</v>
      </c>
      <c r="I123" s="112" t="s">
        <v>86</v>
      </c>
      <c r="J123" s="112" t="str">
        <f>+J62</f>
        <v>Goodwill</v>
      </c>
      <c r="K123" s="114">
        <f>-(L62-K62)</f>
        <v>0</v>
      </c>
      <c r="L123" s="114">
        <f>-(M62-L62)</f>
        <v>0</v>
      </c>
      <c r="M123" s="114">
        <f>-(N62-M62)</f>
        <v>0</v>
      </c>
      <c r="N123" s="114">
        <f>-(O62-N62)</f>
        <v>0</v>
      </c>
      <c r="O123" s="114">
        <f>-(P62-O62)</f>
        <v>110000</v>
      </c>
      <c r="P123" s="107"/>
    </row>
    <row r="124" spans="1:16" s="78" customFormat="1" x14ac:dyDescent="0.25">
      <c r="A124" s="112"/>
      <c r="B124" s="112"/>
      <c r="C124" s="112"/>
      <c r="D124" s="112"/>
      <c r="E124" s="113"/>
      <c r="F124" s="112"/>
      <c r="G124" s="112"/>
      <c r="H124" s="119"/>
      <c r="I124" s="112"/>
      <c r="J124" s="112"/>
      <c r="K124" s="120"/>
      <c r="L124" s="115"/>
      <c r="M124" s="115"/>
      <c r="N124" s="117"/>
      <c r="O124" s="107"/>
      <c r="P124" s="107"/>
    </row>
    <row r="125" spans="1:16" s="78" customFormat="1" x14ac:dyDescent="0.25">
      <c r="A125" s="111" t="s">
        <v>91</v>
      </c>
      <c r="B125" s="112"/>
      <c r="C125" s="115">
        <f>SUM(C99:C123)</f>
        <v>-866884.65616438352</v>
      </c>
      <c r="D125" s="115">
        <f t="shared" ref="D125:H125" si="23">SUM(D99:D123)</f>
        <v>44099.612534246582</v>
      </c>
      <c r="E125" s="115">
        <f t="shared" si="23"/>
        <v>40543.362241780829</v>
      </c>
      <c r="F125" s="115">
        <f t="shared" si="23"/>
        <v>39158.329200365755</v>
      </c>
      <c r="G125" s="115">
        <f t="shared" si="23"/>
        <v>38300.279476250951</v>
      </c>
      <c r="H125" s="115">
        <f t="shared" si="23"/>
        <v>38568.159418444178</v>
      </c>
      <c r="I125" s="111" t="s">
        <v>91</v>
      </c>
      <c r="J125" s="112"/>
      <c r="K125" s="115">
        <f>SUM(K99:K123)</f>
        <v>35695.885996679513</v>
      </c>
      <c r="L125" s="115">
        <f t="shared" ref="L125:O125" si="24">SUM(L99:L123)</f>
        <v>33797.916948910068</v>
      </c>
      <c r="M125" s="115">
        <f t="shared" si="24"/>
        <v>31373.256634883754</v>
      </c>
      <c r="N125" s="115">
        <f t="shared" si="24"/>
        <v>28294.708276935125</v>
      </c>
      <c r="O125" s="115">
        <f t="shared" si="24"/>
        <v>1114258.8152975701</v>
      </c>
    </row>
    <row r="126" spans="1:16" s="78" customFormat="1" x14ac:dyDescent="0.25">
      <c r="A126" s="111"/>
      <c r="B126" s="112"/>
      <c r="D126" s="121"/>
      <c r="E126" s="113"/>
      <c r="F126" s="112"/>
      <c r="G126" s="121"/>
      <c r="H126" s="112"/>
      <c r="I126" s="111" t="s">
        <v>92</v>
      </c>
      <c r="J126" s="112" t="s">
        <v>92</v>
      </c>
      <c r="K126" s="100">
        <f>IRR(C125:O125)</f>
        <v>6.1328112538038937E-2</v>
      </c>
      <c r="L126" s="112"/>
      <c r="M126" s="112"/>
      <c r="N126" s="112"/>
    </row>
    <row r="127" spans="1:16" s="78" customFormat="1" x14ac:dyDescent="0.25">
      <c r="B127" s="78" t="s">
        <v>104</v>
      </c>
      <c r="C127" s="109">
        <f t="shared" ref="C127:H127" si="25">-PV($O$141,C94,0,C125,0)</f>
        <v>-866884.65616438352</v>
      </c>
      <c r="D127" s="109">
        <f t="shared" si="25"/>
        <v>41636.301275284372</v>
      </c>
      <c r="E127" s="109">
        <f t="shared" si="25"/>
        <v>36140.528488388423</v>
      </c>
      <c r="F127" s="109">
        <f t="shared" si="25"/>
        <v>32956.133932561061</v>
      </c>
      <c r="G127" s="109">
        <f t="shared" si="25"/>
        <v>30433.466118044831</v>
      </c>
      <c r="H127" s="109">
        <f t="shared" si="25"/>
        <v>28934.485007626008</v>
      </c>
      <c r="J127" s="78" t="s">
        <v>104</v>
      </c>
      <c r="K127" s="109">
        <f>-PV($O$141,K94,0,K125,0)</f>
        <v>25283.801841162654</v>
      </c>
      <c r="L127" s="109">
        <f>-PV($O$141,L94,0,L125,0)</f>
        <v>22602.241717005876</v>
      </c>
      <c r="M127" s="109">
        <f>-PV($O$141,M94,0,M125,0)</f>
        <v>19808.817527069416</v>
      </c>
      <c r="N127" s="109">
        <f>-PV($O$141,N94,0,N125,0)</f>
        <v>16867.143457139482</v>
      </c>
      <c r="O127" s="109">
        <f>-PV($O$141,O94,0,O125,0)</f>
        <v>627133.16056556185</v>
      </c>
    </row>
    <row r="128" spans="1:16" s="78" customFormat="1" x14ac:dyDescent="0.25">
      <c r="D128" s="110"/>
      <c r="J128" s="78" t="s">
        <v>93</v>
      </c>
      <c r="K128" s="107">
        <f>SUM(C127:O127)</f>
        <v>14911.423765460262</v>
      </c>
    </row>
    <row r="129" spans="2:16" s="78" customFormat="1" x14ac:dyDescent="0.25">
      <c r="C129" s="107"/>
      <c r="D129" s="110"/>
    </row>
    <row r="130" spans="2:16" s="78" customFormat="1" x14ac:dyDescent="0.25">
      <c r="C130" s="107"/>
      <c r="D130" s="110"/>
    </row>
    <row r="131" spans="2:16" s="78" customFormat="1" x14ac:dyDescent="0.25">
      <c r="D131" s="86"/>
      <c r="J131" s="78" t="s">
        <v>125</v>
      </c>
      <c r="K131" s="82"/>
      <c r="L131" s="82" t="s">
        <v>101</v>
      </c>
      <c r="M131" s="82" t="s">
        <v>123</v>
      </c>
    </row>
    <row r="132" spans="2:16" x14ac:dyDescent="0.25">
      <c r="K132" s="82" t="s">
        <v>102</v>
      </c>
      <c r="L132" s="82">
        <v>0.77</v>
      </c>
      <c r="M132" s="99">
        <f>(1+(1-P32)*(SUM(K138:K139)/K140))*L132</f>
        <v>1.3067982525874329</v>
      </c>
    </row>
    <row r="133" spans="2:16" x14ac:dyDescent="0.25">
      <c r="K133" s="82" t="s">
        <v>95</v>
      </c>
      <c r="L133" s="92">
        <v>0.03</v>
      </c>
      <c r="M133" s="92">
        <v>0.03</v>
      </c>
    </row>
    <row r="134" spans="2:16" x14ac:dyDescent="0.25">
      <c r="K134" s="78" t="s">
        <v>103</v>
      </c>
      <c r="L134" s="100">
        <v>7.9000000000000001E-2</v>
      </c>
      <c r="M134" s="100">
        <v>7.9000000000000001E-2</v>
      </c>
    </row>
    <row r="135" spans="2:16" x14ac:dyDescent="0.25">
      <c r="K135" s="78"/>
      <c r="L135" s="78"/>
      <c r="M135" s="101">
        <f>M133+M132*(M134-M133)</f>
        <v>9.4033114376784216E-2</v>
      </c>
    </row>
    <row r="137" spans="2:16" x14ac:dyDescent="0.25">
      <c r="F137" s="78"/>
      <c r="G137" s="78"/>
      <c r="K137" s="78" t="s">
        <v>99</v>
      </c>
      <c r="L137" s="78" t="s">
        <v>96</v>
      </c>
      <c r="M137" s="78" t="s">
        <v>37</v>
      </c>
      <c r="N137" s="78" t="s">
        <v>97</v>
      </c>
      <c r="O137" s="78" t="s">
        <v>98</v>
      </c>
      <c r="P137" s="78"/>
    </row>
    <row r="138" spans="2:16" x14ac:dyDescent="0.25">
      <c r="F138" s="78"/>
      <c r="G138" s="78"/>
      <c r="J138" s="82" t="s">
        <v>124</v>
      </c>
      <c r="K138" s="103">
        <f>AVERAGE(D72:O72)</f>
        <v>415169.50487251469</v>
      </c>
      <c r="L138" s="86">
        <f>K138/$K$141</f>
        <v>0.51749653607190149</v>
      </c>
      <c r="M138" s="100">
        <v>4.1000000000000002E-2</v>
      </c>
      <c r="N138" s="104">
        <f>+M138*(1-$P$32)</f>
        <v>2.6650000000000004E-2</v>
      </c>
      <c r="O138" s="101">
        <f>L138*N138</f>
        <v>1.3791282686316176E-2</v>
      </c>
      <c r="P138" s="78"/>
    </row>
    <row r="139" spans="2:16" x14ac:dyDescent="0.25">
      <c r="B139" s="78"/>
      <c r="C139" s="78"/>
      <c r="D139" s="102"/>
      <c r="E139" s="78"/>
      <c r="F139" s="78"/>
      <c r="G139" s="78"/>
      <c r="J139" s="82" t="s">
        <v>24</v>
      </c>
      <c r="K139" s="103">
        <f>AVERAGE(D73:O73)</f>
        <v>0</v>
      </c>
      <c r="L139" s="86">
        <f>K139/$K$141</f>
        <v>0</v>
      </c>
      <c r="M139" s="105">
        <f>+P29</f>
        <v>6.5000000000000002E-2</v>
      </c>
      <c r="N139" s="104">
        <f>+M139*(1-$P$32)</f>
        <v>4.2250000000000003E-2</v>
      </c>
      <c r="O139" s="101">
        <f>L139*N139</f>
        <v>0</v>
      </c>
      <c r="P139" s="78"/>
    </row>
    <row r="140" spans="2:16" x14ac:dyDescent="0.25">
      <c r="B140" s="78"/>
      <c r="C140" s="78"/>
      <c r="D140" s="102"/>
      <c r="E140" s="78"/>
      <c r="F140" s="78"/>
      <c r="G140" s="78"/>
      <c r="J140" s="82" t="s">
        <v>14</v>
      </c>
      <c r="K140" s="124">
        <f>AVERAGE(D76:O76)+AVERAGE(D77:O77)</f>
        <v>387095.77795216226</v>
      </c>
      <c r="L140" s="86">
        <f>K140/$K$141</f>
        <v>0.48250346392809851</v>
      </c>
      <c r="M140" s="100">
        <f>M135</f>
        <v>9.4033114376784216E-2</v>
      </c>
      <c r="N140" s="14">
        <f>M140</f>
        <v>9.4033114376784216E-2</v>
      </c>
      <c r="O140" s="101">
        <f>L140*N140</f>
        <v>4.5371303410745467E-2</v>
      </c>
      <c r="P140" s="78"/>
    </row>
    <row r="141" spans="2:16" x14ac:dyDescent="0.25">
      <c r="B141" s="78"/>
      <c r="C141" s="78"/>
      <c r="D141" s="101"/>
      <c r="E141" s="78"/>
      <c r="F141" s="78"/>
      <c r="G141" s="78"/>
      <c r="K141" s="91">
        <f>SUM(K138:K140)</f>
        <v>802265.28282467695</v>
      </c>
      <c r="O141" s="106">
        <f>SUM(O138:O140)</f>
        <v>5.916258609706164E-2</v>
      </c>
      <c r="P141" s="82" t="s">
        <v>94</v>
      </c>
    </row>
    <row r="142" spans="2:16" x14ac:dyDescent="0.25">
      <c r="B142" s="78"/>
      <c r="C142" s="78"/>
      <c r="D142" s="78"/>
      <c r="E142" s="78"/>
      <c r="F142" s="78"/>
      <c r="G142" s="78"/>
    </row>
    <row r="143" spans="2:16" x14ac:dyDescent="0.25">
      <c r="G143" s="78"/>
    </row>
  </sheetData>
  <sheetProtection selectLockedCells="1" selectUnlockedCells="1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topLeftCell="A80" zoomScaleNormal="100" workbookViewId="0">
      <selection activeCell="G102" activeCellId="1" sqref="G102"/>
    </sheetView>
  </sheetViews>
  <sheetFormatPr defaultColWidth="9.42578125" defaultRowHeight="15" x14ac:dyDescent="0.25"/>
  <cols>
    <col min="1" max="1" width="2.42578125" style="23" customWidth="1"/>
    <col min="2" max="2" width="23" style="23" customWidth="1"/>
    <col min="3" max="3" width="15.85546875" style="23" customWidth="1"/>
    <col min="4" max="4" width="14.140625" style="23" customWidth="1"/>
    <col min="5" max="5" width="12" style="23" customWidth="1"/>
    <col min="6" max="6" width="12.42578125" style="23" customWidth="1"/>
    <col min="7" max="8" width="14.140625" style="23" customWidth="1"/>
    <col min="9" max="9" width="16.28515625" style="23" customWidth="1"/>
    <col min="10" max="10" width="11.7109375" style="23" hidden="1" customWidth="1"/>
    <col min="11" max="11" width="9.42578125" style="23"/>
    <col min="12" max="12" width="18" style="23" bestFit="1" customWidth="1"/>
    <col min="13" max="13" width="9.42578125" style="23"/>
    <col min="14" max="14" width="15.85546875" style="23" customWidth="1"/>
    <col min="15" max="15" width="16" style="23" customWidth="1"/>
    <col min="16" max="16" width="9.42578125" style="23"/>
    <col min="17" max="17" width="11" style="23" bestFit="1" customWidth="1"/>
    <col min="18" max="18" width="13.42578125" style="23" customWidth="1"/>
    <col min="19" max="16384" width="9.42578125" style="23"/>
  </cols>
  <sheetData>
    <row r="1" spans="1:10" s="21" customFormat="1" x14ac:dyDescent="0.25">
      <c r="A1" s="20" t="s">
        <v>66</v>
      </c>
    </row>
    <row r="2" spans="1:10" x14ac:dyDescent="0.25">
      <c r="A2" s="22" t="s">
        <v>0</v>
      </c>
    </row>
    <row r="3" spans="1:10" x14ac:dyDescent="0.25">
      <c r="D3" s="23" t="s">
        <v>28</v>
      </c>
      <c r="E3" s="23" t="s">
        <v>29</v>
      </c>
      <c r="F3" s="23" t="s">
        <v>30</v>
      </c>
      <c r="G3" s="23" t="s">
        <v>31</v>
      </c>
      <c r="H3" s="23" t="s">
        <v>50</v>
      </c>
      <c r="I3" s="23" t="s">
        <v>45</v>
      </c>
    </row>
    <row r="4" spans="1:10" x14ac:dyDescent="0.25">
      <c r="A4" s="22" t="s">
        <v>1</v>
      </c>
    </row>
    <row r="5" spans="1:10" x14ac:dyDescent="0.25">
      <c r="A5" s="24" t="s">
        <v>56</v>
      </c>
      <c r="D5" s="25">
        <f>D6*D7</f>
        <v>7000</v>
      </c>
      <c r="E5" s="25">
        <f t="shared" ref="E5:H5" si="0">E6*E7</f>
        <v>5768.0000000000009</v>
      </c>
      <c r="F5" s="25">
        <f t="shared" si="0"/>
        <v>4752.8320000000003</v>
      </c>
      <c r="G5" s="25">
        <f t="shared" si="0"/>
        <v>3916.3335680000005</v>
      </c>
      <c r="H5" s="25">
        <f t="shared" si="0"/>
        <v>3227.0588600320007</v>
      </c>
      <c r="I5" s="26"/>
    </row>
    <row r="6" spans="1:10" x14ac:dyDescent="0.25">
      <c r="A6" s="24"/>
      <c r="B6" s="23" t="s">
        <v>58</v>
      </c>
      <c r="D6" s="32">
        <v>200</v>
      </c>
      <c r="E6" s="32">
        <f>D6*(1+$I$6)</f>
        <v>160</v>
      </c>
      <c r="F6" s="32">
        <f>E6*(1+$I$6)</f>
        <v>128</v>
      </c>
      <c r="G6" s="32">
        <f>F6*(1+$I$6)</f>
        <v>102.4</v>
      </c>
      <c r="H6" s="32">
        <f>G6*(1+$I$6)</f>
        <v>81.920000000000016</v>
      </c>
      <c r="I6" s="11">
        <v>-0.2</v>
      </c>
    </row>
    <row r="7" spans="1:10" x14ac:dyDescent="0.25">
      <c r="A7" s="24"/>
      <c r="B7" s="23" t="s">
        <v>44</v>
      </c>
      <c r="D7" s="25">
        <v>35</v>
      </c>
      <c r="E7" s="32">
        <f>D7*(1+$I$7)</f>
        <v>36.050000000000004</v>
      </c>
      <c r="F7" s="32">
        <f>E7*(1+$I$7)</f>
        <v>37.131500000000003</v>
      </c>
      <c r="G7" s="32">
        <f>F7*(1+$I$7)</f>
        <v>38.245445000000004</v>
      </c>
      <c r="H7" s="32">
        <f>G7*(1+$I$7)</f>
        <v>39.392808350000003</v>
      </c>
      <c r="I7" s="11">
        <v>0.03</v>
      </c>
    </row>
    <row r="8" spans="1:10" x14ac:dyDescent="0.25">
      <c r="A8" s="24" t="s">
        <v>57</v>
      </c>
      <c r="D8" s="13">
        <f>D9*D10</f>
        <v>15000</v>
      </c>
      <c r="E8" s="13">
        <f t="shared" ref="E8:H8" si="1">E9*E10</f>
        <v>11760</v>
      </c>
      <c r="F8" s="13">
        <f t="shared" si="1"/>
        <v>9219.84</v>
      </c>
      <c r="G8" s="13">
        <f t="shared" si="1"/>
        <v>7228.3545600000007</v>
      </c>
      <c r="H8" s="13">
        <f t="shared" si="1"/>
        <v>5667.0299750400009</v>
      </c>
      <c r="I8" s="11"/>
    </row>
    <row r="9" spans="1:10" x14ac:dyDescent="0.25">
      <c r="A9" s="24"/>
      <c r="B9" s="23" t="s">
        <v>58</v>
      </c>
      <c r="D9" s="33">
        <v>300</v>
      </c>
      <c r="E9" s="32">
        <f>D9*(1+$I$9)</f>
        <v>240</v>
      </c>
      <c r="F9" s="32">
        <f>E9*(1+$I$9)</f>
        <v>192</v>
      </c>
      <c r="G9" s="32">
        <f>F9*(1+$I$9)</f>
        <v>153.60000000000002</v>
      </c>
      <c r="H9" s="32">
        <f>G9*(1+$I$9)</f>
        <v>122.88000000000002</v>
      </c>
      <c r="I9" s="11">
        <v>-0.2</v>
      </c>
    </row>
    <row r="10" spans="1:10" x14ac:dyDescent="0.25">
      <c r="A10" s="24"/>
      <c r="B10" s="23" t="s">
        <v>44</v>
      </c>
      <c r="D10" s="36">
        <v>50</v>
      </c>
      <c r="E10" s="37">
        <f>D10*(1+$I$10)</f>
        <v>49</v>
      </c>
      <c r="F10" s="37">
        <f>E10*(1+$I$10)</f>
        <v>48.019999999999996</v>
      </c>
      <c r="G10" s="37">
        <f>F10*(1+$I$10)</f>
        <v>47.059599999999996</v>
      </c>
      <c r="H10" s="37">
        <f>G10*(1+$I$10)</f>
        <v>46.118407999999995</v>
      </c>
      <c r="I10" s="11">
        <v>-0.02</v>
      </c>
    </row>
    <row r="12" spans="1:10" x14ac:dyDescent="0.25">
      <c r="A12" s="23" t="s">
        <v>59</v>
      </c>
      <c r="D12" s="30">
        <f>D5+D8</f>
        <v>22000</v>
      </c>
      <c r="E12" s="30">
        <f t="shared" ref="E12:H12" si="2">E5+E8</f>
        <v>17528</v>
      </c>
      <c r="F12" s="30">
        <f t="shared" si="2"/>
        <v>13972.672</v>
      </c>
      <c r="G12" s="30">
        <f t="shared" si="2"/>
        <v>11144.688128000002</v>
      </c>
      <c r="H12" s="30">
        <f t="shared" si="2"/>
        <v>8894.0888350720015</v>
      </c>
    </row>
    <row r="13" spans="1:10" x14ac:dyDescent="0.25">
      <c r="A13" s="23" t="s">
        <v>60</v>
      </c>
      <c r="D13" s="30">
        <v>250000</v>
      </c>
      <c r="E13" s="30">
        <f>D13*(1+$I$13)</f>
        <v>262500</v>
      </c>
      <c r="F13" s="30">
        <f>E13*(1+$I$13)</f>
        <v>275625</v>
      </c>
      <c r="G13" s="30">
        <f>F13*(1+$I$13)</f>
        <v>289406.25</v>
      </c>
      <c r="H13" s="30">
        <f>G13*(1+$I$13)</f>
        <v>303876.5625</v>
      </c>
      <c r="I13" s="34">
        <v>0.05</v>
      </c>
    </row>
    <row r="14" spans="1:10" x14ac:dyDescent="0.25">
      <c r="A14" s="23" t="s">
        <v>46</v>
      </c>
      <c r="D14" s="30">
        <f>D13+D12</f>
        <v>272000</v>
      </c>
      <c r="E14" s="30">
        <f t="shared" ref="E14:H14" si="3">E13+E12</f>
        <v>280028</v>
      </c>
      <c r="F14" s="30">
        <f t="shared" si="3"/>
        <v>289597.67200000002</v>
      </c>
      <c r="G14" s="30">
        <f t="shared" si="3"/>
        <v>300550.93812800001</v>
      </c>
      <c r="H14" s="30">
        <f t="shared" si="3"/>
        <v>312770.65133507201</v>
      </c>
    </row>
    <row r="16" spans="1:10" x14ac:dyDescent="0.25">
      <c r="A16" s="23" t="s">
        <v>2</v>
      </c>
      <c r="D16" s="13">
        <f>D13*$I$16</f>
        <v>185000</v>
      </c>
      <c r="E16" s="13">
        <f>E13*$I$16</f>
        <v>194250</v>
      </c>
      <c r="F16" s="13">
        <f>F13*$I$16</f>
        <v>203962.5</v>
      </c>
      <c r="G16" s="13">
        <f>G13*$I$16</f>
        <v>214160.625</v>
      </c>
      <c r="H16" s="13">
        <f>H13*$I$16</f>
        <v>224868.65625</v>
      </c>
      <c r="I16" s="34">
        <v>0.74</v>
      </c>
      <c r="J16" s="23" t="s">
        <v>64</v>
      </c>
    </row>
    <row r="17" spans="1:11" x14ac:dyDescent="0.25">
      <c r="A17" s="24"/>
      <c r="D17" s="13"/>
      <c r="E17" s="13"/>
      <c r="F17" s="13"/>
      <c r="G17" s="13"/>
      <c r="H17" s="13"/>
    </row>
    <row r="18" spans="1:11" x14ac:dyDescent="0.25">
      <c r="A18" s="23" t="s">
        <v>3</v>
      </c>
      <c r="D18" s="13"/>
      <c r="E18" s="13"/>
      <c r="F18" s="13"/>
      <c r="G18" s="13"/>
      <c r="H18" s="13"/>
    </row>
    <row r="19" spans="1:11" x14ac:dyDescent="0.25">
      <c r="B19" s="23" t="s">
        <v>61</v>
      </c>
      <c r="D19" s="13">
        <v>2650</v>
      </c>
      <c r="E19" s="13">
        <f>D19*(1+$I$19)</f>
        <v>2729.5</v>
      </c>
      <c r="F19" s="13">
        <f>E19*(1+$I$19)</f>
        <v>2811.3850000000002</v>
      </c>
      <c r="G19" s="13">
        <f>F19*(1+$I$19)</f>
        <v>2895.7265500000003</v>
      </c>
      <c r="H19" s="13">
        <f>G19*(1+$I$19)</f>
        <v>2982.5983465000004</v>
      </c>
      <c r="I19" s="34">
        <v>0.03</v>
      </c>
    </row>
    <row r="20" spans="1:11" x14ac:dyDescent="0.25">
      <c r="B20" s="23" t="s">
        <v>62</v>
      </c>
      <c r="D20" s="13">
        <v>42240</v>
      </c>
      <c r="E20" s="13">
        <f>D20*(1+$I$20)</f>
        <v>43507.200000000004</v>
      </c>
      <c r="F20" s="13">
        <f>E20*(1+$I$20)</f>
        <v>44812.416000000005</v>
      </c>
      <c r="G20" s="13">
        <f>F20*(1+$I$20)</f>
        <v>46156.788480000003</v>
      </c>
      <c r="H20" s="13">
        <f>G20*(1+$I$20)</f>
        <v>47541.492134400003</v>
      </c>
      <c r="I20" s="34">
        <v>0.03</v>
      </c>
    </row>
    <row r="21" spans="1:11" x14ac:dyDescent="0.25">
      <c r="B21" s="23" t="s">
        <v>63</v>
      </c>
      <c r="D21" s="13">
        <v>12000</v>
      </c>
      <c r="E21" s="13">
        <f>D21*(1+$I$21)</f>
        <v>12120</v>
      </c>
      <c r="F21" s="13">
        <f>E21*(1+$I$21)</f>
        <v>12241.2</v>
      </c>
      <c r="G21" s="13">
        <f>F21*(1+$I$21)</f>
        <v>12363.612000000001</v>
      </c>
      <c r="H21" s="13">
        <f>G21*(1+$I$21)</f>
        <v>12487.248120000002</v>
      </c>
      <c r="I21" s="38">
        <v>0.01</v>
      </c>
    </row>
    <row r="22" spans="1:11" x14ac:dyDescent="0.25">
      <c r="B22" s="23" t="s">
        <v>4</v>
      </c>
      <c r="D22" s="13">
        <v>2400</v>
      </c>
      <c r="E22" s="13">
        <f>D22*(1+$I$22)</f>
        <v>2424</v>
      </c>
      <c r="F22" s="13">
        <f>E22*(1+$I$22)</f>
        <v>2448.2400000000002</v>
      </c>
      <c r="G22" s="13">
        <f>F22*(1+$I$22)</f>
        <v>2472.7224000000001</v>
      </c>
      <c r="H22" s="13">
        <f>G22*(1+$I$22)</f>
        <v>2497.4496240000003</v>
      </c>
      <c r="I22" s="28">
        <v>0.01</v>
      </c>
    </row>
    <row r="23" spans="1:11" x14ac:dyDescent="0.25">
      <c r="B23" s="23" t="s">
        <v>69</v>
      </c>
      <c r="D23" s="13">
        <f>D61*$I$23</f>
        <v>0</v>
      </c>
      <c r="E23" s="13">
        <f>E61*$I$23</f>
        <v>0</v>
      </c>
      <c r="F23" s="13">
        <f>F61*$I$23</f>
        <v>0</v>
      </c>
      <c r="G23" s="13">
        <f>G61*$I$23</f>
        <v>3679.5185387763477</v>
      </c>
      <c r="H23" s="13">
        <f>H61*$I$23</f>
        <v>8057.6369394265894</v>
      </c>
      <c r="I23" s="28">
        <v>0.08</v>
      </c>
      <c r="J23" s="23" t="s">
        <v>70</v>
      </c>
    </row>
    <row r="24" spans="1:11" x14ac:dyDescent="0.25">
      <c r="B24" s="23" t="s">
        <v>71</v>
      </c>
      <c r="D24" s="13">
        <f>SUM(D45:D46)*$I$24</f>
        <v>5628</v>
      </c>
      <c r="E24" s="13">
        <f>SUM(E45:E46)*$I$24</f>
        <v>5628</v>
      </c>
      <c r="F24" s="13">
        <f>SUM(F45:F46)*$I$24</f>
        <v>5628</v>
      </c>
      <c r="G24" s="13">
        <f>SUM(G45:G46)*$I$24</f>
        <v>5628</v>
      </c>
      <c r="H24" s="13">
        <f>SUM(H45:H46)*$I$24</f>
        <v>5628</v>
      </c>
      <c r="I24" s="27">
        <v>9.3799999999999994E-3</v>
      </c>
    </row>
    <row r="25" spans="1:11" x14ac:dyDescent="0.25">
      <c r="D25" s="13"/>
      <c r="E25" s="13"/>
      <c r="F25" s="13"/>
      <c r="G25" s="13"/>
      <c r="H25" s="13"/>
    </row>
    <row r="26" spans="1:11" x14ac:dyDescent="0.25">
      <c r="A26" s="23" t="s">
        <v>75</v>
      </c>
      <c r="D26" s="12">
        <f>D477/J48</f>
        <v>0</v>
      </c>
      <c r="E26" s="12">
        <f>D26</f>
        <v>0</v>
      </c>
      <c r="F26" s="12">
        <f>E26</f>
        <v>0</v>
      </c>
      <c r="G26" s="12">
        <f t="shared" ref="G26:H26" si="4">F26</f>
        <v>0</v>
      </c>
      <c r="H26" s="12">
        <f t="shared" si="4"/>
        <v>0</v>
      </c>
    </row>
    <row r="27" spans="1:11" x14ac:dyDescent="0.25">
      <c r="A27" s="23" t="s">
        <v>74</v>
      </c>
      <c r="D27" s="12">
        <f>D46/30</f>
        <v>18000</v>
      </c>
      <c r="E27" s="12">
        <f t="shared" ref="E27:H27" si="5">E46/30</f>
        <v>18000</v>
      </c>
      <c r="F27" s="12">
        <f t="shared" si="5"/>
        <v>18000</v>
      </c>
      <c r="G27" s="12">
        <f t="shared" si="5"/>
        <v>18000</v>
      </c>
      <c r="H27" s="12">
        <f t="shared" si="5"/>
        <v>18000</v>
      </c>
    </row>
    <row r="28" spans="1:11" x14ac:dyDescent="0.25">
      <c r="D28" s="13"/>
      <c r="E28" s="13"/>
      <c r="F28" s="13"/>
      <c r="G28" s="13"/>
      <c r="H28" s="13"/>
      <c r="I28" s="27"/>
    </row>
    <row r="29" spans="1:11" x14ac:dyDescent="0.25">
      <c r="A29" s="23" t="s">
        <v>65</v>
      </c>
      <c r="D29" s="13">
        <f>+[1]Mortgage!D15</f>
        <v>24048.424961524794</v>
      </c>
      <c r="E29" s="13">
        <f>+[1]Mortgage!D29</f>
        <v>22812.984545865624</v>
      </c>
      <c r="F29" s="13">
        <f>+[1]Mortgage!D43</f>
        <v>21525.928293431545</v>
      </c>
      <c r="G29" s="13">
        <f>+[1]Mortgage!D57</f>
        <v>20185.099730650723</v>
      </c>
      <c r="H29" s="13">
        <f>+[1]Mortgage!D71</f>
        <v>18788.252287993211</v>
      </c>
      <c r="I29" s="27"/>
    </row>
    <row r="30" spans="1:11" x14ac:dyDescent="0.25">
      <c r="A30" s="23" t="s">
        <v>22</v>
      </c>
      <c r="D30" s="13">
        <f>D61*$I$30</f>
        <v>0</v>
      </c>
      <c r="E30" s="13">
        <f>E61*$I$30</f>
        <v>0</v>
      </c>
      <c r="F30" s="13">
        <f>F61*$I$30</f>
        <v>0</v>
      </c>
      <c r="G30" s="13">
        <f>G61*$I$30</f>
        <v>3219.5787214293041</v>
      </c>
      <c r="H30" s="13">
        <f>H61*$I$30</f>
        <v>7050.4323219982662</v>
      </c>
      <c r="I30" s="40">
        <v>7.0000000000000007E-2</v>
      </c>
      <c r="K30" s="34"/>
    </row>
    <row r="31" spans="1:11" x14ac:dyDescent="0.25">
      <c r="D31" s="13"/>
      <c r="E31" s="13"/>
      <c r="F31" s="13"/>
      <c r="G31" s="13"/>
      <c r="H31" s="13"/>
    </row>
    <row r="32" spans="1:11" x14ac:dyDescent="0.25">
      <c r="A32" s="23" t="s">
        <v>16</v>
      </c>
      <c r="D32" s="25">
        <f>D14-D16-D19-D20-D21-D22-D23-D24-D26-D27-D29-D30</f>
        <v>-19966.424961524794</v>
      </c>
      <c r="E32" s="25">
        <f t="shared" ref="E32:H32" si="6">E14-E16-E19-E20-E21-E22-E23-E24-E26-E27-E29-E30</f>
        <v>-21443.684545865628</v>
      </c>
      <c r="F32" s="25">
        <f t="shared" si="6"/>
        <v>-21831.997293431526</v>
      </c>
      <c r="G32" s="25">
        <f t="shared" si="6"/>
        <v>-28210.733292856377</v>
      </c>
      <c r="H32" s="25">
        <f t="shared" si="6"/>
        <v>-35131.114689246075</v>
      </c>
      <c r="I32" s="28"/>
    </row>
    <row r="33" spans="1:17" x14ac:dyDescent="0.25">
      <c r="A33" s="29" t="s">
        <v>17</v>
      </c>
      <c r="D33" s="13">
        <f>IF(D32&lt;0,0,D32*I33)</f>
        <v>0</v>
      </c>
      <c r="E33" s="13">
        <f>IF(E32&lt;0,0,E32*$I$33)</f>
        <v>0</v>
      </c>
      <c r="F33" s="13">
        <f>IF(F32&lt;0,0,F32*$I$33)</f>
        <v>0</v>
      </c>
      <c r="G33" s="13">
        <f>IF(G32&lt;0,0,G32*$I$33)</f>
        <v>0</v>
      </c>
      <c r="H33" s="13">
        <f>IF(H32&lt;0,0,H32*$I$33)</f>
        <v>0</v>
      </c>
      <c r="I33" s="34">
        <v>0.35</v>
      </c>
    </row>
    <row r="34" spans="1:17" x14ac:dyDescent="0.25">
      <c r="A34" s="31" t="s">
        <v>18</v>
      </c>
      <c r="D34" s="30">
        <f>D32-D33</f>
        <v>-19966.424961524794</v>
      </c>
      <c r="E34" s="30">
        <f t="shared" ref="E34:H34" si="7">E32-E33</f>
        <v>-21443.684545865628</v>
      </c>
      <c r="F34" s="30">
        <f t="shared" si="7"/>
        <v>-21831.997293431526</v>
      </c>
      <c r="G34" s="30">
        <f t="shared" si="7"/>
        <v>-28210.733292856377</v>
      </c>
      <c r="H34" s="30">
        <f t="shared" si="7"/>
        <v>-35131.114689246075</v>
      </c>
    </row>
    <row r="35" spans="1:17" x14ac:dyDescent="0.25">
      <c r="D35" s="62" t="s">
        <v>28</v>
      </c>
      <c r="E35" s="62" t="s">
        <v>29</v>
      </c>
      <c r="F35" s="62" t="s">
        <v>30</v>
      </c>
      <c r="G35" s="62" t="s">
        <v>31</v>
      </c>
      <c r="H35" s="62" t="s">
        <v>50</v>
      </c>
    </row>
    <row r="36" spans="1:17" x14ac:dyDescent="0.25">
      <c r="A36" s="22" t="s">
        <v>5</v>
      </c>
      <c r="L36" s="59"/>
      <c r="M36" s="59"/>
      <c r="N36" s="59"/>
      <c r="O36" s="59"/>
      <c r="P36" s="59"/>
      <c r="Q36" s="59"/>
    </row>
    <row r="37" spans="1:17" x14ac:dyDescent="0.25">
      <c r="A37" s="22" t="s">
        <v>6</v>
      </c>
      <c r="D37" s="35"/>
      <c r="J37" s="56"/>
      <c r="K37" s="56"/>
      <c r="L37" s="57"/>
      <c r="M37" s="56"/>
      <c r="N37" s="56"/>
      <c r="O37" s="57"/>
      <c r="P37" s="59"/>
      <c r="Q37" s="59"/>
    </row>
    <row r="38" spans="1:17" x14ac:dyDescent="0.25">
      <c r="B38" s="23" t="s">
        <v>20</v>
      </c>
      <c r="D38" s="13">
        <v>5000</v>
      </c>
      <c r="E38" s="13">
        <v>5000</v>
      </c>
      <c r="F38" s="13">
        <v>5000</v>
      </c>
      <c r="G38" s="13">
        <v>5000</v>
      </c>
      <c r="H38" s="13">
        <v>5000</v>
      </c>
      <c r="I38" s="25"/>
      <c r="J38" s="11"/>
      <c r="L38" s="59"/>
      <c r="M38" s="58"/>
      <c r="N38" s="59"/>
      <c r="O38" s="69"/>
      <c r="P38" s="59"/>
      <c r="Q38" s="59"/>
    </row>
    <row r="39" spans="1:17" x14ac:dyDescent="0.25">
      <c r="B39" s="23" t="s">
        <v>21</v>
      </c>
      <c r="D39" s="13">
        <v>75325.041441433437</v>
      </c>
      <c r="E39" s="13">
        <v>38702.73539428215</v>
      </c>
      <c r="F39" s="13">
        <v>279</v>
      </c>
      <c r="G39" s="13"/>
      <c r="H39" s="13"/>
      <c r="I39" s="25"/>
      <c r="J39" s="11"/>
      <c r="L39" s="59"/>
      <c r="M39" s="58"/>
      <c r="N39" s="59"/>
      <c r="O39" s="69"/>
      <c r="P39" s="59"/>
      <c r="Q39" s="59"/>
    </row>
    <row r="40" spans="1:17" x14ac:dyDescent="0.25">
      <c r="B40" s="23" t="s">
        <v>7</v>
      </c>
      <c r="D40" s="25">
        <f t="shared" ref="D40:H40" si="8">D14*(D41/365)*0.75</f>
        <v>1676.7123287671229</v>
      </c>
      <c r="E40" s="25">
        <f t="shared" si="8"/>
        <v>1726.1999999999998</v>
      </c>
      <c r="F40" s="25">
        <f t="shared" si="8"/>
        <v>1785.1911287671232</v>
      </c>
      <c r="G40" s="25">
        <f t="shared" si="8"/>
        <v>1852.7112624328765</v>
      </c>
      <c r="H40" s="25">
        <f t="shared" si="8"/>
        <v>1928.0382616545533</v>
      </c>
      <c r="J40" s="11"/>
      <c r="L40" s="59"/>
      <c r="M40" s="58"/>
      <c r="N40" s="59"/>
      <c r="O40" s="69"/>
      <c r="P40" s="59"/>
      <c r="Q40" s="59"/>
    </row>
    <row r="41" spans="1:17" x14ac:dyDescent="0.25">
      <c r="B41" s="23" t="s">
        <v>47</v>
      </c>
      <c r="D41" s="32">
        <v>3</v>
      </c>
      <c r="E41" s="32">
        <v>3</v>
      </c>
      <c r="F41" s="32">
        <v>3</v>
      </c>
      <c r="G41" s="32">
        <v>3</v>
      </c>
      <c r="H41" s="32">
        <v>3</v>
      </c>
      <c r="J41" s="11"/>
      <c r="L41" s="59"/>
      <c r="M41" s="58"/>
      <c r="N41" s="59"/>
      <c r="O41" s="59"/>
      <c r="P41" s="59"/>
      <c r="Q41" s="59"/>
    </row>
    <row r="42" spans="1:17" x14ac:dyDescent="0.25">
      <c r="B42" s="23" t="s">
        <v>8</v>
      </c>
      <c r="D42" s="25">
        <f t="shared" ref="D42:H42" si="9">D16/D43</f>
        <v>61666.666666666664</v>
      </c>
      <c r="E42" s="25">
        <f t="shared" si="9"/>
        <v>64750</v>
      </c>
      <c r="F42" s="25">
        <f t="shared" si="9"/>
        <v>67987.5</v>
      </c>
      <c r="G42" s="25">
        <f t="shared" si="9"/>
        <v>71386.875</v>
      </c>
      <c r="H42" s="25">
        <f t="shared" si="9"/>
        <v>74956.21875</v>
      </c>
      <c r="J42" s="11"/>
      <c r="L42" s="59"/>
      <c r="M42" s="58"/>
      <c r="N42" s="59"/>
      <c r="O42" s="70"/>
      <c r="P42" s="59"/>
      <c r="Q42" s="59"/>
    </row>
    <row r="43" spans="1:17" x14ac:dyDescent="0.25">
      <c r="B43" s="23" t="s">
        <v>49</v>
      </c>
      <c r="D43" s="32">
        <v>3</v>
      </c>
      <c r="E43" s="32">
        <f>D43</f>
        <v>3</v>
      </c>
      <c r="F43" s="32">
        <f t="shared" ref="F43:H43" si="10">E43</f>
        <v>3</v>
      </c>
      <c r="G43" s="32">
        <f t="shared" si="10"/>
        <v>3</v>
      </c>
      <c r="H43" s="32">
        <f t="shared" si="10"/>
        <v>3</v>
      </c>
      <c r="I43" s="34"/>
      <c r="J43" s="11"/>
      <c r="L43" s="59"/>
      <c r="M43" s="58"/>
      <c r="N43" s="59"/>
      <c r="O43" s="59"/>
      <c r="P43" s="59"/>
      <c r="Q43" s="59"/>
    </row>
    <row r="44" spans="1:17" x14ac:dyDescent="0.25">
      <c r="J44" s="11"/>
      <c r="L44" s="59"/>
      <c r="M44" s="58"/>
      <c r="N44" s="59"/>
      <c r="O44" s="59"/>
      <c r="P44" s="59"/>
      <c r="Q44" s="59"/>
    </row>
    <row r="45" spans="1:17" x14ac:dyDescent="0.25">
      <c r="B45" s="23" t="s">
        <v>23</v>
      </c>
      <c r="D45" s="32">
        <v>60000</v>
      </c>
      <c r="E45" s="39">
        <f>D45</f>
        <v>60000</v>
      </c>
      <c r="F45" s="39">
        <f t="shared" ref="F45:H46" si="11">E45</f>
        <v>60000</v>
      </c>
      <c r="G45" s="39">
        <f t="shared" si="11"/>
        <v>60000</v>
      </c>
      <c r="H45" s="39">
        <f t="shared" si="11"/>
        <v>60000</v>
      </c>
      <c r="J45" s="11"/>
      <c r="L45" s="59"/>
      <c r="M45" s="58"/>
      <c r="N45" s="70"/>
      <c r="O45" s="59"/>
      <c r="P45" s="59"/>
      <c r="Q45" s="59"/>
    </row>
    <row r="46" spans="1:17" x14ac:dyDescent="0.25">
      <c r="B46" s="23" t="s">
        <v>76</v>
      </c>
      <c r="D46" s="32">
        <v>540000</v>
      </c>
      <c r="E46" s="32">
        <f>D46</f>
        <v>540000</v>
      </c>
      <c r="F46" s="32">
        <f t="shared" si="11"/>
        <v>540000</v>
      </c>
      <c r="G46" s="32">
        <f t="shared" si="11"/>
        <v>540000</v>
      </c>
      <c r="H46" s="32">
        <f t="shared" si="11"/>
        <v>540000</v>
      </c>
      <c r="J46" s="11"/>
      <c r="L46" s="59"/>
      <c r="M46" s="58"/>
      <c r="N46" s="70"/>
      <c r="O46" s="59"/>
      <c r="P46" s="59"/>
      <c r="Q46" s="59"/>
    </row>
    <row r="47" spans="1:17" x14ac:dyDescent="0.25">
      <c r="B47" s="23" t="s">
        <v>73</v>
      </c>
      <c r="D47" s="32">
        <f>C47+D27</f>
        <v>18000</v>
      </c>
      <c r="E47" s="32">
        <f t="shared" ref="E47:H47" si="12">D47+E27</f>
        <v>36000</v>
      </c>
      <c r="F47" s="32">
        <f t="shared" si="12"/>
        <v>54000</v>
      </c>
      <c r="G47" s="32">
        <f t="shared" si="12"/>
        <v>72000</v>
      </c>
      <c r="H47" s="32">
        <f t="shared" si="12"/>
        <v>90000</v>
      </c>
      <c r="J47" s="11"/>
      <c r="L47" s="59"/>
      <c r="M47" s="58"/>
      <c r="N47" s="59"/>
      <c r="O47" s="59"/>
      <c r="P47" s="59"/>
      <c r="Q47" s="59"/>
    </row>
    <row r="48" spans="1:17" x14ac:dyDescent="0.25">
      <c r="B48" s="23" t="s">
        <v>67</v>
      </c>
      <c r="D48" s="13">
        <v>20000</v>
      </c>
      <c r="E48" s="13">
        <f>D48</f>
        <v>20000</v>
      </c>
      <c r="F48" s="13">
        <f t="shared" ref="F48:H48" si="13">E48</f>
        <v>20000</v>
      </c>
      <c r="G48" s="13">
        <f t="shared" si="13"/>
        <v>20000</v>
      </c>
      <c r="H48" s="13">
        <f t="shared" si="13"/>
        <v>20000</v>
      </c>
      <c r="J48" s="23">
        <v>5</v>
      </c>
      <c r="L48" s="59"/>
      <c r="M48" s="58"/>
      <c r="N48" s="59"/>
      <c r="O48" s="69"/>
      <c r="P48" s="59"/>
      <c r="Q48" s="59"/>
    </row>
    <row r="49" spans="1:17" x14ac:dyDescent="0.25">
      <c r="B49" s="23" t="s">
        <v>72</v>
      </c>
      <c r="D49" s="13">
        <f>C49+D26</f>
        <v>0</v>
      </c>
      <c r="E49" s="13">
        <f t="shared" ref="E49:H49" si="14">E26+D49</f>
        <v>0</v>
      </c>
      <c r="F49" s="13">
        <f t="shared" si="14"/>
        <v>0</v>
      </c>
      <c r="G49" s="13">
        <f t="shared" si="14"/>
        <v>0</v>
      </c>
      <c r="H49" s="13">
        <f t="shared" si="14"/>
        <v>0</v>
      </c>
      <c r="L49" s="59"/>
      <c r="M49" s="59"/>
      <c r="N49" s="59"/>
      <c r="O49" s="59"/>
      <c r="P49" s="59"/>
      <c r="Q49" s="59"/>
    </row>
    <row r="50" spans="1:17" x14ac:dyDescent="0.25">
      <c r="D50" s="13"/>
      <c r="E50" s="13"/>
      <c r="F50" s="13"/>
      <c r="G50" s="13"/>
      <c r="H50" s="13"/>
      <c r="L50" s="59"/>
      <c r="M50" s="59"/>
      <c r="N50" s="59"/>
      <c r="O50" s="59"/>
      <c r="P50" s="59"/>
      <c r="Q50" s="59"/>
    </row>
    <row r="51" spans="1:17" x14ac:dyDescent="0.25">
      <c r="B51" s="23" t="s">
        <v>68</v>
      </c>
      <c r="D51" s="13">
        <v>110000</v>
      </c>
      <c r="E51" s="13">
        <v>110000</v>
      </c>
      <c r="F51" s="13">
        <v>110000</v>
      </c>
      <c r="G51" s="13">
        <v>110000</v>
      </c>
      <c r="H51" s="13">
        <v>110000</v>
      </c>
      <c r="L51" s="59"/>
      <c r="M51" s="71"/>
      <c r="N51" s="59"/>
      <c r="O51" s="59"/>
      <c r="P51" s="59"/>
      <c r="Q51" s="59"/>
    </row>
    <row r="52" spans="1:17" x14ac:dyDescent="0.25">
      <c r="K52" s="34"/>
      <c r="L52" s="59"/>
      <c r="M52" s="72"/>
      <c r="N52" s="59"/>
      <c r="O52" s="59"/>
      <c r="P52" s="59"/>
      <c r="Q52" s="59"/>
    </row>
    <row r="53" spans="1:17" x14ac:dyDescent="0.25">
      <c r="A53" s="22" t="s">
        <v>27</v>
      </c>
      <c r="D53" s="30">
        <f>+D38+D39+D40+D42+D45+D46-D47+D48-D49+D51</f>
        <v>855668.42043686728</v>
      </c>
      <c r="E53" s="30">
        <f t="shared" ref="E53:H53" si="15">+E38+E39+E40+E42+E45+E46-E47+E48-E49+E51</f>
        <v>804178.93539428222</v>
      </c>
      <c r="F53" s="30">
        <f t="shared" si="15"/>
        <v>751051.6911287671</v>
      </c>
      <c r="G53" s="30">
        <f t="shared" si="15"/>
        <v>736239.58626243286</v>
      </c>
      <c r="H53" s="30">
        <f t="shared" si="15"/>
        <v>721884.25701165455</v>
      </c>
      <c r="J53" s="10"/>
      <c r="K53" s="51"/>
      <c r="L53" s="57"/>
      <c r="M53" s="73"/>
      <c r="N53" s="57"/>
      <c r="O53" s="57"/>
      <c r="P53" s="57"/>
      <c r="Q53" s="59"/>
    </row>
    <row r="54" spans="1:17" x14ac:dyDescent="0.25">
      <c r="A54" s="22"/>
      <c r="D54" s="30"/>
      <c r="E54" s="30"/>
      <c r="F54" s="30"/>
      <c r="G54" s="30"/>
      <c r="H54" s="30"/>
      <c r="J54" s="10"/>
      <c r="K54" s="10"/>
      <c r="L54" s="57"/>
      <c r="M54" s="74"/>
      <c r="N54" s="57"/>
      <c r="O54" s="57"/>
      <c r="P54" s="57"/>
      <c r="Q54" s="59"/>
    </row>
    <row r="55" spans="1:17" x14ac:dyDescent="0.25">
      <c r="A55" s="22" t="s">
        <v>10</v>
      </c>
      <c r="J55" s="10"/>
      <c r="K55" s="10"/>
      <c r="L55" s="75"/>
      <c r="M55" s="57"/>
      <c r="N55" s="57"/>
      <c r="O55" s="57"/>
      <c r="P55" s="57"/>
      <c r="Q55" s="59"/>
    </row>
    <row r="56" spans="1:17" x14ac:dyDescent="0.25">
      <c r="A56" s="23" t="s">
        <v>13</v>
      </c>
      <c r="D56" s="13"/>
      <c r="E56" s="13"/>
      <c r="F56" s="13"/>
      <c r="G56" s="13"/>
      <c r="H56" s="13"/>
      <c r="J56" s="10"/>
      <c r="K56" s="10"/>
      <c r="L56" s="75"/>
      <c r="M56" s="57"/>
      <c r="N56" s="57"/>
      <c r="O56" s="57"/>
      <c r="P56" s="57"/>
      <c r="Q56" s="59"/>
    </row>
    <row r="57" spans="1:17" x14ac:dyDescent="0.25">
      <c r="B57" s="23" t="s">
        <v>19</v>
      </c>
      <c r="D57" s="13">
        <f t="shared" ref="D57:H57" si="16">D16*D58/365</f>
        <v>15205.479452054795</v>
      </c>
      <c r="E57" s="13">
        <f t="shared" si="16"/>
        <v>15965.753424657534</v>
      </c>
      <c r="F57" s="13">
        <f t="shared" si="16"/>
        <v>16764.04109589041</v>
      </c>
      <c r="G57" s="13">
        <f t="shared" si="16"/>
        <v>17602.243150684932</v>
      </c>
      <c r="H57" s="13">
        <f t="shared" si="16"/>
        <v>18482.355308219179</v>
      </c>
      <c r="J57" s="10"/>
      <c r="K57" s="10"/>
      <c r="L57" s="74"/>
      <c r="M57" s="58"/>
      <c r="N57" s="56"/>
      <c r="O57" s="61"/>
      <c r="P57" s="57"/>
      <c r="Q57" s="59"/>
    </row>
    <row r="58" spans="1:17" x14ac:dyDescent="0.25">
      <c r="B58" s="23" t="s">
        <v>48</v>
      </c>
      <c r="D58" s="33">
        <v>30</v>
      </c>
      <c r="E58" s="33">
        <v>30</v>
      </c>
      <c r="F58" s="33">
        <v>30</v>
      </c>
      <c r="G58" s="33">
        <v>30</v>
      </c>
      <c r="H58" s="33">
        <v>30</v>
      </c>
      <c r="J58" s="10"/>
      <c r="K58" s="10"/>
      <c r="L58" s="57"/>
      <c r="M58" s="57"/>
      <c r="N58" s="57"/>
      <c r="O58" s="57"/>
      <c r="P58" s="57"/>
      <c r="Q58" s="59"/>
    </row>
    <row r="59" spans="1:17" x14ac:dyDescent="0.25">
      <c r="B59" s="23" t="s">
        <v>11</v>
      </c>
      <c r="D59" s="13">
        <f t="shared" ref="D59:H59" si="17">D33</f>
        <v>0</v>
      </c>
      <c r="E59" s="13">
        <f t="shared" si="17"/>
        <v>0</v>
      </c>
      <c r="F59" s="13">
        <f t="shared" si="17"/>
        <v>0</v>
      </c>
      <c r="G59" s="13">
        <f t="shared" si="17"/>
        <v>0</v>
      </c>
      <c r="H59" s="13">
        <f t="shared" si="17"/>
        <v>0</v>
      </c>
      <c r="L59" s="59"/>
      <c r="M59" s="59"/>
      <c r="N59" s="59"/>
      <c r="O59" s="57"/>
      <c r="P59" s="57"/>
      <c r="Q59" s="59"/>
    </row>
    <row r="60" spans="1:17" x14ac:dyDescent="0.25">
      <c r="B60" s="23" t="s">
        <v>25</v>
      </c>
      <c r="D60" s="13">
        <f>+[1]Mortgage!F14</f>
        <v>570429.36594633712</v>
      </c>
      <c r="E60" s="13">
        <f>+[1]Mortgage!F28</f>
        <v>539623.29147701501</v>
      </c>
      <c r="F60" s="13">
        <f>+[1]Mortgage!F42</f>
        <v>507530.16075525875</v>
      </c>
      <c r="G60" s="13">
        <f>+[1]Mortgage!F56</f>
        <v>474096.20147072192</v>
      </c>
      <c r="H60" s="13">
        <f>+[1]Mortgage!F70</f>
        <v>439265.39474352746</v>
      </c>
      <c r="L60" s="59"/>
      <c r="M60" s="59"/>
      <c r="N60" s="59"/>
      <c r="O60" s="59"/>
      <c r="P60" s="57"/>
      <c r="Q60" s="59"/>
    </row>
    <row r="61" spans="1:17" x14ac:dyDescent="0.25">
      <c r="B61" s="23" t="s">
        <v>24</v>
      </c>
      <c r="D61" s="13">
        <v>0</v>
      </c>
      <c r="E61" s="13">
        <v>0</v>
      </c>
      <c r="F61" s="13"/>
      <c r="G61" s="13">
        <v>45993.981734704343</v>
      </c>
      <c r="H61" s="13">
        <v>100720.46174283237</v>
      </c>
      <c r="L61" s="59"/>
      <c r="M61" s="59"/>
      <c r="N61" s="59"/>
      <c r="O61" s="59"/>
      <c r="P61" s="57"/>
      <c r="Q61" s="59"/>
    </row>
    <row r="62" spans="1:17" x14ac:dyDescent="0.25">
      <c r="D62" s="13"/>
      <c r="E62" s="13"/>
      <c r="F62" s="13"/>
      <c r="G62" s="13"/>
      <c r="H62" s="13"/>
      <c r="L62" s="59"/>
      <c r="M62" s="59"/>
      <c r="N62" s="59"/>
      <c r="O62" s="59"/>
      <c r="P62" s="57"/>
      <c r="Q62" s="59"/>
    </row>
    <row r="63" spans="1:17" x14ac:dyDescent="0.25">
      <c r="A63" s="23" t="s">
        <v>14</v>
      </c>
      <c r="D63" s="13"/>
      <c r="E63" s="13"/>
      <c r="F63" s="13"/>
      <c r="G63" s="13"/>
      <c r="H63" s="13"/>
      <c r="P63" s="10"/>
    </row>
    <row r="64" spans="1:17" x14ac:dyDescent="0.25">
      <c r="B64" s="23" t="s">
        <v>15</v>
      </c>
      <c r="D64" s="13">
        <v>290000</v>
      </c>
      <c r="E64" s="13">
        <v>290000</v>
      </c>
      <c r="F64" s="13">
        <v>290000</v>
      </c>
      <c r="G64" s="13">
        <v>290000</v>
      </c>
      <c r="H64" s="13">
        <v>290000</v>
      </c>
      <c r="O64" s="10"/>
      <c r="P64" s="10"/>
    </row>
    <row r="65" spans="1:16" x14ac:dyDescent="0.25">
      <c r="B65" s="23" t="s">
        <v>12</v>
      </c>
      <c r="C65" s="13"/>
      <c r="D65" s="13">
        <f>D34</f>
        <v>-19966.424961524794</v>
      </c>
      <c r="E65" s="13">
        <f>E34+D65</f>
        <v>-41410.109507390422</v>
      </c>
      <c r="F65" s="13">
        <f>F34+E65</f>
        <v>-63242.106800821944</v>
      </c>
      <c r="G65" s="13">
        <f>G34+F65</f>
        <v>-91452.840093678329</v>
      </c>
      <c r="H65" s="13">
        <f>H34+G65</f>
        <v>-126583.95478292441</v>
      </c>
      <c r="J65" s="10"/>
      <c r="K65" s="10"/>
      <c r="L65" s="10"/>
      <c r="M65" s="10"/>
    </row>
    <row r="66" spans="1:16" x14ac:dyDescent="0.25">
      <c r="D66" s="13"/>
      <c r="E66" s="13"/>
      <c r="F66" s="13"/>
      <c r="G66" s="13"/>
      <c r="H66" s="13"/>
      <c r="J66" s="15"/>
      <c r="K66" s="11"/>
      <c r="L66" s="51"/>
      <c r="M66" s="52"/>
    </row>
    <row r="67" spans="1:16" x14ac:dyDescent="0.25">
      <c r="A67" s="22" t="s">
        <v>26</v>
      </c>
      <c r="D67" s="13">
        <f>+D57+D59+D60+D61+D64+D65</f>
        <v>855668.42043686716</v>
      </c>
      <c r="E67" s="13">
        <f>+E57+E59+E60+E61+E64+E65</f>
        <v>804178.9353942821</v>
      </c>
      <c r="F67" s="13">
        <f>+F57+F59+F60+F61+F64+F65</f>
        <v>751052.09505032725</v>
      </c>
      <c r="G67" s="13">
        <f>+G57+G59+G60+G61+G64+G65</f>
        <v>736239.58626243286</v>
      </c>
      <c r="H67" s="13">
        <f>+H57+H59+H60+H61+H64+H65</f>
        <v>721884.25701165455</v>
      </c>
      <c r="J67" s="15"/>
      <c r="K67" s="11"/>
      <c r="L67" s="50"/>
      <c r="M67" s="52"/>
    </row>
    <row r="68" spans="1:16" x14ac:dyDescent="0.25">
      <c r="D68" s="30">
        <f>D53-D67</f>
        <v>0</v>
      </c>
      <c r="E68" s="30">
        <f>E53-E67</f>
        <v>0</v>
      </c>
      <c r="F68" s="30">
        <f>F53-F67</f>
        <v>-0.40392156015150249</v>
      </c>
      <c r="G68" s="30">
        <f>G53-G67</f>
        <v>0</v>
      </c>
      <c r="H68" s="30">
        <f>H53-H67</f>
        <v>0</v>
      </c>
      <c r="J68" s="15"/>
      <c r="K68" s="11"/>
      <c r="L68" s="51"/>
      <c r="M68" s="51"/>
    </row>
    <row r="69" spans="1:16" x14ac:dyDescent="0.25">
      <c r="A69" s="31" t="s">
        <v>117</v>
      </c>
      <c r="D69" s="30"/>
      <c r="E69" s="30"/>
      <c r="F69" s="30"/>
      <c r="G69" s="30"/>
      <c r="H69" s="30"/>
      <c r="J69" s="15"/>
      <c r="K69" s="11"/>
      <c r="L69" s="51"/>
      <c r="M69" s="51"/>
    </row>
    <row r="70" spans="1:16" x14ac:dyDescent="0.25">
      <c r="C70" s="62" t="s">
        <v>50</v>
      </c>
      <c r="D70" s="56" t="s">
        <v>105</v>
      </c>
      <c r="E70" s="56" t="s">
        <v>106</v>
      </c>
      <c r="F70" s="57" t="s">
        <v>107</v>
      </c>
      <c r="G70" s="30"/>
      <c r="H70" s="30"/>
      <c r="J70" s="15"/>
      <c r="K70" s="11"/>
      <c r="L70" s="51"/>
      <c r="M70" s="51"/>
      <c r="N70" s="52"/>
      <c r="O70" s="47"/>
      <c r="P70" s="49"/>
    </row>
    <row r="71" spans="1:16" x14ac:dyDescent="0.25">
      <c r="A71" s="22" t="s">
        <v>6</v>
      </c>
      <c r="J71" s="15"/>
      <c r="K71" s="10"/>
      <c r="L71" s="10"/>
      <c r="M71" s="10"/>
      <c r="N71" s="10"/>
      <c r="O71" s="10"/>
      <c r="P71" s="10"/>
    </row>
    <row r="72" spans="1:16" x14ac:dyDescent="0.25">
      <c r="B72" s="23" t="s">
        <v>20</v>
      </c>
      <c r="C72" s="30">
        <f>H38</f>
        <v>5000</v>
      </c>
      <c r="D72" s="11">
        <v>1</v>
      </c>
      <c r="F72" s="30">
        <f>D72*C72</f>
        <v>5000</v>
      </c>
      <c r="J72" s="15"/>
      <c r="K72" s="11"/>
      <c r="L72" s="51"/>
      <c r="M72" s="10"/>
      <c r="N72" s="14"/>
      <c r="O72" s="10"/>
      <c r="P72" s="10"/>
    </row>
    <row r="73" spans="1:16" x14ac:dyDescent="0.25">
      <c r="B73" s="23" t="s">
        <v>21</v>
      </c>
      <c r="C73" s="30">
        <f t="shared" ref="C73:C74" si="18">H39</f>
        <v>0</v>
      </c>
      <c r="D73" s="11">
        <v>1</v>
      </c>
      <c r="F73" s="30">
        <f t="shared" ref="F73:F80" si="19">D73*C73</f>
        <v>0</v>
      </c>
      <c r="J73" s="15"/>
      <c r="K73" s="11"/>
      <c r="L73" s="10"/>
      <c r="M73" s="10"/>
      <c r="N73" s="53"/>
      <c r="O73" s="19"/>
      <c r="P73" s="11"/>
    </row>
    <row r="74" spans="1:16" x14ac:dyDescent="0.25">
      <c r="B74" s="23" t="s">
        <v>7</v>
      </c>
      <c r="C74" s="30">
        <f t="shared" si="18"/>
        <v>1928.0382616545533</v>
      </c>
      <c r="D74" s="11">
        <v>0.5</v>
      </c>
      <c r="F74" s="30">
        <f t="shared" si="19"/>
        <v>964.01913082727663</v>
      </c>
      <c r="N74" s="54"/>
    </row>
    <row r="75" spans="1:16" x14ac:dyDescent="0.25">
      <c r="B75" s="23" t="s">
        <v>8</v>
      </c>
      <c r="C75" s="30">
        <f>H42</f>
        <v>74956.21875</v>
      </c>
      <c r="D75" s="11">
        <v>0.5</v>
      </c>
      <c r="F75" s="30">
        <f t="shared" si="19"/>
        <v>37478.109375</v>
      </c>
    </row>
    <row r="76" spans="1:16" x14ac:dyDescent="0.25">
      <c r="B76" s="23" t="s">
        <v>23</v>
      </c>
      <c r="C76" s="39">
        <f>H45</f>
        <v>60000</v>
      </c>
      <c r="D76" s="11">
        <v>0.8</v>
      </c>
      <c r="E76" s="39">
        <f>C76*D76</f>
        <v>48000</v>
      </c>
      <c r="F76" s="30"/>
      <c r="G76" s="39"/>
    </row>
    <row r="77" spans="1:16" x14ac:dyDescent="0.25">
      <c r="B77" s="23" t="s">
        <v>76</v>
      </c>
      <c r="C77" s="39">
        <f>H46</f>
        <v>540000</v>
      </c>
      <c r="D77" s="11">
        <v>0.8</v>
      </c>
      <c r="E77" s="39">
        <f>C77*D77</f>
        <v>432000</v>
      </c>
      <c r="F77" s="30"/>
      <c r="G77" s="32"/>
    </row>
    <row r="78" spans="1:16" x14ac:dyDescent="0.25">
      <c r="B78" s="23" t="s">
        <v>67</v>
      </c>
      <c r="C78" s="39">
        <f>H48</f>
        <v>20000</v>
      </c>
      <c r="D78" s="11">
        <v>0.5</v>
      </c>
      <c r="F78" s="30">
        <f t="shared" si="19"/>
        <v>10000</v>
      </c>
      <c r="G78" s="32"/>
      <c r="H78" s="32"/>
    </row>
    <row r="79" spans="1:16" x14ac:dyDescent="0.25">
      <c r="A79" s="31" t="s">
        <v>13</v>
      </c>
      <c r="F79" s="30"/>
      <c r="G79" s="13"/>
      <c r="H79" s="13"/>
    </row>
    <row r="80" spans="1:16" x14ac:dyDescent="0.25">
      <c r="B80" s="23" t="s">
        <v>19</v>
      </c>
      <c r="C80" s="63">
        <f>H57</f>
        <v>18482.355308219179</v>
      </c>
      <c r="D80" s="64">
        <v>-1</v>
      </c>
      <c r="E80" s="65"/>
      <c r="F80" s="63">
        <f t="shared" si="19"/>
        <v>-18482.355308219179</v>
      </c>
      <c r="G80" s="13"/>
      <c r="H80" s="13"/>
    </row>
    <row r="81" spans="1:8" x14ac:dyDescent="0.25">
      <c r="C81" s="30"/>
      <c r="D81" s="58"/>
      <c r="E81" s="56"/>
      <c r="F81" s="30"/>
      <c r="G81" s="13"/>
      <c r="H81" s="13"/>
    </row>
    <row r="82" spans="1:8" ht="14.25" customHeight="1" x14ac:dyDescent="0.25">
      <c r="C82" s="59" t="s">
        <v>100</v>
      </c>
      <c r="E82" s="12">
        <f>SUM(E72:E80)</f>
        <v>480000</v>
      </c>
      <c r="F82" s="12">
        <f>SUM(F72:F80)</f>
        <v>34959.773197608098</v>
      </c>
      <c r="G82" s="13"/>
      <c r="H82" s="13"/>
    </row>
    <row r="83" spans="1:8" x14ac:dyDescent="0.25">
      <c r="C83" s="59" t="s">
        <v>114</v>
      </c>
      <c r="F83" s="15">
        <f>IF(C88=0,E82-B88,0)</f>
        <v>40734.60525647254</v>
      </c>
      <c r="G83" s="13"/>
      <c r="H83" s="13"/>
    </row>
    <row r="84" spans="1:8" x14ac:dyDescent="0.25">
      <c r="C84" s="59" t="s">
        <v>108</v>
      </c>
      <c r="F84" s="60">
        <v>2000</v>
      </c>
      <c r="G84" s="13"/>
      <c r="H84" s="13"/>
    </row>
    <row r="85" spans="1:8" x14ac:dyDescent="0.25">
      <c r="C85" s="59" t="s">
        <v>100</v>
      </c>
      <c r="F85" s="47">
        <f>F82-F84</f>
        <v>32959.773197608098</v>
      </c>
      <c r="G85" s="13"/>
      <c r="H85" s="13"/>
    </row>
    <row r="86" spans="1:8" x14ac:dyDescent="0.25">
      <c r="C86" s="59"/>
      <c r="F86" s="47"/>
      <c r="G86" s="13"/>
      <c r="H86" s="13"/>
    </row>
    <row r="87" spans="1:8" s="62" customFormat="1" x14ac:dyDescent="0.25">
      <c r="B87" s="66" t="s">
        <v>106</v>
      </c>
      <c r="C87" s="66" t="s">
        <v>109</v>
      </c>
      <c r="D87" s="67" t="s">
        <v>116</v>
      </c>
      <c r="E87" s="67" t="s">
        <v>107</v>
      </c>
      <c r="F87" s="67" t="s">
        <v>110</v>
      </c>
      <c r="G87" s="67" t="s">
        <v>111</v>
      </c>
      <c r="H87" s="68"/>
    </row>
    <row r="88" spans="1:8" x14ac:dyDescent="0.25">
      <c r="B88" s="76">
        <f>IF(E82&lt;H60,E82,H60)</f>
        <v>439265.39474352746</v>
      </c>
      <c r="C88" s="76">
        <f>H60-B88</f>
        <v>0</v>
      </c>
      <c r="D88" s="49">
        <f>C88/$C$90</f>
        <v>0</v>
      </c>
      <c r="E88" s="76">
        <f>F85*D88</f>
        <v>0</v>
      </c>
      <c r="F88" s="76">
        <f>B88+E88</f>
        <v>439265.39474352746</v>
      </c>
      <c r="G88" s="77">
        <f>F88/H60</f>
        <v>1</v>
      </c>
      <c r="H88" s="13"/>
    </row>
    <row r="89" spans="1:8" x14ac:dyDescent="0.25">
      <c r="B89" s="76"/>
      <c r="C89" s="76">
        <f>H61-B89</f>
        <v>100720.46174283237</v>
      </c>
      <c r="D89" s="49">
        <f>C89/$C$90</f>
        <v>1</v>
      </c>
      <c r="E89" s="76">
        <f>F85*D89</f>
        <v>32959.773197608098</v>
      </c>
      <c r="F89" s="76">
        <f>B89+E89</f>
        <v>32959.773197608098</v>
      </c>
      <c r="G89" s="77">
        <f>F89/H61</f>
        <v>0.32724009230382262</v>
      </c>
      <c r="H89" s="13"/>
    </row>
    <row r="90" spans="1:8" x14ac:dyDescent="0.25">
      <c r="B90" s="76"/>
      <c r="C90" s="76">
        <f>SUM(C88:C89)</f>
        <v>100720.46174283237</v>
      </c>
      <c r="D90" s="49"/>
      <c r="H90" s="13"/>
    </row>
    <row r="92" spans="1:8" s="10" customFormat="1" x14ac:dyDescent="0.25">
      <c r="A92" s="9" t="s">
        <v>25</v>
      </c>
      <c r="B92" s="9"/>
      <c r="C92" s="9"/>
      <c r="D92" s="9"/>
      <c r="E92" s="9"/>
      <c r="F92" s="9"/>
      <c r="G92" s="9"/>
      <c r="H92" s="9"/>
    </row>
    <row r="93" spans="1:8" s="10" customFormat="1" x14ac:dyDescent="0.25">
      <c r="A93" s="9"/>
      <c r="B93" s="9" t="s">
        <v>112</v>
      </c>
      <c r="C93" s="43">
        <f>-(D60-C60)</f>
        <v>-570429.36594633712</v>
      </c>
      <c r="D93" s="43">
        <f>-(E60-D60)</f>
        <v>30806.074469322106</v>
      </c>
      <c r="E93" s="43">
        <f>-(F60-E60)</f>
        <v>32093.130721756257</v>
      </c>
      <c r="F93" s="43">
        <f>-(G60-F60)</f>
        <v>33433.959284536832</v>
      </c>
      <c r="G93" s="43">
        <f>-(H60-G60)</f>
        <v>34830.80672719446</v>
      </c>
      <c r="H93" s="43">
        <f>H60</f>
        <v>439265.39474352746</v>
      </c>
    </row>
    <row r="94" spans="1:8" s="10" customFormat="1" x14ac:dyDescent="0.25">
      <c r="A94" s="9"/>
      <c r="B94" s="9" t="s">
        <v>113</v>
      </c>
      <c r="C94" s="9"/>
      <c r="D94" s="43">
        <f>D29</f>
        <v>24048.424961524794</v>
      </c>
      <c r="E94" s="43">
        <f>E29</f>
        <v>22812.984545865624</v>
      </c>
      <c r="F94" s="43">
        <f>F29</f>
        <v>21525.928293431545</v>
      </c>
      <c r="G94" s="43">
        <f>G29</f>
        <v>20185.099730650723</v>
      </c>
      <c r="H94" s="43">
        <f>H29</f>
        <v>18788.252287993211</v>
      </c>
    </row>
    <row r="95" spans="1:8" s="10" customFormat="1" x14ac:dyDescent="0.25">
      <c r="A95" s="9"/>
      <c r="B95" s="9" t="s">
        <v>100</v>
      </c>
      <c r="C95" s="43">
        <f>SUM(C93:C94)</f>
        <v>-570429.36594633712</v>
      </c>
      <c r="D95" s="43">
        <f t="shared" ref="D95:H95" si="20">SUM(D93:D94)</f>
        <v>54854.499430846903</v>
      </c>
      <c r="E95" s="43">
        <f t="shared" si="20"/>
        <v>54906.115267621877</v>
      </c>
      <c r="F95" s="43">
        <f t="shared" si="20"/>
        <v>54959.887577968373</v>
      </c>
      <c r="G95" s="43">
        <f t="shared" si="20"/>
        <v>55015.90645784518</v>
      </c>
      <c r="H95" s="43">
        <f t="shared" si="20"/>
        <v>458053.64703152067</v>
      </c>
    </row>
    <row r="96" spans="1:8" s="10" customFormat="1" x14ac:dyDescent="0.25">
      <c r="A96" s="9"/>
      <c r="B96" s="9" t="s">
        <v>92</v>
      </c>
      <c r="C96" s="16">
        <f>IRR(C95:H95)</f>
        <v>4.2406846840332912E-2</v>
      </c>
      <c r="D96" s="44"/>
      <c r="E96" s="44"/>
      <c r="F96" s="44"/>
      <c r="G96" s="44"/>
      <c r="H96" s="44"/>
    </row>
    <row r="97" spans="1:9" s="10" customFormat="1" x14ac:dyDescent="0.25">
      <c r="A97" s="9"/>
      <c r="B97" s="9"/>
      <c r="C97" s="9"/>
      <c r="D97" s="43"/>
      <c r="E97" s="43"/>
      <c r="F97" s="43"/>
      <c r="G97" s="43"/>
      <c r="H97" s="43"/>
    </row>
    <row r="98" spans="1:9" s="10" customFormat="1" x14ac:dyDescent="0.25">
      <c r="A98" s="9" t="s">
        <v>115</v>
      </c>
      <c r="B98" s="9"/>
      <c r="C98" s="9"/>
      <c r="D98" s="9"/>
      <c r="E98" s="9"/>
      <c r="F98" s="9"/>
      <c r="G98" s="9"/>
      <c r="H98" s="9"/>
    </row>
    <row r="99" spans="1:9" s="10" customFormat="1" x14ac:dyDescent="0.25">
      <c r="A99" s="9"/>
      <c r="B99" s="9" t="s">
        <v>112</v>
      </c>
      <c r="C99" s="43">
        <f>-(D61-C61)</f>
        <v>0</v>
      </c>
      <c r="D99" s="43">
        <f>-(E61-D61)</f>
        <v>0</v>
      </c>
      <c r="E99" s="43">
        <f>-(F61-E61)</f>
        <v>0</v>
      </c>
      <c r="F99" s="43">
        <f>-(G61-F61)</f>
        <v>-45993.981734704343</v>
      </c>
      <c r="G99" s="43">
        <f>-(H61-G61)</f>
        <v>-54726.480008128026</v>
      </c>
      <c r="H99" s="43">
        <f>F89</f>
        <v>32959.773197608098</v>
      </c>
    </row>
    <row r="100" spans="1:9" s="10" customFormat="1" x14ac:dyDescent="0.25">
      <c r="A100" s="9"/>
      <c r="B100" s="9" t="s">
        <v>113</v>
      </c>
      <c r="C100" s="9"/>
      <c r="D100" s="43">
        <f>D30</f>
        <v>0</v>
      </c>
      <c r="E100" s="43">
        <f>E30</f>
        <v>0</v>
      </c>
      <c r="F100" s="43">
        <f>F30</f>
        <v>0</v>
      </c>
      <c r="G100" s="43">
        <f>G30</f>
        <v>3219.5787214293041</v>
      </c>
      <c r="H100" s="43">
        <f>H30</f>
        <v>7050.4323219982662</v>
      </c>
    </row>
    <row r="101" spans="1:9" s="10" customFormat="1" x14ac:dyDescent="0.25">
      <c r="A101" s="9"/>
      <c r="B101" s="9" t="s">
        <v>100</v>
      </c>
      <c r="C101" s="43">
        <f>SUM(C99:C100)</f>
        <v>0</v>
      </c>
      <c r="D101" s="43">
        <f t="shared" ref="D101:H101" si="21">SUM(D99:D100)</f>
        <v>0</v>
      </c>
      <c r="E101" s="43">
        <f t="shared" si="21"/>
        <v>0</v>
      </c>
      <c r="F101" s="43">
        <f t="shared" si="21"/>
        <v>-45993.981734704343</v>
      </c>
      <c r="G101" s="43">
        <f t="shared" si="21"/>
        <v>-51506.901286698725</v>
      </c>
      <c r="H101" s="43">
        <f t="shared" si="21"/>
        <v>40010.205519606367</v>
      </c>
    </row>
    <row r="102" spans="1:9" s="10" customFormat="1" x14ac:dyDescent="0.25">
      <c r="A102" s="9"/>
      <c r="B102" s="9" t="s">
        <v>92</v>
      </c>
      <c r="C102" s="16">
        <f>IRR(C101:H101)</f>
        <v>-0.47207818859856243</v>
      </c>
      <c r="D102" s="44"/>
      <c r="E102" s="44"/>
      <c r="F102" s="44"/>
      <c r="G102" s="44"/>
      <c r="H102" s="44"/>
    </row>
    <row r="103" spans="1:9" s="10" customFormat="1" x14ac:dyDescent="0.25">
      <c r="A103" s="9"/>
      <c r="B103" s="9"/>
      <c r="C103" s="43"/>
      <c r="D103" s="43"/>
      <c r="E103" s="43"/>
      <c r="F103" s="43"/>
      <c r="G103" s="43"/>
      <c r="H103" s="43"/>
    </row>
    <row r="104" spans="1:9" s="10" customFormat="1" x14ac:dyDescent="0.25">
      <c r="A104" s="9"/>
      <c r="B104" s="9"/>
      <c r="C104" s="43"/>
      <c r="D104" s="43"/>
      <c r="E104" s="43"/>
      <c r="F104" s="43"/>
      <c r="G104" s="43"/>
      <c r="H104" s="43"/>
    </row>
    <row r="105" spans="1:9" s="10" customFormat="1" x14ac:dyDescent="0.25">
      <c r="A105" s="9"/>
      <c r="B105" s="9"/>
      <c r="C105" s="43"/>
      <c r="D105" s="43"/>
      <c r="E105" s="43"/>
      <c r="F105" s="43"/>
      <c r="G105" s="43"/>
      <c r="H105" s="43"/>
    </row>
    <row r="106" spans="1:9" s="10" customFormat="1" x14ac:dyDescent="0.25">
      <c r="A106" s="9"/>
      <c r="B106" s="9"/>
      <c r="C106" s="46"/>
      <c r="D106" s="46"/>
      <c r="E106" s="46"/>
      <c r="F106" s="46"/>
      <c r="G106" s="46"/>
      <c r="H106" s="46"/>
    </row>
    <row r="107" spans="1:9" s="10" customFormat="1" x14ac:dyDescent="0.25">
      <c r="A107" s="9"/>
      <c r="B107" s="9"/>
      <c r="C107" s="9"/>
      <c r="D107" s="9"/>
      <c r="E107" s="17"/>
      <c r="F107" s="9"/>
      <c r="G107" s="9"/>
      <c r="H107" s="9"/>
    </row>
    <row r="108" spans="1:9" s="10" customFormat="1" x14ac:dyDescent="0.25">
      <c r="A108" s="9"/>
      <c r="B108" s="9"/>
      <c r="C108" s="9"/>
      <c r="D108" s="9"/>
      <c r="E108" s="17"/>
      <c r="F108" s="9"/>
      <c r="G108" s="9"/>
      <c r="H108" s="9"/>
    </row>
    <row r="109" spans="1:9" s="10" customFormat="1" x14ac:dyDescent="0.25">
      <c r="A109" s="9"/>
      <c r="B109" s="9"/>
      <c r="C109" s="46"/>
      <c r="D109" s="46"/>
      <c r="E109" s="46"/>
      <c r="F109" s="46"/>
      <c r="G109" s="46"/>
      <c r="H109" s="46"/>
      <c r="I109" s="11"/>
    </row>
    <row r="110" spans="1:9" s="10" customFormat="1" x14ac:dyDescent="0.25">
      <c r="A110" s="9"/>
      <c r="B110" s="9"/>
      <c r="C110" s="9"/>
      <c r="D110" s="9"/>
      <c r="E110" s="17"/>
      <c r="F110" s="9"/>
      <c r="G110" s="42"/>
      <c r="H110" s="42"/>
      <c r="I110" s="48"/>
    </row>
    <row r="111" spans="1:9" s="10" customFormat="1" x14ac:dyDescent="0.25">
      <c r="A111" s="9"/>
      <c r="B111" s="9"/>
      <c r="C111" s="9"/>
      <c r="D111" s="9"/>
      <c r="E111" s="17"/>
      <c r="F111" s="9"/>
      <c r="G111" s="9"/>
      <c r="H111" s="41"/>
      <c r="I111" s="47"/>
    </row>
    <row r="112" spans="1:9" s="10" customFormat="1" x14ac:dyDescent="0.25">
      <c r="A112" s="9"/>
      <c r="B112" s="9"/>
      <c r="C112" s="9"/>
      <c r="D112" s="9"/>
      <c r="E112" s="17"/>
      <c r="F112" s="9"/>
      <c r="G112" s="9"/>
      <c r="H112" s="9"/>
      <c r="I112" s="11"/>
    </row>
    <row r="113" spans="1:9" s="10" customFormat="1" x14ac:dyDescent="0.25">
      <c r="A113" s="9"/>
      <c r="B113" s="9"/>
      <c r="C113" s="44"/>
      <c r="D113" s="44"/>
      <c r="E113" s="44"/>
      <c r="F113" s="44"/>
      <c r="G113" s="44"/>
      <c r="H113" s="44"/>
      <c r="I113" s="11"/>
    </row>
    <row r="114" spans="1:9" s="10" customFormat="1" x14ac:dyDescent="0.25">
      <c r="A114" s="9"/>
      <c r="B114" s="9"/>
      <c r="C114" s="9"/>
      <c r="D114" s="9"/>
      <c r="E114" s="17"/>
      <c r="F114" s="9"/>
      <c r="G114" s="9"/>
      <c r="H114" s="41"/>
      <c r="I114" s="48"/>
    </row>
    <row r="115" spans="1:9" s="10" customFormat="1" x14ac:dyDescent="0.25">
      <c r="A115" s="9"/>
      <c r="B115" s="9"/>
      <c r="C115" s="9"/>
      <c r="D115" s="9"/>
      <c r="E115" s="17"/>
      <c r="F115" s="9"/>
      <c r="G115" s="9"/>
      <c r="H115" s="41"/>
      <c r="I115" s="47"/>
    </row>
    <row r="116" spans="1:9" s="10" customFormat="1" x14ac:dyDescent="0.25">
      <c r="A116" s="9"/>
      <c r="B116" s="9"/>
      <c r="C116" s="9"/>
      <c r="D116" s="9"/>
      <c r="E116" s="17"/>
      <c r="F116" s="9"/>
      <c r="G116" s="9"/>
      <c r="H116" s="41"/>
      <c r="I116" s="11"/>
    </row>
    <row r="117" spans="1:9" s="10" customFormat="1" x14ac:dyDescent="0.25">
      <c r="A117" s="9"/>
      <c r="B117" s="9"/>
      <c r="C117" s="44"/>
      <c r="D117" s="44"/>
      <c r="E117" s="44"/>
      <c r="F117" s="44"/>
      <c r="G117" s="44"/>
      <c r="H117" s="44"/>
      <c r="I117" s="11"/>
    </row>
    <row r="118" spans="1:9" s="10" customFormat="1" x14ac:dyDescent="0.25">
      <c r="A118" s="9"/>
      <c r="B118" s="9"/>
      <c r="C118" s="9"/>
      <c r="D118" s="9"/>
      <c r="E118" s="17"/>
      <c r="F118" s="9"/>
      <c r="G118" s="9"/>
      <c r="H118" s="41"/>
      <c r="I118" s="15"/>
    </row>
    <row r="119" spans="1:9" s="10" customFormat="1" x14ac:dyDescent="0.25">
      <c r="A119" s="9"/>
      <c r="B119" s="9"/>
      <c r="C119" s="9"/>
      <c r="D119" s="9"/>
      <c r="E119" s="17"/>
      <c r="F119" s="9"/>
      <c r="G119" s="9"/>
      <c r="H119" s="41"/>
      <c r="I119" s="47"/>
    </row>
    <row r="120" spans="1:9" s="10" customFormat="1" x14ac:dyDescent="0.25">
      <c r="A120" s="9"/>
      <c r="B120" s="9"/>
      <c r="C120" s="9"/>
      <c r="D120" s="9"/>
      <c r="E120" s="17"/>
      <c r="F120" s="9"/>
      <c r="G120" s="9"/>
      <c r="H120" s="41"/>
      <c r="I120" s="47"/>
    </row>
    <row r="121" spans="1:9" s="10" customFormat="1" x14ac:dyDescent="0.25">
      <c r="A121" s="9"/>
      <c r="B121" s="9"/>
      <c r="C121" s="43"/>
      <c r="D121" s="43"/>
      <c r="E121" s="43"/>
      <c r="F121" s="43"/>
      <c r="G121" s="43"/>
      <c r="H121" s="43"/>
      <c r="I121" s="47"/>
    </row>
    <row r="122" spans="1:9" s="10" customFormat="1" x14ac:dyDescent="0.25">
      <c r="A122" s="9"/>
      <c r="B122" s="9"/>
      <c r="C122" s="9"/>
      <c r="D122" s="9"/>
      <c r="E122" s="17"/>
      <c r="F122" s="9"/>
      <c r="G122" s="9"/>
      <c r="H122" s="41"/>
      <c r="I122" s="47"/>
    </row>
    <row r="123" spans="1:9" s="10" customFormat="1" x14ac:dyDescent="0.25">
      <c r="A123" s="9"/>
      <c r="B123" s="9"/>
      <c r="C123" s="9"/>
      <c r="D123" s="9"/>
      <c r="E123" s="17"/>
      <c r="F123" s="9"/>
      <c r="G123" s="9"/>
      <c r="H123" s="41"/>
    </row>
    <row r="124" spans="1:9" s="10" customFormat="1" x14ac:dyDescent="0.25">
      <c r="A124" s="18"/>
      <c r="B124" s="9"/>
      <c r="C124" s="44"/>
      <c r="D124" s="44"/>
      <c r="E124" s="44"/>
      <c r="F124" s="44"/>
      <c r="G124" s="44"/>
      <c r="H124" s="44"/>
    </row>
    <row r="125" spans="1:9" s="10" customFormat="1" x14ac:dyDescent="0.25">
      <c r="A125" s="18"/>
      <c r="B125" s="9"/>
      <c r="C125" s="51"/>
      <c r="D125" s="16"/>
      <c r="E125" s="17"/>
      <c r="F125" s="9"/>
      <c r="G125" s="16"/>
      <c r="H125" s="9"/>
    </row>
    <row r="126" spans="1:9" s="10" customFormat="1" x14ac:dyDescent="0.25">
      <c r="C126" s="55"/>
      <c r="D126" s="55"/>
      <c r="E126" s="55"/>
      <c r="F126" s="55"/>
      <c r="G126" s="55"/>
      <c r="H126" s="55"/>
    </row>
    <row r="127" spans="1:9" s="10" customFormat="1" x14ac:dyDescent="0.25">
      <c r="C127" s="47"/>
      <c r="D127" s="45"/>
    </row>
    <row r="128" spans="1:9" s="10" customFormat="1" x14ac:dyDescent="0.25">
      <c r="D128" s="11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opLeftCell="A10" workbookViewId="0">
      <selection activeCell="I3" sqref="I3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</cols>
  <sheetData>
    <row r="1" spans="1:10" x14ac:dyDescent="0.2">
      <c r="B1" s="126" t="s">
        <v>28</v>
      </c>
      <c r="C1" s="126"/>
      <c r="D1" s="126"/>
      <c r="E1" s="126"/>
      <c r="F1" s="126"/>
    </row>
    <row r="2" spans="1:10" x14ac:dyDescent="0.2">
      <c r="B2" t="s">
        <v>32</v>
      </c>
      <c r="C2" t="s">
        <v>33</v>
      </c>
      <c r="D2" t="s">
        <v>34</v>
      </c>
      <c r="E2" t="s">
        <v>35</v>
      </c>
      <c r="F2" t="s">
        <v>36</v>
      </c>
      <c r="H2" t="s">
        <v>37</v>
      </c>
      <c r="I2" s="1">
        <v>4.1000000000000002E-2</v>
      </c>
    </row>
    <row r="3" spans="1:10" x14ac:dyDescent="0.2">
      <c r="A3" s="2">
        <v>1</v>
      </c>
      <c r="B3" s="3">
        <f>I7</f>
        <v>600000</v>
      </c>
      <c r="C3" s="3">
        <f t="shared" ref="C3:C14" si="0">+E3-D3</f>
        <v>2418.2549179323087</v>
      </c>
      <c r="D3" s="3">
        <f t="shared" ref="D3:D14" si="1">B3*$I$3</f>
        <v>2050</v>
      </c>
      <c r="E3" s="3">
        <f t="shared" ref="E3:E14" si="2">-$I$9</f>
        <v>4468.2549179323087</v>
      </c>
      <c r="F3" s="3">
        <f t="shared" ref="F3:F14" si="3">+B3-C3</f>
        <v>597581.74508206767</v>
      </c>
      <c r="H3" t="s">
        <v>38</v>
      </c>
      <c r="I3" s="1">
        <f>+I2/12</f>
        <v>3.4166666666666668E-3</v>
      </c>
    </row>
    <row r="4" spans="1:10" x14ac:dyDescent="0.2">
      <c r="A4" s="2">
        <v>2</v>
      </c>
      <c r="B4" s="3">
        <f t="shared" ref="B4:B14" si="4">+F3</f>
        <v>597581.74508206767</v>
      </c>
      <c r="C4" s="3">
        <f t="shared" si="0"/>
        <v>2426.5172889019104</v>
      </c>
      <c r="D4" s="3">
        <f t="shared" si="1"/>
        <v>2041.737629030398</v>
      </c>
      <c r="E4" s="3">
        <f t="shared" si="2"/>
        <v>4468.2549179323087</v>
      </c>
      <c r="F4" s="3">
        <f t="shared" si="3"/>
        <v>595155.22779316572</v>
      </c>
      <c r="H4" t="s">
        <v>39</v>
      </c>
      <c r="I4" s="4">
        <v>0</v>
      </c>
    </row>
    <row r="5" spans="1:10" x14ac:dyDescent="0.2">
      <c r="A5" s="2">
        <v>3</v>
      </c>
      <c r="B5" s="3">
        <f t="shared" si="4"/>
        <v>595155.22779316572</v>
      </c>
      <c r="C5" s="3">
        <f t="shared" si="0"/>
        <v>2434.8078896389925</v>
      </c>
      <c r="D5" s="3">
        <f t="shared" si="1"/>
        <v>2033.4470282933162</v>
      </c>
      <c r="E5" s="3">
        <f t="shared" si="2"/>
        <v>4468.2549179323087</v>
      </c>
      <c r="F5" s="3">
        <f t="shared" si="3"/>
        <v>592720.41990352678</v>
      </c>
      <c r="H5" t="s">
        <v>40</v>
      </c>
      <c r="I5" s="5">
        <f>+J5*12</f>
        <v>180</v>
      </c>
      <c r="J5">
        <v>15</v>
      </c>
    </row>
    <row r="6" spans="1:10" x14ac:dyDescent="0.2">
      <c r="A6" s="2">
        <v>4</v>
      </c>
      <c r="B6" s="3">
        <f t="shared" si="4"/>
        <v>592720.41990352678</v>
      </c>
      <c r="C6" s="3">
        <f t="shared" si="0"/>
        <v>2443.1268165952588</v>
      </c>
      <c r="D6" s="3">
        <f t="shared" si="1"/>
        <v>2025.1281013370499</v>
      </c>
      <c r="E6" s="3">
        <f t="shared" si="2"/>
        <v>4468.2549179323087</v>
      </c>
      <c r="F6" s="3">
        <f t="shared" si="3"/>
        <v>590277.29308693158</v>
      </c>
      <c r="H6" t="s">
        <v>41</v>
      </c>
      <c r="I6">
        <v>0</v>
      </c>
    </row>
    <row r="7" spans="1:10" x14ac:dyDescent="0.2">
      <c r="A7" s="2">
        <v>5</v>
      </c>
      <c r="B7" s="3">
        <f t="shared" si="4"/>
        <v>590277.29308693158</v>
      </c>
      <c r="C7" s="3">
        <f t="shared" si="0"/>
        <v>2451.4741665519591</v>
      </c>
      <c r="D7" s="3">
        <f t="shared" si="1"/>
        <v>2016.7807513803496</v>
      </c>
      <c r="E7" s="3">
        <f t="shared" si="2"/>
        <v>4468.2549179323087</v>
      </c>
      <c r="F7" s="3">
        <f t="shared" si="3"/>
        <v>587825.81892037962</v>
      </c>
      <c r="H7" t="s">
        <v>42</v>
      </c>
      <c r="I7" s="4">
        <f>SUM('Play It Again Sports'!D56:D57)</f>
        <v>600000</v>
      </c>
    </row>
    <row r="8" spans="1:10" x14ac:dyDescent="0.2">
      <c r="A8" s="2">
        <v>6</v>
      </c>
      <c r="B8" s="3">
        <f t="shared" si="4"/>
        <v>587825.81892037962</v>
      </c>
      <c r="C8" s="3">
        <f t="shared" si="0"/>
        <v>2459.8500366210114</v>
      </c>
      <c r="D8" s="3">
        <f t="shared" si="1"/>
        <v>2008.4048813112972</v>
      </c>
      <c r="E8" s="3">
        <f t="shared" si="2"/>
        <v>4468.2549179323087</v>
      </c>
      <c r="F8" s="3">
        <f t="shared" si="3"/>
        <v>585365.96888375864</v>
      </c>
    </row>
    <row r="9" spans="1:10" x14ac:dyDescent="0.2">
      <c r="A9" s="2">
        <v>7</v>
      </c>
      <c r="B9" s="3">
        <f t="shared" si="4"/>
        <v>585365.96888375864</v>
      </c>
      <c r="C9" s="3">
        <f t="shared" si="0"/>
        <v>2468.2545242461333</v>
      </c>
      <c r="D9" s="3">
        <f t="shared" si="1"/>
        <v>2000.0003936861754</v>
      </c>
      <c r="E9" s="3">
        <f t="shared" si="2"/>
        <v>4468.2549179323087</v>
      </c>
      <c r="F9" s="3">
        <f t="shared" si="3"/>
        <v>582897.71435951255</v>
      </c>
      <c r="H9" t="s">
        <v>35</v>
      </c>
      <c r="I9" s="4">
        <f>PMT(I3,I5,I7,I4,I6)</f>
        <v>-4468.2549179323087</v>
      </c>
    </row>
    <row r="10" spans="1:10" x14ac:dyDescent="0.2">
      <c r="A10" s="2">
        <v>8</v>
      </c>
      <c r="B10" s="3">
        <f t="shared" si="4"/>
        <v>582897.71435951255</v>
      </c>
      <c r="C10" s="3">
        <f t="shared" si="0"/>
        <v>2476.6877272039737</v>
      </c>
      <c r="D10" s="3">
        <f t="shared" si="1"/>
        <v>1991.5671907283347</v>
      </c>
      <c r="E10" s="3">
        <f t="shared" si="2"/>
        <v>4468.2549179323087</v>
      </c>
      <c r="F10" s="3">
        <f t="shared" si="3"/>
        <v>580421.02663230861</v>
      </c>
    </row>
    <row r="11" spans="1:10" x14ac:dyDescent="0.2">
      <c r="A11" s="2">
        <v>9</v>
      </c>
      <c r="B11" s="3">
        <f t="shared" si="4"/>
        <v>580421.02663230861</v>
      </c>
      <c r="C11" s="3">
        <f t="shared" si="0"/>
        <v>2485.1497436052541</v>
      </c>
      <c r="D11" s="3">
        <f t="shared" si="1"/>
        <v>1983.1051743270546</v>
      </c>
      <c r="E11" s="3">
        <f t="shared" si="2"/>
        <v>4468.2549179323087</v>
      </c>
      <c r="F11" s="3">
        <f t="shared" si="3"/>
        <v>577935.87688870332</v>
      </c>
    </row>
    <row r="12" spans="1:10" x14ac:dyDescent="0.2">
      <c r="A12" s="2">
        <v>10</v>
      </c>
      <c r="B12" s="3">
        <f t="shared" si="4"/>
        <v>577935.87688870332</v>
      </c>
      <c r="C12" s="3">
        <f t="shared" si="0"/>
        <v>2493.6406718959056</v>
      </c>
      <c r="D12" s="3">
        <f t="shared" si="1"/>
        <v>1974.6142460364031</v>
      </c>
      <c r="E12" s="3">
        <f t="shared" si="2"/>
        <v>4468.2549179323087</v>
      </c>
      <c r="F12" s="3">
        <f t="shared" si="3"/>
        <v>575442.23621680739</v>
      </c>
    </row>
    <row r="13" spans="1:10" x14ac:dyDescent="0.2">
      <c r="A13" s="2">
        <v>11</v>
      </c>
      <c r="B13" s="3">
        <f t="shared" si="4"/>
        <v>575442.23621680739</v>
      </c>
      <c r="C13" s="3">
        <f t="shared" si="0"/>
        <v>2502.1606108582164</v>
      </c>
      <c r="D13" s="3">
        <f t="shared" si="1"/>
        <v>1966.0943070740921</v>
      </c>
      <c r="E13" s="3">
        <f t="shared" si="2"/>
        <v>4468.2549179323087</v>
      </c>
      <c r="F13" s="3">
        <f t="shared" si="3"/>
        <v>572940.07560594915</v>
      </c>
    </row>
    <row r="14" spans="1:10" x14ac:dyDescent="0.2">
      <c r="A14" s="2">
        <v>12</v>
      </c>
      <c r="B14" s="3">
        <f t="shared" si="4"/>
        <v>572940.07560594915</v>
      </c>
      <c r="C14" s="3">
        <f t="shared" si="0"/>
        <v>2510.7096596119823</v>
      </c>
      <c r="D14" s="3">
        <f t="shared" si="1"/>
        <v>1957.5452583203264</v>
      </c>
      <c r="E14" s="3">
        <f t="shared" si="2"/>
        <v>4468.2549179323087</v>
      </c>
      <c r="F14" s="6">
        <f t="shared" si="3"/>
        <v>570429.36594633712</v>
      </c>
    </row>
    <row r="15" spans="1:10" x14ac:dyDescent="0.2">
      <c r="A15" s="7" t="s">
        <v>43</v>
      </c>
      <c r="B15" s="7"/>
      <c r="C15" s="6">
        <f>SUM(C3:C14)</f>
        <v>29570.634053662903</v>
      </c>
      <c r="D15" s="6">
        <f>SUM(D3:D14)</f>
        <v>24048.424961524794</v>
      </c>
      <c r="E15" s="3"/>
      <c r="F15" s="3"/>
    </row>
    <row r="16" spans="1:10" x14ac:dyDescent="0.2">
      <c r="A16" s="2"/>
      <c r="B16" s="125" t="s">
        <v>29</v>
      </c>
      <c r="C16" s="125"/>
      <c r="D16" s="125"/>
      <c r="E16" s="125"/>
      <c r="F16" s="125"/>
    </row>
    <row r="17" spans="1:6" x14ac:dyDescent="0.2">
      <c r="A17" s="2">
        <v>1</v>
      </c>
      <c r="B17" s="3">
        <f>+F14</f>
        <v>570429.36594633712</v>
      </c>
      <c r="C17" s="3">
        <f t="shared" ref="C17:C28" si="5">+E17-D17</f>
        <v>2519.2879176156566</v>
      </c>
      <c r="D17" s="3">
        <f t="shared" ref="D17:D28" si="6">B17*$I$3</f>
        <v>1948.9670003166518</v>
      </c>
      <c r="E17" s="3">
        <f t="shared" ref="E17:E28" si="7">-$I$9</f>
        <v>4468.2549179323087</v>
      </c>
      <c r="F17" s="3">
        <f t="shared" ref="F17:F28" si="8">+B17-C17</f>
        <v>567910.0780287215</v>
      </c>
    </row>
    <row r="18" spans="1:6" x14ac:dyDescent="0.2">
      <c r="A18" s="2">
        <v>2</v>
      </c>
      <c r="B18" s="3">
        <f t="shared" ref="B18:B28" si="9">+F17</f>
        <v>567910.0780287215</v>
      </c>
      <c r="C18" s="3">
        <f t="shared" si="5"/>
        <v>2527.8954846675101</v>
      </c>
      <c r="D18" s="3">
        <f t="shared" si="6"/>
        <v>1940.3594332647986</v>
      </c>
      <c r="E18" s="3">
        <f t="shared" si="7"/>
        <v>4468.2549179323087</v>
      </c>
      <c r="F18" s="3">
        <f t="shared" si="8"/>
        <v>565382.182544054</v>
      </c>
    </row>
    <row r="19" spans="1:6" x14ac:dyDescent="0.2">
      <c r="A19" s="2">
        <v>3</v>
      </c>
      <c r="B19" s="3">
        <f t="shared" si="9"/>
        <v>565382.182544054</v>
      </c>
      <c r="C19" s="3">
        <f t="shared" si="5"/>
        <v>2536.5324609067907</v>
      </c>
      <c r="D19" s="3">
        <f t="shared" si="6"/>
        <v>1931.722457025518</v>
      </c>
      <c r="E19" s="3">
        <f t="shared" si="7"/>
        <v>4468.2549179323087</v>
      </c>
      <c r="F19" s="3">
        <f t="shared" si="8"/>
        <v>562845.65008314722</v>
      </c>
    </row>
    <row r="20" spans="1:6" x14ac:dyDescent="0.2">
      <c r="A20" s="2">
        <v>4</v>
      </c>
      <c r="B20" s="3">
        <f t="shared" si="9"/>
        <v>562845.65008314722</v>
      </c>
      <c r="C20" s="3">
        <f t="shared" si="5"/>
        <v>2545.1989468148886</v>
      </c>
      <c r="D20" s="3">
        <f t="shared" si="6"/>
        <v>1923.0559711174199</v>
      </c>
      <c r="E20" s="3">
        <f t="shared" si="7"/>
        <v>4468.2549179323087</v>
      </c>
      <c r="F20" s="3">
        <f t="shared" si="8"/>
        <v>560300.45113633235</v>
      </c>
    </row>
    <row r="21" spans="1:6" x14ac:dyDescent="0.2">
      <c r="A21" s="2">
        <v>5</v>
      </c>
      <c r="B21" s="3">
        <f t="shared" si="9"/>
        <v>560300.45113633235</v>
      </c>
      <c r="C21" s="3">
        <f t="shared" si="5"/>
        <v>2553.8950432165066</v>
      </c>
      <c r="D21" s="3">
        <f t="shared" si="6"/>
        <v>1914.3598747158023</v>
      </c>
      <c r="E21" s="3">
        <f t="shared" si="7"/>
        <v>4468.2549179323087</v>
      </c>
      <c r="F21" s="3">
        <f t="shared" si="8"/>
        <v>557746.55609311583</v>
      </c>
    </row>
    <row r="22" spans="1:6" x14ac:dyDescent="0.2">
      <c r="A22" s="2">
        <v>6</v>
      </c>
      <c r="B22" s="3">
        <f t="shared" si="9"/>
        <v>557746.55609311583</v>
      </c>
      <c r="C22" s="3">
        <f t="shared" si="5"/>
        <v>2562.6208512808298</v>
      </c>
      <c r="D22" s="3">
        <f t="shared" si="6"/>
        <v>1905.6340666514791</v>
      </c>
      <c r="E22" s="3">
        <f t="shared" si="7"/>
        <v>4468.2549179323087</v>
      </c>
      <c r="F22" s="3">
        <f t="shared" si="8"/>
        <v>555183.93524183496</v>
      </c>
    </row>
    <row r="23" spans="1:6" x14ac:dyDescent="0.2">
      <c r="A23" s="2">
        <v>7</v>
      </c>
      <c r="B23" s="3">
        <f t="shared" si="9"/>
        <v>555183.93524183496</v>
      </c>
      <c r="C23" s="3">
        <f t="shared" si="5"/>
        <v>2571.3764725227056</v>
      </c>
      <c r="D23" s="3">
        <f t="shared" si="6"/>
        <v>1896.8784454096028</v>
      </c>
      <c r="E23" s="3">
        <f t="shared" si="7"/>
        <v>4468.2549179323087</v>
      </c>
      <c r="F23" s="3">
        <f t="shared" si="8"/>
        <v>552612.55876931222</v>
      </c>
    </row>
    <row r="24" spans="1:6" x14ac:dyDescent="0.2">
      <c r="A24" s="2">
        <v>8</v>
      </c>
      <c r="B24" s="3">
        <f t="shared" si="9"/>
        <v>552612.55876931222</v>
      </c>
      <c r="C24" s="3">
        <f t="shared" si="5"/>
        <v>2580.1620088038253</v>
      </c>
      <c r="D24" s="3">
        <f t="shared" si="6"/>
        <v>1888.0929091284836</v>
      </c>
      <c r="E24" s="3">
        <f t="shared" si="7"/>
        <v>4468.2549179323087</v>
      </c>
      <c r="F24" s="3">
        <f t="shared" si="8"/>
        <v>550032.39676050842</v>
      </c>
    </row>
    <row r="25" spans="1:6" x14ac:dyDescent="0.2">
      <c r="A25" s="2">
        <v>9</v>
      </c>
      <c r="B25" s="3">
        <f t="shared" si="9"/>
        <v>550032.39676050842</v>
      </c>
      <c r="C25" s="3">
        <f t="shared" si="5"/>
        <v>2588.9775623339046</v>
      </c>
      <c r="D25" s="3">
        <f t="shared" si="6"/>
        <v>1879.2773555984038</v>
      </c>
      <c r="E25" s="3">
        <f t="shared" si="7"/>
        <v>4468.2549179323087</v>
      </c>
      <c r="F25" s="3">
        <f t="shared" si="8"/>
        <v>547443.4191981745</v>
      </c>
    </row>
    <row r="26" spans="1:6" x14ac:dyDescent="0.2">
      <c r="A26" s="2">
        <v>10</v>
      </c>
      <c r="B26" s="3">
        <f t="shared" si="9"/>
        <v>547443.4191981745</v>
      </c>
      <c r="C26" s="3">
        <f t="shared" si="5"/>
        <v>2597.823235671879</v>
      </c>
      <c r="D26" s="3">
        <f t="shared" si="6"/>
        <v>1870.4316822604296</v>
      </c>
      <c r="E26" s="3">
        <f t="shared" si="7"/>
        <v>4468.2549179323087</v>
      </c>
      <c r="F26" s="3">
        <f t="shared" si="8"/>
        <v>544845.59596250264</v>
      </c>
    </row>
    <row r="27" spans="1:6" x14ac:dyDescent="0.2">
      <c r="A27" s="2">
        <v>11</v>
      </c>
      <c r="B27" s="3">
        <f t="shared" si="9"/>
        <v>544845.59596250264</v>
      </c>
      <c r="C27" s="3">
        <f t="shared" si="5"/>
        <v>2606.6991317270913</v>
      </c>
      <c r="D27" s="3">
        <f t="shared" si="6"/>
        <v>1861.5557862052174</v>
      </c>
      <c r="E27" s="3">
        <f t="shared" si="7"/>
        <v>4468.2549179323087</v>
      </c>
      <c r="F27" s="3">
        <f t="shared" si="8"/>
        <v>542238.89683077554</v>
      </c>
    </row>
    <row r="28" spans="1:6" x14ac:dyDescent="0.2">
      <c r="A28" s="2">
        <v>12</v>
      </c>
      <c r="B28" s="3">
        <f t="shared" si="9"/>
        <v>542238.89683077554</v>
      </c>
      <c r="C28" s="3">
        <f t="shared" si="5"/>
        <v>2615.6053537604921</v>
      </c>
      <c r="D28" s="3">
        <f t="shared" si="6"/>
        <v>1852.6495641718166</v>
      </c>
      <c r="E28" s="3">
        <f t="shared" si="7"/>
        <v>4468.2549179323087</v>
      </c>
      <c r="F28" s="6">
        <f t="shared" si="8"/>
        <v>539623.29147701501</v>
      </c>
    </row>
    <row r="29" spans="1:6" x14ac:dyDescent="0.2">
      <c r="A29" s="7" t="s">
        <v>43</v>
      </c>
      <c r="B29" s="7"/>
      <c r="C29" s="6">
        <f>SUM(C17:C28)</f>
        <v>30806.07446932208</v>
      </c>
      <c r="D29" s="6">
        <f>SUM(D17:D28)</f>
        <v>22812.984545865624</v>
      </c>
      <c r="E29" s="3"/>
      <c r="F29" s="3"/>
    </row>
    <row r="30" spans="1:6" x14ac:dyDescent="0.2">
      <c r="A30" s="2"/>
      <c r="B30" s="125" t="s">
        <v>30</v>
      </c>
      <c r="C30" s="125"/>
      <c r="D30" s="125"/>
      <c r="E30" s="125"/>
      <c r="F30" s="125"/>
    </row>
    <row r="31" spans="1:6" x14ac:dyDescent="0.2">
      <c r="A31" s="2">
        <v>1</v>
      </c>
      <c r="B31" s="3">
        <f>+F28</f>
        <v>539623.29147701501</v>
      </c>
      <c r="C31" s="3">
        <f t="shared" ref="C31:C42" si="10">+E31-D31</f>
        <v>2624.5420053858406</v>
      </c>
      <c r="D31" s="3">
        <f t="shared" ref="D31:D42" si="11">B31*$I$3</f>
        <v>1843.712912546468</v>
      </c>
      <c r="E31" s="3">
        <f t="shared" ref="E31:E42" si="12">-$I$9</f>
        <v>4468.2549179323087</v>
      </c>
      <c r="F31" s="3">
        <f t="shared" ref="F31:F42" si="13">+B31-C31</f>
        <v>536998.74947162915</v>
      </c>
    </row>
    <row r="32" spans="1:6" x14ac:dyDescent="0.2">
      <c r="A32" s="2">
        <v>2</v>
      </c>
      <c r="B32" s="3">
        <f t="shared" ref="B32:B42" si="14">+F31</f>
        <v>536998.74947162915</v>
      </c>
      <c r="C32" s="3">
        <f t="shared" si="10"/>
        <v>2633.5091905709087</v>
      </c>
      <c r="D32" s="3">
        <f t="shared" si="11"/>
        <v>1834.7457273613998</v>
      </c>
      <c r="E32" s="3">
        <f t="shared" si="12"/>
        <v>4468.2549179323087</v>
      </c>
      <c r="F32" s="3">
        <f t="shared" si="13"/>
        <v>534365.24028105824</v>
      </c>
    </row>
    <row r="33" spans="1:6" x14ac:dyDescent="0.2">
      <c r="A33" s="2">
        <v>3</v>
      </c>
      <c r="B33" s="3">
        <f t="shared" si="14"/>
        <v>534365.24028105824</v>
      </c>
      <c r="C33" s="3">
        <f t="shared" si="10"/>
        <v>2642.507013638693</v>
      </c>
      <c r="D33" s="3">
        <f t="shared" si="11"/>
        <v>1825.7479042936156</v>
      </c>
      <c r="E33" s="3">
        <f t="shared" si="12"/>
        <v>4468.2549179323087</v>
      </c>
      <c r="F33" s="3">
        <f t="shared" si="13"/>
        <v>531722.73326741951</v>
      </c>
    </row>
    <row r="34" spans="1:6" x14ac:dyDescent="0.2">
      <c r="A34" s="2">
        <v>4</v>
      </c>
      <c r="B34" s="3">
        <f t="shared" si="14"/>
        <v>531722.73326741951</v>
      </c>
      <c r="C34" s="3">
        <f t="shared" si="10"/>
        <v>2651.535579268625</v>
      </c>
      <c r="D34" s="3">
        <f t="shared" si="11"/>
        <v>1816.7193386636834</v>
      </c>
      <c r="E34" s="3">
        <f t="shared" si="12"/>
        <v>4468.2549179323087</v>
      </c>
      <c r="F34" s="3">
        <f t="shared" si="13"/>
        <v>529071.19768815092</v>
      </c>
    </row>
    <row r="35" spans="1:6" x14ac:dyDescent="0.2">
      <c r="A35" s="2">
        <v>5</v>
      </c>
      <c r="B35" s="3">
        <f t="shared" si="14"/>
        <v>529071.19768815092</v>
      </c>
      <c r="C35" s="3">
        <f t="shared" si="10"/>
        <v>2660.5949924977931</v>
      </c>
      <c r="D35" s="3">
        <f t="shared" si="11"/>
        <v>1807.6599254345158</v>
      </c>
      <c r="E35" s="3">
        <f t="shared" si="12"/>
        <v>4468.2549179323087</v>
      </c>
      <c r="F35" s="3">
        <f t="shared" si="13"/>
        <v>526410.6026956531</v>
      </c>
    </row>
    <row r="36" spans="1:6" x14ac:dyDescent="0.2">
      <c r="A36" s="2">
        <v>6</v>
      </c>
      <c r="B36" s="3">
        <f t="shared" si="14"/>
        <v>526410.6026956531</v>
      </c>
      <c r="C36" s="3">
        <f t="shared" si="10"/>
        <v>2669.6853587221603</v>
      </c>
      <c r="D36" s="3">
        <f t="shared" si="11"/>
        <v>1798.5695592101481</v>
      </c>
      <c r="E36" s="3">
        <f t="shared" si="12"/>
        <v>4468.2549179323087</v>
      </c>
      <c r="F36" s="3">
        <f t="shared" si="13"/>
        <v>523740.91733693093</v>
      </c>
    </row>
    <row r="37" spans="1:6" x14ac:dyDescent="0.2">
      <c r="A37" s="2">
        <v>7</v>
      </c>
      <c r="B37" s="3">
        <f t="shared" si="14"/>
        <v>523740.91733693093</v>
      </c>
      <c r="C37" s="3">
        <f t="shared" si="10"/>
        <v>2678.8067836977943</v>
      </c>
      <c r="D37" s="3">
        <f t="shared" si="11"/>
        <v>1789.4481342345141</v>
      </c>
      <c r="E37" s="3">
        <f t="shared" si="12"/>
        <v>4468.2549179323087</v>
      </c>
      <c r="F37" s="3">
        <f t="shared" si="13"/>
        <v>521062.11055323313</v>
      </c>
    </row>
    <row r="38" spans="1:6" x14ac:dyDescent="0.2">
      <c r="A38" s="2">
        <v>8</v>
      </c>
      <c r="B38" s="3">
        <f t="shared" si="14"/>
        <v>521062.11055323313</v>
      </c>
      <c r="C38" s="3">
        <f t="shared" si="10"/>
        <v>2687.9593735420954</v>
      </c>
      <c r="D38" s="3">
        <f t="shared" si="11"/>
        <v>1780.2955443902133</v>
      </c>
      <c r="E38" s="3">
        <f t="shared" si="12"/>
        <v>4468.2549179323087</v>
      </c>
      <c r="F38" s="3">
        <f t="shared" si="13"/>
        <v>518374.15117969102</v>
      </c>
    </row>
    <row r="39" spans="1:6" x14ac:dyDescent="0.2">
      <c r="A39" s="2">
        <v>9</v>
      </c>
      <c r="B39" s="3">
        <f t="shared" si="14"/>
        <v>518374.15117969102</v>
      </c>
      <c r="C39" s="3">
        <f t="shared" si="10"/>
        <v>2697.143234735031</v>
      </c>
      <c r="D39" s="3">
        <f t="shared" si="11"/>
        <v>1771.1116831972777</v>
      </c>
      <c r="E39" s="3">
        <f t="shared" si="12"/>
        <v>4468.2549179323087</v>
      </c>
      <c r="F39" s="3">
        <f t="shared" si="13"/>
        <v>515677.00794495601</v>
      </c>
    </row>
    <row r="40" spans="1:6" x14ac:dyDescent="0.2">
      <c r="A40" s="2">
        <v>10</v>
      </c>
      <c r="B40" s="3">
        <f t="shared" si="14"/>
        <v>515677.00794495601</v>
      </c>
      <c r="C40" s="3">
        <f t="shared" si="10"/>
        <v>2706.3584741203758</v>
      </c>
      <c r="D40" s="3">
        <f t="shared" si="11"/>
        <v>1761.8964438119331</v>
      </c>
      <c r="E40" s="3">
        <f t="shared" si="12"/>
        <v>4468.2549179323087</v>
      </c>
      <c r="F40" s="3">
        <f t="shared" si="13"/>
        <v>512970.64947083563</v>
      </c>
    </row>
    <row r="41" spans="1:6" x14ac:dyDescent="0.2">
      <c r="A41" s="2">
        <v>11</v>
      </c>
      <c r="B41" s="3">
        <f t="shared" si="14"/>
        <v>512970.64947083563</v>
      </c>
      <c r="C41" s="3">
        <f t="shared" si="10"/>
        <v>2715.6051989069538</v>
      </c>
      <c r="D41" s="3">
        <f t="shared" si="11"/>
        <v>1752.6497190253551</v>
      </c>
      <c r="E41" s="3">
        <f t="shared" si="12"/>
        <v>4468.2549179323087</v>
      </c>
      <c r="F41" s="3">
        <f t="shared" si="13"/>
        <v>510255.04427192867</v>
      </c>
    </row>
    <row r="42" spans="1:6" x14ac:dyDescent="0.2">
      <c r="A42" s="2">
        <v>12</v>
      </c>
      <c r="B42" s="3">
        <f t="shared" si="14"/>
        <v>510255.04427192867</v>
      </c>
      <c r="C42" s="3">
        <f t="shared" si="10"/>
        <v>2724.8835166698855</v>
      </c>
      <c r="D42" s="3">
        <f t="shared" si="11"/>
        <v>1743.371401262423</v>
      </c>
      <c r="E42" s="3">
        <f t="shared" si="12"/>
        <v>4468.2549179323087</v>
      </c>
      <c r="F42" s="6">
        <f t="shared" si="13"/>
        <v>507530.16075525875</v>
      </c>
    </row>
    <row r="43" spans="1:6" x14ac:dyDescent="0.2">
      <c r="A43" s="7" t="s">
        <v>43</v>
      </c>
      <c r="B43" s="7"/>
      <c r="C43" s="6">
        <f>SUM(C31:C42)</f>
        <v>32093.130721756155</v>
      </c>
      <c r="D43" s="6">
        <f>SUM(D31:D42)</f>
        <v>21525.928293431545</v>
      </c>
      <c r="E43" s="3"/>
      <c r="F43" s="3"/>
    </row>
    <row r="44" spans="1:6" x14ac:dyDescent="0.2">
      <c r="A44" s="2"/>
      <c r="B44" s="125" t="s">
        <v>31</v>
      </c>
      <c r="C44" s="125"/>
      <c r="D44" s="125"/>
      <c r="E44" s="125"/>
      <c r="F44" s="125"/>
    </row>
    <row r="45" spans="1:6" x14ac:dyDescent="0.2">
      <c r="A45" s="2">
        <v>1</v>
      </c>
      <c r="B45" s="3">
        <f>+F42</f>
        <v>507530.16075525875</v>
      </c>
      <c r="C45" s="3">
        <f t="shared" ref="C45:C56" si="15">+E45-D45</f>
        <v>2734.1935353518411</v>
      </c>
      <c r="D45" s="3">
        <f t="shared" ref="D45:D56" si="16">B45*$I$3</f>
        <v>1734.0613825804676</v>
      </c>
      <c r="E45" s="3">
        <f t="shared" ref="E45:E56" si="17">-$I$9</f>
        <v>4468.2549179323087</v>
      </c>
      <c r="F45" s="3">
        <f t="shared" ref="F45:F56" si="18">+B45-C45</f>
        <v>504795.96721990692</v>
      </c>
    </row>
    <row r="46" spans="1:6" x14ac:dyDescent="0.2">
      <c r="A46" s="2">
        <v>2</v>
      </c>
      <c r="B46" s="3">
        <f t="shared" ref="B46:B56" si="19">+F45</f>
        <v>504795.96721990692</v>
      </c>
      <c r="C46" s="3">
        <f t="shared" si="15"/>
        <v>2743.5353632642932</v>
      </c>
      <c r="D46" s="3">
        <f t="shared" si="16"/>
        <v>1724.7195546680155</v>
      </c>
      <c r="E46" s="3">
        <f t="shared" si="17"/>
        <v>4468.2549179323087</v>
      </c>
      <c r="F46" s="3">
        <f t="shared" si="18"/>
        <v>502052.43185664265</v>
      </c>
    </row>
    <row r="47" spans="1:6" x14ac:dyDescent="0.2">
      <c r="A47" s="2">
        <v>3</v>
      </c>
      <c r="B47" s="3">
        <f t="shared" si="19"/>
        <v>502052.43185664265</v>
      </c>
      <c r="C47" s="3">
        <f t="shared" si="15"/>
        <v>2752.9091090887796</v>
      </c>
      <c r="D47" s="3">
        <f t="shared" si="16"/>
        <v>1715.3458088435291</v>
      </c>
      <c r="E47" s="3">
        <f t="shared" si="17"/>
        <v>4468.2549179323087</v>
      </c>
      <c r="F47" s="3">
        <f t="shared" si="18"/>
        <v>499299.52274755388</v>
      </c>
    </row>
    <row r="48" spans="1:6" x14ac:dyDescent="0.2">
      <c r="A48" s="2">
        <v>4</v>
      </c>
      <c r="B48" s="3">
        <f t="shared" si="19"/>
        <v>499299.52274755388</v>
      </c>
      <c r="C48" s="3">
        <f t="shared" si="15"/>
        <v>2762.3148818781665</v>
      </c>
      <c r="D48" s="3">
        <f t="shared" si="16"/>
        <v>1705.9400360541424</v>
      </c>
      <c r="E48" s="3">
        <f t="shared" si="17"/>
        <v>4468.2549179323087</v>
      </c>
      <c r="F48" s="3">
        <f t="shared" si="18"/>
        <v>496537.20786567574</v>
      </c>
    </row>
    <row r="49" spans="1:7" x14ac:dyDescent="0.2">
      <c r="A49" s="2">
        <v>5</v>
      </c>
      <c r="B49" s="3">
        <f t="shared" si="19"/>
        <v>496537.20786567574</v>
      </c>
      <c r="C49" s="3">
        <f t="shared" si="15"/>
        <v>2771.7527910579165</v>
      </c>
      <c r="D49" s="3">
        <f t="shared" si="16"/>
        <v>1696.5021268743922</v>
      </c>
      <c r="E49" s="3">
        <f t="shared" si="17"/>
        <v>4468.2549179323087</v>
      </c>
      <c r="F49" s="3">
        <f t="shared" si="18"/>
        <v>493765.45507461781</v>
      </c>
    </row>
    <row r="50" spans="1:7" x14ac:dyDescent="0.2">
      <c r="A50" s="2">
        <v>6</v>
      </c>
      <c r="B50" s="3">
        <f t="shared" si="19"/>
        <v>493765.45507461781</v>
      </c>
      <c r="C50" s="3">
        <f t="shared" si="15"/>
        <v>2781.2229464273641</v>
      </c>
      <c r="D50" s="3">
        <f t="shared" si="16"/>
        <v>1687.0319715049443</v>
      </c>
      <c r="E50" s="3">
        <f t="shared" si="17"/>
        <v>4468.2549179323087</v>
      </c>
      <c r="F50" s="3">
        <f t="shared" si="18"/>
        <v>490984.23212819046</v>
      </c>
    </row>
    <row r="51" spans="1:7" x14ac:dyDescent="0.2">
      <c r="A51" s="2">
        <v>7</v>
      </c>
      <c r="B51" s="3">
        <f t="shared" si="19"/>
        <v>490984.23212819046</v>
      </c>
      <c r="C51" s="3">
        <f t="shared" si="15"/>
        <v>2790.7254581609914</v>
      </c>
      <c r="D51" s="3">
        <f t="shared" si="16"/>
        <v>1677.5294597713175</v>
      </c>
      <c r="E51" s="3">
        <f t="shared" si="17"/>
        <v>4468.2549179323087</v>
      </c>
      <c r="F51" s="3">
        <f t="shared" si="18"/>
        <v>488193.50667002948</v>
      </c>
    </row>
    <row r="52" spans="1:7" x14ac:dyDescent="0.2">
      <c r="A52" s="2">
        <v>8</v>
      </c>
      <c r="B52" s="3">
        <f t="shared" si="19"/>
        <v>488193.50667002948</v>
      </c>
      <c r="C52" s="3">
        <f t="shared" si="15"/>
        <v>2800.2604368097082</v>
      </c>
      <c r="D52" s="3">
        <f t="shared" si="16"/>
        <v>1667.9944811226007</v>
      </c>
      <c r="E52" s="3">
        <f t="shared" si="17"/>
        <v>4468.2549179323087</v>
      </c>
      <c r="F52" s="3">
        <f t="shared" si="18"/>
        <v>485393.2462332198</v>
      </c>
    </row>
    <row r="53" spans="1:7" x14ac:dyDescent="0.2">
      <c r="A53" s="2">
        <v>9</v>
      </c>
      <c r="B53" s="3">
        <f t="shared" si="19"/>
        <v>485393.2462332198</v>
      </c>
      <c r="C53" s="3">
        <f t="shared" si="15"/>
        <v>2809.8279933021408</v>
      </c>
      <c r="D53" s="3">
        <f t="shared" si="16"/>
        <v>1658.4269246301678</v>
      </c>
      <c r="E53" s="3">
        <f t="shared" si="17"/>
        <v>4468.2549179323087</v>
      </c>
      <c r="F53" s="3">
        <f t="shared" si="18"/>
        <v>482583.41823991766</v>
      </c>
    </row>
    <row r="54" spans="1:7" x14ac:dyDescent="0.2">
      <c r="A54" s="2">
        <v>10</v>
      </c>
      <c r="B54" s="3">
        <f t="shared" si="19"/>
        <v>482583.41823991766</v>
      </c>
      <c r="C54" s="3">
        <f t="shared" si="15"/>
        <v>2819.4282389459231</v>
      </c>
      <c r="D54" s="3">
        <f t="shared" si="16"/>
        <v>1648.8266789863853</v>
      </c>
      <c r="E54" s="3">
        <f t="shared" si="17"/>
        <v>4468.2549179323087</v>
      </c>
      <c r="F54" s="3">
        <f t="shared" si="18"/>
        <v>479763.99000097177</v>
      </c>
    </row>
    <row r="55" spans="1:7" x14ac:dyDescent="0.2">
      <c r="A55" s="2">
        <v>11</v>
      </c>
      <c r="B55" s="3">
        <f t="shared" si="19"/>
        <v>479763.99000097177</v>
      </c>
      <c r="C55" s="3">
        <f t="shared" si="15"/>
        <v>2829.0612854289884</v>
      </c>
      <c r="D55" s="3">
        <f t="shared" si="16"/>
        <v>1639.1936325033203</v>
      </c>
      <c r="E55" s="3">
        <f t="shared" si="17"/>
        <v>4468.2549179323087</v>
      </c>
      <c r="F55" s="3">
        <f t="shared" si="18"/>
        <v>476934.92871554277</v>
      </c>
    </row>
    <row r="56" spans="1:7" x14ac:dyDescent="0.2">
      <c r="A56" s="2">
        <v>12</v>
      </c>
      <c r="B56" s="3">
        <f t="shared" si="19"/>
        <v>476934.92871554277</v>
      </c>
      <c r="C56" s="3">
        <f t="shared" si="15"/>
        <v>2838.7272448208705</v>
      </c>
      <c r="D56" s="3">
        <f t="shared" si="16"/>
        <v>1629.5276731114379</v>
      </c>
      <c r="E56" s="3">
        <f t="shared" si="17"/>
        <v>4468.2549179323087</v>
      </c>
      <c r="F56" s="6">
        <f t="shared" si="18"/>
        <v>474096.20147072192</v>
      </c>
      <c r="G56" s="3"/>
    </row>
    <row r="57" spans="1:7" x14ac:dyDescent="0.2">
      <c r="A57" s="7" t="s">
        <v>43</v>
      </c>
      <c r="B57" s="8"/>
      <c r="C57" s="6">
        <f>SUM(C45:C56)</f>
        <v>33433.959284536977</v>
      </c>
      <c r="D57" s="6">
        <f>SUM(D45:D56)</f>
        <v>20185.099730650723</v>
      </c>
    </row>
    <row r="58" spans="1:7" x14ac:dyDescent="0.2">
      <c r="B58" s="126" t="s">
        <v>50</v>
      </c>
      <c r="C58" s="126"/>
      <c r="D58" s="126"/>
      <c r="E58" s="126"/>
      <c r="F58" s="126"/>
    </row>
    <row r="59" spans="1:7" x14ac:dyDescent="0.2">
      <c r="A59" s="2">
        <v>1</v>
      </c>
      <c r="B59" s="3">
        <f>+F56</f>
        <v>474096.20147072192</v>
      </c>
      <c r="C59" s="3">
        <f t="shared" ref="C59:C70" si="20">+E59-D59</f>
        <v>2848.4262295740086</v>
      </c>
      <c r="D59" s="3">
        <f t="shared" ref="D59:D70" si="21">B59*$I$3</f>
        <v>1619.8286883583</v>
      </c>
      <c r="E59" s="3">
        <f t="shared" ref="E59:E70" si="22">-$I$9</f>
        <v>4468.2549179323087</v>
      </c>
      <c r="F59" s="3">
        <f t="shared" ref="F59:F70" si="23">+B59-C59</f>
        <v>471247.7752411479</v>
      </c>
    </row>
    <row r="60" spans="1:7" x14ac:dyDescent="0.2">
      <c r="A60" s="2">
        <v>2</v>
      </c>
      <c r="B60" s="3">
        <f t="shared" ref="B60:B70" si="24">+F59</f>
        <v>471247.7752411479</v>
      </c>
      <c r="C60" s="3">
        <f t="shared" si="20"/>
        <v>2858.1583525250535</v>
      </c>
      <c r="D60" s="3">
        <f t="shared" si="21"/>
        <v>1610.0965654072554</v>
      </c>
      <c r="E60" s="3">
        <f t="shared" si="22"/>
        <v>4468.2549179323087</v>
      </c>
      <c r="F60" s="3">
        <f t="shared" si="23"/>
        <v>468389.61688862287</v>
      </c>
    </row>
    <row r="61" spans="1:7" x14ac:dyDescent="0.2">
      <c r="A61" s="2">
        <v>3</v>
      </c>
      <c r="B61" s="3">
        <f t="shared" si="24"/>
        <v>468389.61688862287</v>
      </c>
      <c r="C61" s="3">
        <f t="shared" si="20"/>
        <v>2867.9237268961806</v>
      </c>
      <c r="D61" s="3">
        <f t="shared" si="21"/>
        <v>1600.3311910361283</v>
      </c>
      <c r="E61" s="3">
        <f t="shared" si="22"/>
        <v>4468.2549179323087</v>
      </c>
      <c r="F61" s="3">
        <f t="shared" si="23"/>
        <v>465521.6931617267</v>
      </c>
    </row>
    <row r="62" spans="1:7" x14ac:dyDescent="0.2">
      <c r="A62" s="2">
        <v>4</v>
      </c>
      <c r="B62" s="3">
        <f t="shared" si="24"/>
        <v>465521.6931617267</v>
      </c>
      <c r="C62" s="3">
        <f t="shared" si="20"/>
        <v>2877.722466296409</v>
      </c>
      <c r="D62" s="3">
        <f t="shared" si="21"/>
        <v>1590.5324516358996</v>
      </c>
      <c r="E62" s="3">
        <f t="shared" si="22"/>
        <v>4468.2549179323087</v>
      </c>
      <c r="F62" s="3">
        <f t="shared" si="23"/>
        <v>462643.9706954303</v>
      </c>
    </row>
    <row r="63" spans="1:7" x14ac:dyDescent="0.2">
      <c r="A63" s="2">
        <v>5</v>
      </c>
      <c r="B63" s="3">
        <f t="shared" si="24"/>
        <v>462643.9706954303</v>
      </c>
      <c r="C63" s="3">
        <f t="shared" si="20"/>
        <v>2887.5546847229216</v>
      </c>
      <c r="D63" s="3">
        <f t="shared" si="21"/>
        <v>1580.7002332093869</v>
      </c>
      <c r="E63" s="3">
        <f t="shared" si="22"/>
        <v>4468.2549179323087</v>
      </c>
      <c r="F63" s="3">
        <f t="shared" si="23"/>
        <v>459756.41601070738</v>
      </c>
    </row>
    <row r="64" spans="1:7" x14ac:dyDescent="0.2">
      <c r="A64" s="2">
        <v>6</v>
      </c>
      <c r="B64" s="3">
        <f t="shared" si="24"/>
        <v>459756.41601070738</v>
      </c>
      <c r="C64" s="3">
        <f t="shared" si="20"/>
        <v>2897.4204965623917</v>
      </c>
      <c r="D64" s="3">
        <f t="shared" si="21"/>
        <v>1570.834421369917</v>
      </c>
      <c r="E64" s="3">
        <f t="shared" si="22"/>
        <v>4468.2549179323087</v>
      </c>
      <c r="F64" s="3">
        <f t="shared" si="23"/>
        <v>456858.995514145</v>
      </c>
    </row>
    <row r="65" spans="1:6" x14ac:dyDescent="0.2">
      <c r="A65" s="2">
        <v>7</v>
      </c>
      <c r="B65" s="3">
        <f t="shared" si="24"/>
        <v>456858.995514145</v>
      </c>
      <c r="C65" s="3">
        <f t="shared" si="20"/>
        <v>2907.3200165923131</v>
      </c>
      <c r="D65" s="3">
        <f t="shared" si="21"/>
        <v>1560.9349013399956</v>
      </c>
      <c r="E65" s="3">
        <f t="shared" si="22"/>
        <v>4468.2549179323087</v>
      </c>
      <c r="F65" s="3">
        <f t="shared" si="23"/>
        <v>453951.67549755267</v>
      </c>
    </row>
    <row r="66" spans="1:6" x14ac:dyDescent="0.2">
      <c r="A66" s="2">
        <v>8</v>
      </c>
      <c r="B66" s="3">
        <f t="shared" si="24"/>
        <v>453951.67549755267</v>
      </c>
      <c r="C66" s="3">
        <f t="shared" si="20"/>
        <v>2917.2533599823373</v>
      </c>
      <c r="D66" s="3">
        <f t="shared" si="21"/>
        <v>1551.0015579499716</v>
      </c>
      <c r="E66" s="3">
        <f t="shared" si="22"/>
        <v>4468.2549179323087</v>
      </c>
      <c r="F66" s="3">
        <f t="shared" si="23"/>
        <v>451034.42213757033</v>
      </c>
    </row>
    <row r="67" spans="1:6" x14ac:dyDescent="0.2">
      <c r="A67" s="2">
        <v>9</v>
      </c>
      <c r="B67" s="3">
        <f t="shared" si="24"/>
        <v>451034.42213757033</v>
      </c>
      <c r="C67" s="3">
        <f t="shared" si="20"/>
        <v>2927.2206422956097</v>
      </c>
      <c r="D67" s="3">
        <f t="shared" si="21"/>
        <v>1541.0342756366988</v>
      </c>
      <c r="E67" s="3">
        <f t="shared" si="22"/>
        <v>4468.2549179323087</v>
      </c>
      <c r="F67" s="3">
        <f t="shared" si="23"/>
        <v>448107.20149527473</v>
      </c>
    </row>
    <row r="68" spans="1:6" x14ac:dyDescent="0.2">
      <c r="A68" s="2">
        <v>10</v>
      </c>
      <c r="B68" s="3">
        <f t="shared" si="24"/>
        <v>448107.20149527473</v>
      </c>
      <c r="C68" s="3">
        <f t="shared" si="20"/>
        <v>2937.2219794901202</v>
      </c>
      <c r="D68" s="3">
        <f t="shared" si="21"/>
        <v>1531.0329384421887</v>
      </c>
      <c r="E68" s="3">
        <f t="shared" si="22"/>
        <v>4468.2549179323087</v>
      </c>
      <c r="F68" s="3">
        <f t="shared" si="23"/>
        <v>445169.97951578459</v>
      </c>
    </row>
    <row r="69" spans="1:6" x14ac:dyDescent="0.2">
      <c r="A69" s="2">
        <v>11</v>
      </c>
      <c r="B69" s="3">
        <f t="shared" si="24"/>
        <v>445169.97951578459</v>
      </c>
      <c r="C69" s="3">
        <f t="shared" si="20"/>
        <v>2947.2574879200447</v>
      </c>
      <c r="D69" s="3">
        <f t="shared" si="21"/>
        <v>1520.9974300122642</v>
      </c>
      <c r="E69" s="3">
        <f t="shared" si="22"/>
        <v>4468.2549179323087</v>
      </c>
      <c r="F69" s="3">
        <f t="shared" si="23"/>
        <v>442222.72202786454</v>
      </c>
    </row>
    <row r="70" spans="1:6" x14ac:dyDescent="0.2">
      <c r="A70" s="2">
        <v>12</v>
      </c>
      <c r="B70" s="3">
        <f t="shared" si="24"/>
        <v>442222.72202786454</v>
      </c>
      <c r="C70" s="3">
        <f t="shared" si="20"/>
        <v>2957.3272843371051</v>
      </c>
      <c r="D70" s="3">
        <f t="shared" si="21"/>
        <v>1510.9276335952038</v>
      </c>
      <c r="E70" s="3">
        <f t="shared" si="22"/>
        <v>4468.2549179323087</v>
      </c>
      <c r="F70" s="6">
        <f t="shared" si="23"/>
        <v>439265.39474352746</v>
      </c>
    </row>
    <row r="71" spans="1:6" x14ac:dyDescent="0.2">
      <c r="A71" s="7" t="s">
        <v>43</v>
      </c>
      <c r="B71" s="8"/>
      <c r="C71" s="6">
        <f>SUM(C59:C70)</f>
        <v>34830.806727194489</v>
      </c>
      <c r="D71" s="6">
        <f>SUM(D59:D70)</f>
        <v>18788.252287993211</v>
      </c>
    </row>
    <row r="72" spans="1:6" x14ac:dyDescent="0.2">
      <c r="B72" s="126" t="s">
        <v>51</v>
      </c>
      <c r="C72" s="126"/>
      <c r="D72" s="126"/>
      <c r="E72" s="126"/>
      <c r="F72" s="126"/>
    </row>
    <row r="73" spans="1:6" x14ac:dyDescent="0.2">
      <c r="A73" s="2">
        <v>1</v>
      </c>
      <c r="B73" s="3">
        <f>+F70</f>
        <v>439265.39474352746</v>
      </c>
      <c r="C73" s="3">
        <f t="shared" ref="C73:C84" si="25">+E73-D73</f>
        <v>2967.4314858919233</v>
      </c>
      <c r="D73" s="3">
        <f t="shared" ref="D73:D84" si="26">B73*$I$3</f>
        <v>1500.8234320403856</v>
      </c>
      <c r="E73" s="3">
        <f t="shared" ref="E73:E84" si="27">-$I$9</f>
        <v>4468.2549179323087</v>
      </c>
      <c r="F73" s="3">
        <f t="shared" ref="F73:F84" si="28">+B73-C73</f>
        <v>436297.96325763554</v>
      </c>
    </row>
    <row r="74" spans="1:6" x14ac:dyDescent="0.2">
      <c r="A74" s="2">
        <v>2</v>
      </c>
      <c r="B74" s="3">
        <f t="shared" ref="B74:B84" si="29">+F73</f>
        <v>436297.96325763554</v>
      </c>
      <c r="C74" s="3">
        <f t="shared" si="25"/>
        <v>2977.5702101353872</v>
      </c>
      <c r="D74" s="3">
        <f t="shared" si="26"/>
        <v>1490.6847077969214</v>
      </c>
      <c r="E74" s="3">
        <f t="shared" si="27"/>
        <v>4468.2549179323087</v>
      </c>
      <c r="F74" s="3">
        <f t="shared" si="28"/>
        <v>433320.39304750017</v>
      </c>
    </row>
    <row r="75" spans="1:6" x14ac:dyDescent="0.2">
      <c r="A75" s="2">
        <v>3</v>
      </c>
      <c r="B75" s="3">
        <f t="shared" si="29"/>
        <v>433320.39304750017</v>
      </c>
      <c r="C75" s="3">
        <f t="shared" si="25"/>
        <v>2987.7435750200166</v>
      </c>
      <c r="D75" s="3">
        <f t="shared" si="26"/>
        <v>1480.5113429122923</v>
      </c>
      <c r="E75" s="3">
        <f t="shared" si="27"/>
        <v>4468.2549179323087</v>
      </c>
      <c r="F75" s="3">
        <f t="shared" si="28"/>
        <v>430332.64947248017</v>
      </c>
    </row>
    <row r="76" spans="1:6" x14ac:dyDescent="0.2">
      <c r="A76" s="2">
        <v>4</v>
      </c>
      <c r="B76" s="3">
        <f t="shared" si="29"/>
        <v>430332.64947248017</v>
      </c>
      <c r="C76" s="3">
        <f t="shared" si="25"/>
        <v>2997.9516989013346</v>
      </c>
      <c r="D76" s="3">
        <f t="shared" si="26"/>
        <v>1470.3032190309739</v>
      </c>
      <c r="E76" s="3">
        <f t="shared" si="27"/>
        <v>4468.2549179323087</v>
      </c>
      <c r="F76" s="3">
        <f t="shared" si="28"/>
        <v>427334.69777357887</v>
      </c>
    </row>
    <row r="77" spans="1:6" x14ac:dyDescent="0.2">
      <c r="A77" s="2">
        <v>5</v>
      </c>
      <c r="B77" s="3">
        <f t="shared" si="29"/>
        <v>427334.69777357887</v>
      </c>
      <c r="C77" s="3">
        <f t="shared" si="25"/>
        <v>3008.1947005392476</v>
      </c>
      <c r="D77" s="3">
        <f t="shared" si="26"/>
        <v>1460.0602173930613</v>
      </c>
      <c r="E77" s="3">
        <f t="shared" si="27"/>
        <v>4468.2549179323087</v>
      </c>
      <c r="F77" s="3">
        <f t="shared" si="28"/>
        <v>424326.50307303964</v>
      </c>
    </row>
    <row r="78" spans="1:6" x14ac:dyDescent="0.2">
      <c r="A78" s="2">
        <v>6</v>
      </c>
      <c r="B78" s="3">
        <f t="shared" si="29"/>
        <v>424326.50307303964</v>
      </c>
      <c r="C78" s="3">
        <f t="shared" si="25"/>
        <v>3018.4726990994232</v>
      </c>
      <c r="D78" s="3">
        <f t="shared" si="26"/>
        <v>1449.7822188328855</v>
      </c>
      <c r="E78" s="3">
        <f t="shared" si="27"/>
        <v>4468.2549179323087</v>
      </c>
      <c r="F78" s="3">
        <f t="shared" si="28"/>
        <v>421308.03037394024</v>
      </c>
    </row>
    <row r="79" spans="1:6" x14ac:dyDescent="0.2">
      <c r="A79" s="2">
        <v>7</v>
      </c>
      <c r="B79" s="3">
        <f t="shared" si="29"/>
        <v>421308.03037394024</v>
      </c>
      <c r="C79" s="3">
        <f t="shared" si="25"/>
        <v>3028.7858141546794</v>
      </c>
      <c r="D79" s="3">
        <f t="shared" si="26"/>
        <v>1439.4691037776292</v>
      </c>
      <c r="E79" s="3">
        <f t="shared" si="27"/>
        <v>4468.2549179323087</v>
      </c>
      <c r="F79" s="3">
        <f t="shared" si="28"/>
        <v>418279.24455978558</v>
      </c>
    </row>
    <row r="80" spans="1:6" x14ac:dyDescent="0.2">
      <c r="A80" s="2">
        <v>8</v>
      </c>
      <c r="B80" s="3">
        <f t="shared" si="29"/>
        <v>418279.24455978558</v>
      </c>
      <c r="C80" s="3">
        <f t="shared" si="25"/>
        <v>3039.1341656863742</v>
      </c>
      <c r="D80" s="3">
        <f t="shared" si="26"/>
        <v>1429.1207522459342</v>
      </c>
      <c r="E80" s="3">
        <f t="shared" si="27"/>
        <v>4468.2549179323087</v>
      </c>
      <c r="F80" s="3">
        <f t="shared" si="28"/>
        <v>415240.1103940992</v>
      </c>
    </row>
    <row r="81" spans="1:6" x14ac:dyDescent="0.2">
      <c r="A81" s="2">
        <v>9</v>
      </c>
      <c r="B81" s="3">
        <f t="shared" si="29"/>
        <v>415240.1103940992</v>
      </c>
      <c r="C81" s="3">
        <f t="shared" si="25"/>
        <v>3049.5178740858028</v>
      </c>
      <c r="D81" s="3">
        <f t="shared" si="26"/>
        <v>1418.7370438465057</v>
      </c>
      <c r="E81" s="3">
        <f t="shared" si="27"/>
        <v>4468.2549179323087</v>
      </c>
      <c r="F81" s="3">
        <f t="shared" si="28"/>
        <v>412190.59252001339</v>
      </c>
    </row>
    <row r="82" spans="1:6" x14ac:dyDescent="0.2">
      <c r="A82" s="2">
        <v>10</v>
      </c>
      <c r="B82" s="3">
        <f t="shared" si="29"/>
        <v>412190.59252001339</v>
      </c>
      <c r="C82" s="3">
        <f t="shared" si="25"/>
        <v>3059.9370601555961</v>
      </c>
      <c r="D82" s="3">
        <f t="shared" si="26"/>
        <v>1408.3178577767126</v>
      </c>
      <c r="E82" s="3">
        <f t="shared" si="27"/>
        <v>4468.2549179323087</v>
      </c>
      <c r="F82" s="3">
        <f t="shared" si="28"/>
        <v>409130.65545985778</v>
      </c>
    </row>
    <row r="83" spans="1:6" x14ac:dyDescent="0.2">
      <c r="A83" s="2">
        <v>11</v>
      </c>
      <c r="B83" s="3">
        <f t="shared" si="29"/>
        <v>409130.65545985778</v>
      </c>
      <c r="C83" s="3">
        <f t="shared" si="25"/>
        <v>3070.3918451111276</v>
      </c>
      <c r="D83" s="3">
        <f t="shared" si="26"/>
        <v>1397.8630728211808</v>
      </c>
      <c r="E83" s="3">
        <f t="shared" si="27"/>
        <v>4468.2549179323087</v>
      </c>
      <c r="F83" s="3">
        <f t="shared" si="28"/>
        <v>406060.26361474663</v>
      </c>
    </row>
    <row r="84" spans="1:6" x14ac:dyDescent="0.2">
      <c r="A84" s="2">
        <v>12</v>
      </c>
      <c r="B84" s="3">
        <f t="shared" si="29"/>
        <v>406060.26361474663</v>
      </c>
      <c r="C84" s="3">
        <f t="shared" si="25"/>
        <v>3080.8823505819246</v>
      </c>
      <c r="D84" s="3">
        <f t="shared" si="26"/>
        <v>1387.3725673503843</v>
      </c>
      <c r="E84" s="3">
        <f t="shared" si="27"/>
        <v>4468.2549179323087</v>
      </c>
      <c r="F84" s="6">
        <f t="shared" si="28"/>
        <v>402979.38126416469</v>
      </c>
    </row>
    <row r="85" spans="1:6" x14ac:dyDescent="0.2">
      <c r="A85" s="7" t="s">
        <v>43</v>
      </c>
      <c r="B85" s="8"/>
      <c r="C85" s="6">
        <f>SUM(C73:C84)</f>
        <v>36286.013479362831</v>
      </c>
      <c r="D85" s="6">
        <f>SUM(D73:D84)</f>
        <v>17333.045535824866</v>
      </c>
    </row>
    <row r="86" spans="1:6" x14ac:dyDescent="0.2">
      <c r="B86" s="125" t="s">
        <v>52</v>
      </c>
      <c r="C86" s="125"/>
      <c r="D86" s="125"/>
      <c r="E86" s="125"/>
      <c r="F86" s="125"/>
    </row>
    <row r="87" spans="1:6" x14ac:dyDescent="0.2">
      <c r="A87" s="2">
        <v>1</v>
      </c>
      <c r="B87" s="3">
        <f>+F84</f>
        <v>402979.38126416469</v>
      </c>
      <c r="C87" s="3">
        <f t="shared" ref="C87:C98" si="30">+E87-D87</f>
        <v>3091.4086986130792</v>
      </c>
      <c r="D87" s="3">
        <f t="shared" ref="D87:D98" si="31">B87*$I$3</f>
        <v>1376.8462193192295</v>
      </c>
      <c r="E87" s="3">
        <f t="shared" ref="E87:E98" si="32">-$I$9</f>
        <v>4468.2549179323087</v>
      </c>
      <c r="F87" s="3">
        <f t="shared" ref="F87:F98" si="33">+B87-C87</f>
        <v>399887.97256555164</v>
      </c>
    </row>
    <row r="88" spans="1:6" x14ac:dyDescent="0.2">
      <c r="A88" s="2">
        <v>2</v>
      </c>
      <c r="B88" s="3">
        <f t="shared" ref="B88:B98" si="34">+F87</f>
        <v>399887.97256555164</v>
      </c>
      <c r="C88" s="3">
        <f t="shared" si="30"/>
        <v>3101.9710116666738</v>
      </c>
      <c r="D88" s="3">
        <f t="shared" si="31"/>
        <v>1366.2839062656349</v>
      </c>
      <c r="E88" s="3">
        <f t="shared" si="32"/>
        <v>4468.2549179323087</v>
      </c>
      <c r="F88" s="3">
        <f t="shared" si="33"/>
        <v>396786.00155388494</v>
      </c>
    </row>
    <row r="89" spans="1:6" x14ac:dyDescent="0.2">
      <c r="A89" s="2">
        <v>3</v>
      </c>
      <c r="B89" s="3">
        <f t="shared" si="34"/>
        <v>396786.00155388494</v>
      </c>
      <c r="C89" s="3">
        <f t="shared" si="30"/>
        <v>3112.569412623202</v>
      </c>
      <c r="D89" s="3">
        <f t="shared" si="31"/>
        <v>1355.6855053091069</v>
      </c>
      <c r="E89" s="3">
        <f t="shared" si="32"/>
        <v>4468.2549179323087</v>
      </c>
      <c r="F89" s="3">
        <f t="shared" si="33"/>
        <v>393673.43214126176</v>
      </c>
    </row>
    <row r="90" spans="1:6" x14ac:dyDescent="0.2">
      <c r="A90" s="2">
        <v>4</v>
      </c>
      <c r="B90" s="3">
        <f t="shared" si="34"/>
        <v>393673.43214126176</v>
      </c>
      <c r="C90" s="3">
        <f t="shared" si="30"/>
        <v>3123.2040247829973</v>
      </c>
      <c r="D90" s="3">
        <f t="shared" si="31"/>
        <v>1345.0508931493112</v>
      </c>
      <c r="E90" s="3">
        <f t="shared" si="32"/>
        <v>4468.2549179323087</v>
      </c>
      <c r="F90" s="3">
        <f t="shared" si="33"/>
        <v>390550.22811647877</v>
      </c>
    </row>
    <row r="91" spans="1:6" x14ac:dyDescent="0.2">
      <c r="A91" s="2">
        <v>5</v>
      </c>
      <c r="B91" s="3">
        <f t="shared" si="34"/>
        <v>390550.22811647877</v>
      </c>
      <c r="C91" s="3">
        <f t="shared" si="30"/>
        <v>3133.8749718676727</v>
      </c>
      <c r="D91" s="3">
        <f t="shared" si="31"/>
        <v>1334.3799460646358</v>
      </c>
      <c r="E91" s="3">
        <f t="shared" si="32"/>
        <v>4468.2549179323087</v>
      </c>
      <c r="F91" s="3">
        <f t="shared" si="33"/>
        <v>387416.35314461112</v>
      </c>
    </row>
    <row r="92" spans="1:6" x14ac:dyDescent="0.2">
      <c r="A92" s="2">
        <v>6</v>
      </c>
      <c r="B92" s="3">
        <f t="shared" si="34"/>
        <v>387416.35314461112</v>
      </c>
      <c r="C92" s="3">
        <f t="shared" si="30"/>
        <v>3144.5823780215542</v>
      </c>
      <c r="D92" s="3">
        <f t="shared" si="31"/>
        <v>1323.6725399107547</v>
      </c>
      <c r="E92" s="3">
        <f t="shared" si="32"/>
        <v>4468.2549179323087</v>
      </c>
      <c r="F92" s="3">
        <f t="shared" si="33"/>
        <v>384271.77076658956</v>
      </c>
    </row>
    <row r="93" spans="1:6" x14ac:dyDescent="0.2">
      <c r="A93" s="2">
        <v>7</v>
      </c>
      <c r="B93" s="3">
        <f t="shared" si="34"/>
        <v>384271.77076658956</v>
      </c>
      <c r="C93" s="3">
        <f t="shared" si="30"/>
        <v>3155.3263678131279</v>
      </c>
      <c r="D93" s="3">
        <f t="shared" si="31"/>
        <v>1312.928550119181</v>
      </c>
      <c r="E93" s="3">
        <f t="shared" si="32"/>
        <v>4468.2549179323087</v>
      </c>
      <c r="F93" s="3">
        <f t="shared" si="33"/>
        <v>381116.44439877645</v>
      </c>
    </row>
    <row r="94" spans="1:6" x14ac:dyDescent="0.2">
      <c r="A94" s="2">
        <v>8</v>
      </c>
      <c r="B94" s="3">
        <f t="shared" si="34"/>
        <v>381116.44439877645</v>
      </c>
      <c r="C94" s="3">
        <f t="shared" si="30"/>
        <v>3166.1070662364891</v>
      </c>
      <c r="D94" s="3">
        <f t="shared" si="31"/>
        <v>1302.1478516958196</v>
      </c>
      <c r="E94" s="3">
        <f t="shared" si="32"/>
        <v>4468.2549179323087</v>
      </c>
      <c r="F94" s="3">
        <f t="shared" si="33"/>
        <v>377950.33733253996</v>
      </c>
    </row>
    <row r="95" spans="1:6" x14ac:dyDescent="0.2">
      <c r="A95" s="2">
        <v>9</v>
      </c>
      <c r="B95" s="3">
        <f t="shared" si="34"/>
        <v>377950.33733253996</v>
      </c>
      <c r="C95" s="3">
        <f t="shared" si="30"/>
        <v>3176.924598712797</v>
      </c>
      <c r="D95" s="3">
        <f t="shared" si="31"/>
        <v>1291.3303192195117</v>
      </c>
      <c r="E95" s="3">
        <f t="shared" si="32"/>
        <v>4468.2549179323087</v>
      </c>
      <c r="F95" s="3">
        <f t="shared" si="33"/>
        <v>374773.41273382714</v>
      </c>
    </row>
    <row r="96" spans="1:6" x14ac:dyDescent="0.2">
      <c r="A96" s="2">
        <v>10</v>
      </c>
      <c r="B96" s="3">
        <f t="shared" si="34"/>
        <v>374773.41273382714</v>
      </c>
      <c r="C96" s="3">
        <f t="shared" si="30"/>
        <v>3187.7790910917329</v>
      </c>
      <c r="D96" s="3">
        <f t="shared" si="31"/>
        <v>1280.475826840576</v>
      </c>
      <c r="E96" s="3">
        <f t="shared" si="32"/>
        <v>4468.2549179323087</v>
      </c>
      <c r="F96" s="3">
        <f t="shared" si="33"/>
        <v>371585.63364273543</v>
      </c>
    </row>
    <row r="97" spans="1:6" x14ac:dyDescent="0.2">
      <c r="A97" s="2">
        <v>11</v>
      </c>
      <c r="B97" s="3">
        <f t="shared" si="34"/>
        <v>371585.63364273543</v>
      </c>
      <c r="C97" s="3">
        <f t="shared" si="30"/>
        <v>3198.6706696529627</v>
      </c>
      <c r="D97" s="3">
        <f t="shared" si="31"/>
        <v>1269.5842482793462</v>
      </c>
      <c r="E97" s="3">
        <f t="shared" si="32"/>
        <v>4468.2549179323087</v>
      </c>
      <c r="F97" s="3">
        <f t="shared" si="33"/>
        <v>368386.96297308244</v>
      </c>
    </row>
    <row r="98" spans="1:6" x14ac:dyDescent="0.2">
      <c r="A98" s="2">
        <v>12</v>
      </c>
      <c r="B98" s="3">
        <f t="shared" si="34"/>
        <v>368386.96297308244</v>
      </c>
      <c r="C98" s="3">
        <f t="shared" si="30"/>
        <v>3209.5994611076103</v>
      </c>
      <c r="D98" s="3">
        <f t="shared" si="31"/>
        <v>1258.6554568246984</v>
      </c>
      <c r="E98" s="3">
        <f t="shared" si="32"/>
        <v>4468.2549179323087</v>
      </c>
      <c r="F98" s="6">
        <f t="shared" si="33"/>
        <v>365177.36351197481</v>
      </c>
    </row>
    <row r="99" spans="1:6" x14ac:dyDescent="0.2">
      <c r="A99" s="7" t="s">
        <v>43</v>
      </c>
      <c r="B99" s="8"/>
      <c r="C99" s="6">
        <f>SUM(C87:C98)</f>
        <v>37802.017752189895</v>
      </c>
      <c r="D99" s="6">
        <f>SUM(D87:D98)</f>
        <v>15817.041262997805</v>
      </c>
    </row>
    <row r="100" spans="1:6" x14ac:dyDescent="0.2">
      <c r="B100" s="125" t="s">
        <v>53</v>
      </c>
      <c r="C100" s="125"/>
      <c r="D100" s="125"/>
      <c r="E100" s="125"/>
      <c r="F100" s="125"/>
    </row>
    <row r="101" spans="1:6" x14ac:dyDescent="0.2">
      <c r="A101" s="2">
        <v>1</v>
      </c>
      <c r="B101" s="3">
        <f>+F98</f>
        <v>365177.36351197481</v>
      </c>
      <c r="C101" s="3">
        <f t="shared" ref="C101:C112" si="35">+E101-D101</f>
        <v>3220.565592599728</v>
      </c>
      <c r="D101" s="3">
        <f t="shared" ref="D101:D112" si="36">B101*$I$3</f>
        <v>1247.6893253325807</v>
      </c>
      <c r="E101" s="3">
        <f t="shared" ref="E101:E112" si="37">-$I$9</f>
        <v>4468.2549179323087</v>
      </c>
      <c r="F101" s="3">
        <f t="shared" ref="F101:F112" si="38">+B101-C101</f>
        <v>361956.79791937507</v>
      </c>
    </row>
    <row r="102" spans="1:6" x14ac:dyDescent="0.2">
      <c r="A102" s="2">
        <v>2</v>
      </c>
      <c r="B102" s="3">
        <f t="shared" ref="B102:B112" si="39">+F101</f>
        <v>361956.79791937507</v>
      </c>
      <c r="C102" s="3">
        <f t="shared" si="35"/>
        <v>3231.5691917077775</v>
      </c>
      <c r="D102" s="3">
        <f t="shared" si="36"/>
        <v>1236.6857262245314</v>
      </c>
      <c r="E102" s="3">
        <f t="shared" si="37"/>
        <v>4468.2549179323087</v>
      </c>
      <c r="F102" s="3">
        <f t="shared" si="38"/>
        <v>358725.2287276673</v>
      </c>
    </row>
    <row r="103" spans="1:6" x14ac:dyDescent="0.2">
      <c r="A103" s="2">
        <v>3</v>
      </c>
      <c r="B103" s="3">
        <f t="shared" si="39"/>
        <v>358725.2287276673</v>
      </c>
      <c r="C103" s="3">
        <f t="shared" si="35"/>
        <v>3242.610386446112</v>
      </c>
      <c r="D103" s="3">
        <f t="shared" si="36"/>
        <v>1225.6445314861967</v>
      </c>
      <c r="E103" s="3">
        <f t="shared" si="37"/>
        <v>4468.2549179323087</v>
      </c>
      <c r="F103" s="3">
        <f t="shared" si="38"/>
        <v>355482.61834122118</v>
      </c>
    </row>
    <row r="104" spans="1:6" x14ac:dyDescent="0.2">
      <c r="A104" s="2">
        <v>4</v>
      </c>
      <c r="B104" s="3">
        <f t="shared" si="39"/>
        <v>355482.61834122118</v>
      </c>
      <c r="C104" s="3">
        <f t="shared" si="35"/>
        <v>3253.6893052664695</v>
      </c>
      <c r="D104" s="3">
        <f t="shared" si="36"/>
        <v>1214.5656126658391</v>
      </c>
      <c r="E104" s="3">
        <f t="shared" si="37"/>
        <v>4468.2549179323087</v>
      </c>
      <c r="F104" s="3">
        <f t="shared" si="38"/>
        <v>352228.9290359547</v>
      </c>
    </row>
    <row r="105" spans="1:6" x14ac:dyDescent="0.2">
      <c r="A105" s="2">
        <v>5</v>
      </c>
      <c r="B105" s="3">
        <f t="shared" si="39"/>
        <v>352228.9290359547</v>
      </c>
      <c r="C105" s="3">
        <f t="shared" si="35"/>
        <v>3264.8060770594634</v>
      </c>
      <c r="D105" s="3">
        <f t="shared" si="36"/>
        <v>1203.4488408728453</v>
      </c>
      <c r="E105" s="3">
        <f t="shared" si="37"/>
        <v>4468.2549179323087</v>
      </c>
      <c r="F105" s="3">
        <f t="shared" si="38"/>
        <v>348964.12295889523</v>
      </c>
    </row>
    <row r="106" spans="1:6" x14ac:dyDescent="0.2">
      <c r="A106" s="2">
        <v>6</v>
      </c>
      <c r="B106" s="3">
        <f t="shared" si="39"/>
        <v>348964.12295889523</v>
      </c>
      <c r="C106" s="3">
        <f t="shared" si="35"/>
        <v>3275.9608311560833</v>
      </c>
      <c r="D106" s="3">
        <f t="shared" si="36"/>
        <v>1192.2940867762254</v>
      </c>
      <c r="E106" s="3">
        <f t="shared" si="37"/>
        <v>4468.2549179323087</v>
      </c>
      <c r="F106" s="3">
        <f t="shared" si="38"/>
        <v>345688.16212773917</v>
      </c>
    </row>
    <row r="107" spans="1:6" x14ac:dyDescent="0.2">
      <c r="A107" s="2">
        <v>7</v>
      </c>
      <c r="B107" s="3">
        <f t="shared" si="39"/>
        <v>345688.16212773917</v>
      </c>
      <c r="C107" s="3">
        <f t="shared" si="35"/>
        <v>3287.1536973291995</v>
      </c>
      <c r="D107" s="3">
        <f t="shared" si="36"/>
        <v>1181.1012206031089</v>
      </c>
      <c r="E107" s="3">
        <f t="shared" si="37"/>
        <v>4468.2549179323087</v>
      </c>
      <c r="F107" s="3">
        <f t="shared" si="38"/>
        <v>342401.00843040994</v>
      </c>
    </row>
    <row r="108" spans="1:6" x14ac:dyDescent="0.2">
      <c r="A108" s="2">
        <v>8</v>
      </c>
      <c r="B108" s="3">
        <f t="shared" si="39"/>
        <v>342401.00843040994</v>
      </c>
      <c r="C108" s="3">
        <f t="shared" si="35"/>
        <v>3298.3848057950745</v>
      </c>
      <c r="D108" s="3">
        <f t="shared" si="36"/>
        <v>1169.8701121372339</v>
      </c>
      <c r="E108" s="3">
        <f t="shared" si="37"/>
        <v>4468.2549179323087</v>
      </c>
      <c r="F108" s="3">
        <f t="shared" si="38"/>
        <v>339102.62362461485</v>
      </c>
    </row>
    <row r="109" spans="1:6" x14ac:dyDescent="0.2">
      <c r="A109" s="2">
        <v>9</v>
      </c>
      <c r="B109" s="3">
        <f t="shared" si="39"/>
        <v>339102.62362461485</v>
      </c>
      <c r="C109" s="3">
        <f t="shared" si="35"/>
        <v>3309.6542872148748</v>
      </c>
      <c r="D109" s="3">
        <f t="shared" si="36"/>
        <v>1158.6006307174341</v>
      </c>
      <c r="E109" s="3">
        <f t="shared" si="37"/>
        <v>4468.2549179323087</v>
      </c>
      <c r="F109" s="3">
        <f t="shared" si="38"/>
        <v>335792.96933739999</v>
      </c>
    </row>
    <row r="110" spans="1:6" x14ac:dyDescent="0.2">
      <c r="A110" s="2">
        <v>10</v>
      </c>
      <c r="B110" s="3">
        <f t="shared" si="39"/>
        <v>335792.96933739999</v>
      </c>
      <c r="C110" s="3">
        <f t="shared" si="35"/>
        <v>3320.962272696192</v>
      </c>
      <c r="D110" s="3">
        <f t="shared" si="36"/>
        <v>1147.2926452361166</v>
      </c>
      <c r="E110" s="3">
        <f t="shared" si="37"/>
        <v>4468.2549179323087</v>
      </c>
      <c r="F110" s="3">
        <f t="shared" si="38"/>
        <v>332472.00706470379</v>
      </c>
    </row>
    <row r="111" spans="1:6" x14ac:dyDescent="0.2">
      <c r="A111" s="2">
        <v>11</v>
      </c>
      <c r="B111" s="3">
        <f t="shared" si="39"/>
        <v>332472.00706470379</v>
      </c>
      <c r="C111" s="3">
        <f t="shared" si="35"/>
        <v>3332.3088937945704</v>
      </c>
      <c r="D111" s="3">
        <f t="shared" si="36"/>
        <v>1135.946024137738</v>
      </c>
      <c r="E111" s="3">
        <f t="shared" si="37"/>
        <v>4468.2549179323087</v>
      </c>
      <c r="F111" s="3">
        <f t="shared" si="38"/>
        <v>329139.69817090925</v>
      </c>
    </row>
    <row r="112" spans="1:6" x14ac:dyDescent="0.2">
      <c r="A112" s="2">
        <v>12</v>
      </c>
      <c r="B112" s="3">
        <f t="shared" si="39"/>
        <v>329139.69817090925</v>
      </c>
      <c r="C112" s="3">
        <f t="shared" si="35"/>
        <v>3343.6942825150354</v>
      </c>
      <c r="D112" s="3">
        <f t="shared" si="36"/>
        <v>1124.5606354172733</v>
      </c>
      <c r="E112" s="3">
        <f t="shared" si="37"/>
        <v>4468.2549179323087</v>
      </c>
      <c r="F112" s="6">
        <f t="shared" si="38"/>
        <v>325796.00388839422</v>
      </c>
    </row>
    <row r="113" spans="1:6" x14ac:dyDescent="0.2">
      <c r="A113" s="7" t="s">
        <v>43</v>
      </c>
      <c r="B113" s="8"/>
      <c r="C113" s="6">
        <f>SUM(C101:C112)</f>
        <v>39381.359623580574</v>
      </c>
      <c r="D113" s="6">
        <f>SUM(D101:D112)</f>
        <v>14237.699391607122</v>
      </c>
    </row>
    <row r="114" spans="1:6" x14ac:dyDescent="0.2">
      <c r="B114" s="125" t="s">
        <v>54</v>
      </c>
      <c r="C114" s="125"/>
      <c r="D114" s="125"/>
      <c r="E114" s="125"/>
      <c r="F114" s="125"/>
    </row>
    <row r="115" spans="1:6" x14ac:dyDescent="0.2">
      <c r="A115" s="2">
        <v>1</v>
      </c>
      <c r="B115" s="3">
        <f>+F112</f>
        <v>325796.00388839422</v>
      </c>
      <c r="C115" s="3">
        <f t="shared" ref="C115:C126" si="40">+E115-D115</f>
        <v>3355.1185713136283</v>
      </c>
      <c r="D115" s="3">
        <f t="shared" ref="D115:D126" si="41">B115*$I$3</f>
        <v>1113.1363466186804</v>
      </c>
      <c r="E115" s="3">
        <f t="shared" ref="E115:E126" si="42">-$I$9</f>
        <v>4468.2549179323087</v>
      </c>
      <c r="F115" s="3">
        <f t="shared" ref="F115:F126" si="43">+B115-C115</f>
        <v>322440.8853170806</v>
      </c>
    </row>
    <row r="116" spans="1:6" x14ac:dyDescent="0.2">
      <c r="A116" s="2">
        <v>2</v>
      </c>
      <c r="B116" s="3">
        <f t="shared" ref="B116:B126" si="44">+F115</f>
        <v>322440.8853170806</v>
      </c>
      <c r="C116" s="3">
        <f t="shared" si="40"/>
        <v>3366.5818930989499</v>
      </c>
      <c r="D116" s="3">
        <f t="shared" si="41"/>
        <v>1101.6730248333588</v>
      </c>
      <c r="E116" s="3">
        <f t="shared" si="42"/>
        <v>4468.2549179323087</v>
      </c>
      <c r="F116" s="3">
        <f t="shared" si="43"/>
        <v>319074.30342398165</v>
      </c>
    </row>
    <row r="117" spans="1:6" x14ac:dyDescent="0.2">
      <c r="A117" s="2">
        <v>3</v>
      </c>
      <c r="B117" s="3">
        <f t="shared" si="44"/>
        <v>319074.30342398165</v>
      </c>
      <c r="C117" s="3">
        <f t="shared" si="40"/>
        <v>3378.0843812337043</v>
      </c>
      <c r="D117" s="3">
        <f t="shared" si="41"/>
        <v>1090.1705366986041</v>
      </c>
      <c r="E117" s="3">
        <f t="shared" si="42"/>
        <v>4468.2549179323087</v>
      </c>
      <c r="F117" s="3">
        <f t="shared" si="43"/>
        <v>315696.21904274792</v>
      </c>
    </row>
    <row r="118" spans="1:6" x14ac:dyDescent="0.2">
      <c r="A118" s="2">
        <v>4</v>
      </c>
      <c r="B118" s="3">
        <f t="shared" si="44"/>
        <v>315696.21904274792</v>
      </c>
      <c r="C118" s="3">
        <f t="shared" si="40"/>
        <v>3389.6261695362532</v>
      </c>
      <c r="D118" s="3">
        <f t="shared" si="41"/>
        <v>1078.6287483960555</v>
      </c>
      <c r="E118" s="3">
        <f t="shared" si="42"/>
        <v>4468.2549179323087</v>
      </c>
      <c r="F118" s="3">
        <f t="shared" si="43"/>
        <v>312306.59287321166</v>
      </c>
    </row>
    <row r="119" spans="1:6" x14ac:dyDescent="0.2">
      <c r="A119" s="2">
        <v>5</v>
      </c>
      <c r="B119" s="3">
        <f t="shared" si="44"/>
        <v>312306.59287321166</v>
      </c>
      <c r="C119" s="3">
        <f t="shared" si="40"/>
        <v>3401.2073922821687</v>
      </c>
      <c r="D119" s="3">
        <f t="shared" si="41"/>
        <v>1067.04752565014</v>
      </c>
      <c r="E119" s="3">
        <f t="shared" si="42"/>
        <v>4468.2549179323087</v>
      </c>
      <c r="F119" s="3">
        <f t="shared" si="43"/>
        <v>308905.38548092952</v>
      </c>
    </row>
    <row r="120" spans="1:6" x14ac:dyDescent="0.2">
      <c r="A120" s="2">
        <v>6</v>
      </c>
      <c r="B120" s="3">
        <f t="shared" si="44"/>
        <v>308905.38548092952</v>
      </c>
      <c r="C120" s="3">
        <f t="shared" si="40"/>
        <v>3412.8281842057995</v>
      </c>
      <c r="D120" s="3">
        <f t="shared" si="41"/>
        <v>1055.4267337265092</v>
      </c>
      <c r="E120" s="3">
        <f t="shared" si="42"/>
        <v>4468.2549179323087</v>
      </c>
      <c r="F120" s="3">
        <f t="shared" si="43"/>
        <v>305492.55729672371</v>
      </c>
    </row>
    <row r="121" spans="1:6" x14ac:dyDescent="0.2">
      <c r="A121" s="2">
        <v>7</v>
      </c>
      <c r="B121" s="3">
        <f t="shared" si="44"/>
        <v>305492.55729672371</v>
      </c>
      <c r="C121" s="3">
        <f t="shared" si="40"/>
        <v>3424.4886805018359</v>
      </c>
      <c r="D121" s="3">
        <f t="shared" si="41"/>
        <v>1043.7662374304728</v>
      </c>
      <c r="E121" s="3">
        <f t="shared" si="42"/>
        <v>4468.2549179323087</v>
      </c>
      <c r="F121" s="3">
        <f t="shared" si="43"/>
        <v>302068.06861622189</v>
      </c>
    </row>
    <row r="122" spans="1:6" x14ac:dyDescent="0.2">
      <c r="A122" s="2">
        <v>8</v>
      </c>
      <c r="B122" s="3">
        <f t="shared" si="44"/>
        <v>302068.06861622189</v>
      </c>
      <c r="C122" s="3">
        <f t="shared" si="40"/>
        <v>3436.1890168268837</v>
      </c>
      <c r="D122" s="3">
        <f t="shared" si="41"/>
        <v>1032.0659011054249</v>
      </c>
      <c r="E122" s="3">
        <f t="shared" si="42"/>
        <v>4468.2549179323087</v>
      </c>
      <c r="F122" s="3">
        <f t="shared" si="43"/>
        <v>298631.87959939503</v>
      </c>
    </row>
    <row r="123" spans="1:6" x14ac:dyDescent="0.2">
      <c r="A123" s="2">
        <v>9</v>
      </c>
      <c r="B123" s="3">
        <f t="shared" si="44"/>
        <v>298631.87959939503</v>
      </c>
      <c r="C123" s="3">
        <f t="shared" si="40"/>
        <v>3447.9293293010423</v>
      </c>
      <c r="D123" s="3">
        <f t="shared" si="41"/>
        <v>1020.3255886312664</v>
      </c>
      <c r="E123" s="3">
        <f t="shared" si="42"/>
        <v>4468.2549179323087</v>
      </c>
      <c r="F123" s="3">
        <f t="shared" si="43"/>
        <v>295183.95027009398</v>
      </c>
    </row>
    <row r="124" spans="1:6" x14ac:dyDescent="0.2">
      <c r="A124" s="2">
        <v>10</v>
      </c>
      <c r="B124" s="3">
        <f t="shared" si="44"/>
        <v>295183.95027009398</v>
      </c>
      <c r="C124" s="3">
        <f t="shared" si="40"/>
        <v>3459.7097545094875</v>
      </c>
      <c r="D124" s="3">
        <f t="shared" si="41"/>
        <v>1008.5451634228211</v>
      </c>
      <c r="E124" s="3">
        <f t="shared" si="42"/>
        <v>4468.2549179323087</v>
      </c>
      <c r="F124" s="3">
        <f t="shared" si="43"/>
        <v>291724.24051558448</v>
      </c>
    </row>
    <row r="125" spans="1:6" x14ac:dyDescent="0.2">
      <c r="A125" s="2">
        <v>11</v>
      </c>
      <c r="B125" s="3">
        <f t="shared" si="44"/>
        <v>291724.24051558448</v>
      </c>
      <c r="C125" s="3">
        <f t="shared" si="40"/>
        <v>3471.5304295040614</v>
      </c>
      <c r="D125" s="3">
        <f t="shared" si="41"/>
        <v>996.72448842824701</v>
      </c>
      <c r="E125" s="3">
        <f t="shared" si="42"/>
        <v>4468.2549179323087</v>
      </c>
      <c r="F125" s="3">
        <f t="shared" si="43"/>
        <v>288252.71008608042</v>
      </c>
    </row>
    <row r="126" spans="1:6" x14ac:dyDescent="0.2">
      <c r="A126" s="2">
        <v>12</v>
      </c>
      <c r="B126" s="3">
        <f t="shared" si="44"/>
        <v>288252.71008608042</v>
      </c>
      <c r="C126" s="3">
        <f t="shared" si="40"/>
        <v>3483.3914918048672</v>
      </c>
      <c r="D126" s="3">
        <f t="shared" si="41"/>
        <v>984.86342612744147</v>
      </c>
      <c r="E126" s="3">
        <f t="shared" si="42"/>
        <v>4468.2549179323087</v>
      </c>
      <c r="F126" s="6">
        <f t="shared" si="43"/>
        <v>284769.31859427557</v>
      </c>
    </row>
    <row r="127" spans="1:6" x14ac:dyDescent="0.2">
      <c r="A127" s="7" t="s">
        <v>43</v>
      </c>
      <c r="B127" s="8"/>
      <c r="C127" s="6">
        <f>SUM(C115:C126)</f>
        <v>41026.685294118681</v>
      </c>
      <c r="D127" s="6">
        <f>SUM(D115:D126)</f>
        <v>12592.373721069021</v>
      </c>
    </row>
    <row r="128" spans="1:6" x14ac:dyDescent="0.2">
      <c r="B128" s="125" t="s">
        <v>55</v>
      </c>
      <c r="C128" s="125"/>
      <c r="D128" s="125"/>
      <c r="E128" s="125"/>
      <c r="F128" s="125"/>
    </row>
    <row r="129" spans="1:6" x14ac:dyDescent="0.2">
      <c r="A129" s="2">
        <v>1</v>
      </c>
      <c r="B129" s="3">
        <f>+F126</f>
        <v>284769.31859427557</v>
      </c>
      <c r="C129" s="3">
        <f t="shared" ref="C129:C140" si="45">+E129-D129</f>
        <v>3495.2930794018671</v>
      </c>
      <c r="D129" s="3">
        <f t="shared" ref="D129:D140" si="46">B129*$I$3</f>
        <v>972.96183853044158</v>
      </c>
      <c r="E129" s="3">
        <f t="shared" ref="E129:E140" si="47">-$I$9</f>
        <v>4468.2549179323087</v>
      </c>
      <c r="F129" s="3">
        <f t="shared" ref="F129:F140" si="48">+B129-C129</f>
        <v>281274.02551487368</v>
      </c>
    </row>
    <row r="130" spans="1:6" x14ac:dyDescent="0.2">
      <c r="A130" s="2">
        <v>2</v>
      </c>
      <c r="B130" s="3">
        <f t="shared" ref="B130:B140" si="49">+F129</f>
        <v>281274.02551487368</v>
      </c>
      <c r="C130" s="3">
        <f t="shared" si="45"/>
        <v>3507.2353307564904</v>
      </c>
      <c r="D130" s="3">
        <f t="shared" si="46"/>
        <v>961.0195871758184</v>
      </c>
      <c r="E130" s="3">
        <f t="shared" si="47"/>
        <v>4468.2549179323087</v>
      </c>
      <c r="F130" s="3">
        <f t="shared" si="48"/>
        <v>277766.79018411721</v>
      </c>
    </row>
    <row r="131" spans="1:6" x14ac:dyDescent="0.2">
      <c r="A131" s="2">
        <v>3</v>
      </c>
      <c r="B131" s="3">
        <f t="shared" si="49"/>
        <v>277766.79018411721</v>
      </c>
      <c r="C131" s="3">
        <f t="shared" si="45"/>
        <v>3519.2183848032414</v>
      </c>
      <c r="D131" s="3">
        <f t="shared" si="46"/>
        <v>949.03653312906715</v>
      </c>
      <c r="E131" s="3">
        <f t="shared" si="47"/>
        <v>4468.2549179323087</v>
      </c>
      <c r="F131" s="3">
        <f t="shared" si="48"/>
        <v>274247.571799314</v>
      </c>
    </row>
    <row r="132" spans="1:6" x14ac:dyDescent="0.2">
      <c r="A132" s="2">
        <v>4</v>
      </c>
      <c r="B132" s="3">
        <f t="shared" si="49"/>
        <v>274247.571799314</v>
      </c>
      <c r="C132" s="3">
        <f t="shared" si="45"/>
        <v>3531.2423809513193</v>
      </c>
      <c r="D132" s="3">
        <f t="shared" si="46"/>
        <v>937.01253698098958</v>
      </c>
      <c r="E132" s="3">
        <f t="shared" si="47"/>
        <v>4468.2549179323087</v>
      </c>
      <c r="F132" s="3">
        <f t="shared" si="48"/>
        <v>270716.3294183627</v>
      </c>
    </row>
    <row r="133" spans="1:6" x14ac:dyDescent="0.2">
      <c r="A133" s="2">
        <v>5</v>
      </c>
      <c r="B133" s="3">
        <f t="shared" si="49"/>
        <v>270716.3294183627</v>
      </c>
      <c r="C133" s="3">
        <f t="shared" si="45"/>
        <v>3543.3074590862361</v>
      </c>
      <c r="D133" s="3">
        <f t="shared" si="46"/>
        <v>924.94745884607255</v>
      </c>
      <c r="E133" s="3">
        <f t="shared" si="47"/>
        <v>4468.2549179323087</v>
      </c>
      <c r="F133" s="3">
        <f t="shared" si="48"/>
        <v>267173.02195927646</v>
      </c>
    </row>
    <row r="134" spans="1:6" x14ac:dyDescent="0.2">
      <c r="A134" s="2">
        <v>6</v>
      </c>
      <c r="B134" s="3">
        <f t="shared" si="49"/>
        <v>267173.02195927646</v>
      </c>
      <c r="C134" s="3">
        <f t="shared" si="45"/>
        <v>3555.4137595714474</v>
      </c>
      <c r="D134" s="3">
        <f t="shared" si="46"/>
        <v>912.8411583608613</v>
      </c>
      <c r="E134" s="3">
        <f t="shared" si="47"/>
        <v>4468.2549179323087</v>
      </c>
      <c r="F134" s="3">
        <f t="shared" si="48"/>
        <v>263617.60819970502</v>
      </c>
    </row>
    <row r="135" spans="1:6" x14ac:dyDescent="0.2">
      <c r="A135" s="2">
        <v>7</v>
      </c>
      <c r="B135" s="3">
        <f t="shared" si="49"/>
        <v>263617.60819970502</v>
      </c>
      <c r="C135" s="3">
        <f t="shared" si="45"/>
        <v>3567.5614232499829</v>
      </c>
      <c r="D135" s="3">
        <f t="shared" si="46"/>
        <v>900.69349468232554</v>
      </c>
      <c r="E135" s="3">
        <f t="shared" si="47"/>
        <v>4468.2549179323087</v>
      </c>
      <c r="F135" s="3">
        <f t="shared" si="48"/>
        <v>260050.04677645504</v>
      </c>
    </row>
    <row r="136" spans="1:6" x14ac:dyDescent="0.2">
      <c r="A136" s="2">
        <v>8</v>
      </c>
      <c r="B136" s="3">
        <f t="shared" si="49"/>
        <v>260050.04677645504</v>
      </c>
      <c r="C136" s="3">
        <f t="shared" si="45"/>
        <v>3579.7505914460871</v>
      </c>
      <c r="D136" s="3">
        <f t="shared" si="46"/>
        <v>888.50432648622143</v>
      </c>
      <c r="E136" s="3">
        <f t="shared" si="47"/>
        <v>4468.2549179323087</v>
      </c>
      <c r="F136" s="3">
        <f t="shared" si="48"/>
        <v>256470.29618500895</v>
      </c>
    </row>
    <row r="137" spans="1:6" x14ac:dyDescent="0.2">
      <c r="A137" s="2">
        <v>9</v>
      </c>
      <c r="B137" s="3">
        <f t="shared" si="49"/>
        <v>256470.29618500895</v>
      </c>
      <c r="C137" s="3">
        <f t="shared" si="45"/>
        <v>3591.9814059668615</v>
      </c>
      <c r="D137" s="3">
        <f t="shared" si="46"/>
        <v>876.27351196544726</v>
      </c>
      <c r="E137" s="3">
        <f t="shared" si="47"/>
        <v>4468.2549179323087</v>
      </c>
      <c r="F137" s="3">
        <f t="shared" si="48"/>
        <v>252878.31477904209</v>
      </c>
    </row>
    <row r="138" spans="1:6" x14ac:dyDescent="0.2">
      <c r="A138" s="2">
        <v>10</v>
      </c>
      <c r="B138" s="3">
        <f t="shared" si="49"/>
        <v>252878.31477904209</v>
      </c>
      <c r="C138" s="3">
        <f t="shared" si="45"/>
        <v>3604.2540091039145</v>
      </c>
      <c r="D138" s="3">
        <f t="shared" si="46"/>
        <v>864.0009088283939</v>
      </c>
      <c r="E138" s="3">
        <f t="shared" si="47"/>
        <v>4468.2549179323087</v>
      </c>
      <c r="F138" s="3">
        <f t="shared" si="48"/>
        <v>249274.06076993817</v>
      </c>
    </row>
    <row r="139" spans="1:6" x14ac:dyDescent="0.2">
      <c r="A139" s="2">
        <v>11</v>
      </c>
      <c r="B139" s="3">
        <f t="shared" si="49"/>
        <v>249274.06076993817</v>
      </c>
      <c r="C139" s="3">
        <f t="shared" si="45"/>
        <v>3616.56854363502</v>
      </c>
      <c r="D139" s="3">
        <f t="shared" si="46"/>
        <v>851.68637429728881</v>
      </c>
      <c r="E139" s="3">
        <f t="shared" si="47"/>
        <v>4468.2549179323087</v>
      </c>
      <c r="F139" s="3">
        <f t="shared" si="48"/>
        <v>245657.49222630315</v>
      </c>
    </row>
    <row r="140" spans="1:6" x14ac:dyDescent="0.2">
      <c r="A140" s="2">
        <v>12</v>
      </c>
      <c r="B140" s="3">
        <f t="shared" si="49"/>
        <v>245657.49222630315</v>
      </c>
      <c r="C140" s="3">
        <f t="shared" si="45"/>
        <v>3628.9251528257728</v>
      </c>
      <c r="D140" s="3">
        <f t="shared" si="46"/>
        <v>839.32976510653577</v>
      </c>
      <c r="E140" s="3">
        <f t="shared" si="47"/>
        <v>4468.2549179323087</v>
      </c>
      <c r="F140" s="6">
        <f t="shared" si="48"/>
        <v>242028.56707347737</v>
      </c>
    </row>
    <row r="141" spans="1:6" x14ac:dyDescent="0.2">
      <c r="A141" s="7" t="s">
        <v>43</v>
      </c>
      <c r="B141" s="8"/>
      <c r="C141" s="6">
        <f>SUM(C129:C140)</f>
        <v>42740.751520798243</v>
      </c>
      <c r="D141" s="6">
        <f>SUM(D129:D140)</f>
        <v>10878.307494389463</v>
      </c>
    </row>
    <row r="142" spans="1:6" x14ac:dyDescent="0.2">
      <c r="B142" s="2"/>
      <c r="C142" s="3"/>
      <c r="D142" s="3"/>
      <c r="E142" s="3"/>
      <c r="F142" s="3"/>
    </row>
    <row r="143" spans="1:6" x14ac:dyDescent="0.2">
      <c r="B143" s="3"/>
      <c r="C143" s="3"/>
      <c r="D143" s="3"/>
      <c r="E143" s="3"/>
      <c r="F143" s="3"/>
    </row>
    <row r="144" spans="1:6" x14ac:dyDescent="0.2">
      <c r="B144" s="3"/>
      <c r="C144" s="3"/>
      <c r="D144" s="3"/>
      <c r="E144" s="3"/>
      <c r="F144" s="3"/>
    </row>
    <row r="145" spans="2:6" x14ac:dyDescent="0.2">
      <c r="B145" s="3"/>
      <c r="C145" s="3"/>
      <c r="D145" s="3"/>
      <c r="E145" s="3"/>
      <c r="F145" s="3"/>
    </row>
    <row r="146" spans="2:6" x14ac:dyDescent="0.2">
      <c r="B146" s="3"/>
      <c r="C146" s="3"/>
      <c r="D146" s="3"/>
      <c r="E146" s="3"/>
      <c r="F146" s="3"/>
    </row>
    <row r="147" spans="2:6" x14ac:dyDescent="0.2">
      <c r="B147" s="3"/>
      <c r="C147" s="3"/>
      <c r="D147" s="3"/>
      <c r="E147" s="3"/>
      <c r="F147" s="3"/>
    </row>
    <row r="148" spans="2:6" x14ac:dyDescent="0.2">
      <c r="B148" s="3"/>
      <c r="C148" s="3"/>
      <c r="D148" s="3"/>
      <c r="E148" s="3"/>
      <c r="F148" s="3"/>
    </row>
    <row r="149" spans="2:6" x14ac:dyDescent="0.2">
      <c r="B149" s="3"/>
      <c r="C149" s="3"/>
      <c r="D149" s="3"/>
      <c r="E149" s="3"/>
      <c r="F149" s="3"/>
    </row>
    <row r="150" spans="2:6" x14ac:dyDescent="0.2">
      <c r="B150" s="3"/>
      <c r="C150" s="3"/>
      <c r="D150" s="3"/>
      <c r="E150" s="3"/>
      <c r="F150" s="3"/>
    </row>
    <row r="151" spans="2:6" x14ac:dyDescent="0.2">
      <c r="B151" s="3"/>
      <c r="C151" s="3"/>
      <c r="D151" s="3"/>
      <c r="E151" s="3"/>
      <c r="F151" s="3"/>
    </row>
    <row r="152" spans="2:6" x14ac:dyDescent="0.2">
      <c r="B152" s="3"/>
      <c r="C152" s="3"/>
      <c r="D152" s="3"/>
      <c r="E152" s="3"/>
      <c r="F152" s="3"/>
    </row>
    <row r="153" spans="2:6" x14ac:dyDescent="0.2">
      <c r="B153" s="3"/>
      <c r="C153" s="3"/>
      <c r="D153" s="3"/>
      <c r="E153" s="3"/>
      <c r="F153" s="3"/>
    </row>
    <row r="154" spans="2:6" x14ac:dyDescent="0.2">
      <c r="B154" s="3"/>
      <c r="C154" s="3"/>
      <c r="D154" s="3"/>
      <c r="E154" s="3"/>
      <c r="F154" s="6"/>
    </row>
    <row r="155" spans="2:6" x14ac:dyDescent="0.2">
      <c r="B155" s="7"/>
      <c r="C155" s="6"/>
      <c r="D155" s="6"/>
      <c r="E155" s="3"/>
      <c r="F155" s="3"/>
    </row>
    <row r="156" spans="2:6" x14ac:dyDescent="0.2">
      <c r="B156" s="2"/>
      <c r="C156" s="3"/>
      <c r="D156" s="3"/>
      <c r="E156" s="3"/>
      <c r="F156" s="3"/>
    </row>
    <row r="157" spans="2:6" x14ac:dyDescent="0.2">
      <c r="B157" s="3"/>
      <c r="C157" s="3"/>
      <c r="D157" s="3"/>
      <c r="E157" s="3"/>
      <c r="F157" s="3"/>
    </row>
    <row r="158" spans="2:6" x14ac:dyDescent="0.2">
      <c r="B158" s="3"/>
      <c r="C158" s="3"/>
      <c r="D158" s="3"/>
      <c r="E158" s="3"/>
      <c r="F158" s="3"/>
    </row>
    <row r="159" spans="2:6" x14ac:dyDescent="0.2">
      <c r="B159" s="3"/>
      <c r="C159" s="3"/>
      <c r="D159" s="3"/>
      <c r="E159" s="3"/>
      <c r="F159" s="3"/>
    </row>
    <row r="160" spans="2:6" x14ac:dyDescent="0.2">
      <c r="B160" s="3"/>
      <c r="C160" s="3"/>
      <c r="D160" s="3"/>
      <c r="E160" s="3"/>
      <c r="F160" s="3"/>
    </row>
    <row r="161" spans="2:6" x14ac:dyDescent="0.2">
      <c r="B161" s="3"/>
      <c r="C161" s="3"/>
      <c r="D161" s="3"/>
      <c r="E161" s="3"/>
      <c r="F161" s="3"/>
    </row>
    <row r="162" spans="2:6" x14ac:dyDescent="0.2">
      <c r="B162" s="3"/>
      <c r="C162" s="3"/>
      <c r="D162" s="3"/>
      <c r="E162" s="3"/>
      <c r="F162" s="3"/>
    </row>
    <row r="163" spans="2:6" x14ac:dyDescent="0.2">
      <c r="B163" s="3"/>
      <c r="C163" s="3"/>
      <c r="D163" s="3"/>
      <c r="E163" s="3"/>
      <c r="F163" s="3"/>
    </row>
    <row r="164" spans="2:6" x14ac:dyDescent="0.2">
      <c r="B164" s="3"/>
      <c r="C164" s="3"/>
      <c r="D164" s="3"/>
      <c r="E164" s="3"/>
      <c r="F164" s="3"/>
    </row>
    <row r="165" spans="2:6" x14ac:dyDescent="0.2">
      <c r="B165" s="3"/>
      <c r="C165" s="3"/>
      <c r="D165" s="3"/>
      <c r="E165" s="3"/>
      <c r="F165" s="3"/>
    </row>
    <row r="166" spans="2:6" x14ac:dyDescent="0.2">
      <c r="B166" s="3"/>
      <c r="C166" s="3"/>
      <c r="D166" s="3"/>
      <c r="E166" s="3"/>
      <c r="F166" s="3"/>
    </row>
    <row r="167" spans="2:6" x14ac:dyDescent="0.2">
      <c r="B167" s="3"/>
      <c r="C167" s="3"/>
      <c r="D167" s="3"/>
      <c r="E167" s="3"/>
      <c r="F167" s="3"/>
    </row>
    <row r="168" spans="2:6" x14ac:dyDescent="0.2">
      <c r="B168" s="3"/>
      <c r="C168" s="3"/>
      <c r="D168" s="3"/>
      <c r="E168" s="3"/>
      <c r="F168" s="6"/>
    </row>
    <row r="169" spans="2:6" x14ac:dyDescent="0.2">
      <c r="B169" s="8"/>
      <c r="C169" s="6"/>
      <c r="D169" s="6"/>
    </row>
    <row r="171" spans="2:6" x14ac:dyDescent="0.2">
      <c r="B171" s="3"/>
      <c r="C171" s="3"/>
      <c r="D171" s="3"/>
      <c r="E171" s="3"/>
      <c r="F171" s="3"/>
    </row>
    <row r="172" spans="2:6" x14ac:dyDescent="0.2">
      <c r="B172" s="3"/>
      <c r="C172" s="3"/>
      <c r="D172" s="3"/>
      <c r="E172" s="3"/>
      <c r="F172" s="3"/>
    </row>
    <row r="173" spans="2:6" x14ac:dyDescent="0.2">
      <c r="B173" s="3"/>
      <c r="C173" s="3"/>
      <c r="D173" s="3"/>
      <c r="E173" s="3"/>
      <c r="F173" s="3"/>
    </row>
    <row r="174" spans="2:6" x14ac:dyDescent="0.2">
      <c r="B174" s="3"/>
      <c r="C174" s="3"/>
      <c r="D174" s="3"/>
      <c r="E174" s="3"/>
      <c r="F174" s="3"/>
    </row>
    <row r="175" spans="2:6" x14ac:dyDescent="0.2">
      <c r="B175" s="3"/>
      <c r="C175" s="3"/>
      <c r="D175" s="3"/>
      <c r="E175" s="3"/>
      <c r="F175" s="3"/>
    </row>
    <row r="176" spans="2:6" x14ac:dyDescent="0.2">
      <c r="B176" s="3"/>
      <c r="C176" s="3"/>
      <c r="D176" s="3"/>
      <c r="E176" s="3"/>
      <c r="F176" s="3"/>
    </row>
    <row r="177" spans="2:6" x14ac:dyDescent="0.2">
      <c r="B177" s="3"/>
      <c r="C177" s="3"/>
      <c r="D177" s="3"/>
      <c r="E177" s="3"/>
      <c r="F177" s="3"/>
    </row>
    <row r="178" spans="2:6" x14ac:dyDescent="0.2">
      <c r="B178" s="3"/>
      <c r="C178" s="3"/>
      <c r="D178" s="3"/>
      <c r="E178" s="3"/>
      <c r="F178" s="3"/>
    </row>
    <row r="179" spans="2:6" x14ac:dyDescent="0.2">
      <c r="B179" s="3"/>
      <c r="C179" s="3"/>
      <c r="D179" s="3"/>
      <c r="E179" s="3"/>
      <c r="F179" s="3"/>
    </row>
    <row r="180" spans="2:6" x14ac:dyDescent="0.2">
      <c r="B180" s="3"/>
      <c r="C180" s="3"/>
      <c r="D180" s="3"/>
      <c r="E180" s="3"/>
      <c r="F180" s="3"/>
    </row>
    <row r="181" spans="2:6" x14ac:dyDescent="0.2">
      <c r="B181" s="3"/>
      <c r="C181" s="3"/>
      <c r="D181" s="3"/>
      <c r="E181" s="3"/>
      <c r="F181" s="3"/>
    </row>
    <row r="182" spans="2:6" x14ac:dyDescent="0.2">
      <c r="B182" s="3"/>
      <c r="C182" s="3"/>
      <c r="D182" s="3"/>
      <c r="E182" s="3"/>
      <c r="F182" s="6"/>
    </row>
    <row r="183" spans="2:6" x14ac:dyDescent="0.2">
      <c r="B183" s="8"/>
      <c r="C183" s="6"/>
      <c r="D183" s="6"/>
    </row>
    <row r="185" spans="2:6" x14ac:dyDescent="0.2">
      <c r="B185" s="3"/>
      <c r="C185" s="3"/>
      <c r="D185" s="3"/>
      <c r="E185" s="3"/>
      <c r="F185" s="3"/>
    </row>
  </sheetData>
  <sheetProtection selectLockedCells="1" selectUnlockedCells="1"/>
  <mergeCells count="10">
    <mergeCell ref="B86:F86"/>
    <mergeCell ref="B100:F100"/>
    <mergeCell ref="B114:F114"/>
    <mergeCell ref="B128:F128"/>
    <mergeCell ref="B1:F1"/>
    <mergeCell ref="B16:F16"/>
    <mergeCell ref="B30:F30"/>
    <mergeCell ref="B44:F44"/>
    <mergeCell ref="B58:F58"/>
    <mergeCell ref="B72:F72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Play It Again Sports</vt:lpstr>
      <vt:lpstr>Bankruptcy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2014-07-18T14:42:24Z</dcterms:created>
  <dcterms:modified xsi:type="dcterms:W3CDTF">2019-08-23T21:08:39Z</dcterms:modified>
</cp:coreProperties>
</file>