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60" windowWidth="20490" windowHeight="7695"/>
  </bookViews>
  <sheets>
    <sheet name="Forecast" sheetId="1" r:id="rId1"/>
    <sheet name="Mortgage" sheetId="2" r:id="rId2"/>
    <sheet name="Bankruptcy" sheetId="3" r:id="rId3"/>
    <sheet name="Growth Option" sheetId="4" r:id="rId4"/>
    <sheet name="Option analysis" sheetId="5" r:id="rId5"/>
    <sheet name="Bankruptcy FCF" sheetId="6" r:id="rId6"/>
    <sheet name="Expansion mortgage" sheetId="7" r:id="rId7"/>
  </sheets>
  <definedNames>
    <definedName name="solver_adj" localSheetId="0" hidden="1">Forecast!$D$47:$M$47,Forecast!$D$65:$M$65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Forecast!$D$108</definedName>
    <definedName name="solver_lhs2" localSheetId="0" hidden="1">Forecast!$D$47:$M$47</definedName>
    <definedName name="solver_lhs3" localSheetId="0" hidden="1">Forecast!$D$65:$M$65</definedName>
    <definedName name="solver_lhs4" localSheetId="0" hidden="1">Forecast!$D$67</definedName>
    <definedName name="solver_lhs5" localSheetId="0" hidden="1">Forecast!$D$73:$M$73</definedName>
    <definedName name="solver_lhs6" localSheetId="0" hidden="1">Forecast!$S$47:$AB$47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Forecast!$D$108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2</definedName>
    <definedName name="solver_rel6" localSheetId="0" hidden="1">2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2" l="1"/>
  <c r="D60" i="2"/>
  <c r="E60" i="2"/>
  <c r="C60" i="2" s="1"/>
  <c r="E61" i="2"/>
  <c r="E62" i="2"/>
  <c r="E63" i="2"/>
  <c r="E64" i="2"/>
  <c r="E65" i="2"/>
  <c r="E66" i="2"/>
  <c r="E67" i="2"/>
  <c r="E68" i="2"/>
  <c r="E69" i="2"/>
  <c r="E70" i="2"/>
  <c r="E71" i="2"/>
  <c r="D20" i="5"/>
  <c r="F60" i="2" l="1"/>
  <c r="B61" i="2" s="1"/>
  <c r="F17" i="5"/>
  <c r="D61" i="2" l="1"/>
  <c r="F12" i="5"/>
  <c r="I17" i="5"/>
  <c r="G17" i="5"/>
  <c r="E17" i="5"/>
  <c r="D17" i="5"/>
  <c r="H17" i="5"/>
  <c r="D7" i="5"/>
  <c r="M7" i="5"/>
  <c r="K7" i="5"/>
  <c r="I7" i="5"/>
  <c r="G7" i="5"/>
  <c r="E7" i="5"/>
  <c r="D12" i="5"/>
  <c r="M12" i="5"/>
  <c r="K12" i="5"/>
  <c r="I12" i="5"/>
  <c r="G12" i="5"/>
  <c r="E12" i="5"/>
  <c r="N7" i="5"/>
  <c r="L7" i="5"/>
  <c r="J7" i="5"/>
  <c r="H7" i="5"/>
  <c r="F7" i="5"/>
  <c r="N12" i="5"/>
  <c r="L12" i="5"/>
  <c r="J12" i="5"/>
  <c r="H12" i="5"/>
  <c r="I53" i="4"/>
  <c r="I36" i="4" s="1"/>
  <c r="K53" i="4"/>
  <c r="K36" i="4" s="1"/>
  <c r="K79" i="4" s="1"/>
  <c r="M53" i="4"/>
  <c r="M36" i="4" s="1"/>
  <c r="M79" i="4" s="1"/>
  <c r="E53" i="4"/>
  <c r="E36" i="4" s="1"/>
  <c r="G53" i="4"/>
  <c r="G36" i="4" s="1"/>
  <c r="I14" i="7"/>
  <c r="I12" i="7"/>
  <c r="I6" i="7"/>
  <c r="M123" i="6"/>
  <c r="L123" i="6"/>
  <c r="M122" i="6"/>
  <c r="L122" i="6"/>
  <c r="M115" i="6"/>
  <c r="L115" i="6"/>
  <c r="M114" i="6"/>
  <c r="L114" i="6"/>
  <c r="C101" i="6"/>
  <c r="M98" i="6"/>
  <c r="L98" i="6"/>
  <c r="K98" i="6"/>
  <c r="J98" i="6"/>
  <c r="I98" i="6"/>
  <c r="H98" i="6"/>
  <c r="G98" i="6"/>
  <c r="F98" i="6"/>
  <c r="E98" i="6"/>
  <c r="D98" i="6"/>
  <c r="C98" i="6"/>
  <c r="C86" i="6"/>
  <c r="E67" i="6"/>
  <c r="P65" i="6"/>
  <c r="P60" i="6"/>
  <c r="E57" i="6"/>
  <c r="D101" i="6" s="1"/>
  <c r="E51" i="6"/>
  <c r="F51" i="6" s="1"/>
  <c r="O37" i="6"/>
  <c r="E35" i="6"/>
  <c r="D35" i="6"/>
  <c r="E30" i="6"/>
  <c r="F30" i="6" s="1"/>
  <c r="G30" i="6" s="1"/>
  <c r="H30" i="6" s="1"/>
  <c r="I30" i="6" s="1"/>
  <c r="J30" i="6" s="1"/>
  <c r="K30" i="6" s="1"/>
  <c r="L30" i="6" s="1"/>
  <c r="M30" i="6" s="1"/>
  <c r="D28" i="6"/>
  <c r="E28" i="6" s="1"/>
  <c r="F28" i="6" s="1"/>
  <c r="G28" i="6" s="1"/>
  <c r="H28" i="6" s="1"/>
  <c r="I28" i="6" s="1"/>
  <c r="J28" i="6" s="1"/>
  <c r="K28" i="6" s="1"/>
  <c r="L28" i="6" s="1"/>
  <c r="M28" i="6" s="1"/>
  <c r="D27" i="6"/>
  <c r="E27" i="6" s="1"/>
  <c r="F27" i="6" s="1"/>
  <c r="G27" i="6" s="1"/>
  <c r="H27" i="6" s="1"/>
  <c r="I27" i="6" s="1"/>
  <c r="J27" i="6" s="1"/>
  <c r="K27" i="6" s="1"/>
  <c r="L27" i="6" s="1"/>
  <c r="M27" i="6" s="1"/>
  <c r="M26" i="6"/>
  <c r="L26" i="6"/>
  <c r="K26" i="6"/>
  <c r="J26" i="6"/>
  <c r="I26" i="6"/>
  <c r="H26" i="6"/>
  <c r="G26" i="6"/>
  <c r="F26" i="6"/>
  <c r="E26" i="6"/>
  <c r="D26" i="6"/>
  <c r="D18" i="6"/>
  <c r="P13" i="6"/>
  <c r="Q13" i="6" s="1"/>
  <c r="O13" i="6"/>
  <c r="M10" i="6"/>
  <c r="L10" i="6"/>
  <c r="K10" i="6"/>
  <c r="J10" i="6"/>
  <c r="I10" i="6"/>
  <c r="H10" i="6"/>
  <c r="G10" i="6"/>
  <c r="F10" i="6"/>
  <c r="E10" i="6"/>
  <c r="D10" i="6"/>
  <c r="O49" i="6" s="1"/>
  <c r="M123" i="4"/>
  <c r="L123" i="4"/>
  <c r="M122" i="4"/>
  <c r="L122" i="4"/>
  <c r="M115" i="4"/>
  <c r="L115" i="4"/>
  <c r="M114" i="4"/>
  <c r="L114" i="4"/>
  <c r="C101" i="4"/>
  <c r="M98" i="4"/>
  <c r="L98" i="4"/>
  <c r="K98" i="4"/>
  <c r="J98" i="4"/>
  <c r="I98" i="4"/>
  <c r="H98" i="4"/>
  <c r="G98" i="4"/>
  <c r="F98" i="4"/>
  <c r="E98" i="4"/>
  <c r="D98" i="4"/>
  <c r="C98" i="4"/>
  <c r="C86" i="4"/>
  <c r="E67" i="4"/>
  <c r="P65" i="4"/>
  <c r="P60" i="4"/>
  <c r="E57" i="4"/>
  <c r="D101" i="4" s="1"/>
  <c r="F51" i="4"/>
  <c r="F35" i="4" s="1"/>
  <c r="E51" i="4"/>
  <c r="D86" i="4" s="1"/>
  <c r="O37" i="4"/>
  <c r="E35" i="4"/>
  <c r="D35" i="4"/>
  <c r="F30" i="4"/>
  <c r="G30" i="4" s="1"/>
  <c r="H30" i="4" s="1"/>
  <c r="I30" i="4" s="1"/>
  <c r="J30" i="4" s="1"/>
  <c r="K30" i="4" s="1"/>
  <c r="L30" i="4" s="1"/>
  <c r="M30" i="4" s="1"/>
  <c r="E30" i="4"/>
  <c r="E28" i="4"/>
  <c r="F28" i="4" s="1"/>
  <c r="G28" i="4" s="1"/>
  <c r="H28" i="4" s="1"/>
  <c r="I28" i="4" s="1"/>
  <c r="J28" i="4" s="1"/>
  <c r="K28" i="4" s="1"/>
  <c r="L28" i="4" s="1"/>
  <c r="M28" i="4" s="1"/>
  <c r="D28" i="4"/>
  <c r="E27" i="4"/>
  <c r="F27" i="4" s="1"/>
  <c r="G27" i="4" s="1"/>
  <c r="H27" i="4" s="1"/>
  <c r="I27" i="4" s="1"/>
  <c r="J27" i="4" s="1"/>
  <c r="K27" i="4" s="1"/>
  <c r="L27" i="4" s="1"/>
  <c r="M27" i="4" s="1"/>
  <c r="D27" i="4"/>
  <c r="M26" i="4"/>
  <c r="L26" i="4"/>
  <c r="K26" i="4"/>
  <c r="J26" i="4"/>
  <c r="I26" i="4"/>
  <c r="H26" i="4"/>
  <c r="G26" i="4"/>
  <c r="F26" i="4"/>
  <c r="E26" i="4"/>
  <c r="D26" i="4"/>
  <c r="D18" i="4"/>
  <c r="E18" i="4" s="1"/>
  <c r="O13" i="4"/>
  <c r="P13" i="4" s="1"/>
  <c r="Q13" i="4" s="1"/>
  <c r="M10" i="4"/>
  <c r="L10" i="4"/>
  <c r="K10" i="4"/>
  <c r="J10" i="4"/>
  <c r="I10" i="4"/>
  <c r="H10" i="4"/>
  <c r="G10" i="4"/>
  <c r="F10" i="4"/>
  <c r="E10" i="4"/>
  <c r="D10" i="4"/>
  <c r="O49" i="4" s="1"/>
  <c r="C61" i="2" l="1"/>
  <c r="G51" i="6"/>
  <c r="F35" i="6"/>
  <c r="N114" i="4"/>
  <c r="N117" i="4" s="1"/>
  <c r="N115" i="4"/>
  <c r="N122" i="4"/>
  <c r="N125" i="4" s="1"/>
  <c r="O38" i="4" s="1"/>
  <c r="N123" i="4"/>
  <c r="N114" i="6"/>
  <c r="N117" i="6" s="1"/>
  <c r="N115" i="6"/>
  <c r="N122" i="6"/>
  <c r="N125" i="6" s="1"/>
  <c r="O38" i="6" s="1"/>
  <c r="N123" i="6"/>
  <c r="I16" i="7"/>
  <c r="I8" i="7" s="1"/>
  <c r="B4" i="7" s="1"/>
  <c r="D53" i="4"/>
  <c r="F53" i="4"/>
  <c r="I18" i="7"/>
  <c r="H53" i="4"/>
  <c r="H89" i="4" s="1"/>
  <c r="L53" i="4"/>
  <c r="J53" i="4"/>
  <c r="D18" i="5"/>
  <c r="D13" i="5"/>
  <c r="D8" i="5"/>
  <c r="F86" i="6"/>
  <c r="H51" i="6"/>
  <c r="G35" i="6"/>
  <c r="E18" i="6"/>
  <c r="D86" i="6"/>
  <c r="D19" i="6"/>
  <c r="D21" i="6" s="1"/>
  <c r="D20" i="6"/>
  <c r="E86" i="6"/>
  <c r="D52" i="6"/>
  <c r="F57" i="6"/>
  <c r="F67" i="6"/>
  <c r="G67" i="6" s="1"/>
  <c r="H67" i="6" s="1"/>
  <c r="I67" i="6" s="1"/>
  <c r="J67" i="6" s="1"/>
  <c r="K67" i="6" s="1"/>
  <c r="L67" i="6" s="1"/>
  <c r="M67" i="6" s="1"/>
  <c r="E20" i="4"/>
  <c r="E19" i="4"/>
  <c r="F18" i="4"/>
  <c r="D19" i="4"/>
  <c r="D20" i="4"/>
  <c r="D21" i="4" s="1"/>
  <c r="E79" i="4"/>
  <c r="I38" i="4"/>
  <c r="M38" i="4"/>
  <c r="E86" i="4"/>
  <c r="G51" i="4"/>
  <c r="D52" i="4"/>
  <c r="D89" i="4"/>
  <c r="M89" i="4"/>
  <c r="L89" i="4"/>
  <c r="F57" i="4"/>
  <c r="F67" i="4"/>
  <c r="G67" i="4" s="1"/>
  <c r="H67" i="4" s="1"/>
  <c r="I67" i="4" s="1"/>
  <c r="J67" i="4" s="1"/>
  <c r="K67" i="4" s="1"/>
  <c r="L67" i="4" s="1"/>
  <c r="M67" i="4" s="1"/>
  <c r="D71" i="3"/>
  <c r="D56" i="3"/>
  <c r="D50" i="3"/>
  <c r="D46" i="3"/>
  <c r="D29" i="3"/>
  <c r="D69" i="3"/>
  <c r="D6" i="3"/>
  <c r="D5" i="3"/>
  <c r="D3" i="3"/>
  <c r="F61" i="2" l="1"/>
  <c r="B62" i="2" s="1"/>
  <c r="I89" i="4"/>
  <c r="J36" i="4"/>
  <c r="G89" i="4"/>
  <c r="H36" i="4"/>
  <c r="E89" i="4"/>
  <c r="F36" i="4"/>
  <c r="F79" i="4" s="1"/>
  <c r="R65" i="6"/>
  <c r="S65" i="6" s="1"/>
  <c r="L38" i="6"/>
  <c r="J38" i="6"/>
  <c r="H38" i="6"/>
  <c r="F38" i="6"/>
  <c r="D38" i="6"/>
  <c r="K38" i="6"/>
  <c r="G38" i="6"/>
  <c r="M38" i="6"/>
  <c r="I38" i="6"/>
  <c r="E38" i="6"/>
  <c r="R65" i="4"/>
  <c r="S65" i="4" s="1"/>
  <c r="L38" i="4"/>
  <c r="H38" i="4"/>
  <c r="F38" i="4"/>
  <c r="D38" i="4"/>
  <c r="J38" i="4"/>
  <c r="E38" i="4"/>
  <c r="G38" i="4"/>
  <c r="J89" i="4"/>
  <c r="F89" i="4"/>
  <c r="K38" i="4"/>
  <c r="E21" i="4"/>
  <c r="K89" i="4"/>
  <c r="L36" i="4"/>
  <c r="L79" i="4" s="1"/>
  <c r="C89" i="4"/>
  <c r="D36" i="4"/>
  <c r="D48" i="6"/>
  <c r="C99" i="6" s="1"/>
  <c r="D46" i="6"/>
  <c r="C97" i="6" s="1"/>
  <c r="D29" i="6"/>
  <c r="D23" i="6"/>
  <c r="D31" i="6"/>
  <c r="E52" i="6"/>
  <c r="F18" i="6"/>
  <c r="E20" i="6"/>
  <c r="E19" i="6"/>
  <c r="E101" i="6"/>
  <c r="G57" i="6"/>
  <c r="P67" i="6"/>
  <c r="G86" i="6"/>
  <c r="I51" i="6"/>
  <c r="H35" i="6"/>
  <c r="E48" i="4"/>
  <c r="E46" i="4"/>
  <c r="E29" i="4"/>
  <c r="E23" i="4"/>
  <c r="E31" i="4"/>
  <c r="E52" i="4"/>
  <c r="P67" i="4"/>
  <c r="D48" i="4"/>
  <c r="C99" i="4" s="1"/>
  <c r="D31" i="4"/>
  <c r="D46" i="4"/>
  <c r="C97" i="4" s="1"/>
  <c r="D29" i="4"/>
  <c r="D23" i="4"/>
  <c r="E101" i="4"/>
  <c r="G57" i="4"/>
  <c r="M90" i="4"/>
  <c r="F86" i="4"/>
  <c r="H51" i="4"/>
  <c r="G35" i="4"/>
  <c r="G79" i="4" s="1"/>
  <c r="G18" i="4"/>
  <c r="H18" i="4" s="1"/>
  <c r="I18" i="4" s="1"/>
  <c r="J18" i="4" s="1"/>
  <c r="K18" i="4" s="1"/>
  <c r="L18" i="4" s="1"/>
  <c r="M18" i="4" s="1"/>
  <c r="F20" i="4"/>
  <c r="F19" i="4"/>
  <c r="F21" i="4" s="1"/>
  <c r="M123" i="1"/>
  <c r="M115" i="1"/>
  <c r="M122" i="1"/>
  <c r="M114" i="1"/>
  <c r="E67" i="1"/>
  <c r="F67" i="1" s="1"/>
  <c r="G67" i="1" s="1"/>
  <c r="H67" i="1" s="1"/>
  <c r="I67" i="1" s="1"/>
  <c r="J67" i="1" s="1"/>
  <c r="K67" i="1" s="1"/>
  <c r="L67" i="1" s="1"/>
  <c r="M67" i="1" s="1"/>
  <c r="D62" i="2" l="1"/>
  <c r="D54" i="4"/>
  <c r="E54" i="4" s="1"/>
  <c r="F54" i="4" s="1"/>
  <c r="G54" i="4" s="1"/>
  <c r="H54" i="4" s="1"/>
  <c r="I54" i="4" s="1"/>
  <c r="J54" i="4" s="1"/>
  <c r="K54" i="4" s="1"/>
  <c r="L54" i="4" s="1"/>
  <c r="M54" i="4" s="1"/>
  <c r="P89" i="4" s="1"/>
  <c r="D79" i="4"/>
  <c r="P90" i="4"/>
  <c r="M91" i="4" s="1"/>
  <c r="E21" i="6"/>
  <c r="E31" i="6" s="1"/>
  <c r="E29" i="6"/>
  <c r="H86" i="6"/>
  <c r="J51" i="6"/>
  <c r="I35" i="6"/>
  <c r="F101" i="6"/>
  <c r="H57" i="6"/>
  <c r="F52" i="6"/>
  <c r="F20" i="6"/>
  <c r="F19" i="6"/>
  <c r="G18" i="6"/>
  <c r="D62" i="6"/>
  <c r="C103" i="6" s="1"/>
  <c r="D49" i="6"/>
  <c r="F46" i="4"/>
  <c r="E97" i="4" s="1"/>
  <c r="F31" i="4"/>
  <c r="F48" i="4"/>
  <c r="E99" i="4" s="1"/>
  <c r="F29" i="4"/>
  <c r="F23" i="4"/>
  <c r="F101" i="4"/>
  <c r="H57" i="4"/>
  <c r="G20" i="4"/>
  <c r="G19" i="4"/>
  <c r="G21" i="4" s="1"/>
  <c r="G86" i="4"/>
  <c r="I51" i="4"/>
  <c r="H35" i="4"/>
  <c r="H79" i="4" s="1"/>
  <c r="F52" i="4"/>
  <c r="D99" i="4"/>
  <c r="D62" i="4"/>
  <c r="C103" i="4" s="1"/>
  <c r="D49" i="4"/>
  <c r="E62" i="4"/>
  <c r="D103" i="4" s="1"/>
  <c r="E49" i="4"/>
  <c r="D97" i="4"/>
  <c r="L123" i="1"/>
  <c r="N123" i="1" s="1"/>
  <c r="L122" i="1"/>
  <c r="N122" i="1" s="1"/>
  <c r="L115" i="1"/>
  <c r="N115" i="1" s="1"/>
  <c r="L114" i="1"/>
  <c r="N114" i="1" s="1"/>
  <c r="C62" i="2" l="1"/>
  <c r="N125" i="1"/>
  <c r="O38" i="1" s="1"/>
  <c r="O37" i="3" s="1"/>
  <c r="E48" i="6"/>
  <c r="D99" i="6" s="1"/>
  <c r="F21" i="6"/>
  <c r="F48" i="6" s="1"/>
  <c r="E99" i="6" s="1"/>
  <c r="E23" i="6"/>
  <c r="E46" i="6"/>
  <c r="D97" i="6" s="1"/>
  <c r="F23" i="6"/>
  <c r="C100" i="6"/>
  <c r="D32" i="6"/>
  <c r="D33" i="6" s="1"/>
  <c r="H18" i="6"/>
  <c r="G20" i="6"/>
  <c r="G19" i="6"/>
  <c r="G101" i="6"/>
  <c r="I57" i="6"/>
  <c r="G52" i="6"/>
  <c r="I86" i="6"/>
  <c r="K51" i="6"/>
  <c r="J35" i="6"/>
  <c r="E62" i="6"/>
  <c r="D103" i="6" s="1"/>
  <c r="E49" i="6"/>
  <c r="G48" i="4"/>
  <c r="F99" i="4" s="1"/>
  <c r="G46" i="4"/>
  <c r="F97" i="4" s="1"/>
  <c r="G29" i="4"/>
  <c r="G23" i="4"/>
  <c r="G31" i="4"/>
  <c r="C100" i="4"/>
  <c r="D32" i="4"/>
  <c r="D33" i="4" s="1"/>
  <c r="H20" i="4"/>
  <c r="H19" i="4"/>
  <c r="H21" i="4" s="1"/>
  <c r="G101" i="4"/>
  <c r="I57" i="4"/>
  <c r="F62" i="4"/>
  <c r="E103" i="4" s="1"/>
  <c r="F49" i="4"/>
  <c r="D100" i="4"/>
  <c r="E32" i="4"/>
  <c r="E33" i="4" s="1"/>
  <c r="G52" i="4"/>
  <c r="H86" i="4"/>
  <c r="J51" i="4"/>
  <c r="I35" i="4"/>
  <c r="I79" i="4" s="1"/>
  <c r="N117" i="1"/>
  <c r="P71" i="3"/>
  <c r="P69" i="3"/>
  <c r="F62" i="2" l="1"/>
  <c r="B63" i="2" s="1"/>
  <c r="I3" i="2"/>
  <c r="I3" i="7"/>
  <c r="I4" i="7" s="1"/>
  <c r="F46" i="6"/>
  <c r="E97" i="6" s="1"/>
  <c r="G21" i="6"/>
  <c r="G31" i="6" s="1"/>
  <c r="F31" i="6"/>
  <c r="F29" i="6"/>
  <c r="G29" i="6"/>
  <c r="J86" i="6"/>
  <c r="L51" i="6"/>
  <c r="H52" i="6"/>
  <c r="H101" i="6"/>
  <c r="J57" i="6"/>
  <c r="D100" i="6"/>
  <c r="E32" i="6"/>
  <c r="E33" i="6" s="1"/>
  <c r="H20" i="6"/>
  <c r="H19" i="6"/>
  <c r="I18" i="6"/>
  <c r="D78" i="6"/>
  <c r="F62" i="6"/>
  <c r="E103" i="6" s="1"/>
  <c r="F49" i="6"/>
  <c r="H48" i="4"/>
  <c r="G99" i="4" s="1"/>
  <c r="H31" i="4"/>
  <c r="H46" i="4"/>
  <c r="G97" i="4" s="1"/>
  <c r="H29" i="4"/>
  <c r="H23" i="4"/>
  <c r="I86" i="4"/>
  <c r="K51" i="4"/>
  <c r="J35" i="4"/>
  <c r="J79" i="4" s="1"/>
  <c r="E78" i="4"/>
  <c r="E100" i="4"/>
  <c r="F32" i="4"/>
  <c r="F33" i="4" s="1"/>
  <c r="H101" i="4"/>
  <c r="J57" i="4"/>
  <c r="G62" i="4"/>
  <c r="F103" i="4" s="1"/>
  <c r="G49" i="4"/>
  <c r="H52" i="4"/>
  <c r="I20" i="4"/>
  <c r="I19" i="4"/>
  <c r="D78" i="4"/>
  <c r="C97" i="3"/>
  <c r="D92" i="3"/>
  <c r="E92" i="3"/>
  <c r="F92" i="3"/>
  <c r="G92" i="3"/>
  <c r="C92" i="3"/>
  <c r="C95" i="3" s="1"/>
  <c r="L46" i="3"/>
  <c r="D63" i="2" l="1"/>
  <c r="R64" i="6"/>
  <c r="S64" i="6" s="1"/>
  <c r="R64" i="4"/>
  <c r="S64" i="4" s="1"/>
  <c r="I21" i="4"/>
  <c r="G48" i="6"/>
  <c r="F99" i="6" s="1"/>
  <c r="I10" i="7"/>
  <c r="D4" i="7"/>
  <c r="H21" i="6"/>
  <c r="H48" i="6" s="1"/>
  <c r="G99" i="6" s="1"/>
  <c r="G23" i="6"/>
  <c r="G62" i="6" s="1"/>
  <c r="F103" i="6" s="1"/>
  <c r="G46" i="6"/>
  <c r="F97" i="6" s="1"/>
  <c r="H46" i="6"/>
  <c r="G97" i="6" s="1"/>
  <c r="H23" i="6"/>
  <c r="J18" i="6"/>
  <c r="I20" i="6"/>
  <c r="I19" i="6"/>
  <c r="I21" i="6" s="1"/>
  <c r="I101" i="6"/>
  <c r="K57" i="6"/>
  <c r="K86" i="6"/>
  <c r="M51" i="6"/>
  <c r="G49" i="6"/>
  <c r="E100" i="6"/>
  <c r="F32" i="6"/>
  <c r="F33" i="6" s="1"/>
  <c r="E78" i="6"/>
  <c r="I52" i="6"/>
  <c r="I48" i="4"/>
  <c r="H99" i="4" s="1"/>
  <c r="I46" i="4"/>
  <c r="H97" i="4" s="1"/>
  <c r="I29" i="4"/>
  <c r="I23" i="4"/>
  <c r="I31" i="4"/>
  <c r="F100" i="4"/>
  <c r="G32" i="4"/>
  <c r="G33" i="4" s="1"/>
  <c r="I101" i="4"/>
  <c r="K57" i="4"/>
  <c r="F78" i="4"/>
  <c r="E80" i="4"/>
  <c r="E81" i="4" s="1"/>
  <c r="E82" i="4" s="1"/>
  <c r="H62" i="4"/>
  <c r="G103" i="4" s="1"/>
  <c r="H49" i="4"/>
  <c r="J20" i="4"/>
  <c r="J19" i="4"/>
  <c r="D80" i="4"/>
  <c r="D81" i="4" s="1"/>
  <c r="C102" i="4" s="1"/>
  <c r="I52" i="4"/>
  <c r="J86" i="4"/>
  <c r="L51" i="4"/>
  <c r="R69" i="3"/>
  <c r="S69" i="3" s="1"/>
  <c r="R68" i="3"/>
  <c r="S68" i="3" s="1"/>
  <c r="P59" i="3"/>
  <c r="E56" i="3"/>
  <c r="F56" i="3" s="1"/>
  <c r="E50" i="3"/>
  <c r="E34" i="3" s="1"/>
  <c r="H37" i="3"/>
  <c r="G37" i="3"/>
  <c r="F37" i="3"/>
  <c r="E37" i="3"/>
  <c r="O36" i="3"/>
  <c r="E29" i="3"/>
  <c r="F29" i="3" s="1"/>
  <c r="G29" i="3" s="1"/>
  <c r="H29" i="3" s="1"/>
  <c r="H25" i="3"/>
  <c r="G25" i="3"/>
  <c r="F25" i="3"/>
  <c r="E25" i="3"/>
  <c r="O12" i="3"/>
  <c r="P12" i="3" s="1"/>
  <c r="Q12" i="3" s="1"/>
  <c r="H9" i="3"/>
  <c r="G9" i="3"/>
  <c r="F9" i="3"/>
  <c r="E9" i="3"/>
  <c r="D9" i="3"/>
  <c r="O48" i="3" s="1"/>
  <c r="C63" i="2" l="1"/>
  <c r="E138" i="7"/>
  <c r="E134" i="7"/>
  <c r="E130" i="7"/>
  <c r="E124" i="7"/>
  <c r="E120" i="7"/>
  <c r="E116" i="7"/>
  <c r="E110" i="7"/>
  <c r="E106" i="7"/>
  <c r="E135" i="7"/>
  <c r="E127" i="7"/>
  <c r="E119" i="7"/>
  <c r="E107" i="7"/>
  <c r="E99" i="7"/>
  <c r="E95" i="7"/>
  <c r="E91" i="7"/>
  <c r="E137" i="7"/>
  <c r="E125" i="7"/>
  <c r="E117" i="7"/>
  <c r="E109" i="7"/>
  <c r="E104" i="7"/>
  <c r="E98" i="7"/>
  <c r="E94" i="7"/>
  <c r="E90" i="7"/>
  <c r="E89" i="7"/>
  <c r="E83" i="7"/>
  <c r="E79" i="7"/>
  <c r="E75" i="7"/>
  <c r="E69" i="7"/>
  <c r="E65" i="7"/>
  <c r="E61" i="7"/>
  <c r="E55" i="7"/>
  <c r="E51" i="7"/>
  <c r="E47" i="7"/>
  <c r="E41" i="7"/>
  <c r="E37" i="7"/>
  <c r="E33" i="7"/>
  <c r="E27" i="7"/>
  <c r="E23" i="7"/>
  <c r="E19" i="7"/>
  <c r="E82" i="7"/>
  <c r="E78" i="7"/>
  <c r="E74" i="7"/>
  <c r="E68" i="7"/>
  <c r="E64" i="7"/>
  <c r="E60" i="7"/>
  <c r="E54" i="7"/>
  <c r="E50" i="7"/>
  <c r="E46" i="7"/>
  <c r="E40" i="7"/>
  <c r="E36" i="7"/>
  <c r="E32" i="7"/>
  <c r="E26" i="7"/>
  <c r="E22" i="7"/>
  <c r="E18" i="7"/>
  <c r="E14" i="7"/>
  <c r="E13" i="7"/>
  <c r="E8" i="7"/>
  <c r="E4" i="7"/>
  <c r="C4" i="7" s="1"/>
  <c r="F4" i="7" s="1"/>
  <c r="B5" i="7" s="1"/>
  <c r="E10" i="7"/>
  <c r="E6" i="7"/>
  <c r="E140" i="7"/>
  <c r="E136" i="7"/>
  <c r="E132" i="7"/>
  <c r="E126" i="7"/>
  <c r="E122" i="7"/>
  <c r="E118" i="7"/>
  <c r="E112" i="7"/>
  <c r="E108" i="7"/>
  <c r="E139" i="7"/>
  <c r="E131" i="7"/>
  <c r="E123" i="7"/>
  <c r="E111" i="7"/>
  <c r="E103" i="7"/>
  <c r="E97" i="7"/>
  <c r="E93" i="7"/>
  <c r="E141" i="7"/>
  <c r="E133" i="7"/>
  <c r="E121" i="7"/>
  <c r="E113" i="7"/>
  <c r="E105" i="7"/>
  <c r="E102" i="7"/>
  <c r="E96" i="7"/>
  <c r="E92" i="7"/>
  <c r="E88" i="7"/>
  <c r="E85" i="7"/>
  <c r="E81" i="7"/>
  <c r="E77" i="7"/>
  <c r="E71" i="7"/>
  <c r="E67" i="7"/>
  <c r="E63" i="7"/>
  <c r="E57" i="7"/>
  <c r="E53" i="7"/>
  <c r="E49" i="7"/>
  <c r="E43" i="7"/>
  <c r="E39" i="7"/>
  <c r="E35" i="7"/>
  <c r="E29" i="7"/>
  <c r="E25" i="7"/>
  <c r="E21" i="7"/>
  <c r="E84" i="7"/>
  <c r="E80" i="7"/>
  <c r="E76" i="7"/>
  <c r="E70" i="7"/>
  <c r="E66" i="7"/>
  <c r="E62" i="7"/>
  <c r="E56" i="7"/>
  <c r="E52" i="7"/>
  <c r="E48" i="7"/>
  <c r="E42" i="7"/>
  <c r="E38" i="7"/>
  <c r="E34" i="7"/>
  <c r="E28" i="7"/>
  <c r="E24" i="7"/>
  <c r="E20" i="7"/>
  <c r="E15" i="7"/>
  <c r="E11" i="7"/>
  <c r="E9" i="7"/>
  <c r="E5" i="7"/>
  <c r="E12" i="7"/>
  <c r="E7" i="7"/>
  <c r="J21" i="4"/>
  <c r="J31" i="4" s="1"/>
  <c r="H31" i="6"/>
  <c r="H29" i="6"/>
  <c r="I31" i="6"/>
  <c r="I48" i="6"/>
  <c r="H99" i="6" s="1"/>
  <c r="I46" i="6"/>
  <c r="H97" i="6" s="1"/>
  <c r="I29" i="6"/>
  <c r="I23" i="6"/>
  <c r="J52" i="6"/>
  <c r="F78" i="6"/>
  <c r="F100" i="6"/>
  <c r="G32" i="6"/>
  <c r="G33" i="6" s="1"/>
  <c r="L86" i="6"/>
  <c r="M86" i="6"/>
  <c r="J101" i="6"/>
  <c r="L57" i="6"/>
  <c r="J20" i="6"/>
  <c r="J19" i="6"/>
  <c r="J21" i="6" s="1"/>
  <c r="K18" i="6"/>
  <c r="H62" i="6"/>
  <c r="G103" i="6" s="1"/>
  <c r="H49" i="6"/>
  <c r="J46" i="4"/>
  <c r="I97" i="4" s="1"/>
  <c r="J48" i="4"/>
  <c r="I99" i="4" s="1"/>
  <c r="J23" i="4"/>
  <c r="D123" i="4"/>
  <c r="K86" i="4"/>
  <c r="M51" i="4"/>
  <c r="J52" i="4"/>
  <c r="D82" i="4"/>
  <c r="D115" i="4"/>
  <c r="K20" i="4"/>
  <c r="K19" i="4"/>
  <c r="E123" i="4"/>
  <c r="J101" i="4"/>
  <c r="L57" i="4"/>
  <c r="G78" i="4"/>
  <c r="I62" i="4"/>
  <c r="H103" i="4" s="1"/>
  <c r="I49" i="4"/>
  <c r="G100" i="4"/>
  <c r="H32" i="4"/>
  <c r="H33" i="4" s="1"/>
  <c r="D102" i="4"/>
  <c r="E115" i="4"/>
  <c r="F80" i="4"/>
  <c r="F81" i="4" s="1"/>
  <c r="E102" i="4" s="1"/>
  <c r="F94" i="3"/>
  <c r="F95" i="3" s="1"/>
  <c r="H94" i="3"/>
  <c r="E94" i="3"/>
  <c r="E95" i="3" s="1"/>
  <c r="G94" i="3"/>
  <c r="G95" i="3" s="1"/>
  <c r="C87" i="3"/>
  <c r="F50" i="3"/>
  <c r="G56" i="3"/>
  <c r="O37" i="1"/>
  <c r="F63" i="2" l="1"/>
  <c r="B64" i="2" s="1"/>
  <c r="D5" i="7"/>
  <c r="C5" i="7" s="1"/>
  <c r="F5" i="7" s="1"/>
  <c r="B6" i="7" s="1"/>
  <c r="D6" i="7" s="1"/>
  <c r="C6" i="7" s="1"/>
  <c r="J29" i="4"/>
  <c r="K21" i="4"/>
  <c r="K46" i="4" s="1"/>
  <c r="J97" i="4" s="1"/>
  <c r="J48" i="6"/>
  <c r="I99" i="6" s="1"/>
  <c r="J46" i="6"/>
  <c r="I97" i="6" s="1"/>
  <c r="J29" i="6"/>
  <c r="J23" i="6"/>
  <c r="J31" i="6"/>
  <c r="M87" i="6"/>
  <c r="G100" i="6"/>
  <c r="H32" i="6"/>
  <c r="H33" i="6" s="1"/>
  <c r="L18" i="6"/>
  <c r="K20" i="6"/>
  <c r="K19" i="6"/>
  <c r="K101" i="6"/>
  <c r="M57" i="6"/>
  <c r="K52" i="6"/>
  <c r="I62" i="6"/>
  <c r="H103" i="6" s="1"/>
  <c r="I49" i="6"/>
  <c r="G78" i="6"/>
  <c r="K48" i="4"/>
  <c r="J99" i="4" s="1"/>
  <c r="K29" i="4"/>
  <c r="K31" i="4"/>
  <c r="H78" i="4"/>
  <c r="F82" i="4"/>
  <c r="F115" i="4"/>
  <c r="H100" i="4"/>
  <c r="I32" i="4"/>
  <c r="I33" i="4" s="1"/>
  <c r="G80" i="4"/>
  <c r="G81" i="4" s="1"/>
  <c r="F102" i="4" s="1"/>
  <c r="J62" i="4"/>
  <c r="I103" i="4" s="1"/>
  <c r="J49" i="4"/>
  <c r="F123" i="4"/>
  <c r="K101" i="4"/>
  <c r="M57" i="4"/>
  <c r="L20" i="4"/>
  <c r="L19" i="4"/>
  <c r="K52" i="4"/>
  <c r="L86" i="4"/>
  <c r="M86" i="4"/>
  <c r="H56" i="3"/>
  <c r="G50" i="3"/>
  <c r="F34" i="3"/>
  <c r="E26" i="1"/>
  <c r="F26" i="1"/>
  <c r="G26" i="1"/>
  <c r="H26" i="1"/>
  <c r="I26" i="1"/>
  <c r="J26" i="1"/>
  <c r="K26" i="1"/>
  <c r="L26" i="1"/>
  <c r="M26" i="1"/>
  <c r="D26" i="1"/>
  <c r="D25" i="3" s="1"/>
  <c r="E57" i="1"/>
  <c r="F57" i="1" s="1"/>
  <c r="D98" i="1"/>
  <c r="E98" i="1"/>
  <c r="F98" i="1"/>
  <c r="G98" i="1"/>
  <c r="H98" i="1"/>
  <c r="I98" i="1"/>
  <c r="J98" i="1"/>
  <c r="K98" i="1"/>
  <c r="L98" i="1"/>
  <c r="M98" i="1"/>
  <c r="C101" i="1"/>
  <c r="C98" i="1"/>
  <c r="C86" i="1"/>
  <c r="D64" i="2" l="1"/>
  <c r="G82" i="4"/>
  <c r="L21" i="4"/>
  <c r="L48" i="4" s="1"/>
  <c r="K99" i="4" s="1"/>
  <c r="K23" i="4"/>
  <c r="K62" i="4" s="1"/>
  <c r="J103" i="4" s="1"/>
  <c r="G123" i="4"/>
  <c r="F6" i="7"/>
  <c r="B7" i="7" s="1"/>
  <c r="K21" i="6"/>
  <c r="K31" i="6" s="1"/>
  <c r="K48" i="6"/>
  <c r="J99" i="6" s="1"/>
  <c r="K29" i="6"/>
  <c r="H100" i="6"/>
  <c r="I32" i="6"/>
  <c r="I33" i="6" s="1"/>
  <c r="L52" i="6"/>
  <c r="L20" i="6"/>
  <c r="L19" i="6"/>
  <c r="M18" i="6"/>
  <c r="H78" i="6"/>
  <c r="M101" i="6"/>
  <c r="L101" i="6"/>
  <c r="J62" i="6"/>
  <c r="I103" i="6" s="1"/>
  <c r="J49" i="6"/>
  <c r="L31" i="4"/>
  <c r="L29" i="4"/>
  <c r="M87" i="4"/>
  <c r="L52" i="4"/>
  <c r="I100" i="4"/>
  <c r="J32" i="4"/>
  <c r="J33" i="4" s="1"/>
  <c r="G115" i="4"/>
  <c r="I78" i="4"/>
  <c r="M20" i="4"/>
  <c r="M19" i="4"/>
  <c r="M101" i="4"/>
  <c r="L101" i="4"/>
  <c r="H80" i="4"/>
  <c r="H81" i="4" s="1"/>
  <c r="G102" i="4" s="1"/>
  <c r="H50" i="3"/>
  <c r="L50" i="3" s="1"/>
  <c r="G34" i="3"/>
  <c r="D101" i="1"/>
  <c r="E101" i="1"/>
  <c r="G57" i="1"/>
  <c r="R65" i="1"/>
  <c r="S65" i="1" s="1"/>
  <c r="R64" i="1"/>
  <c r="S64" i="1" s="1"/>
  <c r="P65" i="1"/>
  <c r="C64" i="2" l="1"/>
  <c r="M21" i="4"/>
  <c r="M46" i="4" s="1"/>
  <c r="K49" i="4"/>
  <c r="L23" i="4"/>
  <c r="L49" i="4" s="1"/>
  <c r="L46" i="4"/>
  <c r="K97" i="4" s="1"/>
  <c r="H115" i="4"/>
  <c r="J115" i="4" s="1"/>
  <c r="H82" i="4"/>
  <c r="D7" i="7"/>
  <c r="L21" i="6"/>
  <c r="L48" i="6" s="1"/>
  <c r="K99" i="6" s="1"/>
  <c r="K23" i="6"/>
  <c r="K46" i="6"/>
  <c r="J97" i="6" s="1"/>
  <c r="L46" i="6"/>
  <c r="K97" i="6" s="1"/>
  <c r="L23" i="6"/>
  <c r="M20" i="6"/>
  <c r="M19" i="6"/>
  <c r="M52" i="6"/>
  <c r="I100" i="6"/>
  <c r="J32" i="6"/>
  <c r="J33" i="6" s="1"/>
  <c r="I78" i="6"/>
  <c r="K62" i="6"/>
  <c r="J103" i="6" s="1"/>
  <c r="K49" i="6"/>
  <c r="M48" i="4"/>
  <c r="M29" i="4"/>
  <c r="M31" i="4"/>
  <c r="H123" i="4"/>
  <c r="J123" i="4" s="1"/>
  <c r="I80" i="4"/>
  <c r="I81" i="4" s="1"/>
  <c r="H102" i="4" s="1"/>
  <c r="J100" i="4"/>
  <c r="K32" i="4"/>
  <c r="K33" i="4" s="1"/>
  <c r="J78" i="4"/>
  <c r="M52" i="4"/>
  <c r="L62" i="4"/>
  <c r="K103" i="4" s="1"/>
  <c r="H34" i="3"/>
  <c r="H57" i="1"/>
  <c r="F101" i="1"/>
  <c r="I6" i="2"/>
  <c r="I12" i="2"/>
  <c r="I14" i="2"/>
  <c r="D35" i="1"/>
  <c r="E30" i="1"/>
  <c r="F64" i="2" l="1"/>
  <c r="B65" i="2" s="1"/>
  <c r="D52" i="1"/>
  <c r="D51" i="3" s="1"/>
  <c r="E51" i="3" s="1"/>
  <c r="F51" i="3" s="1"/>
  <c r="G51" i="3" s="1"/>
  <c r="D34" i="3"/>
  <c r="M53" i="6"/>
  <c r="K53" i="6"/>
  <c r="I53" i="6"/>
  <c r="G53" i="6"/>
  <c r="E53" i="6"/>
  <c r="J53" i="6"/>
  <c r="F53" i="6"/>
  <c r="L53" i="6"/>
  <c r="H53" i="6"/>
  <c r="D53" i="6"/>
  <c r="E55" i="1"/>
  <c r="L55" i="6"/>
  <c r="J55" i="6"/>
  <c r="H55" i="6"/>
  <c r="F55" i="6"/>
  <c r="D55" i="6"/>
  <c r="C92" i="6" s="1"/>
  <c r="L55" i="4"/>
  <c r="J55" i="4"/>
  <c r="H55" i="4"/>
  <c r="F55" i="4"/>
  <c r="D55" i="4"/>
  <c r="K55" i="6"/>
  <c r="G55" i="6"/>
  <c r="F92" i="6" s="1"/>
  <c r="M55" i="4"/>
  <c r="I55" i="4"/>
  <c r="E55" i="4"/>
  <c r="M55" i="6"/>
  <c r="I55" i="6"/>
  <c r="H92" i="6" s="1"/>
  <c r="E55" i="6"/>
  <c r="K55" i="4"/>
  <c r="J92" i="4" s="1"/>
  <c r="G55" i="4"/>
  <c r="M23" i="4"/>
  <c r="L31" i="6"/>
  <c r="L29" i="6"/>
  <c r="C7" i="7"/>
  <c r="M21" i="6"/>
  <c r="M31" i="6" s="1"/>
  <c r="M29" i="6"/>
  <c r="J100" i="6"/>
  <c r="K32" i="6"/>
  <c r="K33" i="6" s="1"/>
  <c r="P86" i="6"/>
  <c r="P87" i="6" s="1"/>
  <c r="M88" i="6" s="1"/>
  <c r="J78" i="6"/>
  <c r="L62" i="6"/>
  <c r="K103" i="6" s="1"/>
  <c r="L49" i="6"/>
  <c r="K100" i="4"/>
  <c r="L32" i="4"/>
  <c r="L33" i="4" s="1"/>
  <c r="J80" i="4"/>
  <c r="J81" i="4" s="1"/>
  <c r="I102" i="4" s="1"/>
  <c r="I82" i="4"/>
  <c r="M62" i="4"/>
  <c r="M49" i="4"/>
  <c r="M58" i="4" s="1"/>
  <c r="M97" i="4"/>
  <c r="L97" i="4"/>
  <c r="P86" i="4"/>
  <c r="P87" i="4" s="1"/>
  <c r="M88" i="4" s="1"/>
  <c r="K78" i="4"/>
  <c r="M99" i="4"/>
  <c r="L99" i="4"/>
  <c r="E53" i="1"/>
  <c r="H52" i="3"/>
  <c r="F52" i="3"/>
  <c r="F35" i="3" s="1"/>
  <c r="G52" i="3"/>
  <c r="G35" i="3" s="1"/>
  <c r="E52" i="3"/>
  <c r="E35" i="3" s="1"/>
  <c r="D53" i="1"/>
  <c r="D52" i="3" s="1"/>
  <c r="J53" i="1"/>
  <c r="J36" i="1" s="1"/>
  <c r="F53" i="1"/>
  <c r="E89" i="1" s="1"/>
  <c r="M55" i="1"/>
  <c r="M92" i="1" s="1"/>
  <c r="M93" i="1" s="1"/>
  <c r="K55" i="1"/>
  <c r="I55" i="1"/>
  <c r="G55" i="1"/>
  <c r="G54" i="3"/>
  <c r="E54" i="3"/>
  <c r="H54" i="3"/>
  <c r="K54" i="3" s="1"/>
  <c r="F54" i="3"/>
  <c r="I16" i="2"/>
  <c r="I8" i="2" s="1"/>
  <c r="L53" i="1"/>
  <c r="L36" i="1" s="1"/>
  <c r="L79" i="1" s="1"/>
  <c r="H53" i="1"/>
  <c r="D55" i="1"/>
  <c r="L55" i="1"/>
  <c r="J55" i="1"/>
  <c r="I92" i="1" s="1"/>
  <c r="H55" i="1"/>
  <c r="F55" i="1"/>
  <c r="E92" i="1" s="1"/>
  <c r="H51" i="3"/>
  <c r="G101" i="1"/>
  <c r="I57" i="1"/>
  <c r="M53" i="1"/>
  <c r="M89" i="1" s="1"/>
  <c r="K53" i="1"/>
  <c r="K36" i="1" s="1"/>
  <c r="K79" i="1" s="1"/>
  <c r="I53" i="1"/>
  <c r="H89" i="1" s="1"/>
  <c r="G53" i="1"/>
  <c r="G36" i="1" s="1"/>
  <c r="M90" i="1"/>
  <c r="P92" i="1"/>
  <c r="C89" i="1"/>
  <c r="H36" i="1"/>
  <c r="F36" i="1"/>
  <c r="I36" i="1"/>
  <c r="E36" i="1"/>
  <c r="F30" i="1"/>
  <c r="E10" i="1"/>
  <c r="F10" i="1"/>
  <c r="G10" i="1"/>
  <c r="H10" i="1"/>
  <c r="I10" i="1"/>
  <c r="J10" i="1"/>
  <c r="K10" i="1"/>
  <c r="L10" i="1"/>
  <c r="M10" i="1"/>
  <c r="D10" i="1"/>
  <c r="O49" i="1" s="1"/>
  <c r="O13" i="1"/>
  <c r="P13" i="1" s="1"/>
  <c r="Q13" i="1" s="1"/>
  <c r="D65" i="2" l="1"/>
  <c r="F92" i="1"/>
  <c r="D89" i="1"/>
  <c r="M36" i="1"/>
  <c r="M79" i="1" s="1"/>
  <c r="K58" i="4"/>
  <c r="D92" i="6"/>
  <c r="K92" i="4"/>
  <c r="I92" i="6"/>
  <c r="C92" i="1"/>
  <c r="D54" i="3"/>
  <c r="F92" i="4"/>
  <c r="F104" i="4" s="1"/>
  <c r="G58" i="4"/>
  <c r="M92" i="6"/>
  <c r="L92" i="6"/>
  <c r="H92" i="4"/>
  <c r="H104" i="4" s="1"/>
  <c r="I58" i="4"/>
  <c r="C92" i="4"/>
  <c r="C104" i="4" s="1"/>
  <c r="D58" i="4"/>
  <c r="G92" i="4"/>
  <c r="G104" i="4" s="1"/>
  <c r="H58" i="4"/>
  <c r="R53" i="4" s="1"/>
  <c r="E92" i="6"/>
  <c r="C89" i="6"/>
  <c r="D36" i="6"/>
  <c r="K89" i="6"/>
  <c r="L36" i="6"/>
  <c r="L79" i="6" s="1"/>
  <c r="I89" i="6"/>
  <c r="J36" i="6"/>
  <c r="G36" i="6"/>
  <c r="F89" i="6"/>
  <c r="K36" i="6"/>
  <c r="K79" i="6" s="1"/>
  <c r="J89" i="6"/>
  <c r="D36" i="1"/>
  <c r="G92" i="1"/>
  <c r="K92" i="1"/>
  <c r="H92" i="1"/>
  <c r="L58" i="4"/>
  <c r="M48" i="6"/>
  <c r="D92" i="4"/>
  <c r="D104" i="4" s="1"/>
  <c r="E58" i="4"/>
  <c r="M92" i="4"/>
  <c r="L92" i="4"/>
  <c r="J92" i="6"/>
  <c r="E92" i="4"/>
  <c r="E104" i="4" s="1"/>
  <c r="F58" i="4"/>
  <c r="I92" i="4"/>
  <c r="I104" i="4" s="1"/>
  <c r="J58" i="4"/>
  <c r="G92" i="6"/>
  <c r="K92" i="6"/>
  <c r="G89" i="6"/>
  <c r="H36" i="6"/>
  <c r="E89" i="6"/>
  <c r="F36" i="6"/>
  <c r="E36" i="6"/>
  <c r="D89" i="6"/>
  <c r="I36" i="6"/>
  <c r="H89" i="6"/>
  <c r="M36" i="6"/>
  <c r="M79" i="6" s="1"/>
  <c r="L89" i="6"/>
  <c r="M89" i="6"/>
  <c r="F7" i="7"/>
  <c r="B8" i="7" s="1"/>
  <c r="M23" i="6"/>
  <c r="M46" i="6"/>
  <c r="M97" i="6" s="1"/>
  <c r="L97" i="6"/>
  <c r="K100" i="6"/>
  <c r="L32" i="6"/>
  <c r="L33" i="6" s="1"/>
  <c r="K78" i="6"/>
  <c r="M62" i="6"/>
  <c r="M49" i="6"/>
  <c r="M99" i="6"/>
  <c r="L99" i="6"/>
  <c r="M103" i="4"/>
  <c r="L103" i="4"/>
  <c r="J82" i="4"/>
  <c r="L78" i="4"/>
  <c r="K80" i="4"/>
  <c r="K81" i="4" s="1"/>
  <c r="J102" i="4" s="1"/>
  <c r="L100" i="4"/>
  <c r="M100" i="4"/>
  <c r="M32" i="4"/>
  <c r="M33" i="4" s="1"/>
  <c r="L89" i="1"/>
  <c r="G89" i="1"/>
  <c r="I89" i="1"/>
  <c r="P93" i="1"/>
  <c r="M94" i="1" s="1"/>
  <c r="J92" i="1"/>
  <c r="K89" i="1"/>
  <c r="D92" i="1"/>
  <c r="L92" i="1"/>
  <c r="H35" i="3"/>
  <c r="K52" i="3"/>
  <c r="K62" i="3" s="1"/>
  <c r="F89" i="1"/>
  <c r="J89" i="1"/>
  <c r="J57" i="1"/>
  <c r="H101" i="1"/>
  <c r="G30" i="1"/>
  <c r="D18" i="1"/>
  <c r="P60" i="1"/>
  <c r="D27" i="1"/>
  <c r="D28" i="1"/>
  <c r="E38" i="1"/>
  <c r="F38" i="1"/>
  <c r="G38" i="1"/>
  <c r="H38" i="1"/>
  <c r="I38" i="1"/>
  <c r="J38" i="1"/>
  <c r="K38" i="1"/>
  <c r="L38" i="1"/>
  <c r="M38" i="1"/>
  <c r="D38" i="1"/>
  <c r="D37" i="3" s="1"/>
  <c r="D94" i="3" s="1"/>
  <c r="D95" i="3" s="1"/>
  <c r="I4" i="2"/>
  <c r="I10" i="2" s="1"/>
  <c r="B4" i="2"/>
  <c r="C65" i="2" l="1"/>
  <c r="F65" i="2" s="1"/>
  <c r="B66" i="2" s="1"/>
  <c r="M90" i="6"/>
  <c r="E79" i="6"/>
  <c r="F79" i="6"/>
  <c r="G79" i="6"/>
  <c r="J79" i="6"/>
  <c r="J80" i="6" s="1"/>
  <c r="J81" i="6" s="1"/>
  <c r="E28" i="1"/>
  <c r="F28" i="1" s="1"/>
  <c r="G28" i="1" s="1"/>
  <c r="H28" i="1" s="1"/>
  <c r="I28" i="1" s="1"/>
  <c r="J28" i="1" s="1"/>
  <c r="K28" i="1" s="1"/>
  <c r="L28" i="1" s="1"/>
  <c r="M28" i="1" s="1"/>
  <c r="D27" i="3"/>
  <c r="E27" i="3" s="1"/>
  <c r="F27" i="3" s="1"/>
  <c r="G27" i="3" s="1"/>
  <c r="H27" i="3" s="1"/>
  <c r="E27" i="1"/>
  <c r="F27" i="1" s="1"/>
  <c r="G27" i="1" s="1"/>
  <c r="H27" i="1" s="1"/>
  <c r="I27" i="1" s="1"/>
  <c r="J27" i="1" s="1"/>
  <c r="K27" i="1" s="1"/>
  <c r="L27" i="1" s="1"/>
  <c r="M27" i="1" s="1"/>
  <c r="D26" i="3"/>
  <c r="E26" i="3" s="1"/>
  <c r="F26" i="3" s="1"/>
  <c r="G26" i="3" s="1"/>
  <c r="H26" i="3" s="1"/>
  <c r="E18" i="1"/>
  <c r="F18" i="1" s="1"/>
  <c r="D17" i="3"/>
  <c r="I79" i="6"/>
  <c r="I80" i="6" s="1"/>
  <c r="I81" i="6" s="1"/>
  <c r="H79" i="6"/>
  <c r="M93" i="4"/>
  <c r="P92" i="4"/>
  <c r="D35" i="3"/>
  <c r="D79" i="1"/>
  <c r="D54" i="1"/>
  <c r="D54" i="6"/>
  <c r="D79" i="6"/>
  <c r="P92" i="6"/>
  <c r="M93" i="6"/>
  <c r="K82" i="4"/>
  <c r="D8" i="7"/>
  <c r="C8" i="7" s="1"/>
  <c r="F8" i="7" s="1"/>
  <c r="B9" i="7" s="1"/>
  <c r="L100" i="6"/>
  <c r="M100" i="6"/>
  <c r="M32" i="6"/>
  <c r="M33" i="6" s="1"/>
  <c r="L78" i="6"/>
  <c r="M103" i="6"/>
  <c r="L103" i="6"/>
  <c r="K80" i="6"/>
  <c r="K81" i="6" s="1"/>
  <c r="J102" i="6" s="1"/>
  <c r="M78" i="4"/>
  <c r="J104" i="4"/>
  <c r="L80" i="4"/>
  <c r="L81" i="4" s="1"/>
  <c r="K102" i="4" s="1"/>
  <c r="D20" i="1"/>
  <c r="D19" i="3" s="1"/>
  <c r="I101" i="1"/>
  <c r="K57" i="1"/>
  <c r="D19" i="1"/>
  <c r="D18" i="3" s="1"/>
  <c r="H30" i="1"/>
  <c r="D4" i="2"/>
  <c r="E140" i="2"/>
  <c r="E138" i="2"/>
  <c r="E136" i="2"/>
  <c r="E134" i="2"/>
  <c r="E132" i="2"/>
  <c r="E130" i="2"/>
  <c r="E126" i="2"/>
  <c r="E124" i="2"/>
  <c r="E122" i="2"/>
  <c r="E120" i="2"/>
  <c r="E118" i="2"/>
  <c r="E116" i="2"/>
  <c r="E112" i="2"/>
  <c r="E110" i="2"/>
  <c r="E108" i="2"/>
  <c r="E106" i="2"/>
  <c r="E139" i="2"/>
  <c r="E135" i="2"/>
  <c r="E131" i="2"/>
  <c r="E127" i="2"/>
  <c r="E123" i="2"/>
  <c r="E119" i="2"/>
  <c r="E111" i="2"/>
  <c r="E107" i="2"/>
  <c r="E103" i="2"/>
  <c r="E99" i="2"/>
  <c r="E97" i="2"/>
  <c r="E95" i="2"/>
  <c r="E93" i="2"/>
  <c r="E91" i="2"/>
  <c r="E89" i="2"/>
  <c r="E85" i="2"/>
  <c r="E83" i="2"/>
  <c r="E81" i="2"/>
  <c r="E79" i="2"/>
  <c r="E77" i="2"/>
  <c r="E75" i="2"/>
  <c r="E57" i="2"/>
  <c r="E55" i="2"/>
  <c r="E53" i="2"/>
  <c r="E51" i="2"/>
  <c r="E49" i="2"/>
  <c r="E141" i="2"/>
  <c r="E133" i="2"/>
  <c r="E125" i="2"/>
  <c r="E117" i="2"/>
  <c r="E109" i="2"/>
  <c r="E102" i="2"/>
  <c r="E98" i="2"/>
  <c r="E94" i="2"/>
  <c r="E90" i="2"/>
  <c r="E82" i="2"/>
  <c r="E78" i="2"/>
  <c r="E74" i="2"/>
  <c r="E54" i="2"/>
  <c r="E50" i="2"/>
  <c r="E47" i="2"/>
  <c r="E43" i="2"/>
  <c r="E41" i="2"/>
  <c r="E39" i="2"/>
  <c r="E37" i="2"/>
  <c r="E35" i="2"/>
  <c r="E33" i="2"/>
  <c r="E29" i="2"/>
  <c r="E27" i="2"/>
  <c r="E25" i="2"/>
  <c r="E23" i="2"/>
  <c r="E21" i="2"/>
  <c r="E19" i="2"/>
  <c r="E15" i="2"/>
  <c r="E13" i="2"/>
  <c r="E11" i="2"/>
  <c r="E10" i="2"/>
  <c r="E8" i="2"/>
  <c r="E5" i="2"/>
  <c r="E4" i="2"/>
  <c r="E137" i="2"/>
  <c r="E121" i="2"/>
  <c r="E113" i="2"/>
  <c r="E105" i="2"/>
  <c r="E104" i="2"/>
  <c r="E96" i="2"/>
  <c r="E92" i="2"/>
  <c r="E88" i="2"/>
  <c r="E84" i="2"/>
  <c r="E80" i="2"/>
  <c r="E76" i="2"/>
  <c r="E56" i="2"/>
  <c r="E52" i="2"/>
  <c r="E48" i="2"/>
  <c r="E46" i="2"/>
  <c r="E42" i="2"/>
  <c r="E40" i="2"/>
  <c r="E38" i="2"/>
  <c r="E36" i="2"/>
  <c r="E34" i="2"/>
  <c r="E32" i="2"/>
  <c r="E28" i="2"/>
  <c r="E26" i="2"/>
  <c r="E24" i="2"/>
  <c r="E22" i="2"/>
  <c r="E20" i="2"/>
  <c r="E18" i="2"/>
  <c r="E14" i="2"/>
  <c r="E7" i="2"/>
  <c r="E6" i="2"/>
  <c r="E9" i="2"/>
  <c r="E12" i="2"/>
  <c r="D66" i="2" l="1"/>
  <c r="C66" i="2" s="1"/>
  <c r="F66" i="2"/>
  <c r="B67" i="2" s="1"/>
  <c r="P93" i="6"/>
  <c r="M94" i="6" s="1"/>
  <c r="I102" i="6"/>
  <c r="D80" i="6"/>
  <c r="D81" i="6" s="1"/>
  <c r="D123" i="6"/>
  <c r="D115" i="6"/>
  <c r="D53" i="3"/>
  <c r="E53" i="3" s="1"/>
  <c r="E54" i="1"/>
  <c r="F54" i="1" s="1"/>
  <c r="G54" i="1" s="1"/>
  <c r="H54" i="1" s="1"/>
  <c r="I54" i="1" s="1"/>
  <c r="J54" i="1" s="1"/>
  <c r="K54" i="1" s="1"/>
  <c r="L54" i="1" s="1"/>
  <c r="M54" i="1" s="1"/>
  <c r="P89" i="1" s="1"/>
  <c r="P90" i="1" s="1"/>
  <c r="M91" i="1" s="1"/>
  <c r="E17" i="3"/>
  <c r="D20" i="3"/>
  <c r="G80" i="6"/>
  <c r="G81" i="6" s="1"/>
  <c r="K104" i="4"/>
  <c r="J82" i="6"/>
  <c r="E54" i="6"/>
  <c r="D58" i="6"/>
  <c r="P93" i="4"/>
  <c r="M94" i="4" s="1"/>
  <c r="H80" i="6"/>
  <c r="H81" i="6" s="1"/>
  <c r="H123" i="6"/>
  <c r="I82" i="6"/>
  <c r="F80" i="6"/>
  <c r="F81" i="6" s="1"/>
  <c r="F123" i="6"/>
  <c r="E80" i="6"/>
  <c r="E81" i="6" s="1"/>
  <c r="E123" i="6"/>
  <c r="D9" i="7"/>
  <c r="C9" i="7" s="1"/>
  <c r="F9" i="7" s="1"/>
  <c r="B10" i="7" s="1"/>
  <c r="K82" i="6"/>
  <c r="J104" i="6"/>
  <c r="L80" i="6"/>
  <c r="L81" i="6" s="1"/>
  <c r="K102" i="6" s="1"/>
  <c r="M78" i="6"/>
  <c r="L82" i="4"/>
  <c r="M80" i="4"/>
  <c r="M81" i="4" s="1"/>
  <c r="M82" i="4" s="1"/>
  <c r="D21" i="1"/>
  <c r="D23" i="1" s="1"/>
  <c r="D22" i="3" s="1"/>
  <c r="L57" i="1"/>
  <c r="J101" i="1"/>
  <c r="P67" i="1"/>
  <c r="C4" i="2"/>
  <c r="F4" i="2" s="1"/>
  <c r="B5" i="2" s="1"/>
  <c r="I30" i="1"/>
  <c r="E20" i="1"/>
  <c r="E19" i="1"/>
  <c r="D67" i="2" l="1"/>
  <c r="C67" i="2" s="1"/>
  <c r="F67" i="2"/>
  <c r="B68" i="2" s="1"/>
  <c r="F115" i="6"/>
  <c r="I104" i="6"/>
  <c r="G115" i="6"/>
  <c r="K104" i="6"/>
  <c r="D102" i="6"/>
  <c r="E82" i="6"/>
  <c r="G102" i="6"/>
  <c r="H82" i="6"/>
  <c r="F102" i="6"/>
  <c r="G82" i="6"/>
  <c r="F17" i="3"/>
  <c r="E18" i="3"/>
  <c r="E19" i="3"/>
  <c r="E20" i="3" s="1"/>
  <c r="D46" i="1"/>
  <c r="D45" i="3" s="1"/>
  <c r="L82" i="6"/>
  <c r="E115" i="6"/>
  <c r="E102" i="6"/>
  <c r="F82" i="6"/>
  <c r="H102" i="6"/>
  <c r="H115" i="6"/>
  <c r="J115" i="6" s="1"/>
  <c r="F54" i="6"/>
  <c r="E58" i="6"/>
  <c r="G123" i="6"/>
  <c r="J123" i="6" s="1"/>
  <c r="C102" i="6"/>
  <c r="C104" i="6" s="1"/>
  <c r="D82" i="6"/>
  <c r="F10" i="7"/>
  <c r="B11" i="7" s="1"/>
  <c r="D10" i="7"/>
  <c r="C10" i="7" s="1"/>
  <c r="M80" i="6"/>
  <c r="M81" i="6" s="1"/>
  <c r="M82" i="6" s="1"/>
  <c r="L102" i="4"/>
  <c r="L104" i="4" s="1"/>
  <c r="M102" i="4"/>
  <c r="M104" i="4" s="1"/>
  <c r="D29" i="1"/>
  <c r="D28" i="3" s="1"/>
  <c r="D48" i="1"/>
  <c r="D31" i="1"/>
  <c r="D30" i="3" s="1"/>
  <c r="E21" i="1"/>
  <c r="E31" i="1" s="1"/>
  <c r="C97" i="1"/>
  <c r="F53" i="3"/>
  <c r="K101" i="1"/>
  <c r="M57" i="1"/>
  <c r="J30" i="1"/>
  <c r="E48" i="1"/>
  <c r="D99" i="1" s="1"/>
  <c r="G18" i="1"/>
  <c r="F20" i="1"/>
  <c r="F19" i="1"/>
  <c r="D5" i="2"/>
  <c r="D68" i="2" l="1"/>
  <c r="C68" i="2" s="1"/>
  <c r="F68" i="2"/>
  <c r="B69" i="2" s="1"/>
  <c r="F104" i="6"/>
  <c r="G104" i="6"/>
  <c r="H104" i="6"/>
  <c r="E45" i="3"/>
  <c r="E30" i="3"/>
  <c r="E47" i="3"/>
  <c r="E28" i="3"/>
  <c r="F18" i="3"/>
  <c r="F19" i="3"/>
  <c r="G17" i="3"/>
  <c r="F20" i="3"/>
  <c r="C99" i="1"/>
  <c r="D47" i="3"/>
  <c r="D104" i="6"/>
  <c r="G54" i="6"/>
  <c r="F58" i="6"/>
  <c r="E104" i="6"/>
  <c r="D11" i="7"/>
  <c r="C11" i="7" s="1"/>
  <c r="F11" i="7" s="1"/>
  <c r="B12" i="7" s="1"/>
  <c r="L102" i="6"/>
  <c r="L104" i="6" s="1"/>
  <c r="M102" i="6"/>
  <c r="C107" i="4"/>
  <c r="E29" i="1"/>
  <c r="E46" i="1"/>
  <c r="D97" i="1" s="1"/>
  <c r="E23" i="1"/>
  <c r="G53" i="3"/>
  <c r="M101" i="1"/>
  <c r="L101" i="1"/>
  <c r="F21" i="1"/>
  <c r="F48" i="1" s="1"/>
  <c r="E99" i="1" s="1"/>
  <c r="K30" i="1"/>
  <c r="H18" i="1"/>
  <c r="G20" i="1"/>
  <c r="G19" i="1"/>
  <c r="C5" i="2"/>
  <c r="D69" i="2" l="1"/>
  <c r="C69" i="2" s="1"/>
  <c r="F69" i="2"/>
  <c r="B70" i="2" s="1"/>
  <c r="G18" i="3"/>
  <c r="G20" i="3" s="1"/>
  <c r="G19" i="3"/>
  <c r="H17" i="3"/>
  <c r="H54" i="6"/>
  <c r="G58" i="6"/>
  <c r="F28" i="3"/>
  <c r="F47" i="3"/>
  <c r="F45" i="3"/>
  <c r="F30" i="3"/>
  <c r="D12" i="7"/>
  <c r="C12" i="7" s="1"/>
  <c r="F12" i="7" s="1"/>
  <c r="B13" i="7" s="1"/>
  <c r="F29" i="1"/>
  <c r="F23" i="1"/>
  <c r="H53" i="3"/>
  <c r="F31" i="1"/>
  <c r="F46" i="1"/>
  <c r="E97" i="1" s="1"/>
  <c r="L30" i="1"/>
  <c r="G21" i="1"/>
  <c r="H19" i="1"/>
  <c r="H20" i="1"/>
  <c r="I18" i="1"/>
  <c r="F5" i="2"/>
  <c r="B6" i="2" s="1"/>
  <c r="D70" i="2" l="1"/>
  <c r="C70" i="2" s="1"/>
  <c r="F70" i="2"/>
  <c r="B71" i="2" s="1"/>
  <c r="G45" i="3"/>
  <c r="G47" i="3"/>
  <c r="G30" i="3"/>
  <c r="G28" i="3"/>
  <c r="I54" i="6"/>
  <c r="H58" i="6"/>
  <c r="H18" i="3"/>
  <c r="H19" i="3"/>
  <c r="H20" i="3" s="1"/>
  <c r="D13" i="7"/>
  <c r="C13" i="7" s="1"/>
  <c r="F13" i="7" s="1"/>
  <c r="B14" i="7" s="1"/>
  <c r="G29" i="1"/>
  <c r="G23" i="1"/>
  <c r="G31" i="1"/>
  <c r="M30" i="1"/>
  <c r="H21" i="1"/>
  <c r="G48" i="1"/>
  <c r="F99" i="1" s="1"/>
  <c r="G46" i="1"/>
  <c r="F97" i="1" s="1"/>
  <c r="J18" i="1"/>
  <c r="I19" i="1"/>
  <c r="I20" i="1"/>
  <c r="D6" i="2"/>
  <c r="D71" i="2" l="1"/>
  <c r="H47" i="3"/>
  <c r="L47" i="3" s="1"/>
  <c r="H28" i="3"/>
  <c r="H45" i="3"/>
  <c r="L45" i="3" s="1"/>
  <c r="H30" i="3"/>
  <c r="R53" i="6"/>
  <c r="J54" i="6"/>
  <c r="I58" i="6"/>
  <c r="D14" i="7"/>
  <c r="C14" i="7" s="1"/>
  <c r="F14" i="7"/>
  <c r="B15" i="7" s="1"/>
  <c r="H31" i="1"/>
  <c r="H23" i="1"/>
  <c r="H29" i="1"/>
  <c r="I21" i="1"/>
  <c r="H48" i="1"/>
  <c r="G99" i="1" s="1"/>
  <c r="H46" i="1"/>
  <c r="G97" i="1" s="1"/>
  <c r="J19" i="1"/>
  <c r="J20" i="1"/>
  <c r="K18" i="1"/>
  <c r="C6" i="2"/>
  <c r="C71" i="2" l="1"/>
  <c r="D72" i="2"/>
  <c r="K54" i="6"/>
  <c r="J58" i="6"/>
  <c r="D15" i="7"/>
  <c r="I48" i="1"/>
  <c r="I23" i="1"/>
  <c r="I29" i="1"/>
  <c r="I46" i="1"/>
  <c r="H99" i="1"/>
  <c r="H97" i="1"/>
  <c r="I31" i="1"/>
  <c r="J21" i="1"/>
  <c r="K20" i="1"/>
  <c r="L18" i="1"/>
  <c r="K19" i="1"/>
  <c r="K21" i="1" s="1"/>
  <c r="K23" i="1" s="1"/>
  <c r="F6" i="2"/>
  <c r="B7" i="2" s="1"/>
  <c r="C72" i="2" l="1"/>
  <c r="F71" i="2"/>
  <c r="L54" i="6"/>
  <c r="K58" i="6"/>
  <c r="C15" i="7"/>
  <c r="D16" i="7"/>
  <c r="D37" i="4" s="1"/>
  <c r="J31" i="1"/>
  <c r="J23" i="1"/>
  <c r="J29" i="1"/>
  <c r="K48" i="1"/>
  <c r="K46" i="1"/>
  <c r="J48" i="1"/>
  <c r="I99" i="1" s="1"/>
  <c r="J46" i="1"/>
  <c r="I97" i="1" s="1"/>
  <c r="K31" i="1"/>
  <c r="K29" i="1"/>
  <c r="L19" i="1"/>
  <c r="L20" i="1"/>
  <c r="M18" i="1"/>
  <c r="D7" i="2"/>
  <c r="D40" i="4" l="1"/>
  <c r="D114" i="4"/>
  <c r="D122" i="4" s="1"/>
  <c r="M54" i="6"/>
  <c r="L58" i="6"/>
  <c r="C16" i="7"/>
  <c r="F15" i="7"/>
  <c r="J97" i="1"/>
  <c r="J99" i="1"/>
  <c r="L21" i="1"/>
  <c r="M19" i="1"/>
  <c r="M20" i="1"/>
  <c r="C7" i="2"/>
  <c r="B18" i="7" l="1"/>
  <c r="D64" i="4"/>
  <c r="P89" i="6"/>
  <c r="P90" i="6" s="1"/>
  <c r="M91" i="6" s="1"/>
  <c r="M104" i="6" s="1"/>
  <c r="C107" i="6" s="1"/>
  <c r="M58" i="6"/>
  <c r="D41" i="4"/>
  <c r="D61" i="4" s="1"/>
  <c r="D18" i="7"/>
  <c r="L46" i="1"/>
  <c r="K97" i="1" s="1"/>
  <c r="L23" i="1"/>
  <c r="L31" i="1"/>
  <c r="M21" i="1"/>
  <c r="L29" i="1"/>
  <c r="L48" i="1"/>
  <c r="K99" i="1" s="1"/>
  <c r="F7" i="2"/>
  <c r="B8" i="2" s="1"/>
  <c r="D42" i="4" l="1"/>
  <c r="D68" i="4" s="1"/>
  <c r="C18" i="7"/>
  <c r="M31" i="1"/>
  <c r="M23" i="1"/>
  <c r="M46" i="1"/>
  <c r="M97" i="1" s="1"/>
  <c r="M29" i="1"/>
  <c r="M48" i="1"/>
  <c r="D8" i="2"/>
  <c r="C8" i="2" s="1"/>
  <c r="F8" i="2" s="1"/>
  <c r="B9" i="2" s="1"/>
  <c r="D70" i="4" l="1"/>
  <c r="F18" i="7"/>
  <c r="B19" i="7" s="1"/>
  <c r="L97" i="1"/>
  <c r="M99" i="1"/>
  <c r="L99" i="1"/>
  <c r="D9" i="2"/>
  <c r="C9" i="2" s="1"/>
  <c r="F9" i="2" s="1"/>
  <c r="B10" i="2" s="1"/>
  <c r="D71" i="4" l="1"/>
  <c r="D73" i="4"/>
  <c r="D19" i="7"/>
  <c r="D10" i="2"/>
  <c r="C10" i="2" s="1"/>
  <c r="F10" i="2" s="1"/>
  <c r="B11" i="2" s="1"/>
  <c r="C19" i="7" l="1"/>
  <c r="D11" i="2"/>
  <c r="C11" i="2" s="1"/>
  <c r="F11" i="2" s="1"/>
  <c r="B12" i="2" s="1"/>
  <c r="F19" i="7" l="1"/>
  <c r="B20" i="7" s="1"/>
  <c r="D12" i="2"/>
  <c r="C12" i="2" s="1"/>
  <c r="F12" i="2" s="1"/>
  <c r="B13" i="2" s="1"/>
  <c r="D20" i="7" l="1"/>
  <c r="D13" i="2"/>
  <c r="C13" i="2" s="1"/>
  <c r="F13" i="2" s="1"/>
  <c r="B14" i="2" s="1"/>
  <c r="C20" i="7" l="1"/>
  <c r="D14" i="2"/>
  <c r="C14" i="2" s="1"/>
  <c r="F14" i="2" s="1"/>
  <c r="B15" i="2" s="1"/>
  <c r="F20" i="7" l="1"/>
  <c r="B21" i="7" s="1"/>
  <c r="D15" i="2"/>
  <c r="D21" i="7" l="1"/>
  <c r="C15" i="2"/>
  <c r="D16" i="2"/>
  <c r="D37" i="6" s="1"/>
  <c r="D114" i="6" l="1"/>
  <c r="D40" i="6"/>
  <c r="C21" i="7"/>
  <c r="D37" i="1"/>
  <c r="D36" i="3" s="1"/>
  <c r="C16" i="2"/>
  <c r="F15" i="2"/>
  <c r="D64" i="6" s="1"/>
  <c r="D41" i="6" l="1"/>
  <c r="D61" i="6" s="1"/>
  <c r="D122" i="6"/>
  <c r="F21" i="7"/>
  <c r="B22" i="7" s="1"/>
  <c r="D64" i="1"/>
  <c r="D68" i="3"/>
  <c r="D84" i="3"/>
  <c r="B18" i="2"/>
  <c r="D18" i="2" s="1"/>
  <c r="D42" i="6" l="1"/>
  <c r="D68" i="6" s="1"/>
  <c r="D70" i="6" s="1"/>
  <c r="D22" i="7"/>
  <c r="C82" i="3"/>
  <c r="C85" i="3" s="1"/>
  <c r="C18" i="2"/>
  <c r="D71" i="6" l="1"/>
  <c r="D73" i="6"/>
  <c r="C22" i="7"/>
  <c r="F18" i="2"/>
  <c r="B19" i="2" s="1"/>
  <c r="F22" i="7" l="1"/>
  <c r="B23" i="7" s="1"/>
  <c r="D19" i="2"/>
  <c r="D23" i="7" l="1"/>
  <c r="C23" i="7" s="1"/>
  <c r="F23" i="7" s="1"/>
  <c r="B24" i="7" s="1"/>
  <c r="C19" i="2"/>
  <c r="D24" i="7" l="1"/>
  <c r="C24" i="7" s="1"/>
  <c r="F24" i="7" s="1"/>
  <c r="B25" i="7" s="1"/>
  <c r="F19" i="2"/>
  <c r="B20" i="2" s="1"/>
  <c r="D25" i="7" l="1"/>
  <c r="C25" i="7" s="1"/>
  <c r="F25" i="7" s="1"/>
  <c r="B26" i="7" s="1"/>
  <c r="D20" i="2"/>
  <c r="D26" i="7" l="1"/>
  <c r="C26" i="7" s="1"/>
  <c r="F26" i="7" s="1"/>
  <c r="B27" i="7" s="1"/>
  <c r="C20" i="2"/>
  <c r="D27" i="7" l="1"/>
  <c r="C27" i="7" s="1"/>
  <c r="F27" i="7" s="1"/>
  <c r="B28" i="7" s="1"/>
  <c r="F20" i="2"/>
  <c r="B21" i="2" s="1"/>
  <c r="D28" i="7" l="1"/>
  <c r="C28" i="7" s="1"/>
  <c r="F28" i="7" s="1"/>
  <c r="B29" i="7" s="1"/>
  <c r="D21" i="2"/>
  <c r="D29" i="7" l="1"/>
  <c r="C21" i="2"/>
  <c r="C29" i="7" l="1"/>
  <c r="D30" i="7"/>
  <c r="E37" i="4" s="1"/>
  <c r="F21" i="2"/>
  <c r="B22" i="2" s="1"/>
  <c r="E114" i="4" l="1"/>
  <c r="E122" i="4" s="1"/>
  <c r="E40" i="4"/>
  <c r="C30" i="7"/>
  <c r="F29" i="7"/>
  <c r="D22" i="2"/>
  <c r="B32" i="7" l="1"/>
  <c r="E64" i="4"/>
  <c r="E41" i="4"/>
  <c r="E61" i="4" s="1"/>
  <c r="E42" i="4"/>
  <c r="E68" i="4" s="1"/>
  <c r="D32" i="7"/>
  <c r="C22" i="2"/>
  <c r="E70" i="4" l="1"/>
  <c r="C32" i="7"/>
  <c r="F22" i="2"/>
  <c r="B23" i="2" s="1"/>
  <c r="E71" i="4" l="1"/>
  <c r="E73" i="4"/>
  <c r="F32" i="7"/>
  <c r="B33" i="7" s="1"/>
  <c r="D23" i="2"/>
  <c r="C23" i="2" s="1"/>
  <c r="F23" i="2" s="1"/>
  <c r="B24" i="2" s="1"/>
  <c r="D33" i="7" l="1"/>
  <c r="D24" i="2"/>
  <c r="C24" i="2" s="1"/>
  <c r="F24" i="2" s="1"/>
  <c r="B25" i="2" s="1"/>
  <c r="C33" i="7" l="1"/>
  <c r="D25" i="2"/>
  <c r="C25" i="2" s="1"/>
  <c r="F25" i="2" s="1"/>
  <c r="B26" i="2" s="1"/>
  <c r="F33" i="7" l="1"/>
  <c r="B34" i="7" s="1"/>
  <c r="D26" i="2"/>
  <c r="C26" i="2" s="1"/>
  <c r="F26" i="2" s="1"/>
  <c r="B27" i="2" s="1"/>
  <c r="D34" i="7" l="1"/>
  <c r="D27" i="2"/>
  <c r="C27" i="2" s="1"/>
  <c r="F27" i="2" s="1"/>
  <c r="B28" i="2" s="1"/>
  <c r="C34" i="7" l="1"/>
  <c r="D28" i="2"/>
  <c r="C28" i="2" s="1"/>
  <c r="F28" i="2" s="1"/>
  <c r="B29" i="2" s="1"/>
  <c r="F34" i="7" l="1"/>
  <c r="B35" i="7" s="1"/>
  <c r="D29" i="2"/>
  <c r="D35" i="7" l="1"/>
  <c r="C29" i="2"/>
  <c r="D30" i="2"/>
  <c r="E37" i="6" s="1"/>
  <c r="E114" i="6" l="1"/>
  <c r="E40" i="6"/>
  <c r="C35" i="7"/>
  <c r="E36" i="3"/>
  <c r="E37" i="1"/>
  <c r="C30" i="2"/>
  <c r="F29" i="2"/>
  <c r="E64" i="6" s="1"/>
  <c r="E41" i="6" l="1"/>
  <c r="E61" i="6" s="1"/>
  <c r="E42" i="6"/>
  <c r="E68" i="6" s="1"/>
  <c r="E122" i="6"/>
  <c r="F35" i="7"/>
  <c r="B36" i="7" s="1"/>
  <c r="E64" i="1"/>
  <c r="E68" i="3"/>
  <c r="E84" i="3"/>
  <c r="B32" i="2"/>
  <c r="D32" i="2" s="1"/>
  <c r="E70" i="6" l="1"/>
  <c r="D36" i="7"/>
  <c r="D82" i="3"/>
  <c r="D85" i="3" s="1"/>
  <c r="C32" i="2"/>
  <c r="E71" i="6" l="1"/>
  <c r="E73" i="6"/>
  <c r="C36" i="7"/>
  <c r="F32" i="2"/>
  <c r="B33" i="2" s="1"/>
  <c r="F36" i="7" l="1"/>
  <c r="B37" i="7" s="1"/>
  <c r="D33" i="2"/>
  <c r="D37" i="7" l="1"/>
  <c r="C37" i="7" s="1"/>
  <c r="F37" i="7" s="1"/>
  <c r="B38" i="7" s="1"/>
  <c r="C33" i="2"/>
  <c r="D38" i="7" l="1"/>
  <c r="C38" i="7" s="1"/>
  <c r="F38" i="7" s="1"/>
  <c r="B39" i="7" s="1"/>
  <c r="F33" i="2"/>
  <c r="B34" i="2" s="1"/>
  <c r="D39" i="7" l="1"/>
  <c r="C39" i="7" s="1"/>
  <c r="F39" i="7" s="1"/>
  <c r="B40" i="7" s="1"/>
  <c r="D34" i="2"/>
  <c r="D40" i="7" l="1"/>
  <c r="C40" i="7" s="1"/>
  <c r="F40" i="7" s="1"/>
  <c r="B41" i="7" s="1"/>
  <c r="C34" i="2"/>
  <c r="D41" i="7" l="1"/>
  <c r="C41" i="7" s="1"/>
  <c r="F41" i="7" s="1"/>
  <c r="B42" i="7" s="1"/>
  <c r="F34" i="2"/>
  <c r="B35" i="2" s="1"/>
  <c r="D42" i="7" l="1"/>
  <c r="C42" i="7" s="1"/>
  <c r="F42" i="7" s="1"/>
  <c r="B43" i="7" s="1"/>
  <c r="D35" i="2"/>
  <c r="D43" i="7" l="1"/>
  <c r="C35" i="2"/>
  <c r="C43" i="7" l="1"/>
  <c r="D44" i="7"/>
  <c r="F37" i="4" s="1"/>
  <c r="F35" i="2"/>
  <c r="B36" i="2" s="1"/>
  <c r="F40" i="4" l="1"/>
  <c r="F114" i="4"/>
  <c r="F122" i="4" s="1"/>
  <c r="C44" i="7"/>
  <c r="F43" i="7"/>
  <c r="D36" i="2"/>
  <c r="B46" i="7" l="1"/>
  <c r="F64" i="4"/>
  <c r="F41" i="4"/>
  <c r="F61" i="4" s="1"/>
  <c r="F42" i="4"/>
  <c r="F68" i="4" s="1"/>
  <c r="D46" i="7"/>
  <c r="C36" i="2"/>
  <c r="F70" i="4" l="1"/>
  <c r="C46" i="7"/>
  <c r="F36" i="2"/>
  <c r="B37" i="2" s="1"/>
  <c r="F71" i="4" l="1"/>
  <c r="F73" i="4"/>
  <c r="F46" i="7"/>
  <c r="B47" i="7" s="1"/>
  <c r="D37" i="2"/>
  <c r="C37" i="2" s="1"/>
  <c r="F37" i="2" s="1"/>
  <c r="B38" i="2" s="1"/>
  <c r="D47" i="7" l="1"/>
  <c r="D38" i="2"/>
  <c r="C38" i="2" s="1"/>
  <c r="F38" i="2" s="1"/>
  <c r="B39" i="2" s="1"/>
  <c r="C47" i="7" l="1"/>
  <c r="D39" i="2"/>
  <c r="C39" i="2" s="1"/>
  <c r="F39" i="2" s="1"/>
  <c r="B40" i="2" s="1"/>
  <c r="F47" i="7" l="1"/>
  <c r="B48" i="7" s="1"/>
  <c r="D40" i="2"/>
  <c r="C40" i="2" s="1"/>
  <c r="F40" i="2" s="1"/>
  <c r="B41" i="2" s="1"/>
  <c r="D48" i="7" l="1"/>
  <c r="D41" i="2"/>
  <c r="C41" i="2" s="1"/>
  <c r="F41" i="2" s="1"/>
  <c r="B42" i="2" s="1"/>
  <c r="C48" i="7" l="1"/>
  <c r="D42" i="2"/>
  <c r="C42" i="2" s="1"/>
  <c r="F42" i="2" s="1"/>
  <c r="B43" i="2" s="1"/>
  <c r="F48" i="7" l="1"/>
  <c r="B49" i="7" s="1"/>
  <c r="D43" i="2"/>
  <c r="D49" i="7" l="1"/>
  <c r="C43" i="2"/>
  <c r="D44" i="2"/>
  <c r="F37" i="6" s="1"/>
  <c r="F114" i="6" l="1"/>
  <c r="F40" i="6"/>
  <c r="C49" i="7"/>
  <c r="F36" i="3"/>
  <c r="F37" i="1"/>
  <c r="C44" i="2"/>
  <c r="F43" i="2"/>
  <c r="F64" i="6" s="1"/>
  <c r="F41" i="6" l="1"/>
  <c r="F61" i="6" s="1"/>
  <c r="F42" i="6"/>
  <c r="F68" i="6" s="1"/>
  <c r="F122" i="6"/>
  <c r="F49" i="7"/>
  <c r="B50" i="7" s="1"/>
  <c r="F64" i="1"/>
  <c r="F68" i="3"/>
  <c r="F66" i="3" s="1"/>
  <c r="F84" i="3"/>
  <c r="B46" i="2"/>
  <c r="D46" i="2" s="1"/>
  <c r="F70" i="6" l="1"/>
  <c r="D50" i="7"/>
  <c r="E82" i="3"/>
  <c r="E85" i="3" s="1"/>
  <c r="C46" i="2"/>
  <c r="F71" i="6" l="1"/>
  <c r="F73" i="6"/>
  <c r="C50" i="7"/>
  <c r="F46" i="2"/>
  <c r="B47" i="2" s="1"/>
  <c r="F50" i="7" l="1"/>
  <c r="B51" i="7" s="1"/>
  <c r="D47" i="2"/>
  <c r="D51" i="7" l="1"/>
  <c r="C51" i="7" s="1"/>
  <c r="F51" i="7" s="1"/>
  <c r="B52" i="7" s="1"/>
  <c r="C47" i="2"/>
  <c r="D52" i="7" l="1"/>
  <c r="C52" i="7" s="1"/>
  <c r="F52" i="7" s="1"/>
  <c r="B53" i="7" s="1"/>
  <c r="F47" i="2"/>
  <c r="B48" i="2" s="1"/>
  <c r="D53" i="7" l="1"/>
  <c r="C53" i="7" s="1"/>
  <c r="F53" i="7" s="1"/>
  <c r="B54" i="7" s="1"/>
  <c r="D48" i="2"/>
  <c r="D54" i="7" l="1"/>
  <c r="C54" i="7" s="1"/>
  <c r="F54" i="7" s="1"/>
  <c r="B55" i="7" s="1"/>
  <c r="C48" i="2"/>
  <c r="D55" i="7" l="1"/>
  <c r="C55" i="7" s="1"/>
  <c r="F55" i="7" s="1"/>
  <c r="B56" i="7" s="1"/>
  <c r="F48" i="2"/>
  <c r="B49" i="2" s="1"/>
  <c r="D56" i="7" l="1"/>
  <c r="C56" i="7" s="1"/>
  <c r="F56" i="7" s="1"/>
  <c r="B57" i="7" s="1"/>
  <c r="D49" i="2"/>
  <c r="D57" i="7" l="1"/>
  <c r="C49" i="2"/>
  <c r="C57" i="7" l="1"/>
  <c r="D58" i="7"/>
  <c r="G37" i="4" s="1"/>
  <c r="F49" i="2"/>
  <c r="B50" i="2" s="1"/>
  <c r="G114" i="4" l="1"/>
  <c r="G122" i="4" s="1"/>
  <c r="G40" i="4"/>
  <c r="C58" i="7"/>
  <c r="F57" i="7"/>
  <c r="D50" i="2"/>
  <c r="B60" i="7" l="1"/>
  <c r="G64" i="4"/>
  <c r="G41" i="4"/>
  <c r="G61" i="4" s="1"/>
  <c r="G42" i="4"/>
  <c r="G68" i="4" s="1"/>
  <c r="D60" i="7"/>
  <c r="C50" i="2"/>
  <c r="G70" i="4" l="1"/>
  <c r="C60" i="7"/>
  <c r="F50" i="2"/>
  <c r="B51" i="2" s="1"/>
  <c r="G71" i="4" l="1"/>
  <c r="G73" i="4"/>
  <c r="F60" i="7"/>
  <c r="B61" i="7" s="1"/>
  <c r="D51" i="2"/>
  <c r="C51" i="2" s="1"/>
  <c r="F51" i="2" s="1"/>
  <c r="B52" i="2" s="1"/>
  <c r="D61" i="7" l="1"/>
  <c r="D52" i="2"/>
  <c r="C52" i="2" s="1"/>
  <c r="F52" i="2" s="1"/>
  <c r="B53" i="2" s="1"/>
  <c r="C61" i="7" l="1"/>
  <c r="D53" i="2"/>
  <c r="C53" i="2" s="1"/>
  <c r="F53" i="2" s="1"/>
  <c r="B54" i="2" s="1"/>
  <c r="F61" i="7" l="1"/>
  <c r="B62" i="7" s="1"/>
  <c r="D54" i="2"/>
  <c r="C54" i="2" s="1"/>
  <c r="F54" i="2" s="1"/>
  <c r="B55" i="2" s="1"/>
  <c r="D62" i="7" l="1"/>
  <c r="D55" i="2"/>
  <c r="C55" i="2" s="1"/>
  <c r="F55" i="2" s="1"/>
  <c r="B56" i="2" s="1"/>
  <c r="C62" i="7" l="1"/>
  <c r="D56" i="2"/>
  <c r="C56" i="2" s="1"/>
  <c r="F56" i="2" s="1"/>
  <c r="B57" i="2" s="1"/>
  <c r="F62" i="7" l="1"/>
  <c r="B63" i="7" s="1"/>
  <c r="D57" i="2"/>
  <c r="D63" i="7" l="1"/>
  <c r="C57" i="2"/>
  <c r="D58" i="2"/>
  <c r="G37" i="6" s="1"/>
  <c r="G114" i="6" l="1"/>
  <c r="G40" i="6"/>
  <c r="C63" i="7"/>
  <c r="G36" i="3"/>
  <c r="G37" i="1"/>
  <c r="C58" i="2"/>
  <c r="F57" i="2"/>
  <c r="G64" i="6" s="1"/>
  <c r="G41" i="6" l="1"/>
  <c r="G61" i="6" s="1"/>
  <c r="G42" i="6"/>
  <c r="G68" i="6" s="1"/>
  <c r="G122" i="6"/>
  <c r="F63" i="7"/>
  <c r="B64" i="7" s="1"/>
  <c r="G64" i="1"/>
  <c r="G68" i="3"/>
  <c r="G66" i="3" s="1"/>
  <c r="G84" i="3"/>
  <c r="G70" i="6" l="1"/>
  <c r="D64" i="7"/>
  <c r="F82" i="3"/>
  <c r="F85" i="3" s="1"/>
  <c r="G71" i="6" l="1"/>
  <c r="G73" i="6"/>
  <c r="C64" i="7"/>
  <c r="F64" i="7" l="1"/>
  <c r="B65" i="7" s="1"/>
  <c r="D65" i="7" l="1"/>
  <c r="C65" i="7" s="1"/>
  <c r="F65" i="7" s="1"/>
  <c r="B66" i="7" s="1"/>
  <c r="D66" i="7" l="1"/>
  <c r="C66" i="7" s="1"/>
  <c r="F66" i="7" s="1"/>
  <c r="B67" i="7" s="1"/>
  <c r="D67" i="7" l="1"/>
  <c r="C67" i="7" s="1"/>
  <c r="F67" i="7" s="1"/>
  <c r="B68" i="7" s="1"/>
  <c r="D68" i="7" l="1"/>
  <c r="C68" i="7" s="1"/>
  <c r="F68" i="7" s="1"/>
  <c r="B69" i="7" s="1"/>
  <c r="D69" i="7" l="1"/>
  <c r="C69" i="7" s="1"/>
  <c r="F69" i="7" s="1"/>
  <c r="B70" i="7" s="1"/>
  <c r="D70" i="7" l="1"/>
  <c r="C70" i="7" s="1"/>
  <c r="F70" i="7" s="1"/>
  <c r="B71" i="7" s="1"/>
  <c r="D71" i="7" l="1"/>
  <c r="C71" i="7" l="1"/>
  <c r="D72" i="7"/>
  <c r="H37" i="4" s="1"/>
  <c r="E51" i="1"/>
  <c r="H40" i="4" l="1"/>
  <c r="H114" i="4"/>
  <c r="C72" i="7"/>
  <c r="F71" i="7"/>
  <c r="E35" i="1"/>
  <c r="E79" i="1" s="1"/>
  <c r="D86" i="1"/>
  <c r="E52" i="1"/>
  <c r="F51" i="1"/>
  <c r="H41" i="4" l="1"/>
  <c r="H61" i="4" s="1"/>
  <c r="B74" i="7"/>
  <c r="H64" i="4"/>
  <c r="H122" i="4"/>
  <c r="J122" i="4" s="1"/>
  <c r="J114" i="4"/>
  <c r="D74" i="7"/>
  <c r="F35" i="1"/>
  <c r="E86" i="1"/>
  <c r="G51" i="1"/>
  <c r="R54" i="4" l="1"/>
  <c r="H42" i="4"/>
  <c r="H68" i="4" s="1"/>
  <c r="H70" i="4" s="1"/>
  <c r="C74" i="7"/>
  <c r="G35" i="1"/>
  <c r="F86" i="1"/>
  <c r="F52" i="1"/>
  <c r="F79" i="1"/>
  <c r="H51" i="1"/>
  <c r="H71" i="4" l="1"/>
  <c r="H73" i="4"/>
  <c r="F74" i="7"/>
  <c r="B75" i="7" s="1"/>
  <c r="H35" i="1"/>
  <c r="G86" i="1"/>
  <c r="G52" i="1"/>
  <c r="G79" i="1"/>
  <c r="I51" i="1"/>
  <c r="D75" i="7" l="1"/>
  <c r="H52" i="1"/>
  <c r="I35" i="1"/>
  <c r="H86" i="1"/>
  <c r="H79" i="1"/>
  <c r="J51" i="1"/>
  <c r="I52" i="1" l="1"/>
  <c r="C75" i="7"/>
  <c r="J35" i="1"/>
  <c r="J52" i="1" s="1"/>
  <c r="I86" i="1"/>
  <c r="I79" i="1"/>
  <c r="K51" i="1"/>
  <c r="F75" i="7" l="1"/>
  <c r="B76" i="7" s="1"/>
  <c r="K52" i="1"/>
  <c r="L52" i="1" s="1"/>
  <c r="M52" i="1" s="1"/>
  <c r="J86" i="1"/>
  <c r="J79" i="1"/>
  <c r="L51" i="1"/>
  <c r="D76" i="7" l="1"/>
  <c r="K86" i="1"/>
  <c r="M51" i="1"/>
  <c r="C76" i="7" l="1"/>
  <c r="M86" i="1"/>
  <c r="M87" i="1" s="1"/>
  <c r="P86" i="1"/>
  <c r="L86" i="1"/>
  <c r="P87" i="1" l="1"/>
  <c r="M88" i="1" s="1"/>
  <c r="F76" i="7"/>
  <c r="B77" i="7" s="1"/>
  <c r="D77" i="7" l="1"/>
  <c r="H37" i="6"/>
  <c r="H114" i="6" l="1"/>
  <c r="H40" i="6"/>
  <c r="C77" i="7"/>
  <c r="H36" i="3"/>
  <c r="H37" i="1"/>
  <c r="H64" i="6"/>
  <c r="R54" i="6" s="1"/>
  <c r="H41" i="6" l="1"/>
  <c r="H61" i="6" s="1"/>
  <c r="H42" i="6"/>
  <c r="H68" i="6" s="1"/>
  <c r="H122" i="6"/>
  <c r="J122" i="6" s="1"/>
  <c r="J114" i="6"/>
  <c r="F77" i="7"/>
  <c r="B78" i="7" s="1"/>
  <c r="H64" i="1"/>
  <c r="R54" i="1" s="1"/>
  <c r="H68" i="3"/>
  <c r="H66" i="3" s="1"/>
  <c r="H84" i="3"/>
  <c r="B74" i="2"/>
  <c r="D74" i="2" s="1"/>
  <c r="H70" i="6" l="1"/>
  <c r="D78" i="7"/>
  <c r="J69" i="3"/>
  <c r="K69" i="3" s="1"/>
  <c r="J68" i="3"/>
  <c r="K68" i="3" s="1"/>
  <c r="P68" i="3"/>
  <c r="G82" i="3"/>
  <c r="G85" i="3" s="1"/>
  <c r="C74" i="2"/>
  <c r="H71" i="6" l="1"/>
  <c r="H73" i="6"/>
  <c r="C78" i="7"/>
  <c r="K70" i="3"/>
  <c r="L69" i="3" s="1"/>
  <c r="F74" i="2"/>
  <c r="B75" i="2" s="1"/>
  <c r="F78" i="7" l="1"/>
  <c r="B79" i="7" s="1"/>
  <c r="L68" i="3"/>
  <c r="M68" i="3" s="1"/>
  <c r="D75" i="2"/>
  <c r="D79" i="7" l="1"/>
  <c r="C79" i="7" s="1"/>
  <c r="F79" i="7" s="1"/>
  <c r="B80" i="7" s="1"/>
  <c r="N68" i="3"/>
  <c r="C75" i="2"/>
  <c r="D80" i="7" l="1"/>
  <c r="C80" i="7" s="1"/>
  <c r="F80" i="7" s="1"/>
  <c r="B81" i="7" s="1"/>
  <c r="O68" i="3"/>
  <c r="H83" i="3"/>
  <c r="H85" i="3" s="1"/>
  <c r="C86" i="3" s="1"/>
  <c r="C88" i="3" s="1"/>
  <c r="F75" i="2"/>
  <c r="B76" i="2" s="1"/>
  <c r="D81" i="7" l="1"/>
  <c r="C81" i="7" s="1"/>
  <c r="F81" i="7" s="1"/>
  <c r="B82" i="7" s="1"/>
  <c r="D76" i="2"/>
  <c r="D82" i="7" l="1"/>
  <c r="C82" i="7" s="1"/>
  <c r="F82" i="7" s="1"/>
  <c r="B83" i="7" s="1"/>
  <c r="C76" i="2"/>
  <c r="D83" i="7" l="1"/>
  <c r="C83" i="7" s="1"/>
  <c r="F83" i="7" s="1"/>
  <c r="B84" i="7" s="1"/>
  <c r="F76" i="2"/>
  <c r="B77" i="2" s="1"/>
  <c r="D84" i="7" l="1"/>
  <c r="C84" i="7" s="1"/>
  <c r="F84" i="7" s="1"/>
  <c r="B85" i="7" s="1"/>
  <c r="D77" i="2"/>
  <c r="D85" i="7" l="1"/>
  <c r="C77" i="2"/>
  <c r="C85" i="7" l="1"/>
  <c r="D86" i="7"/>
  <c r="I37" i="4" s="1"/>
  <c r="I40" i="4" s="1"/>
  <c r="F77" i="2"/>
  <c r="B78" i="2" s="1"/>
  <c r="I41" i="4" l="1"/>
  <c r="I61" i="4" s="1"/>
  <c r="C86" i="7"/>
  <c r="F85" i="7"/>
  <c r="D78" i="2"/>
  <c r="I42" i="4" l="1"/>
  <c r="I68" i="4" s="1"/>
  <c r="B88" i="7"/>
  <c r="I64" i="4"/>
  <c r="D88" i="7"/>
  <c r="C78" i="2"/>
  <c r="I70" i="4" l="1"/>
  <c r="C88" i="7"/>
  <c r="F78" i="2"/>
  <c r="B79" i="2" s="1"/>
  <c r="I73" i="4" l="1"/>
  <c r="I71" i="4"/>
  <c r="F88" i="7"/>
  <c r="B89" i="7" s="1"/>
  <c r="D79" i="2"/>
  <c r="C79" i="2" s="1"/>
  <c r="F79" i="2" s="1"/>
  <c r="B80" i="2" s="1"/>
  <c r="D89" i="7" l="1"/>
  <c r="D80" i="2"/>
  <c r="C80" i="2" s="1"/>
  <c r="F80" i="2" s="1"/>
  <c r="B81" i="2" s="1"/>
  <c r="C89" i="7" l="1"/>
  <c r="D81" i="2"/>
  <c r="C81" i="2" s="1"/>
  <c r="F81" i="2" s="1"/>
  <c r="B82" i="2" s="1"/>
  <c r="F89" i="7" l="1"/>
  <c r="B90" i="7" s="1"/>
  <c r="D82" i="2"/>
  <c r="C82" i="2" s="1"/>
  <c r="F82" i="2" s="1"/>
  <c r="B83" i="2" s="1"/>
  <c r="D90" i="7" l="1"/>
  <c r="D83" i="2"/>
  <c r="C83" i="2" s="1"/>
  <c r="F83" i="2" s="1"/>
  <c r="B84" i="2" s="1"/>
  <c r="C90" i="7" l="1"/>
  <c r="D84" i="2"/>
  <c r="C84" i="2" s="1"/>
  <c r="F84" i="2" s="1"/>
  <c r="B85" i="2" s="1"/>
  <c r="F90" i="7" l="1"/>
  <c r="B91" i="7" s="1"/>
  <c r="D85" i="2"/>
  <c r="D91" i="7" l="1"/>
  <c r="C85" i="2"/>
  <c r="D86" i="2"/>
  <c r="I37" i="1" l="1"/>
  <c r="I37" i="6"/>
  <c r="I40" i="6" s="1"/>
  <c r="C91" i="7"/>
  <c r="C86" i="2"/>
  <c r="F85" i="2"/>
  <c r="I41" i="6" l="1"/>
  <c r="I61" i="6" s="1"/>
  <c r="I42" i="6"/>
  <c r="I68" i="6" s="1"/>
  <c r="I64" i="1"/>
  <c r="I64" i="6"/>
  <c r="F91" i="7"/>
  <c r="B92" i="7" s="1"/>
  <c r="B88" i="2"/>
  <c r="D88" i="2" s="1"/>
  <c r="I70" i="6" l="1"/>
  <c r="D92" i="7"/>
  <c r="C88" i="2"/>
  <c r="I71" i="6" l="1"/>
  <c r="I73" i="6"/>
  <c r="C92" i="7"/>
  <c r="F88" i="2"/>
  <c r="B89" i="2" s="1"/>
  <c r="F92" i="7" l="1"/>
  <c r="B93" i="7" s="1"/>
  <c r="D89" i="2"/>
  <c r="D93" i="7" l="1"/>
  <c r="C93" i="7" s="1"/>
  <c r="F93" i="7" s="1"/>
  <c r="B94" i="7" s="1"/>
  <c r="C89" i="2"/>
  <c r="D94" i="7" l="1"/>
  <c r="C94" i="7" s="1"/>
  <c r="F94" i="7" s="1"/>
  <c r="B95" i="7" s="1"/>
  <c r="F89" i="2"/>
  <c r="B90" i="2" s="1"/>
  <c r="D95" i="7" l="1"/>
  <c r="C95" i="7" s="1"/>
  <c r="F95" i="7" s="1"/>
  <c r="B96" i="7" s="1"/>
  <c r="D90" i="2"/>
  <c r="D96" i="7" l="1"/>
  <c r="C96" i="7" s="1"/>
  <c r="F96" i="7" s="1"/>
  <c r="B97" i="7" s="1"/>
  <c r="C90" i="2"/>
  <c r="D97" i="7" l="1"/>
  <c r="C97" i="7" s="1"/>
  <c r="F97" i="7" s="1"/>
  <c r="B98" i="7" s="1"/>
  <c r="F90" i="2"/>
  <c r="B91" i="2" s="1"/>
  <c r="D98" i="7" l="1"/>
  <c r="C98" i="7" s="1"/>
  <c r="F98" i="7" s="1"/>
  <c r="B99" i="7" s="1"/>
  <c r="D91" i="2"/>
  <c r="D99" i="7" l="1"/>
  <c r="C91" i="2"/>
  <c r="C99" i="7" l="1"/>
  <c r="D100" i="7"/>
  <c r="J37" i="4" s="1"/>
  <c r="J40" i="4" s="1"/>
  <c r="F91" i="2"/>
  <c r="B92" i="2" s="1"/>
  <c r="J41" i="4" l="1"/>
  <c r="J61" i="4" s="1"/>
  <c r="C100" i="7"/>
  <c r="F99" i="7"/>
  <c r="D92" i="2"/>
  <c r="J42" i="4" l="1"/>
  <c r="J68" i="4" s="1"/>
  <c r="B102" i="7"/>
  <c r="J64" i="4"/>
  <c r="D102" i="7"/>
  <c r="C92" i="2"/>
  <c r="J70" i="4" l="1"/>
  <c r="C102" i="7"/>
  <c r="F92" i="2"/>
  <c r="B93" i="2" s="1"/>
  <c r="J71" i="4" l="1"/>
  <c r="J73" i="4"/>
  <c r="F102" i="7"/>
  <c r="B103" i="7" s="1"/>
  <c r="D93" i="2"/>
  <c r="C93" i="2" s="1"/>
  <c r="F93" i="2" s="1"/>
  <c r="B94" i="2" s="1"/>
  <c r="D103" i="7" l="1"/>
  <c r="D94" i="2"/>
  <c r="C94" i="2" s="1"/>
  <c r="F94" i="2" s="1"/>
  <c r="B95" i="2" s="1"/>
  <c r="C103" i="7" l="1"/>
  <c r="D95" i="2"/>
  <c r="C95" i="2" s="1"/>
  <c r="F95" i="2" s="1"/>
  <c r="B96" i="2" s="1"/>
  <c r="F103" i="7" l="1"/>
  <c r="B104" i="7" s="1"/>
  <c r="D96" i="2"/>
  <c r="C96" i="2" s="1"/>
  <c r="F96" i="2" s="1"/>
  <c r="B97" i="2" s="1"/>
  <c r="D104" i="7" l="1"/>
  <c r="D97" i="2"/>
  <c r="C97" i="2" s="1"/>
  <c r="F97" i="2" s="1"/>
  <c r="B98" i="2" s="1"/>
  <c r="C104" i="7" l="1"/>
  <c r="D98" i="2"/>
  <c r="C98" i="2" s="1"/>
  <c r="F98" i="2" s="1"/>
  <c r="B99" i="2" s="1"/>
  <c r="F104" i="7" l="1"/>
  <c r="B105" i="7" s="1"/>
  <c r="D99" i="2"/>
  <c r="D105" i="7" l="1"/>
  <c r="C99" i="2"/>
  <c r="D100" i="2"/>
  <c r="J37" i="1" l="1"/>
  <c r="J37" i="6"/>
  <c r="J40" i="6" s="1"/>
  <c r="C105" i="7"/>
  <c r="C100" i="2"/>
  <c r="F99" i="2"/>
  <c r="J64" i="6" s="1"/>
  <c r="J41" i="6" l="1"/>
  <c r="J61" i="6" s="1"/>
  <c r="J42" i="6"/>
  <c r="J68" i="6" s="1"/>
  <c r="J70" i="6" s="1"/>
  <c r="F105" i="7"/>
  <c r="B106" i="7" s="1"/>
  <c r="B102" i="2"/>
  <c r="J64" i="1"/>
  <c r="D102" i="2"/>
  <c r="J71" i="6" l="1"/>
  <c r="J73" i="6"/>
  <c r="D106" i="7"/>
  <c r="C102" i="2"/>
  <c r="C106" i="7" l="1"/>
  <c r="F102" i="2"/>
  <c r="B103" i="2" s="1"/>
  <c r="F106" i="7" l="1"/>
  <c r="B107" i="7" s="1"/>
  <c r="D103" i="2"/>
  <c r="D107" i="7" l="1"/>
  <c r="C107" i="7" s="1"/>
  <c r="F107" i="7" s="1"/>
  <c r="B108" i="7" s="1"/>
  <c r="C103" i="2"/>
  <c r="D108" i="7" l="1"/>
  <c r="C108" i="7" s="1"/>
  <c r="F108" i="7" s="1"/>
  <c r="B109" i="7" s="1"/>
  <c r="F103" i="2"/>
  <c r="B104" i="2" s="1"/>
  <c r="D109" i="7" l="1"/>
  <c r="C109" i="7" s="1"/>
  <c r="F109" i="7" s="1"/>
  <c r="B110" i="7" s="1"/>
  <c r="D104" i="2"/>
  <c r="D110" i="7" l="1"/>
  <c r="C110" i="7" s="1"/>
  <c r="F110" i="7" s="1"/>
  <c r="B111" i="7" s="1"/>
  <c r="C104" i="2"/>
  <c r="D111" i="7" l="1"/>
  <c r="C111" i="7" s="1"/>
  <c r="F111" i="7" s="1"/>
  <c r="B112" i="7" s="1"/>
  <c r="F104" i="2"/>
  <c r="B105" i="2" s="1"/>
  <c r="D112" i="7" l="1"/>
  <c r="C112" i="7" s="1"/>
  <c r="F112" i="7" s="1"/>
  <c r="B113" i="7" s="1"/>
  <c r="D105" i="2"/>
  <c r="D113" i="7" l="1"/>
  <c r="C105" i="2"/>
  <c r="C113" i="7" l="1"/>
  <c r="D114" i="7"/>
  <c r="K37" i="4" s="1"/>
  <c r="K40" i="4" s="1"/>
  <c r="F105" i="2"/>
  <c r="B106" i="2" s="1"/>
  <c r="K41" i="4" l="1"/>
  <c r="K61" i="4" s="1"/>
  <c r="C114" i="7"/>
  <c r="F113" i="7"/>
  <c r="D106" i="2"/>
  <c r="K42" i="4" l="1"/>
  <c r="K68" i="4" s="1"/>
  <c r="B116" i="7"/>
  <c r="K64" i="4"/>
  <c r="K70" i="4" s="1"/>
  <c r="D116" i="7"/>
  <c r="C106" i="2"/>
  <c r="K73" i="4" l="1"/>
  <c r="K71" i="4"/>
  <c r="C116" i="7"/>
  <c r="F106" i="2"/>
  <c r="B107" i="2" s="1"/>
  <c r="F116" i="7" l="1"/>
  <c r="B117" i="7" s="1"/>
  <c r="D107" i="2"/>
  <c r="C107" i="2" s="1"/>
  <c r="F107" i="2" s="1"/>
  <c r="B108" i="2" s="1"/>
  <c r="D117" i="7" l="1"/>
  <c r="D108" i="2"/>
  <c r="C108" i="2" s="1"/>
  <c r="F108" i="2" s="1"/>
  <c r="B109" i="2" s="1"/>
  <c r="C117" i="7" l="1"/>
  <c r="D109" i="2"/>
  <c r="C109" i="2" s="1"/>
  <c r="F109" i="2" s="1"/>
  <c r="B110" i="2" s="1"/>
  <c r="F117" i="7" l="1"/>
  <c r="B118" i="7" s="1"/>
  <c r="D110" i="2"/>
  <c r="C110" i="2" s="1"/>
  <c r="F110" i="2" s="1"/>
  <c r="B111" i="2" s="1"/>
  <c r="D118" i="7" l="1"/>
  <c r="D111" i="2"/>
  <c r="C111" i="2" s="1"/>
  <c r="F111" i="2" s="1"/>
  <c r="B112" i="2" s="1"/>
  <c r="C118" i="7" l="1"/>
  <c r="D112" i="2"/>
  <c r="C112" i="2" s="1"/>
  <c r="F112" i="2" s="1"/>
  <c r="B113" i="2" s="1"/>
  <c r="F118" i="7" l="1"/>
  <c r="B119" i="7" s="1"/>
  <c r="D113" i="2"/>
  <c r="D119" i="7" l="1"/>
  <c r="C113" i="2"/>
  <c r="D114" i="2"/>
  <c r="K37" i="1" l="1"/>
  <c r="K37" i="6"/>
  <c r="K40" i="6" s="1"/>
  <c r="C119" i="7"/>
  <c r="C114" i="2"/>
  <c r="F113" i="2"/>
  <c r="K64" i="6" s="1"/>
  <c r="K41" i="6" l="1"/>
  <c r="K61" i="6" s="1"/>
  <c r="K42" i="6"/>
  <c r="K68" i="6" s="1"/>
  <c r="F119" i="7"/>
  <c r="B120" i="7" s="1"/>
  <c r="B116" i="2"/>
  <c r="K64" i="1"/>
  <c r="D116" i="2"/>
  <c r="K70" i="6" l="1"/>
  <c r="D120" i="7"/>
  <c r="C116" i="2"/>
  <c r="K71" i="6" l="1"/>
  <c r="K73" i="6"/>
  <c r="C120" i="7"/>
  <c r="F116" i="2"/>
  <c r="B117" i="2" s="1"/>
  <c r="F120" i="7" l="1"/>
  <c r="B121" i="7" s="1"/>
  <c r="D117" i="2"/>
  <c r="D121" i="7" l="1"/>
  <c r="C121" i="7" s="1"/>
  <c r="F121" i="7" s="1"/>
  <c r="B122" i="7" s="1"/>
  <c r="C117" i="2"/>
  <c r="D122" i="7" l="1"/>
  <c r="C122" i="7" s="1"/>
  <c r="F122" i="7" s="1"/>
  <c r="B123" i="7" s="1"/>
  <c r="F117" i="2"/>
  <c r="B118" i="2" s="1"/>
  <c r="D123" i="7" l="1"/>
  <c r="C123" i="7" s="1"/>
  <c r="F123" i="7" s="1"/>
  <c r="B124" i="7" s="1"/>
  <c r="D118" i="2"/>
  <c r="D124" i="7" l="1"/>
  <c r="C124" i="7" s="1"/>
  <c r="F124" i="7" s="1"/>
  <c r="B125" i="7" s="1"/>
  <c r="C118" i="2"/>
  <c r="D125" i="7" l="1"/>
  <c r="C125" i="7" s="1"/>
  <c r="F125" i="7" s="1"/>
  <c r="B126" i="7" s="1"/>
  <c r="F118" i="2"/>
  <c r="B119" i="2" s="1"/>
  <c r="D126" i="7" l="1"/>
  <c r="C126" i="7" s="1"/>
  <c r="F126" i="7" s="1"/>
  <c r="B127" i="7" s="1"/>
  <c r="D119" i="2"/>
  <c r="D127" i="7" l="1"/>
  <c r="C119" i="2"/>
  <c r="C127" i="7" l="1"/>
  <c r="D128" i="7"/>
  <c r="L37" i="4" s="1"/>
  <c r="L40" i="4" s="1"/>
  <c r="F119" i="2"/>
  <c r="B120" i="2" s="1"/>
  <c r="L41" i="4" l="1"/>
  <c r="L61" i="4" s="1"/>
  <c r="C128" i="7"/>
  <c r="F127" i="7"/>
  <c r="D120" i="2"/>
  <c r="B130" i="7" l="1"/>
  <c r="L64" i="4"/>
  <c r="L42" i="4"/>
  <c r="L68" i="4" s="1"/>
  <c r="D130" i="7"/>
  <c r="C120" i="2"/>
  <c r="L70" i="4" l="1"/>
  <c r="L71" i="4" s="1"/>
  <c r="C130" i="7"/>
  <c r="F120" i="2"/>
  <c r="B121" i="2" s="1"/>
  <c r="L73" i="4" l="1"/>
  <c r="F130" i="7"/>
  <c r="B131" i="7" s="1"/>
  <c r="D121" i="2"/>
  <c r="C121" i="2" s="1"/>
  <c r="F121" i="2" s="1"/>
  <c r="B122" i="2" s="1"/>
  <c r="D131" i="7" l="1"/>
  <c r="D122" i="2"/>
  <c r="C122" i="2" s="1"/>
  <c r="F122" i="2" s="1"/>
  <c r="B123" i="2" s="1"/>
  <c r="C131" i="7" l="1"/>
  <c r="D123" i="2"/>
  <c r="C123" i="2" s="1"/>
  <c r="F123" i="2" s="1"/>
  <c r="B124" i="2" s="1"/>
  <c r="F131" i="7" l="1"/>
  <c r="B132" i="7" s="1"/>
  <c r="D124" i="2"/>
  <c r="C124" i="2" s="1"/>
  <c r="F124" i="2" s="1"/>
  <c r="B125" i="2" s="1"/>
  <c r="D132" i="7" l="1"/>
  <c r="D125" i="2"/>
  <c r="C125" i="2" s="1"/>
  <c r="F125" i="2" s="1"/>
  <c r="B126" i="2" s="1"/>
  <c r="C132" i="7" l="1"/>
  <c r="D126" i="2"/>
  <c r="C126" i="2" s="1"/>
  <c r="F126" i="2" s="1"/>
  <c r="B127" i="2" s="1"/>
  <c r="F132" i="7" l="1"/>
  <c r="B133" i="7" s="1"/>
  <c r="D127" i="2"/>
  <c r="D133" i="7" l="1"/>
  <c r="C127" i="2"/>
  <c r="D128" i="2"/>
  <c r="L37" i="1" l="1"/>
  <c r="L37" i="6"/>
  <c r="L40" i="6" s="1"/>
  <c r="C133" i="7"/>
  <c r="C128" i="2"/>
  <c r="F127" i="2"/>
  <c r="L64" i="6" s="1"/>
  <c r="L41" i="6" l="1"/>
  <c r="L61" i="6" s="1"/>
  <c r="L42" i="6"/>
  <c r="L68" i="6" s="1"/>
  <c r="F133" i="7"/>
  <c r="B134" i="7" s="1"/>
  <c r="B130" i="2"/>
  <c r="L64" i="1"/>
  <c r="D130" i="2"/>
  <c r="L70" i="6" l="1"/>
  <c r="D134" i="7"/>
  <c r="C130" i="2"/>
  <c r="L71" i="6" l="1"/>
  <c r="L73" i="6"/>
  <c r="C134" i="7"/>
  <c r="F130" i="2"/>
  <c r="B131" i="2" s="1"/>
  <c r="F134" i="7" l="1"/>
  <c r="B135" i="7" s="1"/>
  <c r="D131" i="2"/>
  <c r="D135" i="7" l="1"/>
  <c r="C135" i="7" s="1"/>
  <c r="F135" i="7" s="1"/>
  <c r="B136" i="7" s="1"/>
  <c r="C131" i="2"/>
  <c r="D136" i="7" l="1"/>
  <c r="C136" i="7" s="1"/>
  <c r="F136" i="7" s="1"/>
  <c r="B137" i="7" s="1"/>
  <c r="F131" i="2"/>
  <c r="B132" i="2" s="1"/>
  <c r="D137" i="7" l="1"/>
  <c r="C137" i="7" s="1"/>
  <c r="F137" i="7" s="1"/>
  <c r="B138" i="7" s="1"/>
  <c r="D132" i="2"/>
  <c r="D138" i="7" l="1"/>
  <c r="C138" i="7" s="1"/>
  <c r="F138" i="7" s="1"/>
  <c r="B139" i="7" s="1"/>
  <c r="C132" i="2"/>
  <c r="D139" i="7" l="1"/>
  <c r="C139" i="7" s="1"/>
  <c r="F139" i="7" s="1"/>
  <c r="B140" i="7" s="1"/>
  <c r="F132" i="2"/>
  <c r="B133" i="2" s="1"/>
  <c r="D140" i="7" l="1"/>
  <c r="C140" i="7" s="1"/>
  <c r="F140" i="7" s="1"/>
  <c r="B141" i="7" s="1"/>
  <c r="D133" i="2"/>
  <c r="D141" i="7" l="1"/>
  <c r="C133" i="2"/>
  <c r="C141" i="7" l="1"/>
  <c r="D142" i="7"/>
  <c r="M37" i="4" s="1"/>
  <c r="M40" i="4" s="1"/>
  <c r="F133" i="2"/>
  <c r="B134" i="2" s="1"/>
  <c r="M41" i="4" l="1"/>
  <c r="M61" i="4" s="1"/>
  <c r="C142" i="7"/>
  <c r="F141" i="7"/>
  <c r="M64" i="4" s="1"/>
  <c r="P64" i="4" s="1"/>
  <c r="D134" i="2"/>
  <c r="M42" i="4" l="1"/>
  <c r="M68" i="4" s="1"/>
  <c r="P68" i="4" s="1"/>
  <c r="C134" i="2"/>
  <c r="P69" i="4" l="1"/>
  <c r="M70" i="4"/>
  <c r="F134" i="2"/>
  <c r="B135" i="2" s="1"/>
  <c r="M73" i="4" l="1"/>
  <c r="M71" i="4"/>
  <c r="Q65" i="4"/>
  <c r="T65" i="4" s="1"/>
  <c r="Q64" i="4"/>
  <c r="Q67" i="4"/>
  <c r="D135" i="2"/>
  <c r="C135" i="2" s="1"/>
  <c r="F135" i="2" s="1"/>
  <c r="B136" i="2" s="1"/>
  <c r="Q71" i="4" l="1"/>
  <c r="D4" i="4" s="1"/>
  <c r="D7" i="4" s="1"/>
  <c r="T64" i="4"/>
  <c r="Q69" i="4"/>
  <c r="D136" i="2"/>
  <c r="C136" i="2" s="1"/>
  <c r="F136" i="2" s="1"/>
  <c r="B137" i="2" s="1"/>
  <c r="R67" i="4" l="1"/>
  <c r="S67" i="4"/>
  <c r="T67" i="4" s="1"/>
  <c r="T69" i="4" s="1"/>
  <c r="C108" i="4" s="1"/>
  <c r="D137" i="2"/>
  <c r="C137" i="2" s="1"/>
  <c r="F137" i="2" s="1"/>
  <c r="B138" i="2" s="1"/>
  <c r="M105" i="4" l="1"/>
  <c r="I105" i="4"/>
  <c r="E105" i="4"/>
  <c r="L105" i="4"/>
  <c r="H105" i="4"/>
  <c r="D105" i="4"/>
  <c r="K105" i="4"/>
  <c r="G105" i="4"/>
  <c r="C105" i="4"/>
  <c r="J105" i="4"/>
  <c r="F105" i="4"/>
  <c r="D108" i="4"/>
  <c r="D138" i="2"/>
  <c r="C138" i="2" s="1"/>
  <c r="F138" i="2" s="1"/>
  <c r="B139" i="2" s="1"/>
  <c r="C106" i="4" l="1"/>
  <c r="D139" i="2"/>
  <c r="C139" i="2" s="1"/>
  <c r="F139" i="2" s="1"/>
  <c r="B140" i="2" s="1"/>
  <c r="D140" i="2" l="1"/>
  <c r="C140" i="2" s="1"/>
  <c r="F140" i="2" s="1"/>
  <c r="B141" i="2" s="1"/>
  <c r="D141" i="2" l="1"/>
  <c r="C141" i="2" l="1"/>
  <c r="D142" i="2"/>
  <c r="M37" i="1" l="1"/>
  <c r="M37" i="6"/>
  <c r="M40" i="6" s="1"/>
  <c r="C142" i="2"/>
  <c r="F141" i="2"/>
  <c r="M41" i="6" l="1"/>
  <c r="M61" i="6" s="1"/>
  <c r="M64" i="1"/>
  <c r="M64" i="6"/>
  <c r="P64" i="6" s="1"/>
  <c r="P64" i="1"/>
  <c r="M42" i="6" l="1"/>
  <c r="M68" i="6" s="1"/>
  <c r="P68" i="6" s="1"/>
  <c r="P69" i="6" s="1"/>
  <c r="E22" i="3"/>
  <c r="Q65" i="6" l="1"/>
  <c r="T65" i="6" s="1"/>
  <c r="Q67" i="6"/>
  <c r="M70" i="6"/>
  <c r="Q64" i="6"/>
  <c r="E61" i="3"/>
  <c r="E48" i="3"/>
  <c r="H22" i="3"/>
  <c r="G22" i="3"/>
  <c r="F22" i="3"/>
  <c r="Q69" i="6" l="1"/>
  <c r="Q71" i="6"/>
  <c r="D4" i="6" s="1"/>
  <c r="D7" i="6" s="1"/>
  <c r="T64" i="6"/>
  <c r="M71" i="6"/>
  <c r="M73" i="6"/>
  <c r="G61" i="3"/>
  <c r="G48" i="3"/>
  <c r="F61" i="3"/>
  <c r="F48" i="3"/>
  <c r="H61" i="3"/>
  <c r="L61" i="3" s="1"/>
  <c r="H48" i="3"/>
  <c r="E57" i="3"/>
  <c r="E31" i="3"/>
  <c r="E32" i="3" s="1"/>
  <c r="S67" i="6" l="1"/>
  <c r="T67" i="6" s="1"/>
  <c r="R67" i="6"/>
  <c r="T69" i="6"/>
  <c r="C108" i="6" s="1"/>
  <c r="E39" i="3"/>
  <c r="E40" i="3" s="1"/>
  <c r="E60" i="3" s="1"/>
  <c r="G31" i="3"/>
  <c r="G32" i="3" s="1"/>
  <c r="G57" i="3"/>
  <c r="G65" i="3" s="1"/>
  <c r="H31" i="3"/>
  <c r="H32" i="3" s="1"/>
  <c r="L48" i="3"/>
  <c r="H57" i="3"/>
  <c r="H65" i="3" s="1"/>
  <c r="F31" i="3"/>
  <c r="F32" i="3" s="1"/>
  <c r="F57" i="3"/>
  <c r="F65" i="3" s="1"/>
  <c r="M105" i="6" l="1"/>
  <c r="I105" i="6"/>
  <c r="E105" i="6"/>
  <c r="L105" i="6"/>
  <c r="H105" i="6"/>
  <c r="D105" i="6"/>
  <c r="K105" i="6"/>
  <c r="G105" i="6"/>
  <c r="C105" i="6"/>
  <c r="J105" i="6"/>
  <c r="F105" i="6"/>
  <c r="D108" i="6"/>
  <c r="F39" i="3"/>
  <c r="F40" i="3" s="1"/>
  <c r="F60" i="3" s="1"/>
  <c r="G39" i="3"/>
  <c r="G40" i="3" s="1"/>
  <c r="G60" i="3" s="1"/>
  <c r="H39" i="3"/>
  <c r="H40" i="3" s="1"/>
  <c r="H60" i="3" s="1"/>
  <c r="E41" i="3"/>
  <c r="C106" i="6" l="1"/>
  <c r="F41" i="3"/>
  <c r="G41" i="3"/>
  <c r="L60" i="3"/>
  <c r="L62" i="3" s="1"/>
  <c r="L65" i="3" s="1"/>
  <c r="M69" i="3" s="1"/>
  <c r="H41" i="3"/>
  <c r="N69" i="3" l="1"/>
  <c r="O69" i="3" s="1"/>
  <c r="H93" i="3" l="1"/>
  <c r="H95" i="3" s="1"/>
  <c r="C96" i="3" s="1"/>
  <c r="C98" i="3" s="1"/>
  <c r="D62" i="1" l="1"/>
  <c r="M62" i="1"/>
  <c r="M103" i="1" s="1"/>
  <c r="D49" i="1"/>
  <c r="D32" i="1" l="1"/>
  <c r="D48" i="3"/>
  <c r="D57" i="3" s="1"/>
  <c r="C103" i="1"/>
  <c r="D61" i="3"/>
  <c r="L49" i="1"/>
  <c r="D58" i="1"/>
  <c r="L62" i="1"/>
  <c r="C100" i="1"/>
  <c r="M49" i="1"/>
  <c r="D33" i="1" l="1"/>
  <c r="D31" i="3"/>
  <c r="D32" i="3" s="1"/>
  <c r="D39" i="3" s="1"/>
  <c r="E62" i="1"/>
  <c r="D103" i="1" s="1"/>
  <c r="E49" i="1"/>
  <c r="F62" i="1"/>
  <c r="E103" i="1" s="1"/>
  <c r="F49" i="1"/>
  <c r="K62" i="1"/>
  <c r="K49" i="1"/>
  <c r="H62" i="1"/>
  <c r="H49" i="1"/>
  <c r="I62" i="1"/>
  <c r="H103" i="1" s="1"/>
  <c r="I49" i="1"/>
  <c r="K103" i="1"/>
  <c r="K100" i="1"/>
  <c r="L32" i="1"/>
  <c r="L33" i="1" s="1"/>
  <c r="L58" i="1"/>
  <c r="L100" i="1"/>
  <c r="M32" i="1"/>
  <c r="M33" i="1" s="1"/>
  <c r="M100" i="1"/>
  <c r="M58" i="1"/>
  <c r="J62" i="1"/>
  <c r="J49" i="1"/>
  <c r="G49" i="1"/>
  <c r="G62" i="1"/>
  <c r="F103" i="1" s="1"/>
  <c r="L103" i="1"/>
  <c r="D40" i="3" l="1"/>
  <c r="D41" i="3"/>
  <c r="D114" i="1"/>
  <c r="D122" i="1" s="1"/>
  <c r="D78" i="1"/>
  <c r="D80" i="1" s="1"/>
  <c r="D81" i="1" s="1"/>
  <c r="C102" i="1" s="1"/>
  <c r="C104" i="1" s="1"/>
  <c r="D40" i="1"/>
  <c r="D41" i="1" s="1"/>
  <c r="D61" i="1" s="1"/>
  <c r="D60" i="3" s="1"/>
  <c r="I103" i="1"/>
  <c r="G58" i="1"/>
  <c r="F100" i="1"/>
  <c r="G32" i="1"/>
  <c r="G33" i="1" s="1"/>
  <c r="G114" i="1" s="1"/>
  <c r="G122" i="1" s="1"/>
  <c r="M78" i="1"/>
  <c r="M40" i="1"/>
  <c r="H100" i="1"/>
  <c r="I58" i="1"/>
  <c r="I32" i="1"/>
  <c r="I33" i="1" s="1"/>
  <c r="E32" i="1"/>
  <c r="E33" i="1" s="1"/>
  <c r="E114" i="1" s="1"/>
  <c r="E122" i="1" s="1"/>
  <c r="D100" i="1"/>
  <c r="E58" i="1"/>
  <c r="J32" i="1"/>
  <c r="J33" i="1" s="1"/>
  <c r="I100" i="1"/>
  <c r="J58" i="1"/>
  <c r="D42" i="1"/>
  <c r="L78" i="1"/>
  <c r="L40" i="1"/>
  <c r="G100" i="1"/>
  <c r="H32" i="1"/>
  <c r="H33" i="1" s="1"/>
  <c r="H114" i="1" s="1"/>
  <c r="H122" i="1" s="1"/>
  <c r="H58" i="1"/>
  <c r="R53" i="1" s="1"/>
  <c r="G103" i="1"/>
  <c r="K32" i="1"/>
  <c r="K33" i="1" s="1"/>
  <c r="K58" i="1"/>
  <c r="J100" i="1"/>
  <c r="J103" i="1"/>
  <c r="E100" i="1"/>
  <c r="F58" i="1"/>
  <c r="F32" i="1"/>
  <c r="F33" i="1" s="1"/>
  <c r="F114" i="1" s="1"/>
  <c r="F122" i="1" s="1"/>
  <c r="D82" i="1" l="1"/>
  <c r="D115" i="1"/>
  <c r="D123" i="1"/>
  <c r="D68" i="1"/>
  <c r="D72" i="3" s="1"/>
  <c r="D74" i="3" s="1"/>
  <c r="H40" i="1"/>
  <c r="H78" i="1"/>
  <c r="L41" i="1"/>
  <c r="L61" i="1" s="1"/>
  <c r="I78" i="1"/>
  <c r="I40" i="1"/>
  <c r="D70" i="1"/>
  <c r="M80" i="1"/>
  <c r="M81" i="1" s="1"/>
  <c r="M82" i="1" s="1"/>
  <c r="G78" i="1"/>
  <c r="G40" i="1"/>
  <c r="F78" i="1"/>
  <c r="F40" i="1"/>
  <c r="K78" i="1"/>
  <c r="K40" i="1"/>
  <c r="L80" i="1"/>
  <c r="L81" i="1" s="1"/>
  <c r="L82" i="1" s="1"/>
  <c r="J78" i="1"/>
  <c r="J40" i="1"/>
  <c r="E40" i="1"/>
  <c r="E78" i="1"/>
  <c r="M41" i="1"/>
  <c r="M61" i="1" s="1"/>
  <c r="E72" i="3" l="1"/>
  <c r="E74" i="3" s="1"/>
  <c r="M42" i="1"/>
  <c r="E80" i="1"/>
  <c r="J80" i="1"/>
  <c r="J81" i="1" s="1"/>
  <c r="K80" i="1"/>
  <c r="K81" i="1" s="1"/>
  <c r="K82" i="1" s="1"/>
  <c r="F80" i="1"/>
  <c r="G41" i="1"/>
  <c r="G61" i="1" s="1"/>
  <c r="D71" i="1"/>
  <c r="D73" i="1"/>
  <c r="I80" i="1"/>
  <c r="I81" i="1" s="1"/>
  <c r="I82" i="1" s="1"/>
  <c r="H80" i="1"/>
  <c r="E41" i="1"/>
  <c r="E61" i="1" s="1"/>
  <c r="J41" i="1"/>
  <c r="J61" i="1" s="1"/>
  <c r="K41" i="1"/>
  <c r="K61" i="1" s="1"/>
  <c r="F41" i="1"/>
  <c r="F61" i="1" s="1"/>
  <c r="G80" i="1"/>
  <c r="M102" i="1"/>
  <c r="M104" i="1" s="1"/>
  <c r="L102" i="1"/>
  <c r="L104" i="1" s="1"/>
  <c r="I41" i="1"/>
  <c r="I61" i="1" s="1"/>
  <c r="L42" i="1"/>
  <c r="H41" i="1"/>
  <c r="H61" i="1" s="1"/>
  <c r="D77" i="3" l="1"/>
  <c r="D75" i="3"/>
  <c r="F72" i="3"/>
  <c r="F74" i="3" s="1"/>
  <c r="G81" i="1"/>
  <c r="G115" i="1" s="1"/>
  <c r="F81" i="1"/>
  <c r="F123" i="1" s="1"/>
  <c r="H81" i="1"/>
  <c r="H123" i="1" s="1"/>
  <c r="E81" i="1"/>
  <c r="D102" i="1" s="1"/>
  <c r="D104" i="1" s="1"/>
  <c r="F42" i="1"/>
  <c r="K42" i="1"/>
  <c r="I42" i="1"/>
  <c r="K102" i="1"/>
  <c r="K104" i="1" s="1"/>
  <c r="I102" i="1"/>
  <c r="I104" i="1" s="1"/>
  <c r="H42" i="1"/>
  <c r="J42" i="1"/>
  <c r="E42" i="1"/>
  <c r="H82" i="1"/>
  <c r="G42" i="1"/>
  <c r="J102" i="1"/>
  <c r="J82" i="1"/>
  <c r="H115" i="1" l="1"/>
  <c r="G123" i="1"/>
  <c r="G72" i="3"/>
  <c r="G74" i="3" s="1"/>
  <c r="E75" i="3"/>
  <c r="E77" i="3"/>
  <c r="H102" i="1"/>
  <c r="H104" i="1" s="1"/>
  <c r="G82" i="1"/>
  <c r="G102" i="1"/>
  <c r="G104" i="1" s="1"/>
  <c r="F82" i="1"/>
  <c r="E123" i="1"/>
  <c r="F115" i="1"/>
  <c r="E68" i="1"/>
  <c r="F68" i="1" s="1"/>
  <c r="J122" i="1"/>
  <c r="J123" i="1"/>
  <c r="E82" i="1"/>
  <c r="E102" i="1"/>
  <c r="E115" i="1"/>
  <c r="J115" i="1" s="1"/>
  <c r="F102" i="1"/>
  <c r="J104" i="1"/>
  <c r="H72" i="3" l="1"/>
  <c r="H74" i="3" s="1"/>
  <c r="F77" i="3"/>
  <c r="F75" i="3"/>
  <c r="E70" i="1"/>
  <c r="E73" i="1" s="1"/>
  <c r="F104" i="1"/>
  <c r="E104" i="1"/>
  <c r="J114" i="1"/>
  <c r="G68" i="1"/>
  <c r="F70" i="1"/>
  <c r="P72" i="3" l="1"/>
  <c r="P73" i="3" s="1"/>
  <c r="Q71" i="3" s="1"/>
  <c r="G77" i="3"/>
  <c r="G75" i="3"/>
  <c r="H77" i="3"/>
  <c r="H75" i="3"/>
  <c r="C107" i="1"/>
  <c r="E71" i="1"/>
  <c r="H68" i="1"/>
  <c r="G70" i="1"/>
  <c r="F71" i="1"/>
  <c r="F73" i="1"/>
  <c r="Q68" i="3" l="1"/>
  <c r="Q69" i="3"/>
  <c r="T69" i="3" s="1"/>
  <c r="I68" i="1"/>
  <c r="H70" i="1"/>
  <c r="G71" i="1"/>
  <c r="G73" i="1"/>
  <c r="T68" i="3" l="1"/>
  <c r="Q73" i="3"/>
  <c r="Q75" i="3"/>
  <c r="J68" i="1"/>
  <c r="I70" i="1"/>
  <c r="H71" i="1"/>
  <c r="H73" i="1"/>
  <c r="I71" i="1" l="1"/>
  <c r="I73" i="1"/>
  <c r="K68" i="1"/>
  <c r="J70" i="1"/>
  <c r="J71" i="1" l="1"/>
  <c r="J73" i="1"/>
  <c r="L68" i="1"/>
  <c r="K70" i="1"/>
  <c r="K71" i="1" l="1"/>
  <c r="K73" i="1"/>
  <c r="M68" i="1"/>
  <c r="L70" i="1"/>
  <c r="L71" i="1" l="1"/>
  <c r="L73" i="1"/>
  <c r="M70" i="1"/>
  <c r="P68" i="1"/>
  <c r="P69" i="1" s="1"/>
  <c r="M71" i="1" l="1"/>
  <c r="M73" i="1"/>
  <c r="Q65" i="1" l="1"/>
  <c r="T65" i="1" s="1"/>
  <c r="Q64" i="1"/>
  <c r="Q67" i="1"/>
  <c r="T64" i="1" l="1"/>
  <c r="Q69" i="1"/>
  <c r="Q71" i="1"/>
  <c r="D4" i="1" s="1"/>
  <c r="D7" i="1" l="1"/>
  <c r="D7" i="3" s="1"/>
  <c r="D4" i="3"/>
  <c r="S67" i="1"/>
  <c r="T67" i="1" s="1"/>
  <c r="T69" i="1" s="1"/>
  <c r="C108" i="1" s="1"/>
  <c r="D4" i="5" s="1"/>
  <c r="R67" i="1"/>
  <c r="S71" i="3" l="1"/>
  <c r="T71" i="3" s="1"/>
  <c r="T73" i="3" s="1"/>
  <c r="R71" i="3"/>
  <c r="L105" i="1"/>
  <c r="J105" i="1"/>
  <c r="M105" i="1"/>
  <c r="H105" i="1"/>
  <c r="I105" i="1"/>
  <c r="E105" i="1"/>
  <c r="G105" i="1"/>
  <c r="K105" i="1"/>
  <c r="F105" i="1"/>
  <c r="D105" i="1"/>
  <c r="C105" i="1"/>
  <c r="D108" i="1"/>
  <c r="C106" i="1" l="1"/>
</calcChain>
</file>

<file path=xl/sharedStrings.xml><?xml version="1.0" encoding="utf-8"?>
<sst xmlns="http://schemas.openxmlformats.org/spreadsheetml/2006/main" count="811" uniqueCount="241">
  <si>
    <t>INCOME STATEMENT</t>
  </si>
  <si>
    <t>Store sales</t>
  </si>
  <si>
    <t>Mail order service</t>
  </si>
  <si>
    <t>Special order bulk items</t>
  </si>
  <si>
    <t>Revenue</t>
  </si>
  <si>
    <t>Total Revenue</t>
  </si>
  <si>
    <t>Cost of Goods Sold</t>
  </si>
  <si>
    <t>Operating Expenses</t>
  </si>
  <si>
    <t>General and Admin</t>
  </si>
  <si>
    <t>Utilities</t>
  </si>
  <si>
    <t>Marketing</t>
  </si>
  <si>
    <t>Total Operating Expenses</t>
  </si>
  <si>
    <t>Total Health Idaho</t>
  </si>
  <si>
    <t>Taxable Income</t>
  </si>
  <si>
    <t>Taxes</t>
  </si>
  <si>
    <t>Net Income</t>
  </si>
  <si>
    <t>BALANCE SHEET</t>
  </si>
  <si>
    <t>Assets</t>
  </si>
  <si>
    <t>Extra cash</t>
  </si>
  <si>
    <t>Minimum cash</t>
  </si>
  <si>
    <t>Accounts Receivable</t>
  </si>
  <si>
    <t>Inventory</t>
  </si>
  <si>
    <t>Furniture, Fixtures &amp; Equipment</t>
  </si>
  <si>
    <t>Accum. Deprec. FF&amp;E</t>
  </si>
  <si>
    <t>Depreciation expense - FF&amp;E</t>
  </si>
  <si>
    <t>Total Assets</t>
  </si>
  <si>
    <t>Liabilities and Equity</t>
  </si>
  <si>
    <t>Taxes Payable</t>
  </si>
  <si>
    <t>Accounts Payable</t>
  </si>
  <si>
    <t>Days of Inventory</t>
  </si>
  <si>
    <t>Payable Days</t>
  </si>
  <si>
    <t>Receivable Days</t>
  </si>
  <si>
    <t>Extra Bank Loan</t>
  </si>
  <si>
    <t>Common stock</t>
  </si>
  <si>
    <t>Retained Earnings</t>
  </si>
  <si>
    <t>Total Liabilities and Equity</t>
  </si>
  <si>
    <t>DFN</t>
  </si>
  <si>
    <t>Mortgage Interest expense</t>
  </si>
  <si>
    <t>Bank Loan Interest expense</t>
  </si>
  <si>
    <t>Building</t>
  </si>
  <si>
    <t>Accum. Deprec. Building</t>
  </si>
  <si>
    <t>ASSUMPTIONS:</t>
  </si>
  <si>
    <t>Mortgage Loan</t>
  </si>
  <si>
    <t>Depreciation expense - Building</t>
  </si>
  <si>
    <t>years</t>
  </si>
  <si>
    <t>FF&amp;E depreciation is typically 7 years</t>
  </si>
  <si>
    <t>Beg Balance</t>
  </si>
  <si>
    <t>Principal</t>
  </si>
  <si>
    <t xml:space="preserve">Interest </t>
  </si>
  <si>
    <t>Payment</t>
  </si>
  <si>
    <t>End Balance</t>
  </si>
  <si>
    <t>Rate</t>
  </si>
  <si>
    <t>Per Rate</t>
  </si>
  <si>
    <t>FV</t>
  </si>
  <si>
    <t>Per</t>
  </si>
  <si>
    <t>Type</t>
  </si>
  <si>
    <t>PV</t>
  </si>
  <si>
    <t>yr 1</t>
  </si>
  <si>
    <t>TOTALS</t>
  </si>
  <si>
    <t>yr 2</t>
  </si>
  <si>
    <t>yr 3</t>
  </si>
  <si>
    <t>yr 4</t>
  </si>
  <si>
    <t>yr 5</t>
  </si>
  <si>
    <t>yr 6</t>
  </si>
  <si>
    <t>yr 7</t>
  </si>
  <si>
    <t>yr 8</t>
  </si>
  <si>
    <t>yr 9</t>
  </si>
  <si>
    <t>yr 10</t>
  </si>
  <si>
    <t>3 hrs/wk * 52 wks * $7.25/hr &amp; inflation adjustment</t>
  </si>
  <si>
    <t>4 hrs/wk * 52 wks * $14/hr &amp; inflation adjustment</t>
  </si>
  <si>
    <t>Annual salary per full-time employee</t>
  </si>
  <si>
    <t>tax rate</t>
  </si>
  <si>
    <t>Average sales/customer</t>
  </si>
  <si>
    <t>Average customers/day</t>
  </si>
  <si>
    <t>Retail Associates salaries</t>
  </si>
  <si>
    <t>Bookkeeper wages</t>
  </si>
  <si>
    <t>Cleaning wages</t>
  </si>
  <si>
    <t>Industry markup is 35%, so COGS = 65% of Revenue</t>
  </si>
  <si>
    <t>of Sales</t>
  </si>
  <si>
    <t>(COGS/365)*Inv Days</t>
  </si>
  <si>
    <t>(Sales/365)*days A/R</t>
  </si>
  <si>
    <t>(COGS/365)*Days A/P</t>
  </si>
  <si>
    <t>Use 365 days/year</t>
  </si>
  <si>
    <t>inflation</t>
  </si>
  <si>
    <t>year depreciation for FF&amp;E</t>
  </si>
  <si>
    <t>APR</t>
  </si>
  <si>
    <t>of sales</t>
  </si>
  <si>
    <t>of store sales</t>
  </si>
  <si>
    <t>Building Cost</t>
  </si>
  <si>
    <t>Land Cost</t>
  </si>
  <si>
    <t>per acre</t>
  </si>
  <si>
    <t>sf</t>
  </si>
  <si>
    <t>per sf</t>
  </si>
  <si>
    <t>Building &amp; Land</t>
  </si>
  <si>
    <t>loaned</t>
  </si>
  <si>
    <t>acre</t>
  </si>
  <si>
    <t>Cost to purchase building is $84/sf and land is $75,000/acre</t>
  </si>
  <si>
    <t>Purchase building and land with 80% mortgage loan</t>
  </si>
  <si>
    <t>FF&amp;E depreciation begins new @ purchase  (even thoughTotal Health has been in business 9 years)</t>
  </si>
  <si>
    <t>In this market (health &amp; wellness, natural foods), average wholesale inventory value is $117,662</t>
  </si>
  <si>
    <t>Average customers per day at a Health Food &amp; Supplements store is 114 (but ours is a very small town/community)</t>
  </si>
  <si>
    <t>2012 U.S. estimates show about 81% of families are purchasing organic food at least some times/year</t>
  </si>
  <si>
    <t>The Fruitland, Idaho area has only 2 competitors - one in Ontario, OR and one in Caldwell, ID</t>
  </si>
  <si>
    <t>Population of Fruitland (Payette County) is 4,723 (99% urban, 1% rural)</t>
  </si>
  <si>
    <t>Median resident age is 32.7 years</t>
  </si>
  <si>
    <t>Median household income in 2011 was $36,360</t>
  </si>
  <si>
    <t>Percentage of family households in Fruitland is 73.1%</t>
  </si>
  <si>
    <t>85.4% have high school or higher degree; 15.1% have Bachelor's degree or higher; 3.3% have Graduate/professional degrees</t>
  </si>
  <si>
    <t>6.7% unemployment</t>
  </si>
  <si>
    <t>Utilities avg cost/households in Idaho is $222/month</t>
  </si>
  <si>
    <t>Cost of living in Fruitland is 4.7% less than Idaho avg and 13.3% less than U.S. average</t>
  </si>
  <si>
    <t>Nutritionists receive avg $26.66/hr or $55,460/year in U.S.</t>
  </si>
  <si>
    <t>Retail sales annual salary in Fruitland is about $19,000</t>
  </si>
  <si>
    <t>Minimum wage in Idaho is $7.25/hr</t>
  </si>
  <si>
    <t>A Bookkeeper makes about $14/hr</t>
  </si>
  <si>
    <t>Land alone, zoned for business estimated at $75,000 to $120,000 per acre</t>
  </si>
  <si>
    <t>Insurance</t>
  </si>
  <si>
    <t>of inventory</t>
  </si>
  <si>
    <t>Land</t>
  </si>
  <si>
    <t>Commercial buildings are depreciated over 39 years</t>
  </si>
  <si>
    <t>Goodwill</t>
  </si>
  <si>
    <t>Unlevered industry beta</t>
  </si>
  <si>
    <t>T-bill rate</t>
  </si>
  <si>
    <t>S&amp;P rate</t>
  </si>
  <si>
    <t>Total L&amp;E without payables</t>
  </si>
  <si>
    <t>Re-levered beta @</t>
  </si>
  <si>
    <t>AVG</t>
  </si>
  <si>
    <t>Prop%</t>
  </si>
  <si>
    <t>Rate%</t>
  </si>
  <si>
    <t>After tax%</t>
  </si>
  <si>
    <t>Weighted%</t>
  </si>
  <si>
    <t>WACC</t>
  </si>
  <si>
    <t>CAPM Expected equity retn</t>
  </si>
  <si>
    <t>FREE CASH FLOWS</t>
  </si>
  <si>
    <t>I/S: Cash From Operations</t>
  </si>
  <si>
    <t>Operating Profit</t>
  </si>
  <si>
    <t>Less: Fake Depreciation</t>
  </si>
  <si>
    <t>= Taxable Operating Profit</t>
  </si>
  <si>
    <t>Cash from Operations</t>
  </si>
  <si>
    <t>B/S: Changes in Operations Accts</t>
  </si>
  <si>
    <t>Fixed Assets</t>
  </si>
  <si>
    <t>(-)</t>
  </si>
  <si>
    <t>Adjustment to Cost on final sale</t>
  </si>
  <si>
    <t>Taxes on Final Sale</t>
  </si>
  <si>
    <t>Cost of Building</t>
  </si>
  <si>
    <t>Cost of Land</t>
  </si>
  <si>
    <t>Working Capital Assets</t>
  </si>
  <si>
    <t>Taxes Payable on Operations ONLY</t>
  </si>
  <si>
    <t>Taxes on Operations ONLY</t>
  </si>
  <si>
    <t>Book Value</t>
  </si>
  <si>
    <t>Gain</t>
  </si>
  <si>
    <t>(+)</t>
  </si>
  <si>
    <t>TOTAL FREE CASH FLOWS</t>
  </si>
  <si>
    <t>PV of FREE CASH FLOWS</t>
  </si>
  <si>
    <t>NPV</t>
  </si>
  <si>
    <t>IRR</t>
  </si>
  <si>
    <t>D/E</t>
  </si>
  <si>
    <t>of revenue in year 1</t>
  </si>
  <si>
    <t>Average tax rate for small business is currently 30%</t>
  </si>
  <si>
    <t>Average sales/customer at Health Food &amp; Supplements stores is $42.85</t>
  </si>
  <si>
    <t>Average Industry annual sales per square foot is $244.28 (for our original 1350 sf store, that would be $329,778)</t>
  </si>
  <si>
    <t>BACKGROUND RESEARCH:</t>
  </si>
  <si>
    <t>Avg 2700 sf home on land costs about $170,000; we estimate about $300,000 total cost for land &amp; building of that size</t>
  </si>
  <si>
    <t>Fixed loans or lines of credit, 100K-250K are available at 4.10% to 5.10% APR in Fruitland.</t>
  </si>
  <si>
    <t>Days of the Year</t>
  </si>
  <si>
    <t>sale price</t>
  </si>
  <si>
    <t>secured</t>
  </si>
  <si>
    <t>unsecured</t>
  </si>
  <si>
    <t>total</t>
  </si>
  <si>
    <t>on $</t>
  </si>
  <si>
    <t>extra</t>
  </si>
  <si>
    <t>admin</t>
  </si>
  <si>
    <t>Mortgage on Buildings</t>
  </si>
  <si>
    <t>Principal Loans (Balance Sheet)</t>
  </si>
  <si>
    <t>Bankruptcy Payout</t>
  </si>
  <si>
    <t>Interest Paid (Income Statement)</t>
  </si>
  <si>
    <t>(calculated via COGS Yr1/Total Revenue Yr1)</t>
  </si>
  <si>
    <t>DEBT  RATING AND INTEREST RATES</t>
  </si>
  <si>
    <t xml:space="preserve"> ---------- MORTGAGE LOAN -------------</t>
  </si>
  <si>
    <t>MORTGAGE LOAN RATINGS DATA</t>
  </si>
  <si>
    <t>Average</t>
  </si>
  <si>
    <t>Debt Rating</t>
  </si>
  <si>
    <t>T-Bills</t>
  </si>
  <si>
    <t>Mortgage Spread</t>
  </si>
  <si>
    <t>Total Interest Rate</t>
  </si>
  <si>
    <t>EBITDA interest coverage (x)</t>
  </si>
  <si>
    <t>B</t>
  </si>
  <si>
    <t>Total debt / capital (%)</t>
  </si>
  <si>
    <t>BB</t>
  </si>
  <si>
    <t xml:space="preserve"> ----------- EXTRA LOAN ---------------------</t>
  </si>
  <si>
    <t>EXTRA LOAN RATINGS DATA</t>
  </si>
  <si>
    <t>TABLES TO USE</t>
  </si>
  <si>
    <t>Ratios and Debt Ratings</t>
  </si>
  <si>
    <t>AAA</t>
  </si>
  <si>
    <t>AA</t>
  </si>
  <si>
    <t>A</t>
  </si>
  <si>
    <t>BBB</t>
  </si>
  <si>
    <t>EBITDA Coverage</t>
  </si>
  <si>
    <t>Total Debt / Capital</t>
  </si>
  <si>
    <t>Debt Ratings and Interest Rate Spread Above T-Bills</t>
  </si>
  <si>
    <t>Mortgage Interest Rate</t>
  </si>
  <si>
    <t>Extra Loan Interest Rate</t>
  </si>
  <si>
    <t>debt remaining</t>
  </si>
  <si>
    <t>proportion</t>
  </si>
  <si>
    <t>assets</t>
  </si>
  <si>
    <t>debt</t>
  </si>
  <si>
    <t>Bankruptcy</t>
  </si>
  <si>
    <t>secured$</t>
  </si>
  <si>
    <t>debt paid off</t>
  </si>
  <si>
    <t>unsecured$</t>
  </si>
  <si>
    <t>RETURN OF DEBTHOLDERS</t>
  </si>
  <si>
    <t>Total Cash Flows</t>
  </si>
  <si>
    <t>Expected IRR</t>
  </si>
  <si>
    <t>IRR if not in bankruptcy</t>
  </si>
  <si>
    <t>Prob</t>
  </si>
  <si>
    <t>Extra Loan Spread</t>
  </si>
  <si>
    <t>years: See Mortgage sheet</t>
  </si>
  <si>
    <t>Mortgage loan at 15 years, 4.25% interest is possible, depending on credit rating</t>
  </si>
  <si>
    <t>Sales growth in U.S. for this industry was 7% in 2010; Growth estimates for this industry are (7.2%, 9+%, 14% by 2018)</t>
  </si>
  <si>
    <t>We estimate slower growth than average because of small population</t>
  </si>
  <si>
    <t>Projected growth</t>
  </si>
  <si>
    <t>YR5 Assets</t>
  </si>
  <si>
    <t>YR5 Debt</t>
  </si>
  <si>
    <t>above cost</t>
  </si>
  <si>
    <t>Medium Option</t>
  </si>
  <si>
    <t>3% growth</t>
  </si>
  <si>
    <t>.7% growth</t>
  </si>
  <si>
    <t>pv</t>
  </si>
  <si>
    <t>after expansion</t>
  </si>
  <si>
    <t>Expansion Year 5</t>
  </si>
  <si>
    <t>WACC Rate</t>
  </si>
  <si>
    <t>Expansion</t>
  </si>
  <si>
    <t>npv</t>
  </si>
  <si>
    <t>Options Analysis</t>
  </si>
  <si>
    <t>Year</t>
  </si>
  <si>
    <t>for Expansion</t>
  </si>
  <si>
    <t>Added $100,000</t>
  </si>
  <si>
    <t>Probability</t>
  </si>
  <si>
    <t>Value of Whole Project</t>
  </si>
  <si>
    <t>Bank Mortgage Table</t>
  </si>
  <si>
    <t>Bank Mortgage Including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</si>
</sst>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$-409]#,##0.00;[Red]\-[$$-409]#,##0.00"/>
    <numFmt numFmtId="166" formatCode="0.000"/>
    <numFmt numFmtId="167" formatCode="0.0%"/>
    <numFmt numFmtId="168" formatCode="_(\$* #,##0_);_(\$* \(#,##0\);_(\$* \-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1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 applyAlignment="1">
      <alignment horizontal="right"/>
    </xf>
    <xf numFmtId="10" fontId="0" fillId="0" borderId="0" xfId="0" applyNumberFormat="1"/>
    <xf numFmtId="0" fontId="0" fillId="0" borderId="0" xfId="0" applyFont="1" applyAlignment="1">
      <alignment horizontal="left" wrapText="1"/>
    </xf>
    <xf numFmtId="165" fontId="0" fillId="0" borderId="0" xfId="0" applyNumberFormat="1" applyFont="1" applyAlignment="1">
      <alignment wrapText="1"/>
    </xf>
    <xf numFmtId="165" fontId="0" fillId="0" borderId="0" xfId="0" applyNumberFormat="1"/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/>
    <xf numFmtId="44" fontId="0" fillId="0" borderId="0" xfId="1" applyFont="1"/>
    <xf numFmtId="164" fontId="0" fillId="0" borderId="0" xfId="1" applyNumberFormat="1" applyFont="1"/>
    <xf numFmtId="166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Fill="1"/>
    <xf numFmtId="164" fontId="2" fillId="0" borderId="0" xfId="0" applyNumberFormat="1" applyFont="1"/>
    <xf numFmtId="44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1" fontId="0" fillId="0" borderId="0" xfId="1" applyNumberFormat="1" applyFont="1"/>
    <xf numFmtId="0" fontId="0" fillId="0" borderId="1" xfId="0" applyBorder="1"/>
    <xf numFmtId="165" fontId="2" fillId="0" borderId="0" xfId="0" applyNumberFormat="1" applyFont="1"/>
    <xf numFmtId="9" fontId="0" fillId="0" borderId="0" xfId="2" applyFont="1"/>
    <xf numFmtId="10" fontId="0" fillId="0" borderId="0" xfId="2" applyNumberFormat="1" applyFont="1"/>
    <xf numFmtId="167" fontId="0" fillId="0" borderId="0" xfId="2" applyNumberFormat="1" applyFont="1"/>
    <xf numFmtId="164" fontId="0" fillId="0" borderId="1" xfId="0" applyNumberFormat="1" applyBorder="1"/>
    <xf numFmtId="0" fontId="0" fillId="0" borderId="0" xfId="0" quotePrefix="1"/>
    <xf numFmtId="164" fontId="0" fillId="0" borderId="0" xfId="0" applyNumberFormat="1" applyFill="1"/>
    <xf numFmtId="0" fontId="0" fillId="0" borderId="0" xfId="0" applyFill="1" applyAlignment="1">
      <alignment horizontal="right"/>
    </xf>
    <xf numFmtId="10" fontId="0" fillId="0" borderId="0" xfId="0" applyNumberFormat="1" applyFill="1"/>
    <xf numFmtId="164" fontId="0" fillId="0" borderId="0" xfId="0" applyNumberFormat="1" applyFont="1"/>
    <xf numFmtId="0" fontId="0" fillId="0" borderId="0" xfId="0" applyFill="1" applyBorder="1"/>
    <xf numFmtId="0" fontId="4" fillId="0" borderId="0" xfId="3" applyFill="1" applyBorder="1"/>
    <xf numFmtId="10" fontId="1" fillId="0" borderId="0" xfId="2" applyNumberFormat="1" applyFill="1" applyBorder="1"/>
    <xf numFmtId="168" fontId="4" fillId="0" borderId="0" xfId="3" applyNumberFormat="1" applyFill="1" applyBorder="1"/>
    <xf numFmtId="0" fontId="4" fillId="0" borderId="0" xfId="3" applyFill="1"/>
    <xf numFmtId="165" fontId="0" fillId="0" borderId="1" xfId="0" applyNumberFormat="1" applyBorder="1"/>
    <xf numFmtId="0" fontId="5" fillId="0" borderId="0" xfId="3" applyFont="1" applyBorder="1"/>
    <xf numFmtId="0" fontId="4" fillId="0" borderId="0" xfId="3" applyBorder="1"/>
    <xf numFmtId="0" fontId="0" fillId="0" borderId="0" xfId="0" applyBorder="1"/>
    <xf numFmtId="0" fontId="4" fillId="0" borderId="0" xfId="3"/>
    <xf numFmtId="43" fontId="4" fillId="0" borderId="2" xfId="3" applyNumberFormat="1" applyBorder="1"/>
    <xf numFmtId="43" fontId="4" fillId="0" borderId="0" xfId="3" applyNumberFormat="1" applyBorder="1"/>
    <xf numFmtId="0" fontId="4" fillId="0" borderId="2" xfId="3" applyBorder="1"/>
    <xf numFmtId="10" fontId="4" fillId="0" borderId="0" xfId="3" applyNumberFormat="1" applyBorder="1"/>
    <xf numFmtId="10" fontId="4" fillId="0" borderId="2" xfId="3" applyNumberFormat="1" applyBorder="1"/>
    <xf numFmtId="167" fontId="1" fillId="0" borderId="2" xfId="2" applyNumberFormat="1" applyBorder="1"/>
    <xf numFmtId="167" fontId="1" fillId="0" borderId="0" xfId="2" applyNumberFormat="1" applyBorder="1"/>
    <xf numFmtId="167" fontId="0" fillId="0" borderId="2" xfId="2" applyNumberFormat="1" applyFont="1" applyBorder="1"/>
    <xf numFmtId="10" fontId="1" fillId="0" borderId="0" xfId="2" applyNumberFormat="1" applyBorder="1"/>
    <xf numFmtId="10" fontId="1" fillId="0" borderId="2" xfId="2" applyNumberFormat="1" applyBorder="1"/>
    <xf numFmtId="9" fontId="1" fillId="0" borderId="0" xfId="2"/>
    <xf numFmtId="10" fontId="4" fillId="0" borderId="0" xfId="3" applyNumberFormat="1"/>
    <xf numFmtId="10" fontId="5" fillId="0" borderId="0" xfId="3" applyNumberFormat="1" applyFont="1"/>
    <xf numFmtId="10" fontId="5" fillId="0" borderId="2" xfId="3" applyNumberFormat="1" applyFont="1" applyBorder="1"/>
    <xf numFmtId="10" fontId="5" fillId="0" borderId="0" xfId="3" applyNumberFormat="1" applyFont="1" applyBorder="1"/>
    <xf numFmtId="0" fontId="5" fillId="0" borderId="3" xfId="5" applyFont="1" applyFill="1" applyBorder="1"/>
    <xf numFmtId="0" fontId="4" fillId="0" borderId="4" xfId="5" applyFill="1" applyBorder="1"/>
    <xf numFmtId="0" fontId="0" fillId="0" borderId="4" xfId="0" applyBorder="1"/>
    <xf numFmtId="0" fontId="0" fillId="0" borderId="4" xfId="0" applyFill="1" applyBorder="1"/>
    <xf numFmtId="0" fontId="0" fillId="0" borderId="5" xfId="0" applyFill="1" applyBorder="1"/>
    <xf numFmtId="0" fontId="4" fillId="0" borderId="6" xfId="5" applyFill="1" applyBorder="1"/>
    <xf numFmtId="0" fontId="4" fillId="0" borderId="0" xfId="5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7" xfId="5" applyFill="1" applyBorder="1" applyAlignment="1">
      <alignment horizontal="center"/>
    </xf>
    <xf numFmtId="2" fontId="1" fillId="0" borderId="0" xfId="4" applyNumberFormat="1" applyBorder="1" applyAlignment="1">
      <alignment horizontal="center"/>
    </xf>
    <xf numFmtId="2" fontId="1" fillId="0" borderId="7" xfId="4" applyNumberFormat="1" applyBorder="1" applyAlignment="1">
      <alignment horizontal="center"/>
    </xf>
    <xf numFmtId="167" fontId="1" fillId="0" borderId="0" xfId="2" applyNumberFormat="1" applyBorder="1" applyAlignment="1">
      <alignment horizontal="center"/>
    </xf>
    <xf numFmtId="167" fontId="1" fillId="0" borderId="7" xfId="2" applyNumberFormat="1" applyBorder="1" applyAlignment="1">
      <alignment horizontal="center"/>
    </xf>
    <xf numFmtId="0" fontId="0" fillId="0" borderId="8" xfId="0" applyFill="1" applyBorder="1"/>
    <xf numFmtId="43" fontId="1" fillId="0" borderId="1" xfId="4" applyBorder="1" applyAlignment="1">
      <alignment horizontal="center"/>
    </xf>
    <xf numFmtId="43" fontId="1" fillId="0" borderId="9" xfId="4" applyBorder="1" applyAlignment="1">
      <alignment horizontal="center"/>
    </xf>
    <xf numFmtId="0" fontId="4" fillId="0" borderId="4" xfId="5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4" xfId="3" applyBorder="1"/>
    <xf numFmtId="0" fontId="0" fillId="0" borderId="5" xfId="0" applyBorder="1"/>
    <xf numFmtId="0" fontId="0" fillId="0" borderId="6" xfId="0" applyFill="1" applyBorder="1"/>
    <xf numFmtId="10" fontId="4" fillId="0" borderId="0" xfId="5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4" fillId="0" borderId="8" xfId="5" applyFill="1" applyBorder="1"/>
    <xf numFmtId="0" fontId="4" fillId="0" borderId="1" xfId="5" applyFill="1" applyBorder="1"/>
    <xf numFmtId="0" fontId="0" fillId="0" borderId="1" xfId="0" applyFill="1" applyBorder="1"/>
    <xf numFmtId="0" fontId="4" fillId="0" borderId="1" xfId="3" applyBorder="1"/>
    <xf numFmtId="0" fontId="0" fillId="0" borderId="9" xfId="0" applyBorder="1"/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right"/>
    </xf>
    <xf numFmtId="9" fontId="1" fillId="0" borderId="0" xfId="2" applyFont="1" applyAlignment="1">
      <alignment horizontal="right"/>
    </xf>
    <xf numFmtId="167" fontId="0" fillId="0" borderId="0" xfId="2" applyNumberFormat="1" applyFont="1" applyFill="1"/>
    <xf numFmtId="10" fontId="0" fillId="0" borderId="1" xfId="0" applyNumberFormat="1" applyFill="1" applyBorder="1"/>
    <xf numFmtId="10" fontId="0" fillId="0" borderId="1" xfId="0" applyNumberFormat="1" applyBorder="1"/>
    <xf numFmtId="10" fontId="2" fillId="0" borderId="0" xfId="0" applyNumberFormat="1" applyFont="1" applyFill="1"/>
    <xf numFmtId="44" fontId="0" fillId="0" borderId="0" xfId="1" applyNumberFormat="1" applyFont="1"/>
    <xf numFmtId="10" fontId="6" fillId="0" borderId="0" xfId="3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9" fontId="0" fillId="2" borderId="0" xfId="2" applyFont="1" applyFill="1"/>
    <xf numFmtId="0" fontId="0" fillId="2" borderId="0" xfId="0" applyFill="1" applyAlignment="1">
      <alignment horizontal="center"/>
    </xf>
    <xf numFmtId="165" fontId="0" fillId="0" borderId="0" xfId="0" applyNumberFormat="1" applyFont="1" applyFill="1" applyAlignment="1">
      <alignment wrapText="1"/>
    </xf>
    <xf numFmtId="169" fontId="0" fillId="0" borderId="0" xfId="4" applyNumberFormat="1" applyFont="1"/>
    <xf numFmtId="169" fontId="0" fillId="0" borderId="0" xfId="0" applyNumberFormat="1"/>
    <xf numFmtId="2" fontId="0" fillId="0" borderId="0" xfId="0" applyNumberFormat="1" applyFill="1"/>
    <xf numFmtId="0" fontId="2" fillId="0" borderId="0" xfId="0" applyFont="1" applyFill="1" applyAlignment="1">
      <alignment horizontal="right"/>
    </xf>
    <xf numFmtId="10" fontId="0" fillId="0" borderId="0" xfId="2" applyNumberFormat="1" applyFont="1" applyFill="1"/>
    <xf numFmtId="0" fontId="2" fillId="0" borderId="13" xfId="0" applyFont="1" applyBorder="1"/>
    <xf numFmtId="0" fontId="2" fillId="0" borderId="14" xfId="0" applyFont="1" applyBorder="1"/>
    <xf numFmtId="10" fontId="2" fillId="0" borderId="15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10" fontId="2" fillId="0" borderId="18" xfId="0" applyNumberFormat="1" applyFont="1" applyFill="1" applyBorder="1"/>
    <xf numFmtId="0" fontId="2" fillId="4" borderId="0" xfId="0" applyFont="1" applyFill="1"/>
    <xf numFmtId="0" fontId="0" fillId="4" borderId="0" xfId="0" applyFill="1"/>
    <xf numFmtId="0" fontId="2" fillId="4" borderId="0" xfId="0" applyFont="1" applyFill="1" applyBorder="1"/>
    <xf numFmtId="164" fontId="0" fillId="4" borderId="0" xfId="0" applyNumberFormat="1" applyFill="1"/>
    <xf numFmtId="10" fontId="0" fillId="4" borderId="0" xfId="2" applyNumberFormat="1" applyFont="1" applyFill="1"/>
    <xf numFmtId="10" fontId="0" fillId="4" borderId="0" xfId="0" applyNumberFormat="1" applyFill="1"/>
    <xf numFmtId="0" fontId="7" fillId="0" borderId="0" xfId="0" applyFont="1"/>
    <xf numFmtId="0" fontId="9" fillId="0" borderId="0" xfId="0" applyFont="1"/>
    <xf numFmtId="0" fontId="5" fillId="4" borderId="0" xfId="3" applyFont="1" applyFill="1" applyBorder="1"/>
    <xf numFmtId="0" fontId="4" fillId="4" borderId="0" xfId="3" applyFill="1" applyBorder="1"/>
    <xf numFmtId="0" fontId="3" fillId="4" borderId="0" xfId="0" applyFont="1" applyFill="1" applyAlignment="1">
      <alignment horizontal="right"/>
    </xf>
    <xf numFmtId="165" fontId="3" fillId="4" borderId="0" xfId="0" applyNumberFormat="1" applyFont="1" applyFill="1" applyAlignment="1">
      <alignment wrapText="1"/>
    </xf>
    <xf numFmtId="164" fontId="2" fillId="0" borderId="0" xfId="0" applyNumberFormat="1" applyFont="1" applyFill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7" xfId="0" applyNumberFormat="1" applyFill="1" applyBorder="1"/>
    <xf numFmtId="0" fontId="2" fillId="0" borderId="8" xfId="0" applyFont="1" applyFill="1" applyBorder="1" applyAlignment="1">
      <alignment horizontal="right"/>
    </xf>
    <xf numFmtId="164" fontId="0" fillId="0" borderId="1" xfId="0" applyNumberFormat="1" applyFill="1" applyBorder="1"/>
    <xf numFmtId="164" fontId="0" fillId="0" borderId="9" xfId="0" applyNumberFormat="1" applyFill="1" applyBorder="1"/>
    <xf numFmtId="164" fontId="0" fillId="0" borderId="0" xfId="0" applyNumberFormat="1" applyBorder="1"/>
    <xf numFmtId="9" fontId="0" fillId="0" borderId="3" xfId="2" applyFont="1" applyFill="1" applyBorder="1"/>
    <xf numFmtId="164" fontId="0" fillId="0" borderId="4" xfId="0" applyNumberFormat="1" applyFill="1" applyBorder="1"/>
    <xf numFmtId="9" fontId="0" fillId="0" borderId="6" xfId="2" applyFont="1" applyFill="1" applyBorder="1"/>
    <xf numFmtId="0" fontId="0" fillId="0" borderId="7" xfId="0" applyFill="1" applyBorder="1"/>
    <xf numFmtId="9" fontId="2" fillId="0" borderId="6" xfId="2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168" fontId="1" fillId="0" borderId="6" xfId="1" applyNumberFormat="1" applyFill="1" applyBorder="1"/>
    <xf numFmtId="168" fontId="1" fillId="0" borderId="0" xfId="2" applyNumberFormat="1" applyFill="1" applyBorder="1"/>
    <xf numFmtId="168" fontId="1" fillId="0" borderId="0" xfId="1" applyNumberFormat="1" applyFill="1" applyBorder="1"/>
    <xf numFmtId="44" fontId="1" fillId="0" borderId="7" xfId="1" applyFill="1" applyBorder="1"/>
    <xf numFmtId="168" fontId="1" fillId="0" borderId="1" xfId="2" applyNumberFormat="1" applyFill="1" applyBorder="1"/>
    <xf numFmtId="164" fontId="0" fillId="0" borderId="8" xfId="0" applyNumberFormat="1" applyFill="1" applyBorder="1"/>
    <xf numFmtId="168" fontId="4" fillId="0" borderId="1" xfId="3" applyNumberFormat="1" applyFill="1" applyBorder="1"/>
    <xf numFmtId="0" fontId="4" fillId="0" borderId="1" xfId="3" applyFill="1" applyBorder="1"/>
    <xf numFmtId="10" fontId="1" fillId="0" borderId="9" xfId="2" applyNumberFormat="1" applyFill="1" applyBorder="1"/>
    <xf numFmtId="0" fontId="2" fillId="0" borderId="19" xfId="0" applyFont="1" applyFill="1" applyBorder="1" applyAlignment="1">
      <alignment horizontal="right"/>
    </xf>
    <xf numFmtId="10" fontId="0" fillId="0" borderId="20" xfId="2" applyNumberFormat="1" applyFont="1" applyFill="1" applyBorder="1"/>
    <xf numFmtId="165" fontId="0" fillId="0" borderId="10" xfId="0" applyNumberFormat="1" applyFont="1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6">
    <cellStyle name="Comma" xfId="4" builtinId="3"/>
    <cellStyle name="Currency" xfId="1" builtinId="4"/>
    <cellStyle name="Excel Built-in Normal" xfId="3"/>
    <cellStyle name="Excel Built-in Normal 1" xfId="5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73"/>
  <sheetViews>
    <sheetView tabSelected="1" topLeftCell="A109" zoomScaleNormal="100" workbookViewId="0">
      <selection activeCell="D71" sqref="D71"/>
    </sheetView>
  </sheetViews>
  <sheetFormatPr defaultRowHeight="15" x14ac:dyDescent="0.25"/>
  <cols>
    <col min="1" max="1" width="4" customWidth="1"/>
    <col min="2" max="2" width="31.140625" customWidth="1"/>
    <col min="3" max="3" width="13.7109375" customWidth="1"/>
    <col min="4" max="4" width="12.5703125" bestFit="1" customWidth="1"/>
    <col min="5" max="5" width="14.42578125" customWidth="1"/>
    <col min="6" max="6" width="11.7109375" customWidth="1"/>
    <col min="7" max="7" width="12" customWidth="1"/>
    <col min="8" max="8" width="11.42578125" customWidth="1"/>
    <col min="9" max="10" width="11.28515625" customWidth="1"/>
    <col min="11" max="11" width="11.5703125" customWidth="1"/>
    <col min="12" max="12" width="11.7109375" customWidth="1"/>
    <col min="13" max="13" width="14" customWidth="1"/>
    <col min="14" max="14" width="8.85546875" customWidth="1"/>
    <col min="15" max="15" width="12" customWidth="1"/>
    <col min="16" max="16" width="12.7109375" bestFit="1" customWidth="1"/>
    <col min="17" max="17" width="9.5703125" bestFit="1" customWidth="1"/>
    <col min="18" max="18" width="13" customWidth="1"/>
    <col min="19" max="19" width="10.7109375" customWidth="1"/>
    <col min="20" max="20" width="11.85546875" customWidth="1"/>
  </cols>
  <sheetData>
    <row r="1" spans="1:17" x14ac:dyDescent="0.25">
      <c r="A1" s="160" t="s">
        <v>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7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7" x14ac:dyDescent="0.25">
      <c r="A3" s="1"/>
      <c r="B3" s="20" t="s">
        <v>121</v>
      </c>
      <c r="C3" s="20"/>
      <c r="D3" s="20">
        <v>0.56999999999999995</v>
      </c>
      <c r="E3" s="20"/>
    </row>
    <row r="4" spans="1:17" x14ac:dyDescent="0.25">
      <c r="A4" s="1"/>
      <c r="B4" s="20" t="s">
        <v>125</v>
      </c>
      <c r="C4" s="20"/>
      <c r="D4" s="108">
        <f>(1+((1-$O$41)*$Q$71))*D3</f>
        <v>0.91471090787253806</v>
      </c>
      <c r="E4" s="108"/>
    </row>
    <row r="5" spans="1:17" x14ac:dyDescent="0.25">
      <c r="A5" s="1"/>
      <c r="B5" s="20" t="s">
        <v>122</v>
      </c>
      <c r="C5" s="20"/>
      <c r="D5" s="35">
        <v>1.5299999999999999E-2</v>
      </c>
      <c r="E5" s="20"/>
    </row>
    <row r="6" spans="1:17" x14ac:dyDescent="0.25">
      <c r="A6" s="1"/>
      <c r="B6" s="20" t="s">
        <v>123</v>
      </c>
      <c r="C6" s="20"/>
      <c r="D6" s="35">
        <v>0.13</v>
      </c>
      <c r="E6" s="20"/>
    </row>
    <row r="7" spans="1:17" x14ac:dyDescent="0.25">
      <c r="A7" s="1"/>
      <c r="B7" s="20" t="s">
        <v>132</v>
      </c>
      <c r="C7" s="20"/>
      <c r="D7" s="94">
        <f>(D4*(D6-D5))+$D$5</f>
        <v>0.12021734113298012</v>
      </c>
      <c r="E7" s="94"/>
    </row>
    <row r="8" spans="1:17" x14ac:dyDescent="0.25">
      <c r="A8" s="1"/>
      <c r="B8" s="20"/>
      <c r="C8" s="20"/>
      <c r="D8" s="94"/>
      <c r="E8" s="94"/>
    </row>
    <row r="9" spans="1:17" x14ac:dyDescent="0.25">
      <c r="D9" s="1">
        <v>2015</v>
      </c>
      <c r="E9" s="1">
        <v>2016</v>
      </c>
      <c r="F9" s="1">
        <v>2017</v>
      </c>
      <c r="G9" s="1">
        <v>2018</v>
      </c>
      <c r="H9" s="1">
        <v>2019</v>
      </c>
      <c r="I9" s="1">
        <v>2020</v>
      </c>
      <c r="J9" s="1">
        <v>2021</v>
      </c>
      <c r="K9" s="1">
        <v>2022</v>
      </c>
      <c r="L9" s="1">
        <v>2023</v>
      </c>
      <c r="M9" s="1">
        <v>2024</v>
      </c>
      <c r="N9" s="1"/>
    </row>
    <row r="10" spans="1:17" x14ac:dyDescent="0.25">
      <c r="B10" s="20" t="s">
        <v>29</v>
      </c>
      <c r="D10" s="19">
        <f>118</f>
        <v>118</v>
      </c>
      <c r="E10" s="19">
        <f>118</f>
        <v>118</v>
      </c>
      <c r="F10" s="19">
        <f>118</f>
        <v>118</v>
      </c>
      <c r="G10" s="19">
        <f>118</f>
        <v>118</v>
      </c>
      <c r="H10" s="19">
        <f>118</f>
        <v>118</v>
      </c>
      <c r="I10" s="19">
        <f>118</f>
        <v>118</v>
      </c>
      <c r="J10" s="19">
        <f>118</f>
        <v>118</v>
      </c>
      <c r="K10" s="19">
        <f>118</f>
        <v>118</v>
      </c>
      <c r="L10" s="19">
        <f>118</f>
        <v>118</v>
      </c>
      <c r="M10" s="19">
        <f>118</f>
        <v>118</v>
      </c>
      <c r="N10" s="19"/>
    </row>
    <row r="11" spans="1:17" x14ac:dyDescent="0.25">
      <c r="B11" s="20" t="s">
        <v>30</v>
      </c>
      <c r="D11">
        <v>28</v>
      </c>
      <c r="E11">
        <v>28</v>
      </c>
      <c r="F11">
        <v>28</v>
      </c>
      <c r="G11">
        <v>28</v>
      </c>
      <c r="H11">
        <v>28</v>
      </c>
      <c r="I11">
        <v>28</v>
      </c>
      <c r="J11">
        <v>28</v>
      </c>
      <c r="K11">
        <v>28</v>
      </c>
      <c r="L11">
        <v>28</v>
      </c>
      <c r="M11">
        <v>28</v>
      </c>
    </row>
    <row r="12" spans="1:17" x14ac:dyDescent="0.25">
      <c r="B12" s="20" t="s">
        <v>31</v>
      </c>
      <c r="D12">
        <v>15</v>
      </c>
      <c r="E12">
        <v>15</v>
      </c>
      <c r="F12">
        <v>15</v>
      </c>
      <c r="G12">
        <v>15</v>
      </c>
      <c r="H12">
        <v>15</v>
      </c>
      <c r="I12">
        <v>15</v>
      </c>
      <c r="J12">
        <v>15</v>
      </c>
      <c r="K12">
        <v>15</v>
      </c>
      <c r="L12">
        <v>15</v>
      </c>
      <c r="M12">
        <v>15</v>
      </c>
    </row>
    <row r="13" spans="1:17" x14ac:dyDescent="0.25">
      <c r="B13" s="20" t="s">
        <v>72</v>
      </c>
      <c r="D13" s="15">
        <v>35</v>
      </c>
      <c r="O13" s="18">
        <f>4723*0.81*1.5</f>
        <v>5738.4449999999997</v>
      </c>
      <c r="P13" s="18">
        <f>O13/52</f>
        <v>110.35471153846153</v>
      </c>
      <c r="Q13" s="18">
        <f>P13/6</f>
        <v>18.392451923076923</v>
      </c>
    </row>
    <row r="14" spans="1:17" x14ac:dyDescent="0.25">
      <c r="B14" s="20" t="s">
        <v>73</v>
      </c>
      <c r="D14">
        <v>18</v>
      </c>
    </row>
    <row r="15" spans="1:17" x14ac:dyDescent="0.25">
      <c r="B15" s="20" t="s">
        <v>164</v>
      </c>
      <c r="D15">
        <v>365</v>
      </c>
    </row>
    <row r="16" spans="1:17" x14ac:dyDescent="0.25">
      <c r="A16" s="117" t="s">
        <v>0</v>
      </c>
      <c r="B16" s="118"/>
    </row>
    <row r="17" spans="1:16" x14ac:dyDescent="0.25">
      <c r="A17" s="1" t="s">
        <v>4</v>
      </c>
    </row>
    <row r="18" spans="1:16" x14ac:dyDescent="0.25">
      <c r="B18" t="s">
        <v>1</v>
      </c>
      <c r="D18" s="3">
        <f>D13*D14*(365-52)</f>
        <v>197190</v>
      </c>
      <c r="E18" s="3">
        <f>D18*$O$18</f>
        <v>203105.7</v>
      </c>
      <c r="F18" s="3">
        <f>E18*$O$18</f>
        <v>209198.87100000001</v>
      </c>
      <c r="G18" s="3">
        <f t="shared" ref="G18:M18" si="0">F18*$O$18</f>
        <v>215474.83713000003</v>
      </c>
      <c r="H18" s="3">
        <f t="shared" si="0"/>
        <v>221939.08224390005</v>
      </c>
      <c r="I18" s="3">
        <f t="shared" si="0"/>
        <v>228597.25471121704</v>
      </c>
      <c r="J18" s="3">
        <f t="shared" si="0"/>
        <v>235455.17235255355</v>
      </c>
      <c r="K18" s="3">
        <f t="shared" si="0"/>
        <v>242518.82752313017</v>
      </c>
      <c r="L18" s="3">
        <f t="shared" si="0"/>
        <v>249794.39234882407</v>
      </c>
      <c r="M18" s="3">
        <f t="shared" si="0"/>
        <v>257288.22411928879</v>
      </c>
      <c r="N18" s="3"/>
      <c r="O18">
        <v>1.03</v>
      </c>
      <c r="P18" t="s">
        <v>220</v>
      </c>
    </row>
    <row r="19" spans="1:16" x14ac:dyDescent="0.25">
      <c r="B19" t="s">
        <v>2</v>
      </c>
      <c r="D19" s="3">
        <f t="shared" ref="D19:M19" si="1">D18*$O$19</f>
        <v>1971.9</v>
      </c>
      <c r="E19" s="3">
        <f t="shared" si="1"/>
        <v>2031.0570000000002</v>
      </c>
      <c r="F19" s="3">
        <f t="shared" si="1"/>
        <v>2091.9887100000001</v>
      </c>
      <c r="G19" s="3">
        <f t="shared" si="1"/>
        <v>2154.7483713000001</v>
      </c>
      <c r="H19" s="3">
        <f t="shared" si="1"/>
        <v>2219.3908224390007</v>
      </c>
      <c r="I19" s="3">
        <f t="shared" si="1"/>
        <v>2285.9725471121706</v>
      </c>
      <c r="J19" s="3">
        <f t="shared" si="1"/>
        <v>2354.5517235255356</v>
      </c>
      <c r="K19" s="3">
        <f t="shared" si="1"/>
        <v>2425.1882752313018</v>
      </c>
      <c r="L19" s="3">
        <f t="shared" si="1"/>
        <v>2497.9439234882407</v>
      </c>
      <c r="M19" s="3">
        <f t="shared" si="1"/>
        <v>2572.8822411928882</v>
      </c>
      <c r="N19" s="3"/>
      <c r="O19">
        <v>0.01</v>
      </c>
      <c r="P19" t="s">
        <v>87</v>
      </c>
    </row>
    <row r="20" spans="1:16" x14ac:dyDescent="0.25">
      <c r="B20" t="s">
        <v>3</v>
      </c>
      <c r="D20" s="3">
        <f t="shared" ref="D20:M20" si="2">D18*$O$20</f>
        <v>985.95</v>
      </c>
      <c r="E20" s="3">
        <f t="shared" si="2"/>
        <v>1015.5285000000001</v>
      </c>
      <c r="F20" s="3">
        <f t="shared" si="2"/>
        <v>1045.994355</v>
      </c>
      <c r="G20" s="3">
        <f t="shared" si="2"/>
        <v>1077.3741856500001</v>
      </c>
      <c r="H20" s="3">
        <f t="shared" si="2"/>
        <v>1109.6954112195003</v>
      </c>
      <c r="I20" s="3">
        <f t="shared" si="2"/>
        <v>1142.9862735560853</v>
      </c>
      <c r="J20" s="3">
        <f t="shared" si="2"/>
        <v>1177.2758617627678</v>
      </c>
      <c r="K20" s="3">
        <f t="shared" si="2"/>
        <v>1212.5941376156509</v>
      </c>
      <c r="L20" s="3">
        <f t="shared" si="2"/>
        <v>1248.9719617441203</v>
      </c>
      <c r="M20" s="3">
        <f t="shared" si="2"/>
        <v>1286.4411205964441</v>
      </c>
      <c r="N20" s="3"/>
      <c r="O20">
        <v>5.0000000000000001E-3</v>
      </c>
      <c r="P20" t="s">
        <v>87</v>
      </c>
    </row>
    <row r="21" spans="1:16" x14ac:dyDescent="0.25">
      <c r="B21" s="1" t="s">
        <v>5</v>
      </c>
      <c r="C21" s="1"/>
      <c r="D21" s="21">
        <f>SUM(D18:D20)</f>
        <v>200147.85</v>
      </c>
      <c r="E21" s="21">
        <f t="shared" ref="E21:M21" si="3">SUM(E18:E20)</f>
        <v>206152.2855</v>
      </c>
      <c r="F21" s="21">
        <f t="shared" si="3"/>
        <v>212336.85406500002</v>
      </c>
      <c r="G21" s="21">
        <f t="shared" si="3"/>
        <v>218706.95968695002</v>
      </c>
      <c r="H21" s="21">
        <f t="shared" si="3"/>
        <v>225268.16847755853</v>
      </c>
      <c r="I21" s="21">
        <f t="shared" si="3"/>
        <v>232026.2135318853</v>
      </c>
      <c r="J21" s="21">
        <f t="shared" si="3"/>
        <v>238986.99993784184</v>
      </c>
      <c r="K21" s="21">
        <f t="shared" si="3"/>
        <v>246156.60993597712</v>
      </c>
      <c r="L21" s="21">
        <f t="shared" si="3"/>
        <v>253541.30823405643</v>
      </c>
      <c r="M21" s="21">
        <f t="shared" si="3"/>
        <v>261147.54748107813</v>
      </c>
      <c r="N21" s="21"/>
    </row>
    <row r="22" spans="1:16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x14ac:dyDescent="0.25">
      <c r="A23" t="s">
        <v>6</v>
      </c>
      <c r="B23" s="20"/>
      <c r="D23" s="3">
        <f>D21*$O$23</f>
        <v>130096.10250000001</v>
      </c>
      <c r="E23" s="3">
        <f t="shared" ref="E23:M23" si="4">E21*$O$23</f>
        <v>133998.985575</v>
      </c>
      <c r="F23" s="3">
        <f t="shared" si="4"/>
        <v>138018.95514225002</v>
      </c>
      <c r="G23" s="3">
        <f t="shared" si="4"/>
        <v>142159.52379651752</v>
      </c>
      <c r="H23" s="3">
        <f t="shared" si="4"/>
        <v>146424.30951041306</v>
      </c>
      <c r="I23" s="3">
        <f t="shared" si="4"/>
        <v>150817.03879572544</v>
      </c>
      <c r="J23" s="3">
        <f t="shared" si="4"/>
        <v>155341.54995959721</v>
      </c>
      <c r="K23" s="3">
        <f t="shared" si="4"/>
        <v>160001.79645838513</v>
      </c>
      <c r="L23" s="3">
        <f t="shared" si="4"/>
        <v>164801.85035213668</v>
      </c>
      <c r="M23" s="3">
        <f t="shared" si="4"/>
        <v>169745.90586270078</v>
      </c>
      <c r="N23" s="3"/>
      <c r="O23" s="18">
        <v>0.65</v>
      </c>
      <c r="P23" t="s">
        <v>157</v>
      </c>
    </row>
    <row r="24" spans="1:16" x14ac:dyDescent="0.2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6" x14ac:dyDescent="0.25">
      <c r="A25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6" x14ac:dyDescent="0.25">
      <c r="B26" t="s">
        <v>74</v>
      </c>
      <c r="D26" s="3">
        <f>1*$O$26</f>
        <v>19000</v>
      </c>
      <c r="E26" s="3">
        <f t="shared" ref="E26:M26" si="5">1*$O$26</f>
        <v>19000</v>
      </c>
      <c r="F26" s="3">
        <f t="shared" si="5"/>
        <v>19000</v>
      </c>
      <c r="G26" s="3">
        <f t="shared" si="5"/>
        <v>19000</v>
      </c>
      <c r="H26" s="3">
        <f t="shared" si="5"/>
        <v>19000</v>
      </c>
      <c r="I26" s="3">
        <f t="shared" si="5"/>
        <v>19000</v>
      </c>
      <c r="J26" s="3">
        <f t="shared" si="5"/>
        <v>19000</v>
      </c>
      <c r="K26" s="3">
        <f t="shared" si="5"/>
        <v>19000</v>
      </c>
      <c r="L26" s="3">
        <f t="shared" si="5"/>
        <v>19000</v>
      </c>
      <c r="M26" s="3">
        <f t="shared" si="5"/>
        <v>19000</v>
      </c>
      <c r="N26" s="3"/>
      <c r="O26" s="16">
        <v>19000</v>
      </c>
      <c r="P26" t="s">
        <v>70</v>
      </c>
    </row>
    <row r="27" spans="1:16" x14ac:dyDescent="0.25">
      <c r="B27" t="s">
        <v>75</v>
      </c>
      <c r="D27" s="3">
        <f>4*52*14</f>
        <v>2912</v>
      </c>
      <c r="E27" s="3">
        <f t="shared" ref="E27:M27" si="6">D27*$O$27</f>
        <v>2970.2400000000002</v>
      </c>
      <c r="F27" s="3">
        <f t="shared" si="6"/>
        <v>3029.6448000000005</v>
      </c>
      <c r="G27" s="3">
        <f t="shared" si="6"/>
        <v>3090.2376960000006</v>
      </c>
      <c r="H27" s="3">
        <f t="shared" si="6"/>
        <v>3152.0424499200008</v>
      </c>
      <c r="I27" s="3">
        <f t="shared" si="6"/>
        <v>3215.0832989184009</v>
      </c>
      <c r="J27" s="3">
        <f t="shared" si="6"/>
        <v>3279.3849648967689</v>
      </c>
      <c r="K27" s="3">
        <f t="shared" si="6"/>
        <v>3344.9726641947045</v>
      </c>
      <c r="L27" s="3">
        <f t="shared" si="6"/>
        <v>3411.8721174785987</v>
      </c>
      <c r="M27" s="3">
        <f t="shared" si="6"/>
        <v>3480.1095598281709</v>
      </c>
      <c r="N27" s="3"/>
      <c r="O27">
        <v>1.02</v>
      </c>
      <c r="P27" t="s">
        <v>69</v>
      </c>
    </row>
    <row r="28" spans="1:16" x14ac:dyDescent="0.25">
      <c r="B28" t="s">
        <v>76</v>
      </c>
      <c r="D28" s="3">
        <f>3*52*7.25</f>
        <v>1131</v>
      </c>
      <c r="E28" s="3">
        <f t="shared" ref="E28:M28" si="7">D28*$O$28</f>
        <v>1153.6200000000001</v>
      </c>
      <c r="F28" s="3">
        <f t="shared" si="7"/>
        <v>1176.6924000000001</v>
      </c>
      <c r="G28" s="3">
        <f t="shared" si="7"/>
        <v>1200.2262480000002</v>
      </c>
      <c r="H28" s="3">
        <f t="shared" si="7"/>
        <v>1224.2307729600002</v>
      </c>
      <c r="I28" s="3">
        <f t="shared" si="7"/>
        <v>1248.7153884192003</v>
      </c>
      <c r="J28" s="3">
        <f t="shared" si="7"/>
        <v>1273.6896961875843</v>
      </c>
      <c r="K28" s="3">
        <f t="shared" si="7"/>
        <v>1299.1634901113359</v>
      </c>
      <c r="L28" s="3">
        <f t="shared" si="7"/>
        <v>1325.1467599135626</v>
      </c>
      <c r="M28" s="3">
        <f t="shared" si="7"/>
        <v>1351.6496951118338</v>
      </c>
      <c r="N28" s="3"/>
      <c r="O28">
        <v>1.02</v>
      </c>
      <c r="P28" t="s">
        <v>68</v>
      </c>
    </row>
    <row r="29" spans="1:16" x14ac:dyDescent="0.25">
      <c r="B29" t="s">
        <v>8</v>
      </c>
      <c r="D29" s="3">
        <f t="shared" ref="D29:M29" si="8">D21*$O$29</f>
        <v>8005.9140000000007</v>
      </c>
      <c r="E29" s="3">
        <f t="shared" si="8"/>
        <v>8246.0914200000007</v>
      </c>
      <c r="F29" s="3">
        <f t="shared" si="8"/>
        <v>8493.4741626000014</v>
      </c>
      <c r="G29" s="3">
        <f t="shared" si="8"/>
        <v>8748.2783874780016</v>
      </c>
      <c r="H29" s="3">
        <f t="shared" si="8"/>
        <v>9010.7267391023415</v>
      </c>
      <c r="I29" s="3">
        <f t="shared" si="8"/>
        <v>9281.0485412754115</v>
      </c>
      <c r="J29" s="3">
        <f t="shared" si="8"/>
        <v>9559.4799975136739</v>
      </c>
      <c r="K29" s="3">
        <f t="shared" si="8"/>
        <v>9846.2643974390849</v>
      </c>
      <c r="L29" s="3">
        <f t="shared" si="8"/>
        <v>10141.652329362258</v>
      </c>
      <c r="M29" s="3">
        <f t="shared" si="8"/>
        <v>10445.901899243125</v>
      </c>
      <c r="N29" s="3"/>
      <c r="O29">
        <v>0.04</v>
      </c>
      <c r="P29" t="s">
        <v>86</v>
      </c>
    </row>
    <row r="30" spans="1:16" x14ac:dyDescent="0.25">
      <c r="B30" t="s">
        <v>9</v>
      </c>
      <c r="D30" s="3">
        <v>5000</v>
      </c>
      <c r="E30" s="3">
        <f t="shared" ref="E30:M30" si="9">D30 * (1+$O$30)</f>
        <v>5100</v>
      </c>
      <c r="F30" s="3">
        <f t="shared" si="9"/>
        <v>5202</v>
      </c>
      <c r="G30" s="3">
        <f t="shared" si="9"/>
        <v>5306.04</v>
      </c>
      <c r="H30" s="3">
        <f t="shared" si="9"/>
        <v>5412.1607999999997</v>
      </c>
      <c r="I30" s="3">
        <f t="shared" si="9"/>
        <v>5520.4040159999995</v>
      </c>
      <c r="J30" s="3">
        <f t="shared" si="9"/>
        <v>5630.8120963199999</v>
      </c>
      <c r="K30" s="3">
        <f t="shared" si="9"/>
        <v>5743.4283382464</v>
      </c>
      <c r="L30" s="3">
        <f t="shared" si="9"/>
        <v>5858.2969050113279</v>
      </c>
      <c r="M30" s="3">
        <f t="shared" si="9"/>
        <v>5975.4628431115543</v>
      </c>
      <c r="N30" s="3"/>
      <c r="O30" s="17">
        <v>0.02</v>
      </c>
      <c r="P30" t="s">
        <v>83</v>
      </c>
    </row>
    <row r="31" spans="1:16" x14ac:dyDescent="0.25">
      <c r="B31" t="s">
        <v>10</v>
      </c>
      <c r="D31" s="3">
        <f t="shared" ref="D31:M31" si="10">D21*$O$31</f>
        <v>2001.4785000000002</v>
      </c>
      <c r="E31" s="3">
        <f t="shared" si="10"/>
        <v>2061.5228550000002</v>
      </c>
      <c r="F31" s="3">
        <f t="shared" si="10"/>
        <v>2123.3685406500003</v>
      </c>
      <c r="G31" s="3">
        <f t="shared" si="10"/>
        <v>2187.0695968695004</v>
      </c>
      <c r="H31" s="3">
        <f t="shared" si="10"/>
        <v>2252.6816847755854</v>
      </c>
      <c r="I31" s="3">
        <f t="shared" si="10"/>
        <v>2320.2621353188529</v>
      </c>
      <c r="J31" s="3">
        <f t="shared" si="10"/>
        <v>2389.8699993784185</v>
      </c>
      <c r="K31" s="3">
        <f t="shared" si="10"/>
        <v>2461.5660993597712</v>
      </c>
      <c r="L31" s="3">
        <f t="shared" si="10"/>
        <v>2535.4130823405644</v>
      </c>
      <c r="M31" s="3">
        <f t="shared" si="10"/>
        <v>2611.4754748107812</v>
      </c>
      <c r="N31" s="3"/>
      <c r="O31">
        <v>0.01</v>
      </c>
      <c r="P31" t="s">
        <v>86</v>
      </c>
    </row>
    <row r="32" spans="1:16" x14ac:dyDescent="0.25">
      <c r="B32" t="s">
        <v>116</v>
      </c>
      <c r="D32" s="3">
        <f t="shared" ref="D32:M32" si="11">$O$32*D49</f>
        <v>2102.9233006849313</v>
      </c>
      <c r="E32" s="3">
        <f t="shared" si="11"/>
        <v>2166.0109997054797</v>
      </c>
      <c r="F32" s="3">
        <f t="shared" si="11"/>
        <v>2230.9913296966442</v>
      </c>
      <c r="G32" s="3">
        <f t="shared" si="11"/>
        <v>2297.9210695875436</v>
      </c>
      <c r="H32" s="3">
        <f t="shared" si="11"/>
        <v>2366.8587016751699</v>
      </c>
      <c r="I32" s="3">
        <f t="shared" si="11"/>
        <v>2437.8644627254248</v>
      </c>
      <c r="J32" s="3">
        <f t="shared" si="11"/>
        <v>2511.0003966071881</v>
      </c>
      <c r="K32" s="3">
        <f t="shared" si="11"/>
        <v>2586.3304085054037</v>
      </c>
      <c r="L32" s="3">
        <f t="shared" si="11"/>
        <v>2663.9203207605656</v>
      </c>
      <c r="M32" s="3">
        <f t="shared" si="11"/>
        <v>2743.8379303833826</v>
      </c>
      <c r="N32" s="3"/>
      <c r="O32" s="18">
        <v>0.05</v>
      </c>
      <c r="P32" t="s">
        <v>117</v>
      </c>
    </row>
    <row r="33" spans="1:16" x14ac:dyDescent="0.25">
      <c r="B33" s="1" t="s">
        <v>11</v>
      </c>
      <c r="D33" s="21">
        <f>SUM(D26:D32)</f>
        <v>40153.315800684933</v>
      </c>
      <c r="E33" s="21">
        <f t="shared" ref="E33:M33" si="12">SUM(E26:E32)</f>
        <v>40697.485274705483</v>
      </c>
      <c r="F33" s="21">
        <f t="shared" si="12"/>
        <v>41256.171232946654</v>
      </c>
      <c r="G33" s="21">
        <f t="shared" si="12"/>
        <v>41829.772997935048</v>
      </c>
      <c r="H33" s="21">
        <f t="shared" si="12"/>
        <v>42418.701148433094</v>
      </c>
      <c r="I33" s="21">
        <f t="shared" si="12"/>
        <v>43023.37784265729</v>
      </c>
      <c r="J33" s="21">
        <f t="shared" si="12"/>
        <v>43644.237150903631</v>
      </c>
      <c r="K33" s="21">
        <f t="shared" si="12"/>
        <v>44281.725397856702</v>
      </c>
      <c r="L33" s="21">
        <f t="shared" si="12"/>
        <v>44936.301514866878</v>
      </c>
      <c r="M33" s="21">
        <f t="shared" si="12"/>
        <v>45608.437402488853</v>
      </c>
      <c r="N33" s="21"/>
    </row>
    <row r="34" spans="1:16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6" x14ac:dyDescent="0.25">
      <c r="A35" t="s">
        <v>24</v>
      </c>
      <c r="D35" s="3">
        <f t="shared" ref="D35:J35" si="13">D51/$O$35</f>
        <v>5142.8571428571431</v>
      </c>
      <c r="E35" s="3">
        <f t="shared" si="13"/>
        <v>5142.8571428571431</v>
      </c>
      <c r="F35" s="3">
        <f t="shared" si="13"/>
        <v>5142.8571428571431</v>
      </c>
      <c r="G35" s="3">
        <f t="shared" si="13"/>
        <v>5142.8571428571431</v>
      </c>
      <c r="H35" s="3">
        <f t="shared" si="13"/>
        <v>5142.8571428571431</v>
      </c>
      <c r="I35" s="3">
        <f t="shared" si="13"/>
        <v>5142.8571428571431</v>
      </c>
      <c r="J35" s="3">
        <f t="shared" si="13"/>
        <v>5142.8571428571431</v>
      </c>
      <c r="K35" s="3">
        <v>0</v>
      </c>
      <c r="L35" s="3">
        <v>0</v>
      </c>
      <c r="M35" s="3">
        <v>0</v>
      </c>
      <c r="N35" s="3"/>
      <c r="O35">
        <v>7</v>
      </c>
      <c r="P35" t="s">
        <v>84</v>
      </c>
    </row>
    <row r="36" spans="1:16" x14ac:dyDescent="0.25">
      <c r="A36" t="s">
        <v>43</v>
      </c>
      <c r="D36" s="3">
        <f t="shared" ref="D36:M36" si="14">D53/$O$36</f>
        <v>2907.6923076923076</v>
      </c>
      <c r="E36" s="3">
        <f t="shared" si="14"/>
        <v>2907.6923076923076</v>
      </c>
      <c r="F36" s="3">
        <f t="shared" si="14"/>
        <v>2907.6923076923076</v>
      </c>
      <c r="G36" s="3">
        <f t="shared" si="14"/>
        <v>2907.6923076923076</v>
      </c>
      <c r="H36" s="3">
        <f t="shared" si="14"/>
        <v>2907.6923076923076</v>
      </c>
      <c r="I36" s="3">
        <f t="shared" si="14"/>
        <v>2907.6923076923076</v>
      </c>
      <c r="J36" s="3">
        <f t="shared" si="14"/>
        <v>2907.6923076923076</v>
      </c>
      <c r="K36" s="3">
        <f t="shared" si="14"/>
        <v>2907.6923076923076</v>
      </c>
      <c r="L36" s="3">
        <f t="shared" si="14"/>
        <v>2907.6923076923076</v>
      </c>
      <c r="M36" s="3">
        <f t="shared" si="14"/>
        <v>2907.6923076923076</v>
      </c>
      <c r="N36" s="3"/>
      <c r="O36">
        <v>39</v>
      </c>
      <c r="P36" t="s">
        <v>44</v>
      </c>
    </row>
    <row r="37" spans="1:16" x14ac:dyDescent="0.25">
      <c r="A37" t="s">
        <v>37</v>
      </c>
      <c r="D37" s="3">
        <f>Mortgage!$D$16</f>
        <v>4825.4096825418692</v>
      </c>
      <c r="E37" s="3">
        <f>Mortgage!$D$30</f>
        <v>4562.034669683283</v>
      </c>
      <c r="F37" s="3">
        <f>Mortgage!$D$44</f>
        <v>4289.8898973850428</v>
      </c>
      <c r="G37" s="3">
        <f>Mortgage!$D$58</f>
        <v>4008.6833535849746</v>
      </c>
      <c r="H37" s="3">
        <f>Mortgage!$D$72</f>
        <v>3718.1133029160637</v>
      </c>
      <c r="I37" s="3">
        <f>Mortgage!$D$86</f>
        <v>3417.8679629435965</v>
      </c>
      <c r="J37" s="3">
        <f>Mortgage!$D$100</f>
        <v>3107.6251696217896</v>
      </c>
      <c r="K37" s="3">
        <f>Mortgage!$D$114</f>
        <v>2787.0520316109087</v>
      </c>
      <c r="L37" s="3">
        <f>Mortgage!$D$128</f>
        <v>2455.8045730839804</v>
      </c>
      <c r="M37" s="3">
        <f>Mortgage!$D$142</f>
        <v>2113.52736463982</v>
      </c>
      <c r="N37" s="3"/>
      <c r="O37" s="20">
        <f>Mortgage!J6</f>
        <v>15</v>
      </c>
      <c r="P37" t="s">
        <v>216</v>
      </c>
    </row>
    <row r="38" spans="1:16" x14ac:dyDescent="0.25">
      <c r="A38" t="s">
        <v>38</v>
      </c>
      <c r="D38" s="3">
        <f t="shared" ref="D38:M38" si="15">D65*$O$38</f>
        <v>4204.5936926298218</v>
      </c>
      <c r="E38" s="3">
        <f t="shared" si="15"/>
        <v>3668.3126425271466</v>
      </c>
      <c r="F38" s="3">
        <f t="shared" si="15"/>
        <v>3050.6765902078459</v>
      </c>
      <c r="G38" s="3">
        <f t="shared" si="15"/>
        <v>2346.5095499383051</v>
      </c>
      <c r="H38" s="3">
        <f t="shared" si="15"/>
        <v>1550.3671567017052</v>
      </c>
      <c r="I38" s="3">
        <f t="shared" si="15"/>
        <v>656.52396686871509</v>
      </c>
      <c r="J38" s="3">
        <f t="shared" si="15"/>
        <v>0</v>
      </c>
      <c r="K38" s="3">
        <f t="shared" si="15"/>
        <v>0</v>
      </c>
      <c r="L38" s="3">
        <f t="shared" si="15"/>
        <v>0</v>
      </c>
      <c r="M38" s="3">
        <f t="shared" si="15"/>
        <v>0</v>
      </c>
      <c r="N38" s="3"/>
      <c r="O38" s="7">
        <f>$N$125</f>
        <v>5.5300000000000002E-2</v>
      </c>
      <c r="P38" t="s">
        <v>85</v>
      </c>
    </row>
    <row r="39" spans="1:16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25">
      <c r="A40" t="s">
        <v>13</v>
      </c>
      <c r="D40" s="3">
        <f t="shared" ref="D40:M40" si="16">D21-D23-D33-SUM(D35:D38)</f>
        <v>12817.878873593923</v>
      </c>
      <c r="E40" s="3">
        <f t="shared" si="16"/>
        <v>15174.917887534637</v>
      </c>
      <c r="F40" s="3">
        <f t="shared" si="16"/>
        <v>17670.611751661003</v>
      </c>
      <c r="G40" s="3">
        <f t="shared" si="16"/>
        <v>20311.920538424725</v>
      </c>
      <c r="H40" s="3">
        <f t="shared" si="16"/>
        <v>23106.127908545153</v>
      </c>
      <c r="I40" s="3">
        <f t="shared" si="16"/>
        <v>26060.855513140799</v>
      </c>
      <c r="J40" s="3">
        <f t="shared" si="16"/>
        <v>28843.038207169764</v>
      </c>
      <c r="K40" s="3">
        <f t="shared" si="16"/>
        <v>36178.343740432072</v>
      </c>
      <c r="L40" s="3">
        <f t="shared" si="16"/>
        <v>38439.659486276585</v>
      </c>
      <c r="M40" s="3">
        <f t="shared" si="16"/>
        <v>40771.984543556377</v>
      </c>
      <c r="N40" s="3"/>
    </row>
    <row r="41" spans="1:16" x14ac:dyDescent="0.25">
      <c r="A41" t="s">
        <v>14</v>
      </c>
      <c r="D41" s="3">
        <f>IF(D40&gt;0,(D40*$O$41),0)</f>
        <v>3845.3636620781767</v>
      </c>
      <c r="E41" s="3">
        <f t="shared" ref="E41:M41" si="17">IF(E40&gt;0,(E40*$O$41),0)</f>
        <v>4552.4753662603907</v>
      </c>
      <c r="F41" s="3">
        <f t="shared" si="17"/>
        <v>5301.1835254983007</v>
      </c>
      <c r="G41" s="3">
        <f t="shared" si="17"/>
        <v>6093.5761615274178</v>
      </c>
      <c r="H41" s="3">
        <f t="shared" si="17"/>
        <v>6931.8383725635458</v>
      </c>
      <c r="I41" s="3">
        <f t="shared" si="17"/>
        <v>7818.2566539422396</v>
      </c>
      <c r="J41" s="3">
        <f t="shared" si="17"/>
        <v>8652.9114621509289</v>
      </c>
      <c r="K41" s="3">
        <f t="shared" si="17"/>
        <v>10853.503122129621</v>
      </c>
      <c r="L41" s="3">
        <f t="shared" si="17"/>
        <v>11531.897845882975</v>
      </c>
      <c r="M41" s="3">
        <f t="shared" si="17"/>
        <v>12231.595363066912</v>
      </c>
      <c r="N41" s="3"/>
      <c r="O41" s="20">
        <v>0.3</v>
      </c>
      <c r="P41" t="s">
        <v>71</v>
      </c>
    </row>
    <row r="42" spans="1:16" x14ac:dyDescent="0.25">
      <c r="A42" s="1" t="s">
        <v>15</v>
      </c>
      <c r="D42" s="21">
        <f>D40-D41</f>
        <v>8972.5152115157471</v>
      </c>
      <c r="E42" s="21">
        <f t="shared" ref="E42:M42" si="18">E40-E41</f>
        <v>10622.442521274246</v>
      </c>
      <c r="F42" s="21">
        <f t="shared" si="18"/>
        <v>12369.428226162701</v>
      </c>
      <c r="G42" s="21">
        <f t="shared" si="18"/>
        <v>14218.344376897308</v>
      </c>
      <c r="H42" s="21">
        <f t="shared" si="18"/>
        <v>16174.289535981607</v>
      </c>
      <c r="I42" s="21">
        <f t="shared" si="18"/>
        <v>18242.598859198559</v>
      </c>
      <c r="J42" s="21">
        <f t="shared" si="18"/>
        <v>20190.126745018835</v>
      </c>
      <c r="K42" s="21">
        <f t="shared" si="18"/>
        <v>25324.840618302449</v>
      </c>
      <c r="L42" s="21">
        <f t="shared" si="18"/>
        <v>26907.761640393612</v>
      </c>
      <c r="M42" s="21">
        <f t="shared" si="18"/>
        <v>28540.389180489467</v>
      </c>
      <c r="N42" s="21"/>
    </row>
    <row r="43" spans="1:16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x14ac:dyDescent="0.25">
      <c r="A44" s="117" t="s">
        <v>16</v>
      </c>
      <c r="B44" s="1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x14ac:dyDescent="0.25">
      <c r="A45" t="s">
        <v>17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6" x14ac:dyDescent="0.25">
      <c r="B46" s="20" t="s">
        <v>19</v>
      </c>
      <c r="D46" s="3">
        <f t="shared" ref="D46:M46" si="19">D21*$O$46</f>
        <v>10007.392500000002</v>
      </c>
      <c r="E46" s="3">
        <f t="shared" si="19"/>
        <v>10307.614275</v>
      </c>
      <c r="F46" s="3">
        <f t="shared" si="19"/>
        <v>10616.842703250002</v>
      </c>
      <c r="G46" s="3">
        <f t="shared" si="19"/>
        <v>10935.347984347502</v>
      </c>
      <c r="H46" s="3">
        <f t="shared" si="19"/>
        <v>11263.408423877927</v>
      </c>
      <c r="I46" s="3">
        <f t="shared" si="19"/>
        <v>11601.310676594265</v>
      </c>
      <c r="J46" s="3">
        <f t="shared" si="19"/>
        <v>11949.349996892093</v>
      </c>
      <c r="K46" s="3">
        <f t="shared" si="19"/>
        <v>12307.830496798857</v>
      </c>
      <c r="L46" s="3">
        <f t="shared" si="19"/>
        <v>12677.065411702823</v>
      </c>
      <c r="M46" s="3">
        <f t="shared" si="19"/>
        <v>13057.377374053907</v>
      </c>
      <c r="N46" s="3"/>
      <c r="O46" s="28">
        <v>0.05</v>
      </c>
      <c r="P46" t="s">
        <v>78</v>
      </c>
    </row>
    <row r="47" spans="1:16" x14ac:dyDescent="0.25">
      <c r="B47" s="20" t="s">
        <v>18</v>
      </c>
      <c r="D47" s="3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5826.0454064222431</v>
      </c>
      <c r="K47" s="3">
        <v>24508.862099789443</v>
      </c>
      <c r="L47" s="3">
        <v>42867.088704002643</v>
      </c>
      <c r="M47" s="3">
        <v>62481.279715310622</v>
      </c>
      <c r="N47" s="3"/>
    </row>
    <row r="48" spans="1:16" x14ac:dyDescent="0.25">
      <c r="B48" t="s">
        <v>20</v>
      </c>
      <c r="D48" s="3">
        <f t="shared" ref="D48:M48" si="20">(D21/365)*$D$12</f>
        <v>8225.254109589041</v>
      </c>
      <c r="E48" s="3">
        <f t="shared" si="20"/>
        <v>8472.0117328767119</v>
      </c>
      <c r="F48" s="3">
        <f t="shared" si="20"/>
        <v>8726.1720848630157</v>
      </c>
      <c r="G48" s="3">
        <f t="shared" si="20"/>
        <v>8987.9572474089055</v>
      </c>
      <c r="H48" s="3">
        <f t="shared" si="20"/>
        <v>9257.5959648311728</v>
      </c>
      <c r="I48" s="3">
        <f t="shared" si="20"/>
        <v>9535.3238437761083</v>
      </c>
      <c r="J48" s="3">
        <f t="shared" si="20"/>
        <v>9821.3835590893905</v>
      </c>
      <c r="K48" s="3">
        <f t="shared" si="20"/>
        <v>10116.025065862072</v>
      </c>
      <c r="L48" s="3">
        <f t="shared" si="20"/>
        <v>10419.505817837937</v>
      </c>
      <c r="M48" s="3">
        <f t="shared" si="20"/>
        <v>10732.090992373074</v>
      </c>
      <c r="N48" s="3"/>
      <c r="P48" t="s">
        <v>80</v>
      </c>
    </row>
    <row r="49" spans="1:20" x14ac:dyDescent="0.25">
      <c r="B49" t="s">
        <v>21</v>
      </c>
      <c r="D49" s="3">
        <f t="shared" ref="D49:M49" si="21">(D23/365)*$D$10</f>
        <v>42058.466013698628</v>
      </c>
      <c r="E49" s="3">
        <f t="shared" si="21"/>
        <v>43320.21999410959</v>
      </c>
      <c r="F49" s="3">
        <f t="shared" si="21"/>
        <v>44619.826593932885</v>
      </c>
      <c r="G49" s="3">
        <f t="shared" si="21"/>
        <v>45958.421391750868</v>
      </c>
      <c r="H49" s="3">
        <f t="shared" si="21"/>
        <v>47337.174033503397</v>
      </c>
      <c r="I49" s="3">
        <f t="shared" si="21"/>
        <v>48757.289254508498</v>
      </c>
      <c r="J49" s="3">
        <f t="shared" si="21"/>
        <v>50220.007932143759</v>
      </c>
      <c r="K49" s="3">
        <f t="shared" si="21"/>
        <v>51726.608170108069</v>
      </c>
      <c r="L49" s="3">
        <f t="shared" si="21"/>
        <v>53278.406415211306</v>
      </c>
      <c r="M49" s="3">
        <f t="shared" si="21"/>
        <v>54876.758607667653</v>
      </c>
      <c r="N49" s="3"/>
      <c r="O49" s="17">
        <f>D10</f>
        <v>118</v>
      </c>
      <c r="P49" t="s">
        <v>79</v>
      </c>
    </row>
    <row r="50" spans="1:20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20" x14ac:dyDescent="0.25">
      <c r="B51" t="s">
        <v>22</v>
      </c>
      <c r="D51" s="3">
        <v>36000</v>
      </c>
      <c r="E51" s="3">
        <f>D51</f>
        <v>36000</v>
      </c>
      <c r="F51" s="3">
        <f t="shared" ref="F51:M51" si="22">E51</f>
        <v>36000</v>
      </c>
      <c r="G51" s="3">
        <f t="shared" si="22"/>
        <v>36000</v>
      </c>
      <c r="H51" s="3">
        <f t="shared" si="22"/>
        <v>36000</v>
      </c>
      <c r="I51" s="3">
        <f t="shared" si="22"/>
        <v>36000</v>
      </c>
      <c r="J51" s="3">
        <f t="shared" si="22"/>
        <v>36000</v>
      </c>
      <c r="K51" s="3">
        <f t="shared" si="22"/>
        <v>36000</v>
      </c>
      <c r="L51" s="3">
        <f t="shared" si="22"/>
        <v>36000</v>
      </c>
      <c r="M51" s="3">
        <f t="shared" si="22"/>
        <v>36000</v>
      </c>
      <c r="N51" s="3"/>
    </row>
    <row r="52" spans="1:20" x14ac:dyDescent="0.25">
      <c r="B52" s="2" t="s">
        <v>23</v>
      </c>
      <c r="D52" s="3">
        <f>D35</f>
        <v>5142.8571428571431</v>
      </c>
      <c r="E52" s="3">
        <f>D52+E35</f>
        <v>10285.714285714286</v>
      </c>
      <c r="F52" s="3">
        <f t="shared" ref="F52:M52" si="23">E52+F35</f>
        <v>15428.571428571429</v>
      </c>
      <c r="G52" s="3">
        <f t="shared" si="23"/>
        <v>20571.428571428572</v>
      </c>
      <c r="H52" s="3">
        <f t="shared" si="23"/>
        <v>25714.285714285717</v>
      </c>
      <c r="I52" s="3">
        <f t="shared" si="23"/>
        <v>30857.142857142862</v>
      </c>
      <c r="J52" s="3">
        <f t="shared" si="23"/>
        <v>36000.000000000007</v>
      </c>
      <c r="K52" s="3">
        <f t="shared" si="23"/>
        <v>36000.000000000007</v>
      </c>
      <c r="L52" s="3">
        <f t="shared" si="23"/>
        <v>36000.000000000007</v>
      </c>
      <c r="M52" s="3">
        <f t="shared" si="23"/>
        <v>36000.000000000007</v>
      </c>
      <c r="N52" s="3"/>
    </row>
    <row r="53" spans="1:20" x14ac:dyDescent="0.25">
      <c r="B53" s="4" t="s">
        <v>39</v>
      </c>
      <c r="D53" s="3">
        <f>Mortgage!$I$12</f>
        <v>113400</v>
      </c>
      <c r="E53" s="3">
        <f>Mortgage!$I$12</f>
        <v>113400</v>
      </c>
      <c r="F53" s="3">
        <f>Mortgage!$I$12</f>
        <v>113400</v>
      </c>
      <c r="G53" s="3">
        <f>Mortgage!$I$12</f>
        <v>113400</v>
      </c>
      <c r="H53" s="3">
        <f>Mortgage!$I$12</f>
        <v>113400</v>
      </c>
      <c r="I53" s="3">
        <f>Mortgage!$I$12</f>
        <v>113400</v>
      </c>
      <c r="J53" s="3">
        <f>Mortgage!$I$12</f>
        <v>113400</v>
      </c>
      <c r="K53" s="3">
        <f>Mortgage!$I$12</f>
        <v>113400</v>
      </c>
      <c r="L53" s="3">
        <f>Mortgage!$I$12</f>
        <v>113400</v>
      </c>
      <c r="M53" s="3">
        <f>Mortgage!$I$12</f>
        <v>113400</v>
      </c>
      <c r="N53" s="3"/>
      <c r="Q53" t="s">
        <v>221</v>
      </c>
      <c r="R53" s="3">
        <f>H58</f>
        <v>287005.43116946524</v>
      </c>
    </row>
    <row r="54" spans="1:20" x14ac:dyDescent="0.25">
      <c r="B54" s="2" t="s">
        <v>40</v>
      </c>
      <c r="D54" s="3">
        <f>D36</f>
        <v>2907.6923076923076</v>
      </c>
      <c r="E54" s="3">
        <f>D54+E36</f>
        <v>5815.3846153846152</v>
      </c>
      <c r="F54" s="3">
        <f t="shared" ref="F54:M54" si="24">E54+F36</f>
        <v>8723.076923076922</v>
      </c>
      <c r="G54" s="3">
        <f t="shared" si="24"/>
        <v>11630.76923076923</v>
      </c>
      <c r="H54" s="3">
        <f t="shared" si="24"/>
        <v>14538.461538461539</v>
      </c>
      <c r="I54" s="3">
        <f t="shared" si="24"/>
        <v>17446.153846153848</v>
      </c>
      <c r="J54" s="3">
        <f t="shared" si="24"/>
        <v>20353.846153846156</v>
      </c>
      <c r="K54" s="3">
        <f t="shared" si="24"/>
        <v>23261.538461538465</v>
      </c>
      <c r="L54" s="3">
        <f t="shared" si="24"/>
        <v>26169.230769230773</v>
      </c>
      <c r="M54" s="3">
        <f t="shared" si="24"/>
        <v>29076.923076923082</v>
      </c>
      <c r="N54" s="3"/>
      <c r="Q54" t="s">
        <v>222</v>
      </c>
      <c r="R54" s="3">
        <f>H64+H65</f>
        <v>136484.02315440829</v>
      </c>
    </row>
    <row r="55" spans="1:20" x14ac:dyDescent="0.25">
      <c r="B55" s="4" t="s">
        <v>118</v>
      </c>
      <c r="D55" s="3">
        <f>Mortgage!$I$14</f>
        <v>75000</v>
      </c>
      <c r="E55" s="3">
        <f>Mortgage!$I$14</f>
        <v>75000</v>
      </c>
      <c r="F55" s="3">
        <f>Mortgage!$I$14</f>
        <v>75000</v>
      </c>
      <c r="G55" s="3">
        <f>Mortgage!$I$14</f>
        <v>75000</v>
      </c>
      <c r="H55" s="3">
        <f>Mortgage!$I$14</f>
        <v>75000</v>
      </c>
      <c r="I55" s="3">
        <f>Mortgage!$I$14</f>
        <v>75000</v>
      </c>
      <c r="J55" s="3">
        <f>Mortgage!$I$14</f>
        <v>75000</v>
      </c>
      <c r="K55" s="3">
        <f>Mortgage!$I$14</f>
        <v>75000</v>
      </c>
      <c r="L55" s="3">
        <f>Mortgage!$I$14</f>
        <v>75000</v>
      </c>
      <c r="M55" s="3">
        <f>Mortgage!$I$14</f>
        <v>75000</v>
      </c>
      <c r="N55" s="3"/>
    </row>
    <row r="56" spans="1:20" x14ac:dyDescent="0.25">
      <c r="B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0" x14ac:dyDescent="0.25">
      <c r="B57" s="4" t="s">
        <v>120</v>
      </c>
      <c r="D57" s="33">
        <v>35000</v>
      </c>
      <c r="E57" s="33">
        <f>D57</f>
        <v>35000</v>
      </c>
      <c r="F57" s="33">
        <f t="shared" ref="F57:M57" si="25">E57</f>
        <v>35000</v>
      </c>
      <c r="G57" s="33">
        <f t="shared" si="25"/>
        <v>35000</v>
      </c>
      <c r="H57" s="33">
        <f t="shared" si="25"/>
        <v>35000</v>
      </c>
      <c r="I57" s="33">
        <f t="shared" si="25"/>
        <v>35000</v>
      </c>
      <c r="J57" s="33">
        <f t="shared" si="25"/>
        <v>35000</v>
      </c>
      <c r="K57" s="33">
        <f t="shared" si="25"/>
        <v>35000</v>
      </c>
      <c r="L57" s="33">
        <f t="shared" si="25"/>
        <v>35000</v>
      </c>
      <c r="M57" s="33">
        <f t="shared" si="25"/>
        <v>35000</v>
      </c>
      <c r="N57" s="3"/>
      <c r="O57" s="20"/>
    </row>
    <row r="58" spans="1:20" x14ac:dyDescent="0.25">
      <c r="B58" s="1" t="s">
        <v>25</v>
      </c>
      <c r="C58" s="1"/>
      <c r="D58" s="21">
        <f>SUM(D46:D49)+(D51-D52)+(D53-D54)+D55+D57</f>
        <v>311640.56317273818</v>
      </c>
      <c r="E58" s="21">
        <f t="shared" ref="E58:M58" si="26">SUM(E46:E49)+(E51-E52)+(E53-E54)+E55+E57</f>
        <v>305398.74710088741</v>
      </c>
      <c r="F58" s="21">
        <f t="shared" si="26"/>
        <v>299211.19303039752</v>
      </c>
      <c r="G58" s="21">
        <f t="shared" si="26"/>
        <v>293079.52882130945</v>
      </c>
      <c r="H58" s="21">
        <f t="shared" si="26"/>
        <v>287005.43116946524</v>
      </c>
      <c r="I58" s="21">
        <f t="shared" si="26"/>
        <v>280990.62707158213</v>
      </c>
      <c r="J58" s="21">
        <f t="shared" si="26"/>
        <v>280862.94074070134</v>
      </c>
      <c r="K58" s="21">
        <f t="shared" si="26"/>
        <v>298797.78737101995</v>
      </c>
      <c r="L58" s="21">
        <f t="shared" si="26"/>
        <v>316472.83557952393</v>
      </c>
      <c r="M58" s="21">
        <f t="shared" si="26"/>
        <v>335470.58361248218</v>
      </c>
      <c r="N58" s="21"/>
    </row>
    <row r="59" spans="1:20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20" x14ac:dyDescent="0.25">
      <c r="A60" t="s">
        <v>26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P60" s="16">
        <f>290000/1350</f>
        <v>214.81481481481481</v>
      </c>
    </row>
    <row r="61" spans="1:20" x14ac:dyDescent="0.25">
      <c r="B61" t="s">
        <v>27</v>
      </c>
      <c r="D61" s="3">
        <f>D41</f>
        <v>3845.3636620781767</v>
      </c>
      <c r="E61" s="3">
        <f t="shared" ref="E61:F61" si="27">E41</f>
        <v>4552.4753662603907</v>
      </c>
      <c r="F61" s="3">
        <f t="shared" si="27"/>
        <v>5301.1835254983007</v>
      </c>
      <c r="G61" s="3">
        <f t="shared" ref="G61:M61" si="28">G41</f>
        <v>6093.5761615274178</v>
      </c>
      <c r="H61" s="3">
        <f t="shared" si="28"/>
        <v>6931.8383725635458</v>
      </c>
      <c r="I61" s="3">
        <f t="shared" si="28"/>
        <v>7818.2566539422396</v>
      </c>
      <c r="J61" s="3">
        <f t="shared" si="28"/>
        <v>8652.9114621509289</v>
      </c>
      <c r="K61" s="3">
        <f t="shared" si="28"/>
        <v>10853.503122129621</v>
      </c>
      <c r="L61" s="3">
        <f t="shared" si="28"/>
        <v>11531.897845882975</v>
      </c>
      <c r="M61" s="3">
        <f t="shared" si="28"/>
        <v>12231.595363066912</v>
      </c>
      <c r="N61" s="3"/>
    </row>
    <row r="62" spans="1:20" x14ac:dyDescent="0.25">
      <c r="B62" s="20" t="s">
        <v>28</v>
      </c>
      <c r="D62" s="3">
        <f t="shared" ref="D62:M62" si="29">(D23/365)*$D$11</f>
        <v>9979.9749863013694</v>
      </c>
      <c r="E62" s="3">
        <f t="shared" si="29"/>
        <v>10279.374235890411</v>
      </c>
      <c r="F62" s="3">
        <f t="shared" si="29"/>
        <v>10587.755462967125</v>
      </c>
      <c r="G62" s="3">
        <f t="shared" si="29"/>
        <v>10905.388126856138</v>
      </c>
      <c r="H62" s="3">
        <f t="shared" si="29"/>
        <v>11232.549770661824</v>
      </c>
      <c r="I62" s="3">
        <f t="shared" si="29"/>
        <v>11569.526263781678</v>
      </c>
      <c r="J62" s="3">
        <f t="shared" si="29"/>
        <v>11916.612051695129</v>
      </c>
      <c r="K62" s="3">
        <f t="shared" si="29"/>
        <v>12274.110413245982</v>
      </c>
      <c r="L62" s="3">
        <f t="shared" si="29"/>
        <v>12642.333725643362</v>
      </c>
      <c r="M62" s="3">
        <f t="shared" si="29"/>
        <v>13021.603737412663</v>
      </c>
      <c r="N62" s="3"/>
      <c r="P62" t="s">
        <v>81</v>
      </c>
    </row>
    <row r="63" spans="1:20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P63" s="100" t="s">
        <v>126</v>
      </c>
      <c r="Q63" s="100" t="s">
        <v>127</v>
      </c>
      <c r="R63" s="100" t="s">
        <v>128</v>
      </c>
      <c r="S63" s="100" t="s">
        <v>129</v>
      </c>
      <c r="T63" s="100" t="s">
        <v>130</v>
      </c>
    </row>
    <row r="64" spans="1:20" x14ac:dyDescent="0.25">
      <c r="B64" t="s">
        <v>42</v>
      </c>
      <c r="D64" s="3">
        <f>Mortgage!$F$15</f>
        <v>142810.27364141756</v>
      </c>
      <c r="E64" s="3">
        <f>Mortgage!$F$29</f>
        <v>134637.17226997649</v>
      </c>
      <c r="F64" s="3">
        <f>Mortgage!$F$43</f>
        <v>126191.9261262372</v>
      </c>
      <c r="G64" s="3">
        <f>Mortgage!$F$57</f>
        <v>117465.47343869785</v>
      </c>
      <c r="H64" s="3">
        <f>Mortgage!$F$71</f>
        <v>108448.45070048957</v>
      </c>
      <c r="I64" s="3">
        <f>Mortgage!$F$85</f>
        <v>99131.182622308828</v>
      </c>
      <c r="J64" s="3">
        <f>Mortgage!$F$99</f>
        <v>89503.671750806287</v>
      </c>
      <c r="K64" s="3">
        <f>Mortgage!$F$113</f>
        <v>79555.587741292882</v>
      </c>
      <c r="L64" s="3">
        <f>Mortgage!$F$127</f>
        <v>69276.256273252555</v>
      </c>
      <c r="M64" s="3">
        <f>Mortgage!$F$141</f>
        <v>58654.64759676806</v>
      </c>
      <c r="N64" s="3"/>
      <c r="P64" s="3">
        <f>AVERAGE(D64:M64)</f>
        <v>102567.46421612473</v>
      </c>
      <c r="Q64" s="29">
        <f>P64/P69</f>
        <v>0.36413944712238588</v>
      </c>
      <c r="R64" s="7">
        <f>Mortgage!$I$3</f>
        <v>3.2799999999999996E-2</v>
      </c>
      <c r="S64" s="29">
        <f>R64*(1-O41)</f>
        <v>2.2959999999999994E-2</v>
      </c>
      <c r="T64" s="7">
        <f>Q64*S64</f>
        <v>8.3606417059299779E-3</v>
      </c>
    </row>
    <row r="65" spans="1:20" x14ac:dyDescent="0.25">
      <c r="B65" s="20" t="s">
        <v>32</v>
      </c>
      <c r="D65" s="33">
        <v>76032.435671425352</v>
      </c>
      <c r="E65" s="33">
        <v>66334.767495970096</v>
      </c>
      <c r="F65" s="33">
        <v>55165.941956742237</v>
      </c>
      <c r="G65" s="3">
        <v>42432.360758378032</v>
      </c>
      <c r="H65" s="3">
        <v>28035.572453918718</v>
      </c>
      <c r="I65" s="3">
        <v>11872.042800519259</v>
      </c>
      <c r="J65" s="3">
        <v>0</v>
      </c>
      <c r="K65" s="3">
        <v>0</v>
      </c>
      <c r="L65" s="3">
        <v>0</v>
      </c>
      <c r="M65" s="3">
        <v>0</v>
      </c>
      <c r="N65" s="3"/>
      <c r="O65" s="3"/>
      <c r="P65" s="3">
        <f>AVERAGE(D65:M65)</f>
        <v>27987.312113695363</v>
      </c>
      <c r="Q65" s="29">
        <f>P65/P69</f>
        <v>9.9361765813456668E-2</v>
      </c>
      <c r="R65" s="29">
        <f>$O$38</f>
        <v>5.5300000000000002E-2</v>
      </c>
      <c r="S65" s="29">
        <f>R65*(1-O41)</f>
        <v>3.8710000000000001E-2</v>
      </c>
      <c r="T65" s="7">
        <f>Q65*S65</f>
        <v>3.8462939546389076E-3</v>
      </c>
    </row>
    <row r="66" spans="1:20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Q66" s="28"/>
    </row>
    <row r="67" spans="1:20" x14ac:dyDescent="0.25">
      <c r="B67" t="s">
        <v>33</v>
      </c>
      <c r="D67" s="33">
        <v>70000</v>
      </c>
      <c r="E67" s="33">
        <f>D67</f>
        <v>70000</v>
      </c>
      <c r="F67" s="33">
        <f t="shared" ref="F67:M67" si="30">E67</f>
        <v>70000</v>
      </c>
      <c r="G67" s="33">
        <f t="shared" si="30"/>
        <v>70000</v>
      </c>
      <c r="H67" s="33">
        <f t="shared" si="30"/>
        <v>70000</v>
      </c>
      <c r="I67" s="33">
        <f t="shared" si="30"/>
        <v>70000</v>
      </c>
      <c r="J67" s="33">
        <f t="shared" si="30"/>
        <v>70000</v>
      </c>
      <c r="K67" s="33">
        <f t="shared" si="30"/>
        <v>70000</v>
      </c>
      <c r="L67" s="33">
        <f t="shared" si="30"/>
        <v>70000</v>
      </c>
      <c r="M67" s="33">
        <f t="shared" si="30"/>
        <v>70000</v>
      </c>
      <c r="N67" s="3"/>
      <c r="P67" s="3">
        <f>AVERAGE(D67:M67)</f>
        <v>70000</v>
      </c>
      <c r="Q67" s="29">
        <f>SUM(P67:P68)/$P$69</f>
        <v>0.53649878706415732</v>
      </c>
      <c r="R67" s="29">
        <f>$D$7</f>
        <v>0.12021734113298012</v>
      </c>
      <c r="S67" s="29">
        <f>$D$7</f>
        <v>0.12021734113298012</v>
      </c>
      <c r="T67" s="29">
        <f>Q67*S67</f>
        <v>6.4496457701921861E-2</v>
      </c>
    </row>
    <row r="68" spans="1:20" x14ac:dyDescent="0.25">
      <c r="B68" t="s">
        <v>34</v>
      </c>
      <c r="D68" s="3">
        <f>D42</f>
        <v>8972.5152115157471</v>
      </c>
      <c r="E68" s="3">
        <f>D68+E42</f>
        <v>19594.957732789993</v>
      </c>
      <c r="F68" s="3">
        <f t="shared" ref="F68:M68" si="31">E68+F42</f>
        <v>31964.385958952695</v>
      </c>
      <c r="G68" s="3">
        <f t="shared" si="31"/>
        <v>46182.730335850007</v>
      </c>
      <c r="H68" s="3">
        <f t="shared" si="31"/>
        <v>62357.01987183161</v>
      </c>
      <c r="I68" s="3">
        <f t="shared" si="31"/>
        <v>80599.618731030176</v>
      </c>
      <c r="J68" s="3">
        <f t="shared" si="31"/>
        <v>100789.74547604901</v>
      </c>
      <c r="K68" s="3">
        <f t="shared" si="31"/>
        <v>126114.58609435146</v>
      </c>
      <c r="L68" s="3">
        <f t="shared" si="31"/>
        <v>153022.34773474507</v>
      </c>
      <c r="M68" s="3">
        <f t="shared" si="31"/>
        <v>181562.73691523453</v>
      </c>
      <c r="N68" s="3"/>
      <c r="P68" s="31">
        <f>AVERAGE(D68:M68)</f>
        <v>81116.064406235033</v>
      </c>
      <c r="Q68" s="26"/>
      <c r="T68" s="26"/>
    </row>
    <row r="69" spans="1:20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P69" s="3">
        <f>SUM(P64:P68)</f>
        <v>281670.84073605516</v>
      </c>
      <c r="Q69" s="24">
        <f>SUM(Q64:Q67)</f>
        <v>0.99999999999999989</v>
      </c>
      <c r="S69" s="34" t="s">
        <v>131</v>
      </c>
      <c r="T69" s="7">
        <f>T64+T65+T67</f>
        <v>7.670339336249074E-2</v>
      </c>
    </row>
    <row r="70" spans="1:20" x14ac:dyDescent="0.25">
      <c r="B70" s="1" t="s">
        <v>35</v>
      </c>
      <c r="C70" s="1"/>
      <c r="D70" s="21">
        <f>SUM(D61:D68)</f>
        <v>311640.56317273824</v>
      </c>
      <c r="E70" s="21">
        <f t="shared" ref="E70:M70" si="32">SUM(E61:E68)</f>
        <v>305398.74710088735</v>
      </c>
      <c r="F70" s="21">
        <f t="shared" si="32"/>
        <v>299211.19303039758</v>
      </c>
      <c r="G70" s="21">
        <f t="shared" si="32"/>
        <v>293079.52882130945</v>
      </c>
      <c r="H70" s="21">
        <f t="shared" si="32"/>
        <v>287005.4311694653</v>
      </c>
      <c r="I70" s="21">
        <f t="shared" si="32"/>
        <v>280990.62707158219</v>
      </c>
      <c r="J70" s="21">
        <f t="shared" si="32"/>
        <v>280862.94074070134</v>
      </c>
      <c r="K70" s="21">
        <f t="shared" si="32"/>
        <v>298797.78737101995</v>
      </c>
      <c r="L70" s="21">
        <f t="shared" si="32"/>
        <v>316472.83557952393</v>
      </c>
      <c r="M70" s="21">
        <f t="shared" si="32"/>
        <v>335470.58361248218</v>
      </c>
      <c r="N70" s="21"/>
    </row>
    <row r="71" spans="1:20" x14ac:dyDescent="0.25">
      <c r="B71" t="s">
        <v>124</v>
      </c>
      <c r="D71" s="3">
        <f>D70-SUM(D61:D62)</f>
        <v>297815.22452435869</v>
      </c>
      <c r="E71" s="3">
        <f t="shared" ref="E71:M71" si="33">E70-SUM(E61:E62)</f>
        <v>290566.89749873657</v>
      </c>
      <c r="F71" s="3">
        <f t="shared" si="33"/>
        <v>283322.25404193217</v>
      </c>
      <c r="G71" s="3">
        <f t="shared" si="33"/>
        <v>276080.5645329259</v>
      </c>
      <c r="H71" s="3">
        <f t="shared" si="33"/>
        <v>268841.04302623996</v>
      </c>
      <c r="I71" s="3">
        <f t="shared" si="33"/>
        <v>261602.84415385826</v>
      </c>
      <c r="J71" s="3">
        <f t="shared" si="33"/>
        <v>260293.41722685529</v>
      </c>
      <c r="K71" s="3">
        <f t="shared" si="33"/>
        <v>275670.17383564432</v>
      </c>
      <c r="L71" s="3">
        <f t="shared" si="33"/>
        <v>292298.60400799761</v>
      </c>
      <c r="M71" s="3">
        <f t="shared" si="33"/>
        <v>310217.38451200258</v>
      </c>
      <c r="N71" s="3"/>
      <c r="P71" s="109" t="s">
        <v>156</v>
      </c>
      <c r="Q71" s="110">
        <f>(Q64+Q65)/Q67</f>
        <v>0.8639371124625016</v>
      </c>
    </row>
    <row r="72" spans="1:20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20" x14ac:dyDescent="0.25">
      <c r="B73" t="s">
        <v>36</v>
      </c>
      <c r="D73" s="33">
        <f>D58-D70</f>
        <v>0</v>
      </c>
      <c r="E73" s="3">
        <f t="shared" ref="E73:M73" si="34">E58-E70</f>
        <v>0</v>
      </c>
      <c r="F73" s="3">
        <f t="shared" si="34"/>
        <v>0</v>
      </c>
      <c r="G73" s="3">
        <f t="shared" si="34"/>
        <v>0</v>
      </c>
      <c r="H73" s="3">
        <f t="shared" si="34"/>
        <v>0</v>
      </c>
      <c r="I73" s="3">
        <f t="shared" si="34"/>
        <v>0</v>
      </c>
      <c r="J73" s="3">
        <f t="shared" si="34"/>
        <v>0</v>
      </c>
      <c r="K73" s="3">
        <f t="shared" si="34"/>
        <v>0</v>
      </c>
      <c r="L73" s="3">
        <f t="shared" si="34"/>
        <v>0</v>
      </c>
      <c r="M73" s="3">
        <f t="shared" si="34"/>
        <v>0</v>
      </c>
      <c r="N73" s="3"/>
    </row>
    <row r="74" spans="1:20" x14ac:dyDescent="0.25">
      <c r="A74" s="26"/>
      <c r="B74" s="26"/>
      <c r="C74" s="26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26"/>
      <c r="P74" s="26"/>
      <c r="Q74" s="26"/>
      <c r="R74" s="26"/>
      <c r="S74" s="26"/>
      <c r="T74" s="26"/>
    </row>
    <row r="75" spans="1:20" x14ac:dyDescent="0.25">
      <c r="A75" s="119" t="s">
        <v>133</v>
      </c>
      <c r="B75" s="11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20" x14ac:dyDescent="0.25">
      <c r="C76" s="19">
        <v>0</v>
      </c>
      <c r="D76" s="19">
        <v>1</v>
      </c>
      <c r="E76" s="19">
        <v>2</v>
      </c>
      <c r="F76" s="19">
        <v>3</v>
      </c>
      <c r="G76" s="19">
        <v>4</v>
      </c>
      <c r="H76" s="19">
        <v>5</v>
      </c>
      <c r="I76" s="19">
        <v>6</v>
      </c>
      <c r="J76" s="19">
        <v>7</v>
      </c>
      <c r="K76" s="19">
        <v>8</v>
      </c>
      <c r="L76" s="19">
        <v>9</v>
      </c>
      <c r="M76" s="19">
        <v>10</v>
      </c>
      <c r="N76" s="3"/>
    </row>
    <row r="77" spans="1:20" x14ac:dyDescent="0.25">
      <c r="A77" s="1" t="s">
        <v>134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20" x14ac:dyDescent="0.25">
      <c r="B78" t="s">
        <v>135</v>
      </c>
      <c r="D78" s="3">
        <f>D21-D23-D33</f>
        <v>29898.431699315064</v>
      </c>
      <c r="E78" s="3">
        <f t="shared" ref="E78:M78" si="35">E21-E23-E33</f>
        <v>31455.814650294516</v>
      </c>
      <c r="F78" s="3">
        <f t="shared" si="35"/>
        <v>33061.727689803345</v>
      </c>
      <c r="G78" s="3">
        <f t="shared" si="35"/>
        <v>34717.662892497458</v>
      </c>
      <c r="H78" s="3">
        <f t="shared" si="35"/>
        <v>36425.157818712374</v>
      </c>
      <c r="I78" s="3">
        <f t="shared" si="35"/>
        <v>38185.796893502564</v>
      </c>
      <c r="J78" s="3">
        <f t="shared" si="35"/>
        <v>40001.212827341005</v>
      </c>
      <c r="K78" s="3">
        <f t="shared" si="35"/>
        <v>41873.088079735287</v>
      </c>
      <c r="L78" s="3">
        <f t="shared" si="35"/>
        <v>43803.15636705287</v>
      </c>
      <c r="M78" s="3">
        <f t="shared" si="35"/>
        <v>45793.204215888501</v>
      </c>
      <c r="N78" s="3"/>
    </row>
    <row r="79" spans="1:20" x14ac:dyDescent="0.25">
      <c r="B79" t="s">
        <v>136</v>
      </c>
      <c r="D79" s="3">
        <f>SUM(D35:D36)</f>
        <v>8050.5494505494507</v>
      </c>
      <c r="E79" s="3">
        <f t="shared" ref="E79:M79" si="36">SUM(E35:E36)</f>
        <v>8050.5494505494507</v>
      </c>
      <c r="F79" s="3">
        <f t="shared" si="36"/>
        <v>8050.5494505494507</v>
      </c>
      <c r="G79" s="3">
        <f t="shared" si="36"/>
        <v>8050.5494505494507</v>
      </c>
      <c r="H79" s="3">
        <f t="shared" si="36"/>
        <v>8050.5494505494507</v>
      </c>
      <c r="I79" s="3">
        <f t="shared" si="36"/>
        <v>8050.5494505494507</v>
      </c>
      <c r="J79" s="3">
        <f t="shared" si="36"/>
        <v>8050.5494505494507</v>
      </c>
      <c r="K79" s="3">
        <f t="shared" si="36"/>
        <v>2907.6923076923076</v>
      </c>
      <c r="L79" s="3">
        <f t="shared" si="36"/>
        <v>2907.6923076923076</v>
      </c>
      <c r="M79" s="3">
        <f t="shared" si="36"/>
        <v>2907.6923076923076</v>
      </c>
      <c r="N79" s="3"/>
    </row>
    <row r="80" spans="1:20" x14ac:dyDescent="0.25">
      <c r="B80" s="32" t="s">
        <v>137</v>
      </c>
      <c r="D80" s="3">
        <f>D78-D79</f>
        <v>21847.882248765614</v>
      </c>
      <c r="E80" s="3">
        <f t="shared" ref="E80:M80" si="37">E78-E79</f>
        <v>23405.265199745067</v>
      </c>
      <c r="F80" s="3">
        <f t="shared" si="37"/>
        <v>25011.178239253895</v>
      </c>
      <c r="G80" s="3">
        <f t="shared" si="37"/>
        <v>26667.113441948008</v>
      </c>
      <c r="H80" s="3">
        <f t="shared" si="37"/>
        <v>28374.608368162924</v>
      </c>
      <c r="I80" s="3">
        <f t="shared" si="37"/>
        <v>30135.247442953114</v>
      </c>
      <c r="J80" s="3">
        <f t="shared" si="37"/>
        <v>31950.663376791555</v>
      </c>
      <c r="K80" s="3">
        <f t="shared" si="37"/>
        <v>38965.395772042983</v>
      </c>
      <c r="L80" s="3">
        <f t="shared" si="37"/>
        <v>40895.464059360565</v>
      </c>
      <c r="M80" s="3">
        <f t="shared" si="37"/>
        <v>42885.511908196197</v>
      </c>
      <c r="N80" s="3"/>
    </row>
    <row r="81" spans="1:16" x14ac:dyDescent="0.25">
      <c r="B81" s="32" t="s">
        <v>148</v>
      </c>
      <c r="D81" s="3">
        <f>IF(D80&lt;=0,0,(D80*$O$41))</f>
        <v>6554.3646746296845</v>
      </c>
      <c r="E81" s="3">
        <f t="shared" ref="E81:M81" si="38">IF(E80&lt;=0,0,(E80*$O$41))</f>
        <v>7021.5795599235198</v>
      </c>
      <c r="F81" s="3">
        <f t="shared" si="38"/>
        <v>7503.3534717761686</v>
      </c>
      <c r="G81" s="3">
        <f t="shared" si="38"/>
        <v>8000.1340325844021</v>
      </c>
      <c r="H81" s="3">
        <f t="shared" si="38"/>
        <v>8512.3825104488769</v>
      </c>
      <c r="I81" s="3">
        <f t="shared" si="38"/>
        <v>9040.5742328859342</v>
      </c>
      <c r="J81" s="3">
        <f t="shared" si="38"/>
        <v>9585.199013037467</v>
      </c>
      <c r="K81" s="3">
        <f t="shared" si="38"/>
        <v>11689.618731612894</v>
      </c>
      <c r="L81" s="3">
        <f t="shared" si="38"/>
        <v>12268.63921780817</v>
      </c>
      <c r="M81" s="3">
        <f t="shared" si="38"/>
        <v>12865.653572458859</v>
      </c>
      <c r="N81" s="3"/>
    </row>
    <row r="82" spans="1:16" x14ac:dyDescent="0.25">
      <c r="A82" s="1" t="s">
        <v>138</v>
      </c>
      <c r="D82" s="3">
        <f>D78-D81</f>
        <v>23344.067024685381</v>
      </c>
      <c r="E82" s="3">
        <f t="shared" ref="E82:M82" si="39">E78-E81</f>
        <v>24434.235090370996</v>
      </c>
      <c r="F82" s="3">
        <f t="shared" si="39"/>
        <v>25558.374218027177</v>
      </c>
      <c r="G82" s="3">
        <f t="shared" si="39"/>
        <v>26717.528859913054</v>
      </c>
      <c r="H82" s="3">
        <f t="shared" si="39"/>
        <v>27912.775308263495</v>
      </c>
      <c r="I82" s="3">
        <f t="shared" si="39"/>
        <v>29145.22266061663</v>
      </c>
      <c r="J82" s="3">
        <f t="shared" si="39"/>
        <v>30416.013814303536</v>
      </c>
      <c r="K82" s="3">
        <f t="shared" si="39"/>
        <v>30183.469348122395</v>
      </c>
      <c r="L82" s="3">
        <f t="shared" si="39"/>
        <v>31534.517149244701</v>
      </c>
      <c r="M82" s="3">
        <f t="shared" si="39"/>
        <v>32927.55064342964</v>
      </c>
      <c r="N82" s="3"/>
    </row>
    <row r="83" spans="1:16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6" x14ac:dyDescent="0.25">
      <c r="A84" s="1" t="s">
        <v>139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6" x14ac:dyDescent="0.25">
      <c r="A85" s="1" t="s">
        <v>140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6" x14ac:dyDescent="0.25">
      <c r="A86" s="1" t="s">
        <v>141</v>
      </c>
      <c r="B86" t="s">
        <v>22</v>
      </c>
      <c r="C86" s="3">
        <f>-(D51-C51)</f>
        <v>-36000</v>
      </c>
      <c r="D86" s="3">
        <f t="shared" ref="D86:L86" si="40">-(E51-D51)</f>
        <v>0</v>
      </c>
      <c r="E86" s="3">
        <f t="shared" si="40"/>
        <v>0</v>
      </c>
      <c r="F86" s="3">
        <f t="shared" si="40"/>
        <v>0</v>
      </c>
      <c r="G86" s="3">
        <f t="shared" si="40"/>
        <v>0</v>
      </c>
      <c r="H86" s="3">
        <f t="shared" si="40"/>
        <v>0</v>
      </c>
      <c r="I86" s="3">
        <f t="shared" si="40"/>
        <v>0</v>
      </c>
      <c r="J86" s="3">
        <f t="shared" si="40"/>
        <v>0</v>
      </c>
      <c r="K86" s="3">
        <f t="shared" si="40"/>
        <v>0</v>
      </c>
      <c r="L86" s="3">
        <f t="shared" si="40"/>
        <v>0</v>
      </c>
      <c r="M86" s="3">
        <f>-(N51-M51)</f>
        <v>36000</v>
      </c>
      <c r="N86" s="3"/>
      <c r="O86" t="s">
        <v>149</v>
      </c>
      <c r="P86" s="3">
        <f>M86-M52</f>
        <v>0</v>
      </c>
    </row>
    <row r="87" spans="1:16" x14ac:dyDescent="0.25">
      <c r="B87" s="4" t="s">
        <v>142</v>
      </c>
      <c r="D87" s="3"/>
      <c r="E87" s="3"/>
      <c r="F87" s="3"/>
      <c r="G87" s="3"/>
      <c r="H87" s="3"/>
      <c r="I87" s="3"/>
      <c r="J87" s="3"/>
      <c r="K87" s="3"/>
      <c r="L87" s="3"/>
      <c r="M87" s="3">
        <f>N87*M86</f>
        <v>-18000</v>
      </c>
      <c r="N87" s="28">
        <v>-0.5</v>
      </c>
      <c r="O87" t="s">
        <v>150</v>
      </c>
      <c r="P87" s="3">
        <f>SUM(M86:M87)-P86</f>
        <v>18000</v>
      </c>
    </row>
    <row r="88" spans="1:16" x14ac:dyDescent="0.25">
      <c r="A88" t="s">
        <v>141</v>
      </c>
      <c r="B88" s="4" t="s">
        <v>143</v>
      </c>
      <c r="D88" s="3"/>
      <c r="E88" s="3"/>
      <c r="F88" s="3"/>
      <c r="G88" s="3"/>
      <c r="H88" s="3"/>
      <c r="I88" s="3"/>
      <c r="J88" s="3"/>
      <c r="K88" s="3"/>
      <c r="L88" s="3"/>
      <c r="M88" s="3">
        <f>-(P87*$O$41)</f>
        <v>-5400</v>
      </c>
      <c r="N88" s="3"/>
    </row>
    <row r="89" spans="1:16" x14ac:dyDescent="0.25">
      <c r="A89" t="s">
        <v>141</v>
      </c>
      <c r="B89" s="4" t="s">
        <v>144</v>
      </c>
      <c r="C89" s="3">
        <f>-(D53-C53)</f>
        <v>-113400</v>
      </c>
      <c r="D89" s="3">
        <f t="shared" ref="D89:L89" si="41">-(E53-D53)</f>
        <v>0</v>
      </c>
      <c r="E89" s="3">
        <f t="shared" si="41"/>
        <v>0</v>
      </c>
      <c r="F89" s="3">
        <f t="shared" si="41"/>
        <v>0</v>
      </c>
      <c r="G89" s="3">
        <f t="shared" si="41"/>
        <v>0</v>
      </c>
      <c r="H89" s="3">
        <f t="shared" si="41"/>
        <v>0</v>
      </c>
      <c r="I89" s="3">
        <f t="shared" si="41"/>
        <v>0</v>
      </c>
      <c r="J89" s="3">
        <f t="shared" si="41"/>
        <v>0</v>
      </c>
      <c r="K89" s="3">
        <f t="shared" si="41"/>
        <v>0</v>
      </c>
      <c r="L89" s="3">
        <f t="shared" si="41"/>
        <v>0</v>
      </c>
      <c r="M89" s="3">
        <f>-(N53-M53)</f>
        <v>113400</v>
      </c>
      <c r="N89" s="3"/>
      <c r="O89" t="s">
        <v>149</v>
      </c>
      <c r="P89" s="3">
        <f>M89-M54</f>
        <v>84323.076923076922</v>
      </c>
    </row>
    <row r="90" spans="1:16" x14ac:dyDescent="0.25">
      <c r="B90" s="4" t="s">
        <v>142</v>
      </c>
      <c r="D90" s="3"/>
      <c r="E90" s="3"/>
      <c r="F90" s="3"/>
      <c r="G90" s="3"/>
      <c r="H90" s="3"/>
      <c r="I90" s="3"/>
      <c r="J90" s="3"/>
      <c r="K90" s="3"/>
      <c r="L90" s="3"/>
      <c r="M90" s="3">
        <f>N90*M89</f>
        <v>11340</v>
      </c>
      <c r="N90" s="28">
        <v>0.1</v>
      </c>
      <c r="O90" t="s">
        <v>150</v>
      </c>
      <c r="P90" s="3">
        <f>SUM(M89:M90)-P89</f>
        <v>40416.923076923078</v>
      </c>
    </row>
    <row r="91" spans="1:16" x14ac:dyDescent="0.25">
      <c r="A91" t="s">
        <v>141</v>
      </c>
      <c r="B91" s="4" t="s">
        <v>143</v>
      </c>
      <c r="D91" s="3"/>
      <c r="E91" s="3"/>
      <c r="F91" s="3"/>
      <c r="G91" s="3"/>
      <c r="H91" s="3"/>
      <c r="I91" s="3"/>
      <c r="J91" s="3"/>
      <c r="K91" s="3"/>
      <c r="L91" s="3"/>
      <c r="M91" s="3">
        <f>-(P90*$O$41)</f>
        <v>-12125.076923076924</v>
      </c>
      <c r="N91" s="3"/>
    </row>
    <row r="92" spans="1:16" x14ac:dyDescent="0.25">
      <c r="A92" t="s">
        <v>141</v>
      </c>
      <c r="B92" s="4" t="s">
        <v>145</v>
      </c>
      <c r="C92" s="3">
        <f>-(D55-C55)</f>
        <v>-75000</v>
      </c>
      <c r="D92" s="3">
        <f t="shared" ref="D92:L92" si="42">-(E55-D55)</f>
        <v>0</v>
      </c>
      <c r="E92" s="3">
        <f t="shared" si="42"/>
        <v>0</v>
      </c>
      <c r="F92" s="3">
        <f t="shared" si="42"/>
        <v>0</v>
      </c>
      <c r="G92" s="3">
        <f t="shared" si="42"/>
        <v>0</v>
      </c>
      <c r="H92" s="3">
        <f t="shared" si="42"/>
        <v>0</v>
      </c>
      <c r="I92" s="3">
        <f t="shared" si="42"/>
        <v>0</v>
      </c>
      <c r="J92" s="3">
        <f t="shared" si="42"/>
        <v>0</v>
      </c>
      <c r="K92" s="3">
        <f t="shared" si="42"/>
        <v>0</v>
      </c>
      <c r="L92" s="3">
        <f t="shared" si="42"/>
        <v>0</v>
      </c>
      <c r="M92" s="3">
        <f>-(N55-M55)</f>
        <v>75000</v>
      </c>
      <c r="N92" s="3"/>
      <c r="O92" t="s">
        <v>149</v>
      </c>
      <c r="P92" s="3">
        <f>M92</f>
        <v>75000</v>
      </c>
    </row>
    <row r="93" spans="1:16" x14ac:dyDescent="0.25">
      <c r="B93" s="4" t="s">
        <v>142</v>
      </c>
      <c r="D93" s="3"/>
      <c r="E93" s="3"/>
      <c r="F93" s="3"/>
      <c r="G93" s="3"/>
      <c r="H93" s="3"/>
      <c r="I93" s="3"/>
      <c r="J93" s="3"/>
      <c r="K93" s="3"/>
      <c r="L93" s="3"/>
      <c r="M93" s="3">
        <f>N93*M92</f>
        <v>15000</v>
      </c>
      <c r="N93" s="28">
        <v>0.2</v>
      </c>
      <c r="O93" t="s">
        <v>150</v>
      </c>
      <c r="P93" s="3">
        <f>SUM(M92:M93)-P92</f>
        <v>15000</v>
      </c>
    </row>
    <row r="94" spans="1:16" x14ac:dyDescent="0.25">
      <c r="A94" s="1" t="s">
        <v>141</v>
      </c>
      <c r="B94" s="4" t="s">
        <v>143</v>
      </c>
      <c r="D94" s="3"/>
      <c r="E94" s="3"/>
      <c r="F94" s="3"/>
      <c r="G94" s="3"/>
      <c r="H94" s="3"/>
      <c r="I94" s="3"/>
      <c r="J94" s="3"/>
      <c r="K94" s="3"/>
      <c r="L94" s="3"/>
      <c r="M94" s="3">
        <f>-(P93*$O$41)</f>
        <v>-4500</v>
      </c>
      <c r="N94" s="3"/>
    </row>
    <row r="95" spans="1:16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6" x14ac:dyDescent="0.25">
      <c r="A96" s="1" t="s">
        <v>146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6" x14ac:dyDescent="0.25">
      <c r="A97" t="s">
        <v>141</v>
      </c>
      <c r="B97" s="20" t="s">
        <v>19</v>
      </c>
      <c r="C97" s="3">
        <f>-(D46-C46)</f>
        <v>-10007.392500000002</v>
      </c>
      <c r="D97" s="3">
        <f t="shared" ref="D97:M97" si="43">-(E46-D46)</f>
        <v>-300.22177499999816</v>
      </c>
      <c r="E97" s="3">
        <f t="shared" si="43"/>
        <v>-309.22842825000225</v>
      </c>
      <c r="F97" s="3">
        <f t="shared" si="43"/>
        <v>-318.50528109749939</v>
      </c>
      <c r="G97" s="3">
        <f t="shared" si="43"/>
        <v>-328.06043953042536</v>
      </c>
      <c r="H97" s="3">
        <f t="shared" si="43"/>
        <v>-337.9022527163379</v>
      </c>
      <c r="I97" s="3">
        <f t="shared" si="43"/>
        <v>-348.03932029782845</v>
      </c>
      <c r="J97" s="3">
        <f t="shared" si="43"/>
        <v>-358.48049990676373</v>
      </c>
      <c r="K97" s="3">
        <f t="shared" si="43"/>
        <v>-369.23491490396555</v>
      </c>
      <c r="L97" s="3">
        <f t="shared" si="43"/>
        <v>-380.31196235108473</v>
      </c>
      <c r="M97" s="3">
        <f t="shared" si="43"/>
        <v>13057.377374053907</v>
      </c>
      <c r="N97" s="3"/>
    </row>
    <row r="98" spans="1:16" x14ac:dyDescent="0.25">
      <c r="A98" t="s">
        <v>141</v>
      </c>
      <c r="B98" t="s">
        <v>18</v>
      </c>
      <c r="C98" s="3">
        <f>-(D47-C47)</f>
        <v>0</v>
      </c>
      <c r="D98" s="3">
        <f t="shared" ref="D98:M98" si="44">-(E47-D47)</f>
        <v>0</v>
      </c>
      <c r="E98" s="3">
        <f t="shared" si="44"/>
        <v>0</v>
      </c>
      <c r="F98" s="3">
        <f t="shared" si="44"/>
        <v>0</v>
      </c>
      <c r="G98" s="3">
        <f t="shared" si="44"/>
        <v>0</v>
      </c>
      <c r="H98" s="3">
        <f t="shared" si="44"/>
        <v>0</v>
      </c>
      <c r="I98" s="3">
        <f t="shared" si="44"/>
        <v>-5826.0454064222431</v>
      </c>
      <c r="J98" s="3">
        <f t="shared" si="44"/>
        <v>-18682.8166933672</v>
      </c>
      <c r="K98" s="3">
        <f t="shared" si="44"/>
        <v>-18358.2266042132</v>
      </c>
      <c r="L98" s="3">
        <f t="shared" si="44"/>
        <v>-19614.191011307979</v>
      </c>
      <c r="M98" s="3">
        <f t="shared" si="44"/>
        <v>62481.279715310622</v>
      </c>
      <c r="N98" s="3"/>
    </row>
    <row r="99" spans="1:16" x14ac:dyDescent="0.25">
      <c r="A99" t="s">
        <v>141</v>
      </c>
      <c r="B99" t="s">
        <v>20</v>
      </c>
      <c r="C99" s="3">
        <f>-(D48-C48)</f>
        <v>-8225.254109589041</v>
      </c>
      <c r="D99" s="3">
        <f t="shared" ref="D99:M99" si="45">-(E48-D48)</f>
        <v>-246.75762328767087</v>
      </c>
      <c r="E99" s="3">
        <f t="shared" si="45"/>
        <v>-254.16035198630379</v>
      </c>
      <c r="F99" s="3">
        <f t="shared" si="45"/>
        <v>-261.78516254588976</v>
      </c>
      <c r="G99" s="3">
        <f t="shared" si="45"/>
        <v>-269.63871742226729</v>
      </c>
      <c r="H99" s="3">
        <f t="shared" si="45"/>
        <v>-277.72787894493558</v>
      </c>
      <c r="I99" s="3">
        <f t="shared" si="45"/>
        <v>-286.05971531328214</v>
      </c>
      <c r="J99" s="3">
        <f t="shared" si="45"/>
        <v>-294.64150677268117</v>
      </c>
      <c r="K99" s="3">
        <f t="shared" si="45"/>
        <v>-303.48075197586513</v>
      </c>
      <c r="L99" s="3">
        <f t="shared" si="45"/>
        <v>-312.58517453513741</v>
      </c>
      <c r="M99" s="3">
        <f t="shared" si="45"/>
        <v>10732.090992373074</v>
      </c>
      <c r="N99" s="3"/>
    </row>
    <row r="100" spans="1:16" x14ac:dyDescent="0.25">
      <c r="A100" t="s">
        <v>141</v>
      </c>
      <c r="B100" t="s">
        <v>21</v>
      </c>
      <c r="C100" s="3">
        <f>-(D49-C49)</f>
        <v>-42058.466013698628</v>
      </c>
      <c r="D100" s="3">
        <f t="shared" ref="D100:M100" si="46">-(E49-D49)</f>
        <v>-1261.753980410962</v>
      </c>
      <c r="E100" s="3">
        <f t="shared" si="46"/>
        <v>-1299.6065998232953</v>
      </c>
      <c r="F100" s="3">
        <f t="shared" si="46"/>
        <v>-1338.5947978179829</v>
      </c>
      <c r="G100" s="3">
        <f t="shared" si="46"/>
        <v>-1378.7526417525296</v>
      </c>
      <c r="H100" s="3">
        <f t="shared" si="46"/>
        <v>-1420.1152210051005</v>
      </c>
      <c r="I100" s="3">
        <f t="shared" si="46"/>
        <v>-1462.718677635261</v>
      </c>
      <c r="J100" s="3">
        <f t="shared" si="46"/>
        <v>-1506.6002379643105</v>
      </c>
      <c r="K100" s="3">
        <f t="shared" si="46"/>
        <v>-1551.7982451032367</v>
      </c>
      <c r="L100" s="3">
        <f t="shared" si="46"/>
        <v>-1598.3521924563465</v>
      </c>
      <c r="M100" s="3">
        <f t="shared" si="46"/>
        <v>54876.758607667653</v>
      </c>
      <c r="N100" s="3"/>
    </row>
    <row r="101" spans="1:16" x14ac:dyDescent="0.25">
      <c r="A101" t="s">
        <v>141</v>
      </c>
      <c r="B101" t="s">
        <v>120</v>
      </c>
      <c r="C101" s="3">
        <f>-(D57-C57)</f>
        <v>-35000</v>
      </c>
      <c r="D101" s="3">
        <f t="shared" ref="D101:M101" si="47">-(E57-D57)</f>
        <v>0</v>
      </c>
      <c r="E101" s="3">
        <f t="shared" si="47"/>
        <v>0</v>
      </c>
      <c r="F101" s="3">
        <f t="shared" si="47"/>
        <v>0</v>
      </c>
      <c r="G101" s="3">
        <f t="shared" si="47"/>
        <v>0</v>
      </c>
      <c r="H101" s="3">
        <f t="shared" si="47"/>
        <v>0</v>
      </c>
      <c r="I101" s="3">
        <f t="shared" si="47"/>
        <v>0</v>
      </c>
      <c r="J101" s="3">
        <f t="shared" si="47"/>
        <v>0</v>
      </c>
      <c r="K101" s="3">
        <f t="shared" si="47"/>
        <v>0</v>
      </c>
      <c r="L101" s="3">
        <f t="shared" si="47"/>
        <v>0</v>
      </c>
      <c r="M101" s="3">
        <f t="shared" si="47"/>
        <v>35000</v>
      </c>
      <c r="N101" s="3"/>
    </row>
    <row r="102" spans="1:16" x14ac:dyDescent="0.25">
      <c r="A102" t="s">
        <v>151</v>
      </c>
      <c r="B102" t="s">
        <v>147</v>
      </c>
      <c r="C102" s="3">
        <f>D81-C81</f>
        <v>6554.3646746296845</v>
      </c>
      <c r="D102" s="3">
        <f t="shared" ref="D102:M102" si="48">E81-D81</f>
        <v>467.21488529383532</v>
      </c>
      <c r="E102" s="3">
        <f t="shared" si="48"/>
        <v>481.77391185264878</v>
      </c>
      <c r="F102" s="3">
        <f t="shared" si="48"/>
        <v>496.78056080823353</v>
      </c>
      <c r="G102" s="3">
        <f t="shared" si="48"/>
        <v>512.24847786447481</v>
      </c>
      <c r="H102" s="3">
        <f t="shared" si="48"/>
        <v>528.19172243705725</v>
      </c>
      <c r="I102" s="3">
        <f t="shared" si="48"/>
        <v>544.62478015153283</v>
      </c>
      <c r="J102" s="3">
        <f t="shared" si="48"/>
        <v>2104.4197185754274</v>
      </c>
      <c r="K102" s="3">
        <f t="shared" si="48"/>
        <v>579.02048619527523</v>
      </c>
      <c r="L102" s="3">
        <f t="shared" si="48"/>
        <v>597.01435465068971</v>
      </c>
      <c r="M102" s="3">
        <f t="shared" si="48"/>
        <v>-12865.653572458859</v>
      </c>
      <c r="N102" s="3"/>
    </row>
    <row r="103" spans="1:16" x14ac:dyDescent="0.25">
      <c r="A103" t="s">
        <v>151</v>
      </c>
      <c r="B103" s="20" t="s">
        <v>28</v>
      </c>
      <c r="C103" s="3">
        <f>D62-C62</f>
        <v>9979.9749863013694</v>
      </c>
      <c r="D103" s="3">
        <f t="shared" ref="D103:M103" si="49">E62-D62</f>
        <v>299.39924958904157</v>
      </c>
      <c r="E103" s="3">
        <f t="shared" si="49"/>
        <v>308.38122707671391</v>
      </c>
      <c r="F103" s="3">
        <f t="shared" si="49"/>
        <v>317.6326638890132</v>
      </c>
      <c r="G103" s="3">
        <f t="shared" si="49"/>
        <v>327.16164380568625</v>
      </c>
      <c r="H103" s="3">
        <f t="shared" si="49"/>
        <v>336.97649311985333</v>
      </c>
      <c r="I103" s="3">
        <f t="shared" si="49"/>
        <v>347.08578791345099</v>
      </c>
      <c r="J103" s="3">
        <f t="shared" si="49"/>
        <v>357.49836155085359</v>
      </c>
      <c r="K103" s="3">
        <f t="shared" si="49"/>
        <v>368.22331239738014</v>
      </c>
      <c r="L103" s="3">
        <f t="shared" si="49"/>
        <v>379.27001176930025</v>
      </c>
      <c r="M103" s="3">
        <f t="shared" si="49"/>
        <v>-13021.603737412663</v>
      </c>
      <c r="N103" s="3"/>
    </row>
    <row r="104" spans="1:16" x14ac:dyDescent="0.25">
      <c r="A104" s="1" t="s">
        <v>152</v>
      </c>
      <c r="C104" s="21">
        <f>SUM(C82:C103)</f>
        <v>-303156.77296235657</v>
      </c>
      <c r="D104" s="21">
        <f t="shared" ref="D104:M104" si="50">SUM(D82:D103)</f>
        <v>22301.947780869625</v>
      </c>
      <c r="E104" s="21">
        <f t="shared" si="50"/>
        <v>23361.394849240751</v>
      </c>
      <c r="F104" s="21">
        <f t="shared" si="50"/>
        <v>24453.902201263052</v>
      </c>
      <c r="G104" s="21">
        <f t="shared" si="50"/>
        <v>25580.487182877994</v>
      </c>
      <c r="H104" s="21">
        <f t="shared" si="50"/>
        <v>26742.198171154028</v>
      </c>
      <c r="I104" s="21">
        <f t="shared" si="50"/>
        <v>22114.070109012995</v>
      </c>
      <c r="J104" s="21">
        <f t="shared" si="50"/>
        <v>12035.392956418862</v>
      </c>
      <c r="K104" s="21">
        <f t="shared" si="50"/>
        <v>10547.972630518783</v>
      </c>
      <c r="L104" s="21">
        <f t="shared" si="50"/>
        <v>10605.361175014144</v>
      </c>
      <c r="M104" s="21">
        <f t="shared" si="50"/>
        <v>393902.72309988644</v>
      </c>
      <c r="N104" s="3"/>
    </row>
    <row r="105" spans="1:16" x14ac:dyDescent="0.25">
      <c r="A105" t="s">
        <v>153</v>
      </c>
      <c r="C105" s="36">
        <f t="shared" ref="C105:M105" si="51">-PV($C$108,C76,,C104)</f>
        <v>-303156.77296235657</v>
      </c>
      <c r="D105" s="36">
        <f t="shared" si="51"/>
        <v>20713.176830642056</v>
      </c>
      <c r="E105" s="36">
        <f t="shared" si="51"/>
        <v>20151.464149431213</v>
      </c>
      <c r="F105" s="36">
        <f t="shared" si="51"/>
        <v>19591.149811254407</v>
      </c>
      <c r="G105" s="36">
        <f t="shared" si="51"/>
        <v>19033.755412999795</v>
      </c>
      <c r="H105" s="36">
        <f t="shared" si="51"/>
        <v>18480.626669288478</v>
      </c>
      <c r="I105" s="36">
        <f t="shared" si="51"/>
        <v>14193.58789109009</v>
      </c>
      <c r="J105" s="36">
        <f t="shared" si="51"/>
        <v>7174.43494740595</v>
      </c>
      <c r="K105" s="36">
        <f t="shared" si="51"/>
        <v>5839.8318171793599</v>
      </c>
      <c r="L105" s="36">
        <f t="shared" si="51"/>
        <v>5453.3167921897812</v>
      </c>
      <c r="M105" s="36">
        <f t="shared" si="51"/>
        <v>188117.05244288937</v>
      </c>
      <c r="N105" s="3"/>
      <c r="O105" s="3"/>
    </row>
    <row r="106" spans="1:16" ht="15.75" thickBot="1" x14ac:dyDescent="0.3">
      <c r="A106" t="s">
        <v>154</v>
      </c>
      <c r="C106" s="3">
        <f>SUM(C105:M105)</f>
        <v>15591.623802013899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6" x14ac:dyDescent="0.25">
      <c r="A107" s="111" t="s">
        <v>155</v>
      </c>
      <c r="B107" s="112"/>
      <c r="C107" s="113">
        <f>IRR(C104:M104)</f>
        <v>8.393208113481343E-2</v>
      </c>
    </row>
    <row r="108" spans="1:16" ht="15.75" thickBot="1" x14ac:dyDescent="0.3">
      <c r="A108" s="114" t="s">
        <v>131</v>
      </c>
      <c r="B108" s="115"/>
      <c r="C108" s="116">
        <f>$T$69</f>
        <v>7.670339336249074E-2</v>
      </c>
      <c r="D108" s="7">
        <f>C107-C108</f>
        <v>7.2286877723226894E-3</v>
      </c>
      <c r="E108" t="s">
        <v>223</v>
      </c>
    </row>
    <row r="109" spans="1:16" x14ac:dyDescent="0.25">
      <c r="A109" s="1"/>
      <c r="B109" s="1"/>
      <c r="C109" s="97"/>
      <c r="D109" s="7"/>
    </row>
    <row r="110" spans="1:16" x14ac:dyDescent="0.25">
      <c r="A110" s="26"/>
      <c r="B110" s="26"/>
      <c r="C110" s="95"/>
      <c r="D110" s="9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5">
      <c r="A111" s="125" t="s">
        <v>177</v>
      </c>
      <c r="B111" s="126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N111" s="45"/>
      <c r="O111" s="45"/>
    </row>
    <row r="112" spans="1:16" x14ac:dyDescent="0.25">
      <c r="A112" s="43"/>
      <c r="B112" s="44"/>
      <c r="C112" s="44"/>
      <c r="D112" s="44"/>
      <c r="E112" s="44"/>
      <c r="F112" s="44"/>
      <c r="G112" s="44"/>
      <c r="J112" s="44"/>
      <c r="K112" s="44"/>
      <c r="L112" s="44"/>
      <c r="M112" t="s">
        <v>178</v>
      </c>
      <c r="N112" s="45"/>
      <c r="O112" s="45"/>
    </row>
    <row r="113" spans="1:15" x14ac:dyDescent="0.25">
      <c r="A113" s="43" t="s">
        <v>179</v>
      </c>
      <c r="B113" s="44"/>
      <c r="C113" s="45"/>
      <c r="D113" s="44"/>
      <c r="E113" s="44"/>
      <c r="F113" s="44"/>
      <c r="G113" s="44"/>
      <c r="J113" s="44" t="s">
        <v>180</v>
      </c>
      <c r="K113" s="44" t="s">
        <v>181</v>
      </c>
      <c r="L113" s="44" t="s">
        <v>182</v>
      </c>
      <c r="M113" s="44" t="s">
        <v>183</v>
      </c>
      <c r="N113" s="44" t="s">
        <v>184</v>
      </c>
      <c r="O113" s="46"/>
    </row>
    <row r="114" spans="1:15" x14ac:dyDescent="0.25">
      <c r="A114" s="44"/>
      <c r="B114" s="44" t="s">
        <v>185</v>
      </c>
      <c r="C114" s="45"/>
      <c r="D114" s="47">
        <f>(D21-D23-D33)/(D37+D38)</f>
        <v>3.3110100248159204</v>
      </c>
      <c r="E114" s="47">
        <f t="shared" ref="E114:H114" si="52">(E21-E23-E33)/(E37+E38)</f>
        <v>3.8219304067067865</v>
      </c>
      <c r="F114" s="47">
        <f t="shared" si="52"/>
        <v>4.5039749651044865</v>
      </c>
      <c r="G114" s="47">
        <f t="shared" si="52"/>
        <v>5.4628810516908466</v>
      </c>
      <c r="H114" s="47">
        <f t="shared" si="52"/>
        <v>6.913788159205783</v>
      </c>
      <c r="J114" s="48">
        <f>AVERAGE(D114:H114)</f>
        <v>4.8027169215047643</v>
      </c>
      <c r="K114" s="49" t="s">
        <v>188</v>
      </c>
      <c r="L114" s="50">
        <f>$D$5</f>
        <v>1.5299999999999999E-2</v>
      </c>
      <c r="M114" s="51">
        <f>I135</f>
        <v>0.02</v>
      </c>
      <c r="N114" s="50">
        <f>L114+M114</f>
        <v>3.5299999999999998E-2</v>
      </c>
      <c r="O114" s="46"/>
    </row>
    <row r="115" spans="1:15" x14ac:dyDescent="0.25">
      <c r="A115" s="44"/>
      <c r="B115" s="44" t="s">
        <v>187</v>
      </c>
      <c r="C115" s="44"/>
      <c r="D115" s="52">
        <f>SUM(D77:D78)/SUM(D77:D81)</f>
        <v>0.45060856547076361</v>
      </c>
      <c r="E115" s="52">
        <f t="shared" ref="E115:H115" si="53">SUM(E77:E78)/SUM(E77:E81)</f>
        <v>0.44979795955074348</v>
      </c>
      <c r="F115" s="52">
        <f t="shared" si="53"/>
        <v>0.44904469181244955</v>
      </c>
      <c r="G115" s="52">
        <f t="shared" si="53"/>
        <v>0.44834321348752276</v>
      </c>
      <c r="H115" s="52">
        <f t="shared" si="53"/>
        <v>0.44768866627936832</v>
      </c>
      <c r="J115" s="53">
        <f>AVERAGE(D115:H115)</f>
        <v>0.44909661932016959</v>
      </c>
      <c r="K115" s="54" t="s">
        <v>195</v>
      </c>
      <c r="L115" s="55">
        <f>$D$5</f>
        <v>1.5299999999999999E-2</v>
      </c>
      <c r="M115" s="56">
        <f>G135</f>
        <v>1.4999999999999999E-2</v>
      </c>
      <c r="N115" s="55">
        <f>L115+M115</f>
        <v>3.0300000000000001E-2</v>
      </c>
      <c r="O115" s="46"/>
    </row>
    <row r="116" spans="1:15" x14ac:dyDescent="0.25">
      <c r="A116" s="44"/>
      <c r="B116" s="44"/>
      <c r="C116" s="45"/>
      <c r="D116" s="57"/>
      <c r="E116" s="57"/>
      <c r="F116" s="57"/>
      <c r="G116" s="57"/>
      <c r="J116" s="57"/>
      <c r="K116" s="44"/>
      <c r="L116" s="50"/>
      <c r="M116" s="50"/>
      <c r="N116" s="50"/>
      <c r="O116" s="46"/>
    </row>
    <row r="117" spans="1:15" x14ac:dyDescent="0.25">
      <c r="C117" s="45"/>
      <c r="J117" s="46"/>
      <c r="L117" s="58"/>
      <c r="M117" s="59" t="s">
        <v>180</v>
      </c>
      <c r="N117" s="60">
        <f>AVERAGE(N114:N115)</f>
        <v>3.2799999999999996E-2</v>
      </c>
      <c r="O117" s="41"/>
    </row>
    <row r="118" spans="1:15" x14ac:dyDescent="0.25">
      <c r="A118" s="43"/>
      <c r="B118" s="44"/>
      <c r="C118" s="44"/>
      <c r="D118" s="44"/>
      <c r="E118" s="44"/>
      <c r="F118" s="44"/>
      <c r="G118" s="44"/>
      <c r="J118" s="44"/>
      <c r="K118" s="44"/>
      <c r="L118" s="44"/>
      <c r="N118" s="45"/>
      <c r="O118" s="46"/>
    </row>
    <row r="119" spans="1:15" x14ac:dyDescent="0.25">
      <c r="A119" s="43"/>
      <c r="B119" s="44"/>
      <c r="C119" s="44"/>
      <c r="D119" s="44"/>
      <c r="E119" s="44"/>
      <c r="F119" s="44"/>
      <c r="G119" s="44"/>
      <c r="J119" s="44"/>
      <c r="K119" s="44"/>
      <c r="L119" s="44"/>
      <c r="N119" s="45"/>
      <c r="O119" s="46"/>
    </row>
    <row r="120" spans="1:15" x14ac:dyDescent="0.25">
      <c r="A120" s="43"/>
      <c r="B120" s="44"/>
      <c r="C120" s="44"/>
      <c r="D120" s="44"/>
      <c r="E120" s="44"/>
      <c r="F120" s="44"/>
      <c r="G120" s="44"/>
      <c r="J120" s="44"/>
      <c r="K120" s="44"/>
      <c r="L120" s="44"/>
      <c r="M120" t="s">
        <v>189</v>
      </c>
      <c r="N120" s="45"/>
      <c r="O120" s="46"/>
    </row>
    <row r="121" spans="1:15" x14ac:dyDescent="0.25">
      <c r="A121" s="43" t="s">
        <v>190</v>
      </c>
      <c r="B121" s="44"/>
      <c r="C121" s="45"/>
      <c r="D121" s="44"/>
      <c r="E121" s="44"/>
      <c r="F121" s="44"/>
      <c r="G121" s="44"/>
      <c r="J121" s="44" t="s">
        <v>180</v>
      </c>
      <c r="K121" s="44" t="s">
        <v>181</v>
      </c>
      <c r="L121" s="44" t="s">
        <v>182</v>
      </c>
      <c r="M121" s="44" t="s">
        <v>215</v>
      </c>
      <c r="N121" s="44" t="s">
        <v>184</v>
      </c>
      <c r="O121" s="46"/>
    </row>
    <row r="122" spans="1:15" x14ac:dyDescent="0.25">
      <c r="A122" s="44"/>
      <c r="B122" s="44" t="s">
        <v>185</v>
      </c>
      <c r="C122" s="45"/>
      <c r="D122" s="47">
        <f>D114</f>
        <v>3.3110100248159204</v>
      </c>
      <c r="E122" s="47">
        <f t="shared" ref="E122:H122" si="54">E114</f>
        <v>3.8219304067067865</v>
      </c>
      <c r="F122" s="47">
        <f t="shared" si="54"/>
        <v>4.5039749651044865</v>
      </c>
      <c r="G122" s="47">
        <f t="shared" si="54"/>
        <v>5.4628810516908466</v>
      </c>
      <c r="H122" s="47">
        <f t="shared" si="54"/>
        <v>6.913788159205783</v>
      </c>
      <c r="J122" s="48">
        <f>AVERAGE(D122:H122)</f>
        <v>4.8027169215047643</v>
      </c>
      <c r="K122" s="49" t="s">
        <v>188</v>
      </c>
      <c r="L122" s="50">
        <f>$D$5</f>
        <v>1.5299999999999999E-2</v>
      </c>
      <c r="M122" s="51">
        <f>I136</f>
        <v>4.2500000000000003E-2</v>
      </c>
      <c r="N122" s="50">
        <f>L122+M122</f>
        <v>5.7800000000000004E-2</v>
      </c>
      <c r="O122" s="46"/>
    </row>
    <row r="123" spans="1:15" x14ac:dyDescent="0.25">
      <c r="A123" s="44"/>
      <c r="B123" s="44" t="s">
        <v>187</v>
      </c>
      <c r="C123" s="44"/>
      <c r="D123" s="52">
        <f>SUM(D77:D78)/SUM(D77:D81)</f>
        <v>0.45060856547076361</v>
      </c>
      <c r="E123" s="52">
        <f t="shared" ref="E123:H123" si="55">SUM(E77:E78)/SUM(E77:E81)</f>
        <v>0.44979795955074348</v>
      </c>
      <c r="F123" s="52">
        <f t="shared" si="55"/>
        <v>0.44904469181244955</v>
      </c>
      <c r="G123" s="52">
        <f t="shared" si="55"/>
        <v>0.44834321348752276</v>
      </c>
      <c r="H123" s="52">
        <f t="shared" si="55"/>
        <v>0.44768866627936832</v>
      </c>
      <c r="J123" s="53">
        <f>AVERAGE(D123:H123)</f>
        <v>0.44909661932016959</v>
      </c>
      <c r="K123" s="54" t="s">
        <v>195</v>
      </c>
      <c r="L123" s="55">
        <f>$D$5</f>
        <v>1.5299999999999999E-2</v>
      </c>
      <c r="M123" s="56">
        <f>G136</f>
        <v>3.7499999999999999E-2</v>
      </c>
      <c r="N123" s="55">
        <f>L123+M123</f>
        <v>5.28E-2</v>
      </c>
      <c r="O123" s="46"/>
    </row>
    <row r="124" spans="1:15" x14ac:dyDescent="0.25">
      <c r="A124" s="44"/>
      <c r="B124" s="44"/>
      <c r="C124" s="45"/>
      <c r="D124" s="57"/>
      <c r="E124" s="57"/>
      <c r="F124" s="57"/>
      <c r="G124" s="57"/>
      <c r="J124" s="57"/>
      <c r="K124" s="44"/>
      <c r="L124" s="50"/>
      <c r="M124" s="50"/>
      <c r="N124" s="50"/>
      <c r="O124" s="46"/>
    </row>
    <row r="125" spans="1:15" x14ac:dyDescent="0.25">
      <c r="C125" s="45"/>
      <c r="J125" s="46"/>
      <c r="L125" s="58"/>
      <c r="M125" s="59" t="s">
        <v>180</v>
      </c>
      <c r="N125" s="60">
        <f>AVERAGE(N122:N123)</f>
        <v>5.5300000000000002E-2</v>
      </c>
      <c r="O125" s="99"/>
    </row>
    <row r="126" spans="1:15" x14ac:dyDescent="0.25">
      <c r="A126" s="43" t="s">
        <v>191</v>
      </c>
      <c r="C126" s="45"/>
      <c r="D126" s="45"/>
      <c r="E126" s="45"/>
      <c r="J126" s="46"/>
      <c r="L126" s="58"/>
      <c r="M126" s="59"/>
      <c r="N126" s="61"/>
      <c r="O126" s="61"/>
    </row>
    <row r="127" spans="1:15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K127" s="61"/>
      <c r="L127" s="46"/>
      <c r="N127" s="45"/>
      <c r="O127" s="45"/>
    </row>
    <row r="128" spans="1:15" x14ac:dyDescent="0.25">
      <c r="A128" s="46"/>
      <c r="B128" s="62" t="s">
        <v>192</v>
      </c>
      <c r="C128" s="63"/>
      <c r="D128" s="64"/>
      <c r="E128" s="65"/>
      <c r="F128" s="65"/>
      <c r="G128" s="65"/>
      <c r="H128" s="65"/>
      <c r="I128" s="65"/>
      <c r="J128" s="66"/>
      <c r="K128" s="46"/>
      <c r="L128" s="46"/>
      <c r="N128" s="45"/>
      <c r="O128" s="45"/>
    </row>
    <row r="129" spans="1:15" x14ac:dyDescent="0.25">
      <c r="A129" s="46"/>
      <c r="B129" s="67"/>
      <c r="C129" s="45"/>
      <c r="D129" s="45"/>
      <c r="E129" s="68" t="s">
        <v>193</v>
      </c>
      <c r="F129" s="69" t="s">
        <v>194</v>
      </c>
      <c r="G129" s="69" t="s">
        <v>195</v>
      </c>
      <c r="H129" s="68" t="s">
        <v>196</v>
      </c>
      <c r="I129" s="68" t="s">
        <v>188</v>
      </c>
      <c r="J129" s="70" t="s">
        <v>186</v>
      </c>
      <c r="K129" s="46"/>
      <c r="L129" s="46"/>
      <c r="N129" s="45"/>
      <c r="O129" s="45"/>
    </row>
    <row r="130" spans="1:15" x14ac:dyDescent="0.25">
      <c r="A130" s="46"/>
      <c r="B130" s="67" t="s">
        <v>197</v>
      </c>
      <c r="C130" s="45"/>
      <c r="D130" s="45"/>
      <c r="E130" s="71">
        <v>20</v>
      </c>
      <c r="F130" s="71">
        <v>15</v>
      </c>
      <c r="G130" s="71">
        <v>10</v>
      </c>
      <c r="H130" s="71">
        <v>5</v>
      </c>
      <c r="I130" s="71">
        <v>4</v>
      </c>
      <c r="J130" s="72">
        <v>2</v>
      </c>
      <c r="K130" s="46"/>
      <c r="L130" s="46"/>
      <c r="N130" s="45"/>
      <c r="O130" s="45"/>
    </row>
    <row r="131" spans="1:15" x14ac:dyDescent="0.25">
      <c r="A131" s="46"/>
      <c r="B131" s="67" t="s">
        <v>198</v>
      </c>
      <c r="C131" s="45"/>
      <c r="D131" s="45"/>
      <c r="E131" s="73">
        <v>0.25</v>
      </c>
      <c r="F131" s="73">
        <v>0.35</v>
      </c>
      <c r="G131" s="73">
        <v>0.45</v>
      </c>
      <c r="H131" s="73">
        <v>0.5</v>
      </c>
      <c r="I131" s="73">
        <v>0.6</v>
      </c>
      <c r="J131" s="74">
        <v>0.75</v>
      </c>
      <c r="K131" s="46"/>
      <c r="L131" s="46"/>
      <c r="N131" s="45"/>
      <c r="O131" s="45"/>
    </row>
    <row r="132" spans="1:15" x14ac:dyDescent="0.25">
      <c r="A132" s="46"/>
      <c r="B132" s="75"/>
      <c r="C132" s="76"/>
      <c r="D132" s="26"/>
      <c r="E132" s="76"/>
      <c r="F132" s="76"/>
      <c r="G132" s="76"/>
      <c r="H132" s="76"/>
      <c r="I132" s="76"/>
      <c r="J132" s="77"/>
      <c r="K132" s="46"/>
      <c r="L132" s="46"/>
      <c r="N132" s="45"/>
      <c r="O132" s="45"/>
    </row>
    <row r="133" spans="1:15" x14ac:dyDescent="0.25">
      <c r="A133" s="46"/>
      <c r="B133" s="62" t="s">
        <v>199</v>
      </c>
      <c r="C133" s="78"/>
      <c r="D133" s="79"/>
      <c r="E133" s="79"/>
      <c r="F133" s="79"/>
      <c r="G133" s="79"/>
      <c r="H133" s="79"/>
      <c r="I133" s="80"/>
      <c r="J133" s="81"/>
      <c r="K133" s="61"/>
      <c r="L133" s="46"/>
      <c r="N133" s="45"/>
      <c r="O133" s="45"/>
    </row>
    <row r="134" spans="1:15" x14ac:dyDescent="0.25">
      <c r="A134" s="46"/>
      <c r="B134" s="82"/>
      <c r="C134" s="45"/>
      <c r="D134" s="45"/>
      <c r="E134" s="68" t="s">
        <v>193</v>
      </c>
      <c r="F134" s="69" t="s">
        <v>194</v>
      </c>
      <c r="G134" s="69" t="s">
        <v>195</v>
      </c>
      <c r="H134" s="68" t="s">
        <v>196</v>
      </c>
      <c r="I134" s="68" t="s">
        <v>188</v>
      </c>
      <c r="J134" s="70" t="s">
        <v>186</v>
      </c>
      <c r="K134" s="46"/>
      <c r="L134" s="46"/>
      <c r="N134" s="45"/>
      <c r="O134" s="45"/>
    </row>
    <row r="135" spans="1:15" x14ac:dyDescent="0.25">
      <c r="A135" s="46"/>
      <c r="B135" s="67" t="s">
        <v>200</v>
      </c>
      <c r="C135" s="45"/>
      <c r="D135" s="45"/>
      <c r="E135" s="83">
        <v>0.01</v>
      </c>
      <c r="F135" s="84">
        <v>1.2500000000000001E-2</v>
      </c>
      <c r="G135" s="84">
        <v>1.4999999999999999E-2</v>
      </c>
      <c r="H135" s="84">
        <v>1.7500000000000002E-2</v>
      </c>
      <c r="I135" s="84">
        <v>0.02</v>
      </c>
      <c r="J135" s="85">
        <v>2.2499999999999999E-2</v>
      </c>
      <c r="K135" s="46"/>
      <c r="L135" s="46"/>
      <c r="N135" s="45"/>
      <c r="O135" s="45"/>
    </row>
    <row r="136" spans="1:15" x14ac:dyDescent="0.25">
      <c r="A136" s="46"/>
      <c r="B136" s="67" t="s">
        <v>201</v>
      </c>
      <c r="C136" s="45"/>
      <c r="D136" s="45"/>
      <c r="E136" s="83">
        <v>0.03</v>
      </c>
      <c r="F136" s="84">
        <v>3.2500000000000001E-2</v>
      </c>
      <c r="G136" s="84">
        <v>3.7499999999999999E-2</v>
      </c>
      <c r="H136" s="84">
        <v>0.04</v>
      </c>
      <c r="I136" s="84">
        <v>4.2500000000000003E-2</v>
      </c>
      <c r="J136" s="85">
        <v>4.4999999999999998E-2</v>
      </c>
      <c r="K136" s="46"/>
      <c r="L136" s="46"/>
      <c r="N136" s="45"/>
      <c r="O136" s="45"/>
    </row>
    <row r="137" spans="1:15" x14ac:dyDescent="0.25">
      <c r="A137" s="46"/>
      <c r="B137" s="86"/>
      <c r="C137" s="87"/>
      <c r="D137" s="88"/>
      <c r="E137" s="88"/>
      <c r="F137" s="88"/>
      <c r="G137" s="88"/>
      <c r="H137" s="88"/>
      <c r="I137" s="89"/>
      <c r="J137" s="90"/>
      <c r="K137" s="45"/>
      <c r="L137" s="45"/>
      <c r="M137" s="45"/>
      <c r="N137" s="45"/>
      <c r="O137" s="45"/>
    </row>
    <row r="138" spans="1:15" x14ac:dyDescent="0.25">
      <c r="C138" s="35"/>
      <c r="D138" s="7"/>
    </row>
    <row r="139" spans="1:15" x14ac:dyDescent="0.25">
      <c r="B139" s="1" t="s">
        <v>41</v>
      </c>
    </row>
    <row r="140" spans="1:15" x14ac:dyDescent="0.25">
      <c r="B140" t="s">
        <v>98</v>
      </c>
    </row>
    <row r="141" spans="1:15" x14ac:dyDescent="0.25">
      <c r="B141" t="s">
        <v>45</v>
      </c>
    </row>
    <row r="142" spans="1:15" x14ac:dyDescent="0.25">
      <c r="B142" t="s">
        <v>119</v>
      </c>
    </row>
    <row r="143" spans="1:15" x14ac:dyDescent="0.25">
      <c r="B143" t="s">
        <v>97</v>
      </c>
    </row>
    <row r="144" spans="1:15" x14ac:dyDescent="0.25">
      <c r="B144" t="s">
        <v>96</v>
      </c>
    </row>
    <row r="145" spans="2:2" x14ac:dyDescent="0.25">
      <c r="B145" s="20" t="s">
        <v>217</v>
      </c>
    </row>
    <row r="146" spans="2:2" x14ac:dyDescent="0.25">
      <c r="B146" t="s">
        <v>77</v>
      </c>
    </row>
    <row r="147" spans="2:2" x14ac:dyDescent="0.25">
      <c r="B147" t="s">
        <v>82</v>
      </c>
    </row>
    <row r="149" spans="2:2" x14ac:dyDescent="0.25">
      <c r="B149" s="1" t="s">
        <v>161</v>
      </c>
    </row>
    <row r="150" spans="2:2" x14ac:dyDescent="0.25">
      <c r="B150" t="s">
        <v>158</v>
      </c>
    </row>
    <row r="151" spans="2:2" x14ac:dyDescent="0.25">
      <c r="B151" t="s">
        <v>99</v>
      </c>
    </row>
    <row r="152" spans="2:2" x14ac:dyDescent="0.25">
      <c r="B152" t="s">
        <v>100</v>
      </c>
    </row>
    <row r="153" spans="2:2" x14ac:dyDescent="0.25">
      <c r="B153" t="s">
        <v>159</v>
      </c>
    </row>
    <row r="154" spans="2:2" x14ac:dyDescent="0.25">
      <c r="B154" t="s">
        <v>160</v>
      </c>
    </row>
    <row r="155" spans="2:2" x14ac:dyDescent="0.25">
      <c r="B155" t="s">
        <v>101</v>
      </c>
    </row>
    <row r="156" spans="2:2" x14ac:dyDescent="0.25">
      <c r="B156" t="s">
        <v>218</v>
      </c>
    </row>
    <row r="157" spans="2:2" x14ac:dyDescent="0.25">
      <c r="B157" t="s">
        <v>219</v>
      </c>
    </row>
    <row r="158" spans="2:2" x14ac:dyDescent="0.25">
      <c r="B158" t="s">
        <v>102</v>
      </c>
    </row>
    <row r="159" spans="2:2" x14ac:dyDescent="0.25">
      <c r="B159" t="s">
        <v>103</v>
      </c>
    </row>
    <row r="160" spans="2:2" x14ac:dyDescent="0.25">
      <c r="B160" t="s">
        <v>104</v>
      </c>
    </row>
    <row r="161" spans="2:2" x14ac:dyDescent="0.25">
      <c r="B161" t="s">
        <v>105</v>
      </c>
    </row>
    <row r="162" spans="2:2" x14ac:dyDescent="0.25">
      <c r="B162" t="s">
        <v>106</v>
      </c>
    </row>
    <row r="163" spans="2:2" x14ac:dyDescent="0.25">
      <c r="B163" t="s">
        <v>107</v>
      </c>
    </row>
    <row r="164" spans="2:2" x14ac:dyDescent="0.25">
      <c r="B164" t="s">
        <v>108</v>
      </c>
    </row>
    <row r="165" spans="2:2" x14ac:dyDescent="0.25">
      <c r="B165" t="s">
        <v>109</v>
      </c>
    </row>
    <row r="166" spans="2:2" x14ac:dyDescent="0.25">
      <c r="B166" t="s">
        <v>110</v>
      </c>
    </row>
    <row r="167" spans="2:2" x14ac:dyDescent="0.25">
      <c r="B167" t="s">
        <v>111</v>
      </c>
    </row>
    <row r="168" spans="2:2" x14ac:dyDescent="0.25">
      <c r="B168" t="s">
        <v>112</v>
      </c>
    </row>
    <row r="169" spans="2:2" x14ac:dyDescent="0.25">
      <c r="B169" t="s">
        <v>113</v>
      </c>
    </row>
    <row r="170" spans="2:2" x14ac:dyDescent="0.25">
      <c r="B170" t="s">
        <v>114</v>
      </c>
    </row>
    <row r="171" spans="2:2" x14ac:dyDescent="0.25">
      <c r="B171" t="s">
        <v>162</v>
      </c>
    </row>
    <row r="172" spans="2:2" x14ac:dyDescent="0.25">
      <c r="B172" t="s">
        <v>115</v>
      </c>
    </row>
    <row r="173" spans="2:2" x14ac:dyDescent="0.25">
      <c r="B173" t="s">
        <v>163</v>
      </c>
    </row>
  </sheetData>
  <mergeCells count="1">
    <mergeCell ref="A1:M2"/>
  </mergeCells>
  <pageMargins left="0.7" right="0.7" top="0.75" bottom="0.75" header="0.3" footer="0.3"/>
  <pageSetup scale="7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86"/>
  <sheetViews>
    <sheetView workbookViewId="0"/>
  </sheetViews>
  <sheetFormatPr defaultColWidth="11.5703125" defaultRowHeight="15" x14ac:dyDescent="0.25"/>
  <cols>
    <col min="1" max="1" width="20.7109375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7" max="7" width="6" customWidth="1"/>
    <col min="8" max="8" width="14.7109375" customWidth="1"/>
    <col min="9" max="9" width="12.5703125" bestFit="1" customWidth="1"/>
  </cols>
  <sheetData>
    <row r="1" spans="1:11" x14ac:dyDescent="0.25">
      <c r="A1" s="117" t="s">
        <v>239</v>
      </c>
    </row>
    <row r="3" spans="1:11" x14ac:dyDescent="0.25">
      <c r="B3" s="6" t="s">
        <v>46</v>
      </c>
      <c r="C3" s="6" t="s">
        <v>47</v>
      </c>
      <c r="D3" s="127" t="s">
        <v>48</v>
      </c>
      <c r="E3" s="6" t="s">
        <v>49</v>
      </c>
      <c r="F3" s="6" t="s">
        <v>50</v>
      </c>
      <c r="H3" t="s">
        <v>51</v>
      </c>
      <c r="I3" s="7">
        <f>Forecast!$N$117</f>
        <v>3.2799999999999996E-2</v>
      </c>
    </row>
    <row r="4" spans="1:11" x14ac:dyDescent="0.25">
      <c r="A4" s="8">
        <v>1</v>
      </c>
      <c r="B4" s="9">
        <f>I8</f>
        <v>150720</v>
      </c>
      <c r="C4" s="9">
        <f t="shared" ref="C4:C15" si="0">+E4-D4</f>
        <v>649.29333676036072</v>
      </c>
      <c r="D4" s="105">
        <f t="shared" ref="D4:D15" si="1">B4*$I$4</f>
        <v>411.9679999999999</v>
      </c>
      <c r="E4" s="9">
        <f t="shared" ref="E4:E15" si="2">-$I$10</f>
        <v>1061.2613367603606</v>
      </c>
      <c r="F4" s="9">
        <f t="shared" ref="F4:F15" si="3">+B4-C4</f>
        <v>150070.70666323963</v>
      </c>
      <c r="H4" t="s">
        <v>52</v>
      </c>
      <c r="I4" s="7">
        <f>+I3/12</f>
        <v>2.7333333333333328E-3</v>
      </c>
    </row>
    <row r="5" spans="1:11" x14ac:dyDescent="0.25">
      <c r="A5" s="8">
        <v>2</v>
      </c>
      <c r="B5" s="9">
        <f t="shared" ref="B5:B15" si="4">+F4</f>
        <v>150070.70666323963</v>
      </c>
      <c r="C5" s="9">
        <f t="shared" si="0"/>
        <v>651.06807188083894</v>
      </c>
      <c r="D5" s="105">
        <f t="shared" si="1"/>
        <v>410.19326487952156</v>
      </c>
      <c r="E5" s="9">
        <f t="shared" si="2"/>
        <v>1061.2613367603606</v>
      </c>
      <c r="F5" s="9">
        <f t="shared" si="3"/>
        <v>149419.63859135879</v>
      </c>
      <c r="H5" t="s">
        <v>53</v>
      </c>
      <c r="I5" s="10">
        <v>0</v>
      </c>
    </row>
    <row r="6" spans="1:11" x14ac:dyDescent="0.25">
      <c r="A6" s="8">
        <v>3</v>
      </c>
      <c r="B6" s="9">
        <f t="shared" si="4"/>
        <v>149419.63859135879</v>
      </c>
      <c r="C6" s="9">
        <f t="shared" si="0"/>
        <v>652.84765794397993</v>
      </c>
      <c r="D6" s="105">
        <f t="shared" si="1"/>
        <v>408.41367881638064</v>
      </c>
      <c r="E6" s="9">
        <f t="shared" si="2"/>
        <v>1061.2613367603606</v>
      </c>
      <c r="F6" s="9">
        <f t="shared" si="3"/>
        <v>148766.7909334148</v>
      </c>
      <c r="H6" t="s">
        <v>54</v>
      </c>
      <c r="I6" s="5">
        <f>12*$J$6</f>
        <v>180</v>
      </c>
      <c r="J6" s="23">
        <v>15</v>
      </c>
      <c r="K6" t="s">
        <v>44</v>
      </c>
    </row>
    <row r="7" spans="1:11" x14ac:dyDescent="0.25">
      <c r="A7" s="8">
        <v>4</v>
      </c>
      <c r="B7" s="9">
        <f t="shared" si="4"/>
        <v>148766.7909334148</v>
      </c>
      <c r="C7" s="9">
        <f t="shared" si="0"/>
        <v>654.63210820902691</v>
      </c>
      <c r="D7" s="105">
        <f t="shared" si="1"/>
        <v>406.62922855133371</v>
      </c>
      <c r="E7" s="9">
        <f t="shared" si="2"/>
        <v>1061.2613367603606</v>
      </c>
      <c r="F7" s="9">
        <f t="shared" si="3"/>
        <v>148112.15882520578</v>
      </c>
      <c r="H7" t="s">
        <v>55</v>
      </c>
      <c r="I7">
        <v>0</v>
      </c>
    </row>
    <row r="8" spans="1:11" x14ac:dyDescent="0.25">
      <c r="A8" s="8">
        <v>5</v>
      </c>
      <c r="B8" s="9">
        <f t="shared" si="4"/>
        <v>148112.15882520578</v>
      </c>
      <c r="C8" s="9">
        <f t="shared" si="0"/>
        <v>656.4214359714648</v>
      </c>
      <c r="D8" s="105">
        <f t="shared" si="1"/>
        <v>404.83990078889576</v>
      </c>
      <c r="E8" s="9">
        <f t="shared" si="2"/>
        <v>1061.2613367603606</v>
      </c>
      <c r="F8" s="9">
        <f t="shared" si="3"/>
        <v>147455.73738923433</v>
      </c>
      <c r="H8" s="1" t="s">
        <v>56</v>
      </c>
      <c r="I8" s="27">
        <f>$I$16*$J$8</f>
        <v>150720</v>
      </c>
      <c r="J8" s="24">
        <v>0.8</v>
      </c>
      <c r="K8" t="s">
        <v>94</v>
      </c>
    </row>
    <row r="9" spans="1:11" x14ac:dyDescent="0.25">
      <c r="A9" s="8">
        <v>6</v>
      </c>
      <c r="B9" s="9">
        <f t="shared" si="4"/>
        <v>147455.73738923433</v>
      </c>
      <c r="C9" s="9">
        <f t="shared" si="0"/>
        <v>658.2156545631201</v>
      </c>
      <c r="D9" s="105">
        <f t="shared" si="1"/>
        <v>403.04568219724041</v>
      </c>
      <c r="E9" s="9">
        <f t="shared" si="2"/>
        <v>1061.2613367603606</v>
      </c>
      <c r="F9" s="9">
        <f t="shared" si="3"/>
        <v>146797.5217346712</v>
      </c>
    </row>
    <row r="10" spans="1:11" x14ac:dyDescent="0.25">
      <c r="A10" s="8">
        <v>7</v>
      </c>
      <c r="B10" s="9">
        <f t="shared" si="4"/>
        <v>146797.5217346712</v>
      </c>
      <c r="C10" s="9">
        <f t="shared" si="0"/>
        <v>660.01477735225933</v>
      </c>
      <c r="D10" s="105">
        <f t="shared" si="1"/>
        <v>401.24655940810123</v>
      </c>
      <c r="E10" s="9">
        <f t="shared" si="2"/>
        <v>1061.2613367603606</v>
      </c>
      <c r="F10" s="9">
        <f t="shared" si="3"/>
        <v>146137.50695731895</v>
      </c>
      <c r="H10" t="s">
        <v>49</v>
      </c>
      <c r="I10" s="10">
        <f>PMT(I4,I6,I8,I5,I7)</f>
        <v>-1061.2613367603606</v>
      </c>
    </row>
    <row r="11" spans="1:11" x14ac:dyDescent="0.25">
      <c r="A11" s="8">
        <v>8</v>
      </c>
      <c r="B11" s="9">
        <f t="shared" si="4"/>
        <v>146137.50695731895</v>
      </c>
      <c r="C11" s="9">
        <f t="shared" si="0"/>
        <v>661.8188177436889</v>
      </c>
      <c r="D11" s="105">
        <f t="shared" si="1"/>
        <v>399.44251901667172</v>
      </c>
      <c r="E11" s="9">
        <f t="shared" si="2"/>
        <v>1061.2613367603606</v>
      </c>
      <c r="F11" s="9">
        <f t="shared" si="3"/>
        <v>145475.68813957527</v>
      </c>
    </row>
    <row r="12" spans="1:11" x14ac:dyDescent="0.25">
      <c r="A12" s="8">
        <v>9</v>
      </c>
      <c r="B12" s="9">
        <f t="shared" si="4"/>
        <v>145475.68813957527</v>
      </c>
      <c r="C12" s="9">
        <f t="shared" si="0"/>
        <v>663.62778917885487</v>
      </c>
      <c r="D12" s="105">
        <f t="shared" si="1"/>
        <v>397.6335475815057</v>
      </c>
      <c r="E12" s="9">
        <f t="shared" si="2"/>
        <v>1061.2613367603606</v>
      </c>
      <c r="F12" s="9">
        <f t="shared" si="3"/>
        <v>144812.06035039641</v>
      </c>
      <c r="H12" t="s">
        <v>88</v>
      </c>
      <c r="I12" s="15">
        <f>J12*J13</f>
        <v>113400</v>
      </c>
      <c r="J12" s="15">
        <v>84</v>
      </c>
      <c r="K12" t="s">
        <v>92</v>
      </c>
    </row>
    <row r="13" spans="1:11" x14ac:dyDescent="0.25">
      <c r="A13" s="8">
        <v>10</v>
      </c>
      <c r="B13" s="9">
        <f t="shared" si="4"/>
        <v>144812.06035039641</v>
      </c>
      <c r="C13" s="9">
        <f t="shared" si="0"/>
        <v>665.44170513594372</v>
      </c>
      <c r="D13" s="105">
        <f t="shared" si="1"/>
        <v>395.81963162441679</v>
      </c>
      <c r="E13" s="9">
        <f t="shared" si="2"/>
        <v>1061.2613367603606</v>
      </c>
      <c r="F13" s="9">
        <f t="shared" si="3"/>
        <v>144146.61864526046</v>
      </c>
      <c r="I13" s="22"/>
      <c r="J13" s="25">
        <v>1350</v>
      </c>
      <c r="K13" t="s">
        <v>91</v>
      </c>
    </row>
    <row r="14" spans="1:11" x14ac:dyDescent="0.25">
      <c r="A14" s="8">
        <v>11</v>
      </c>
      <c r="B14" s="9">
        <f t="shared" si="4"/>
        <v>144146.61864526046</v>
      </c>
      <c r="C14" s="9">
        <f t="shared" si="0"/>
        <v>667.26057912998203</v>
      </c>
      <c r="D14" s="105">
        <f t="shared" si="1"/>
        <v>394.00075763037853</v>
      </c>
      <c r="E14" s="9">
        <f t="shared" si="2"/>
        <v>1061.2613367603606</v>
      </c>
      <c r="F14" s="9">
        <f t="shared" si="3"/>
        <v>143479.35806613049</v>
      </c>
      <c r="H14" t="s">
        <v>89</v>
      </c>
      <c r="I14" s="22">
        <f>J14*J15</f>
        <v>75000</v>
      </c>
      <c r="J14" s="15">
        <v>75000</v>
      </c>
      <c r="K14" t="s">
        <v>90</v>
      </c>
    </row>
    <row r="15" spans="1:11" x14ac:dyDescent="0.25">
      <c r="A15" s="8">
        <v>12</v>
      </c>
      <c r="B15" s="9">
        <f t="shared" si="4"/>
        <v>143479.35806613049</v>
      </c>
      <c r="C15" s="9">
        <f t="shared" si="0"/>
        <v>669.08442471293733</v>
      </c>
      <c r="D15" s="105">
        <f t="shared" si="1"/>
        <v>392.17691204742329</v>
      </c>
      <c r="E15" s="9">
        <f t="shared" si="2"/>
        <v>1061.2613367603606</v>
      </c>
      <c r="F15" s="11">
        <f t="shared" si="3"/>
        <v>142810.27364141756</v>
      </c>
      <c r="G15" t="s">
        <v>57</v>
      </c>
      <c r="I15" s="26"/>
      <c r="J15">
        <v>1</v>
      </c>
      <c r="K15" t="s">
        <v>95</v>
      </c>
    </row>
    <row r="16" spans="1:11" x14ac:dyDescent="0.25">
      <c r="A16" s="12" t="s">
        <v>58</v>
      </c>
      <c r="B16" s="12"/>
      <c r="C16" s="11">
        <f>SUM(C4:C15)</f>
        <v>7909.7263585824576</v>
      </c>
      <c r="D16" s="128">
        <f>SUM(D4:D15)</f>
        <v>4825.4096825418692</v>
      </c>
      <c r="E16" s="9"/>
      <c r="F16" s="9"/>
      <c r="H16" t="s">
        <v>93</v>
      </c>
      <c r="I16" s="22">
        <f>I12+I14</f>
        <v>188400</v>
      </c>
    </row>
    <row r="17" spans="1:7" x14ac:dyDescent="0.25">
      <c r="A17" s="13"/>
      <c r="B17" s="13"/>
      <c r="C17" s="9"/>
      <c r="D17" s="105"/>
      <c r="E17" s="9"/>
      <c r="F17" s="9"/>
    </row>
    <row r="18" spans="1:7" x14ac:dyDescent="0.25">
      <c r="A18" s="8">
        <v>1</v>
      </c>
      <c r="B18" s="9">
        <f>+F15</f>
        <v>142810.27364141756</v>
      </c>
      <c r="C18" s="9">
        <f t="shared" ref="C18:C29" si="5">+E18-D18</f>
        <v>670.91325547381928</v>
      </c>
      <c r="D18" s="105">
        <f t="shared" ref="D18:D29" si="6">B18*$I$4</f>
        <v>390.34808128654129</v>
      </c>
      <c r="E18" s="9">
        <f t="shared" ref="E18:E29" si="7">-$I$10</f>
        <v>1061.2613367603606</v>
      </c>
      <c r="F18" s="9">
        <f t="shared" ref="F18:F29" si="8">+B18-C18</f>
        <v>142139.36038594373</v>
      </c>
    </row>
    <row r="19" spans="1:7" x14ac:dyDescent="0.25">
      <c r="A19" s="8">
        <v>2</v>
      </c>
      <c r="B19" s="9">
        <f t="shared" ref="B19:B29" si="9">+F18</f>
        <v>142139.36038594373</v>
      </c>
      <c r="C19" s="9">
        <f t="shared" si="5"/>
        <v>672.74708503878105</v>
      </c>
      <c r="D19" s="105">
        <f t="shared" si="6"/>
        <v>388.51425172157946</v>
      </c>
      <c r="E19" s="9">
        <f t="shared" si="7"/>
        <v>1061.2613367603606</v>
      </c>
      <c r="F19" s="9">
        <f t="shared" si="8"/>
        <v>141466.61330090495</v>
      </c>
    </row>
    <row r="20" spans="1:7" x14ac:dyDescent="0.25">
      <c r="A20" s="8">
        <v>3</v>
      </c>
      <c r="B20" s="9">
        <f t="shared" si="9"/>
        <v>141466.61330090495</v>
      </c>
      <c r="C20" s="9">
        <f t="shared" si="5"/>
        <v>674.58592707122045</v>
      </c>
      <c r="D20" s="105">
        <f t="shared" si="6"/>
        <v>386.67540968914011</v>
      </c>
      <c r="E20" s="9">
        <f t="shared" si="7"/>
        <v>1061.2613367603606</v>
      </c>
      <c r="F20" s="9">
        <f t="shared" si="8"/>
        <v>140792.02737383373</v>
      </c>
    </row>
    <row r="21" spans="1:7" x14ac:dyDescent="0.25">
      <c r="A21" s="8">
        <v>4</v>
      </c>
      <c r="B21" s="9">
        <f t="shared" si="9"/>
        <v>140792.02737383373</v>
      </c>
      <c r="C21" s="9">
        <f t="shared" si="5"/>
        <v>676.42979527188186</v>
      </c>
      <c r="D21" s="105">
        <f t="shared" si="6"/>
        <v>384.83154148847876</v>
      </c>
      <c r="E21" s="9">
        <f t="shared" si="7"/>
        <v>1061.2613367603606</v>
      </c>
      <c r="F21" s="9">
        <f t="shared" si="8"/>
        <v>140115.59757856184</v>
      </c>
    </row>
    <row r="22" spans="1:7" x14ac:dyDescent="0.25">
      <c r="A22" s="8">
        <v>5</v>
      </c>
      <c r="B22" s="9">
        <f t="shared" si="9"/>
        <v>140115.59757856184</v>
      </c>
      <c r="C22" s="9">
        <f t="shared" si="5"/>
        <v>678.2787033789582</v>
      </c>
      <c r="D22" s="105">
        <f t="shared" si="6"/>
        <v>382.98263338140231</v>
      </c>
      <c r="E22" s="9">
        <f t="shared" si="7"/>
        <v>1061.2613367603606</v>
      </c>
      <c r="F22" s="9">
        <f t="shared" si="8"/>
        <v>139437.31887518289</v>
      </c>
    </row>
    <row r="23" spans="1:7" x14ac:dyDescent="0.25">
      <c r="A23" s="8">
        <v>6</v>
      </c>
      <c r="B23" s="9">
        <f t="shared" si="9"/>
        <v>139437.31887518289</v>
      </c>
      <c r="C23" s="9">
        <f t="shared" si="5"/>
        <v>680.13266516819408</v>
      </c>
      <c r="D23" s="105">
        <f t="shared" si="6"/>
        <v>381.12867159216648</v>
      </c>
      <c r="E23" s="9">
        <f t="shared" si="7"/>
        <v>1061.2613367603606</v>
      </c>
      <c r="F23" s="9">
        <f t="shared" si="8"/>
        <v>138757.18621001468</v>
      </c>
    </row>
    <row r="24" spans="1:7" x14ac:dyDescent="0.25">
      <c r="A24" s="8">
        <v>7</v>
      </c>
      <c r="B24" s="9">
        <f t="shared" si="9"/>
        <v>138757.18621001468</v>
      </c>
      <c r="C24" s="9">
        <f t="shared" si="5"/>
        <v>681.99169445298719</v>
      </c>
      <c r="D24" s="105">
        <f t="shared" si="6"/>
        <v>379.26964230737337</v>
      </c>
      <c r="E24" s="9">
        <f t="shared" si="7"/>
        <v>1061.2613367603606</v>
      </c>
      <c r="F24" s="9">
        <f t="shared" si="8"/>
        <v>138075.19451556168</v>
      </c>
    </row>
    <row r="25" spans="1:7" x14ac:dyDescent="0.25">
      <c r="A25" s="8">
        <v>8</v>
      </c>
      <c r="B25" s="9">
        <f t="shared" si="9"/>
        <v>138075.19451556168</v>
      </c>
      <c r="C25" s="9">
        <f t="shared" si="5"/>
        <v>683.85580508449198</v>
      </c>
      <c r="D25" s="105">
        <f t="shared" si="6"/>
        <v>377.40553167586853</v>
      </c>
      <c r="E25" s="9">
        <f t="shared" si="7"/>
        <v>1061.2613367603606</v>
      </c>
      <c r="F25" s="9">
        <f t="shared" si="8"/>
        <v>137391.3387104772</v>
      </c>
    </row>
    <row r="26" spans="1:7" x14ac:dyDescent="0.25">
      <c r="A26" s="8">
        <v>9</v>
      </c>
      <c r="B26" s="9">
        <f t="shared" si="9"/>
        <v>137391.3387104772</v>
      </c>
      <c r="C26" s="9">
        <f t="shared" si="5"/>
        <v>685.72501095172288</v>
      </c>
      <c r="D26" s="105">
        <f t="shared" si="6"/>
        <v>375.53632580863763</v>
      </c>
      <c r="E26" s="9">
        <f t="shared" si="7"/>
        <v>1061.2613367603606</v>
      </c>
      <c r="F26" s="9">
        <f t="shared" si="8"/>
        <v>136705.61369952548</v>
      </c>
    </row>
    <row r="27" spans="1:7" x14ac:dyDescent="0.25">
      <c r="A27" s="8">
        <v>10</v>
      </c>
      <c r="B27" s="9">
        <f t="shared" si="9"/>
        <v>136705.61369952548</v>
      </c>
      <c r="C27" s="9">
        <f t="shared" si="5"/>
        <v>687.59932598165767</v>
      </c>
      <c r="D27" s="105">
        <f t="shared" si="6"/>
        <v>373.66201077870289</v>
      </c>
      <c r="E27" s="9">
        <f t="shared" si="7"/>
        <v>1061.2613367603606</v>
      </c>
      <c r="F27" s="9">
        <f t="shared" si="8"/>
        <v>136018.01437354382</v>
      </c>
    </row>
    <row r="28" spans="1:7" x14ac:dyDescent="0.25">
      <c r="A28" s="8">
        <v>11</v>
      </c>
      <c r="B28" s="9">
        <f t="shared" si="9"/>
        <v>136018.01437354382</v>
      </c>
      <c r="C28" s="9">
        <f t="shared" si="5"/>
        <v>689.47876413934091</v>
      </c>
      <c r="D28" s="105">
        <f t="shared" si="6"/>
        <v>371.78257262101971</v>
      </c>
      <c r="E28" s="9">
        <f t="shared" si="7"/>
        <v>1061.2613367603606</v>
      </c>
      <c r="F28" s="9">
        <f t="shared" si="8"/>
        <v>135328.53560940447</v>
      </c>
    </row>
    <row r="29" spans="1:7" x14ac:dyDescent="0.25">
      <c r="A29" s="8">
        <v>12</v>
      </c>
      <c r="B29" s="9">
        <f t="shared" si="9"/>
        <v>135328.53560940447</v>
      </c>
      <c r="C29" s="9">
        <f t="shared" si="5"/>
        <v>691.36333942798842</v>
      </c>
      <c r="D29" s="105">
        <f t="shared" si="6"/>
        <v>369.89799733237214</v>
      </c>
      <c r="E29" s="9">
        <f t="shared" si="7"/>
        <v>1061.2613367603606</v>
      </c>
      <c r="F29" s="11">
        <f t="shared" si="8"/>
        <v>134637.17226997649</v>
      </c>
      <c r="G29" t="s">
        <v>59</v>
      </c>
    </row>
    <row r="30" spans="1:7" x14ac:dyDescent="0.25">
      <c r="A30" s="12" t="s">
        <v>58</v>
      </c>
      <c r="B30" s="12"/>
      <c r="C30" s="11">
        <f>SUM(C18:C29)</f>
        <v>8173.1013714410428</v>
      </c>
      <c r="D30" s="128">
        <f>SUM(D18:D29)</f>
        <v>4562.034669683283</v>
      </c>
      <c r="E30" s="9"/>
      <c r="F30" s="9"/>
    </row>
    <row r="31" spans="1:7" x14ac:dyDescent="0.25">
      <c r="A31" s="13"/>
      <c r="B31" s="13"/>
      <c r="C31" s="9"/>
      <c r="D31" s="105"/>
      <c r="E31" s="9"/>
      <c r="F31" s="9"/>
    </row>
    <row r="32" spans="1:7" x14ac:dyDescent="0.25">
      <c r="A32" s="8">
        <v>1</v>
      </c>
      <c r="B32" s="9">
        <f>+F29</f>
        <v>134637.17226997649</v>
      </c>
      <c r="C32" s="9">
        <f t="shared" ref="C32:C43" si="10">+E32-D32</f>
        <v>693.25306588909154</v>
      </c>
      <c r="D32" s="105">
        <f t="shared" ref="D32:D43" si="11">B32*$I$4</f>
        <v>368.00827087126902</v>
      </c>
      <c r="E32" s="9">
        <f t="shared" ref="E32:E43" si="12">-$I$10</f>
        <v>1061.2613367603606</v>
      </c>
      <c r="F32" s="9">
        <f t="shared" ref="F32:F43" si="13">+B32-C32</f>
        <v>133943.9192040874</v>
      </c>
    </row>
    <row r="33" spans="1:7" x14ac:dyDescent="0.25">
      <c r="A33" s="8">
        <v>2</v>
      </c>
      <c r="B33" s="9">
        <f t="shared" ref="B33:B43" si="14">+F32</f>
        <v>133943.9192040874</v>
      </c>
      <c r="C33" s="9">
        <f t="shared" si="10"/>
        <v>695.14795760252173</v>
      </c>
      <c r="D33" s="105">
        <f t="shared" si="11"/>
        <v>366.11337915783884</v>
      </c>
      <c r="E33" s="9">
        <f t="shared" si="12"/>
        <v>1061.2613367603606</v>
      </c>
      <c r="F33" s="9">
        <f t="shared" si="13"/>
        <v>133248.77124648489</v>
      </c>
    </row>
    <row r="34" spans="1:7" x14ac:dyDescent="0.25">
      <c r="A34" s="8">
        <v>3</v>
      </c>
      <c r="B34" s="9">
        <f t="shared" si="14"/>
        <v>133248.77124648489</v>
      </c>
      <c r="C34" s="9">
        <f t="shared" si="10"/>
        <v>697.04802868663523</v>
      </c>
      <c r="D34" s="105">
        <f t="shared" si="11"/>
        <v>364.21330807372527</v>
      </c>
      <c r="E34" s="9">
        <f t="shared" si="12"/>
        <v>1061.2613367603606</v>
      </c>
      <c r="F34" s="9">
        <f t="shared" si="13"/>
        <v>132551.72321779825</v>
      </c>
    </row>
    <row r="35" spans="1:7" x14ac:dyDescent="0.25">
      <c r="A35" s="8">
        <v>4</v>
      </c>
      <c r="B35" s="9">
        <f t="shared" si="14"/>
        <v>132551.72321779825</v>
      </c>
      <c r="C35" s="9">
        <f t="shared" si="10"/>
        <v>698.95329329837875</v>
      </c>
      <c r="D35" s="105">
        <f t="shared" si="11"/>
        <v>362.30804346198181</v>
      </c>
      <c r="E35" s="9">
        <f t="shared" si="12"/>
        <v>1061.2613367603606</v>
      </c>
      <c r="F35" s="9">
        <f t="shared" si="13"/>
        <v>131852.76992449988</v>
      </c>
    </row>
    <row r="36" spans="1:7" x14ac:dyDescent="0.25">
      <c r="A36" s="8">
        <v>5</v>
      </c>
      <c r="B36" s="9">
        <f t="shared" si="14"/>
        <v>131852.76992449988</v>
      </c>
      <c r="C36" s="9">
        <f t="shared" si="10"/>
        <v>700.86376563339422</v>
      </c>
      <c r="D36" s="105">
        <f t="shared" si="11"/>
        <v>360.39757112696628</v>
      </c>
      <c r="E36" s="9">
        <f t="shared" si="12"/>
        <v>1061.2613367603606</v>
      </c>
      <c r="F36" s="9">
        <f t="shared" si="13"/>
        <v>131151.90615886648</v>
      </c>
    </row>
    <row r="37" spans="1:7" x14ac:dyDescent="0.25">
      <c r="A37" s="8">
        <v>6</v>
      </c>
      <c r="B37" s="9">
        <f t="shared" si="14"/>
        <v>131151.90615886648</v>
      </c>
      <c r="C37" s="9">
        <f t="shared" si="10"/>
        <v>702.77945992612558</v>
      </c>
      <c r="D37" s="105">
        <f t="shared" si="11"/>
        <v>358.48187683423498</v>
      </c>
      <c r="E37" s="9">
        <f t="shared" si="12"/>
        <v>1061.2613367603606</v>
      </c>
      <c r="F37" s="9">
        <f t="shared" si="13"/>
        <v>130449.12669894035</v>
      </c>
    </row>
    <row r="38" spans="1:7" x14ac:dyDescent="0.25">
      <c r="A38" s="8">
        <v>7</v>
      </c>
      <c r="B38" s="9">
        <f t="shared" si="14"/>
        <v>130449.12669894035</v>
      </c>
      <c r="C38" s="9">
        <f t="shared" si="10"/>
        <v>704.70039044992359</v>
      </c>
      <c r="D38" s="105">
        <f t="shared" si="11"/>
        <v>356.56094631043692</v>
      </c>
      <c r="E38" s="9">
        <f t="shared" si="12"/>
        <v>1061.2613367603606</v>
      </c>
      <c r="F38" s="9">
        <f t="shared" si="13"/>
        <v>129744.42630849042</v>
      </c>
    </row>
    <row r="39" spans="1:7" x14ac:dyDescent="0.25">
      <c r="A39" s="8">
        <v>8</v>
      </c>
      <c r="B39" s="9">
        <f t="shared" si="14"/>
        <v>129744.42630849042</v>
      </c>
      <c r="C39" s="9">
        <f t="shared" si="10"/>
        <v>706.62657151715348</v>
      </c>
      <c r="D39" s="105">
        <f t="shared" si="11"/>
        <v>354.63476524320708</v>
      </c>
      <c r="E39" s="9">
        <f t="shared" si="12"/>
        <v>1061.2613367603606</v>
      </c>
      <c r="F39" s="9">
        <f t="shared" si="13"/>
        <v>129037.79973697328</v>
      </c>
    </row>
    <row r="40" spans="1:7" x14ac:dyDescent="0.25">
      <c r="A40" s="8">
        <v>9</v>
      </c>
      <c r="B40" s="9">
        <f t="shared" si="14"/>
        <v>129037.79973697328</v>
      </c>
      <c r="C40" s="9">
        <f t="shared" si="10"/>
        <v>708.55801747930036</v>
      </c>
      <c r="D40" s="105">
        <f t="shared" si="11"/>
        <v>352.7033192810602</v>
      </c>
      <c r="E40" s="9">
        <f t="shared" si="12"/>
        <v>1061.2613367603606</v>
      </c>
      <c r="F40" s="9">
        <f t="shared" si="13"/>
        <v>128329.24171949398</v>
      </c>
    </row>
    <row r="41" spans="1:7" x14ac:dyDescent="0.25">
      <c r="A41" s="8">
        <v>10</v>
      </c>
      <c r="B41" s="9">
        <f t="shared" si="14"/>
        <v>128329.24171949398</v>
      </c>
      <c r="C41" s="9">
        <f t="shared" si="10"/>
        <v>710.4947427270771</v>
      </c>
      <c r="D41" s="105">
        <f t="shared" si="11"/>
        <v>350.76659403328347</v>
      </c>
      <c r="E41" s="9">
        <f t="shared" si="12"/>
        <v>1061.2613367603606</v>
      </c>
      <c r="F41" s="9">
        <f t="shared" si="13"/>
        <v>127618.7469767669</v>
      </c>
    </row>
    <row r="42" spans="1:7" x14ac:dyDescent="0.25">
      <c r="A42" s="8">
        <v>11</v>
      </c>
      <c r="B42" s="9">
        <f t="shared" si="14"/>
        <v>127618.7469767669</v>
      </c>
      <c r="C42" s="9">
        <f t="shared" si="10"/>
        <v>712.43676169053106</v>
      </c>
      <c r="D42" s="105">
        <f t="shared" si="11"/>
        <v>348.82457506982945</v>
      </c>
      <c r="E42" s="9">
        <f t="shared" si="12"/>
        <v>1061.2613367603606</v>
      </c>
      <c r="F42" s="9">
        <f t="shared" si="13"/>
        <v>126906.31021507636</v>
      </c>
    </row>
    <row r="43" spans="1:7" x14ac:dyDescent="0.25">
      <c r="A43" s="8">
        <v>12</v>
      </c>
      <c r="B43" s="9">
        <f t="shared" si="14"/>
        <v>126906.31021507636</v>
      </c>
      <c r="C43" s="9">
        <f t="shared" si="10"/>
        <v>714.3840888391519</v>
      </c>
      <c r="D43" s="105">
        <f t="shared" si="11"/>
        <v>346.87724792120866</v>
      </c>
      <c r="E43" s="9">
        <f t="shared" si="12"/>
        <v>1061.2613367603606</v>
      </c>
      <c r="F43" s="11">
        <f t="shared" si="13"/>
        <v>126191.9261262372</v>
      </c>
      <c r="G43" t="s">
        <v>60</v>
      </c>
    </row>
    <row r="44" spans="1:7" x14ac:dyDescent="0.25">
      <c r="A44" s="12" t="s">
        <v>58</v>
      </c>
      <c r="B44" s="12"/>
      <c r="C44" s="11">
        <f>SUM(C32:C43)</f>
        <v>8445.2461437392849</v>
      </c>
      <c r="D44" s="128">
        <f>SUM(D32:D43)</f>
        <v>4289.8898973850428</v>
      </c>
      <c r="E44" s="9"/>
      <c r="F44" s="9"/>
    </row>
    <row r="45" spans="1:7" x14ac:dyDescent="0.25">
      <c r="A45" s="13"/>
      <c r="B45" s="13"/>
      <c r="C45" s="9"/>
      <c r="D45" s="105"/>
      <c r="E45" s="9"/>
      <c r="F45" s="9"/>
    </row>
    <row r="46" spans="1:7" x14ac:dyDescent="0.25">
      <c r="A46" s="8">
        <v>1</v>
      </c>
      <c r="B46" s="9">
        <f>+F43</f>
        <v>126191.9261262372</v>
      </c>
      <c r="C46" s="9">
        <f t="shared" ref="C46:C57" si="15">+E46-D46</f>
        <v>716.33673868197889</v>
      </c>
      <c r="D46" s="105">
        <f t="shared" ref="D46:D57" si="16">B46*$I$4</f>
        <v>344.92459807838162</v>
      </c>
      <c r="E46" s="9">
        <f t="shared" ref="E46:E57" si="17">-$I$10</f>
        <v>1061.2613367603606</v>
      </c>
      <c r="F46" s="9">
        <f t="shared" ref="F46:F57" si="18">+B46-C46</f>
        <v>125475.58938755523</v>
      </c>
    </row>
    <row r="47" spans="1:7" x14ac:dyDescent="0.25">
      <c r="A47" s="8">
        <v>2</v>
      </c>
      <c r="B47" s="9">
        <f t="shared" ref="B47:B57" si="19">+F46</f>
        <v>125475.58938755523</v>
      </c>
      <c r="C47" s="9">
        <f t="shared" si="15"/>
        <v>718.29472576770968</v>
      </c>
      <c r="D47" s="105">
        <f t="shared" si="16"/>
        <v>342.96661099265089</v>
      </c>
      <c r="E47" s="9">
        <f t="shared" si="17"/>
        <v>1061.2613367603606</v>
      </c>
      <c r="F47" s="9">
        <f t="shared" si="18"/>
        <v>124757.29466178751</v>
      </c>
    </row>
    <row r="48" spans="1:7" x14ac:dyDescent="0.25">
      <c r="A48" s="8">
        <v>3</v>
      </c>
      <c r="B48" s="9">
        <f t="shared" si="19"/>
        <v>124757.29466178751</v>
      </c>
      <c r="C48" s="9">
        <f t="shared" si="15"/>
        <v>720.25806468480801</v>
      </c>
      <c r="D48" s="105">
        <f t="shared" si="16"/>
        <v>341.0032720755525</v>
      </c>
      <c r="E48" s="9">
        <f t="shared" si="17"/>
        <v>1061.2613367603606</v>
      </c>
      <c r="F48" s="9">
        <f t="shared" si="18"/>
        <v>124037.03659710271</v>
      </c>
    </row>
    <row r="49" spans="1:7" x14ac:dyDescent="0.25">
      <c r="A49" s="8">
        <v>4</v>
      </c>
      <c r="B49" s="9">
        <f t="shared" si="19"/>
        <v>124037.03659710271</v>
      </c>
      <c r="C49" s="9">
        <f t="shared" si="15"/>
        <v>722.22677006161325</v>
      </c>
      <c r="D49" s="105">
        <f t="shared" si="16"/>
        <v>339.03456669874731</v>
      </c>
      <c r="E49" s="9">
        <f t="shared" si="17"/>
        <v>1061.2613367603606</v>
      </c>
      <c r="F49" s="9">
        <f t="shared" si="18"/>
        <v>123314.8098270411</v>
      </c>
    </row>
    <row r="50" spans="1:7" x14ac:dyDescent="0.25">
      <c r="A50" s="8">
        <v>5</v>
      </c>
      <c r="B50" s="9">
        <f t="shared" si="19"/>
        <v>123314.8098270411</v>
      </c>
      <c r="C50" s="9">
        <f t="shared" si="15"/>
        <v>724.20085656644824</v>
      </c>
      <c r="D50" s="105">
        <f t="shared" si="16"/>
        <v>337.06048019391227</v>
      </c>
      <c r="E50" s="9">
        <f t="shared" si="17"/>
        <v>1061.2613367603606</v>
      </c>
      <c r="F50" s="9">
        <f t="shared" si="18"/>
        <v>122590.60897047466</v>
      </c>
    </row>
    <row r="51" spans="1:7" x14ac:dyDescent="0.25">
      <c r="A51" s="8">
        <v>6</v>
      </c>
      <c r="B51" s="9">
        <f t="shared" si="19"/>
        <v>122590.60897047466</v>
      </c>
      <c r="C51" s="9">
        <f t="shared" si="15"/>
        <v>726.18033890772995</v>
      </c>
      <c r="D51" s="105">
        <f t="shared" si="16"/>
        <v>335.08099785263067</v>
      </c>
      <c r="E51" s="9">
        <f t="shared" si="17"/>
        <v>1061.2613367603606</v>
      </c>
      <c r="F51" s="9">
        <f t="shared" si="18"/>
        <v>121864.42863156693</v>
      </c>
    </row>
    <row r="52" spans="1:7" x14ac:dyDescent="0.25">
      <c r="A52" s="8">
        <v>7</v>
      </c>
      <c r="B52" s="9">
        <f t="shared" si="19"/>
        <v>121864.42863156693</v>
      </c>
      <c r="C52" s="9">
        <f t="shared" si="15"/>
        <v>728.16523183407776</v>
      </c>
      <c r="D52" s="105">
        <f t="shared" si="16"/>
        <v>333.09610492628286</v>
      </c>
      <c r="E52" s="9">
        <f t="shared" si="17"/>
        <v>1061.2613367603606</v>
      </c>
      <c r="F52" s="9">
        <f t="shared" si="18"/>
        <v>121136.26339973285</v>
      </c>
    </row>
    <row r="53" spans="1:7" x14ac:dyDescent="0.25">
      <c r="A53" s="8">
        <v>8</v>
      </c>
      <c r="B53" s="9">
        <f t="shared" si="19"/>
        <v>121136.26339973285</v>
      </c>
      <c r="C53" s="9">
        <f t="shared" si="15"/>
        <v>730.15555013442417</v>
      </c>
      <c r="D53" s="105">
        <f t="shared" si="16"/>
        <v>331.10578662593639</v>
      </c>
      <c r="E53" s="9">
        <f t="shared" si="17"/>
        <v>1061.2613367603606</v>
      </c>
      <c r="F53" s="9">
        <f t="shared" si="18"/>
        <v>120406.10784959843</v>
      </c>
    </row>
    <row r="54" spans="1:7" x14ac:dyDescent="0.25">
      <c r="A54" s="8">
        <v>9</v>
      </c>
      <c r="B54" s="9">
        <f t="shared" si="19"/>
        <v>120406.10784959843</v>
      </c>
      <c r="C54" s="9">
        <f t="shared" si="15"/>
        <v>732.15130863812487</v>
      </c>
      <c r="D54" s="105">
        <f t="shared" si="16"/>
        <v>329.11002812223563</v>
      </c>
      <c r="E54" s="9">
        <f t="shared" si="17"/>
        <v>1061.2613367603606</v>
      </c>
      <c r="F54" s="9">
        <f t="shared" si="18"/>
        <v>119673.95654096029</v>
      </c>
    </row>
    <row r="55" spans="1:7" x14ac:dyDescent="0.25">
      <c r="A55" s="8">
        <v>10</v>
      </c>
      <c r="B55" s="9">
        <f t="shared" si="19"/>
        <v>119673.95654096029</v>
      </c>
      <c r="C55" s="9">
        <f t="shared" si="15"/>
        <v>734.15252221506921</v>
      </c>
      <c r="D55" s="105">
        <f t="shared" si="16"/>
        <v>327.10881454529141</v>
      </c>
      <c r="E55" s="9">
        <f t="shared" si="17"/>
        <v>1061.2613367603606</v>
      </c>
      <c r="F55" s="9">
        <f t="shared" si="18"/>
        <v>118939.80401874523</v>
      </c>
    </row>
    <row r="56" spans="1:7" x14ac:dyDescent="0.25">
      <c r="A56" s="8">
        <v>11</v>
      </c>
      <c r="B56" s="9">
        <f t="shared" si="19"/>
        <v>118939.80401874523</v>
      </c>
      <c r="C56" s="9">
        <f t="shared" si="15"/>
        <v>736.15920577579027</v>
      </c>
      <c r="D56" s="105">
        <f t="shared" si="16"/>
        <v>325.10213098457024</v>
      </c>
      <c r="E56" s="9">
        <f t="shared" si="17"/>
        <v>1061.2613367603606</v>
      </c>
      <c r="F56" s="9">
        <f t="shared" si="18"/>
        <v>118203.64481296943</v>
      </c>
    </row>
    <row r="57" spans="1:7" x14ac:dyDescent="0.25">
      <c r="A57" s="8">
        <v>12</v>
      </c>
      <c r="B57" s="9">
        <f t="shared" si="19"/>
        <v>118203.64481296943</v>
      </c>
      <c r="C57" s="9">
        <f t="shared" si="15"/>
        <v>738.17137427157752</v>
      </c>
      <c r="D57" s="105">
        <f t="shared" si="16"/>
        <v>323.08996248878304</v>
      </c>
      <c r="E57" s="9">
        <f t="shared" si="17"/>
        <v>1061.2613367603606</v>
      </c>
      <c r="F57" s="11">
        <f t="shared" si="18"/>
        <v>117465.47343869785</v>
      </c>
      <c r="G57" s="9" t="s">
        <v>61</v>
      </c>
    </row>
    <row r="58" spans="1:7" x14ac:dyDescent="0.25">
      <c r="A58" s="12" t="s">
        <v>58</v>
      </c>
      <c r="B58" s="14"/>
      <c r="C58" s="11">
        <f>SUM(C46:C57)</f>
        <v>8726.4526875393512</v>
      </c>
      <c r="D58" s="128">
        <f>SUM(D46:D57)</f>
        <v>4008.6833535849746</v>
      </c>
    </row>
    <row r="59" spans="1:7" x14ac:dyDescent="0.25">
      <c r="D59" s="20"/>
    </row>
    <row r="60" spans="1:7" x14ac:dyDescent="0.25">
      <c r="A60" s="8">
        <v>1</v>
      </c>
      <c r="B60" s="9">
        <f>+F57</f>
        <v>117465.47343869785</v>
      </c>
      <c r="C60" s="9">
        <f t="shared" ref="C60:C71" si="20">+E60-D60</f>
        <v>740.18904269458653</v>
      </c>
      <c r="D60" s="105">
        <f t="shared" ref="D60:D71" si="21">B60*$I$4</f>
        <v>321.07229406577409</v>
      </c>
      <c r="E60" s="9">
        <f t="shared" ref="E60:E71" si="22">-$I$10</f>
        <v>1061.2613367603606</v>
      </c>
      <c r="F60" s="9">
        <f t="shared" ref="F60:F71" si="23">+B60-C60</f>
        <v>116725.28439600326</v>
      </c>
    </row>
    <row r="61" spans="1:7" x14ac:dyDescent="0.25">
      <c r="A61" s="8">
        <v>2</v>
      </c>
      <c r="B61" s="9">
        <f t="shared" ref="B61:B71" si="24">+F60</f>
        <v>116725.28439600326</v>
      </c>
      <c r="C61" s="9">
        <f t="shared" si="20"/>
        <v>742.21222607795175</v>
      </c>
      <c r="D61" s="105">
        <f t="shared" si="21"/>
        <v>319.04911068240887</v>
      </c>
      <c r="E61" s="9">
        <f t="shared" si="22"/>
        <v>1061.2613367603606</v>
      </c>
      <c r="F61" s="9">
        <f t="shared" si="23"/>
        <v>115983.0721699253</v>
      </c>
    </row>
    <row r="62" spans="1:7" x14ac:dyDescent="0.25">
      <c r="A62" s="8">
        <v>3</v>
      </c>
      <c r="B62" s="9">
        <f t="shared" si="24"/>
        <v>115983.0721699253</v>
      </c>
      <c r="C62" s="9">
        <f t="shared" si="20"/>
        <v>744.24093949589815</v>
      </c>
      <c r="D62" s="105">
        <f t="shared" si="21"/>
        <v>317.02039726446242</v>
      </c>
      <c r="E62" s="9">
        <f t="shared" si="22"/>
        <v>1061.2613367603606</v>
      </c>
      <c r="F62" s="9">
        <f t="shared" si="23"/>
        <v>115238.83123042941</v>
      </c>
    </row>
    <row r="63" spans="1:7" x14ac:dyDescent="0.25">
      <c r="A63" s="8">
        <v>4</v>
      </c>
      <c r="B63" s="9">
        <f t="shared" si="24"/>
        <v>115238.83123042941</v>
      </c>
      <c r="C63" s="9">
        <f t="shared" si="20"/>
        <v>746.27519806385362</v>
      </c>
      <c r="D63" s="105">
        <f t="shared" si="21"/>
        <v>314.986138696507</v>
      </c>
      <c r="E63" s="9">
        <f t="shared" si="22"/>
        <v>1061.2613367603606</v>
      </c>
      <c r="F63" s="9">
        <f t="shared" si="23"/>
        <v>114492.55603236555</v>
      </c>
    </row>
    <row r="64" spans="1:7" x14ac:dyDescent="0.25">
      <c r="A64" s="8">
        <v>5</v>
      </c>
      <c r="B64" s="9">
        <f t="shared" si="24"/>
        <v>114492.55603236555</v>
      </c>
      <c r="C64" s="9">
        <f t="shared" si="20"/>
        <v>748.31501693856148</v>
      </c>
      <c r="D64" s="105">
        <f t="shared" si="21"/>
        <v>312.94631982179914</v>
      </c>
      <c r="E64" s="9">
        <f t="shared" si="22"/>
        <v>1061.2613367603606</v>
      </c>
      <c r="F64" s="9">
        <f t="shared" si="23"/>
        <v>113744.24101542699</v>
      </c>
    </row>
    <row r="65" spans="1:7" x14ac:dyDescent="0.25">
      <c r="A65" s="8">
        <v>6</v>
      </c>
      <c r="B65" s="9">
        <f t="shared" si="24"/>
        <v>113744.24101542699</v>
      </c>
      <c r="C65" s="9">
        <f t="shared" si="20"/>
        <v>750.36041131819354</v>
      </c>
      <c r="D65" s="105">
        <f t="shared" si="21"/>
        <v>310.90092544216702</v>
      </c>
      <c r="E65" s="9">
        <f t="shared" si="22"/>
        <v>1061.2613367603606</v>
      </c>
      <c r="F65" s="9">
        <f t="shared" si="23"/>
        <v>112993.8806041088</v>
      </c>
    </row>
    <row r="66" spans="1:7" x14ac:dyDescent="0.25">
      <c r="A66" s="8">
        <v>7</v>
      </c>
      <c r="B66" s="9">
        <f t="shared" si="24"/>
        <v>112993.8806041088</v>
      </c>
      <c r="C66" s="9">
        <f t="shared" si="20"/>
        <v>752.41139644246323</v>
      </c>
      <c r="D66" s="105">
        <f t="shared" si="21"/>
        <v>308.84994031789734</v>
      </c>
      <c r="E66" s="9">
        <f t="shared" si="22"/>
        <v>1061.2613367603606</v>
      </c>
      <c r="F66" s="9">
        <f t="shared" si="23"/>
        <v>112241.46920766633</v>
      </c>
    </row>
    <row r="67" spans="1:7" x14ac:dyDescent="0.25">
      <c r="A67" s="8">
        <v>8</v>
      </c>
      <c r="B67" s="9">
        <f t="shared" si="24"/>
        <v>112241.46920766633</v>
      </c>
      <c r="C67" s="9">
        <f t="shared" si="20"/>
        <v>754.46798759273929</v>
      </c>
      <c r="D67" s="105">
        <f t="shared" si="21"/>
        <v>306.79334916762127</v>
      </c>
      <c r="E67" s="9">
        <f t="shared" si="22"/>
        <v>1061.2613367603606</v>
      </c>
      <c r="F67" s="9">
        <f t="shared" si="23"/>
        <v>111487.00122007359</v>
      </c>
    </row>
    <row r="68" spans="1:7" x14ac:dyDescent="0.25">
      <c r="A68" s="8">
        <v>9</v>
      </c>
      <c r="B68" s="9">
        <f t="shared" si="24"/>
        <v>111487.00122007359</v>
      </c>
      <c r="C68" s="9">
        <f t="shared" si="20"/>
        <v>756.53020009215948</v>
      </c>
      <c r="D68" s="105">
        <f t="shared" si="21"/>
        <v>304.73113666820109</v>
      </c>
      <c r="E68" s="9">
        <f t="shared" si="22"/>
        <v>1061.2613367603606</v>
      </c>
      <c r="F68" s="9">
        <f t="shared" si="23"/>
        <v>110730.47101998143</v>
      </c>
    </row>
    <row r="69" spans="1:7" x14ac:dyDescent="0.25">
      <c r="A69" s="8">
        <v>10</v>
      </c>
      <c r="B69" s="9">
        <f t="shared" si="24"/>
        <v>110730.47101998143</v>
      </c>
      <c r="C69" s="9">
        <f t="shared" si="20"/>
        <v>758.59804930574478</v>
      </c>
      <c r="D69" s="105">
        <f t="shared" si="21"/>
        <v>302.66328745461584</v>
      </c>
      <c r="E69" s="9">
        <f t="shared" si="22"/>
        <v>1061.2613367603606</v>
      </c>
      <c r="F69" s="9">
        <f t="shared" si="23"/>
        <v>109971.87297067569</v>
      </c>
    </row>
    <row r="70" spans="1:7" x14ac:dyDescent="0.25">
      <c r="A70" s="8">
        <v>11</v>
      </c>
      <c r="B70" s="9">
        <f t="shared" si="24"/>
        <v>109971.87297067569</v>
      </c>
      <c r="C70" s="9">
        <f t="shared" si="20"/>
        <v>760.67155064051371</v>
      </c>
      <c r="D70" s="105">
        <f t="shared" si="21"/>
        <v>300.58978611984679</v>
      </c>
      <c r="E70" s="9">
        <f t="shared" si="22"/>
        <v>1061.2613367603606</v>
      </c>
      <c r="F70" s="9">
        <f t="shared" si="23"/>
        <v>109211.20142003517</v>
      </c>
    </row>
    <row r="71" spans="1:7" x14ac:dyDescent="0.25">
      <c r="A71" s="8">
        <v>12</v>
      </c>
      <c r="B71" s="9">
        <f t="shared" si="24"/>
        <v>109211.20142003517</v>
      </c>
      <c r="C71" s="9">
        <f t="shared" si="20"/>
        <v>762.7507195455978</v>
      </c>
      <c r="D71" s="105">
        <f t="shared" si="21"/>
        <v>298.51061721476276</v>
      </c>
      <c r="E71" s="9">
        <f t="shared" si="22"/>
        <v>1061.2613367603606</v>
      </c>
      <c r="F71" s="11">
        <f t="shared" si="23"/>
        <v>108448.45070048957</v>
      </c>
    </row>
    <row r="72" spans="1:7" x14ac:dyDescent="0.25">
      <c r="A72" s="12" t="s">
        <v>58</v>
      </c>
      <c r="B72" s="14"/>
      <c r="C72" s="11">
        <f>SUM(C60:C71)</f>
        <v>9017.0227382082649</v>
      </c>
      <c r="D72" s="128">
        <f>SUM(D60:D71)</f>
        <v>3718.1133029160637</v>
      </c>
      <c r="G72" t="s">
        <v>62</v>
      </c>
    </row>
    <row r="73" spans="1:7" x14ac:dyDescent="0.25">
      <c r="D73" s="20"/>
    </row>
    <row r="74" spans="1:7" x14ac:dyDescent="0.25">
      <c r="A74" s="8">
        <v>1</v>
      </c>
      <c r="B74" s="9">
        <f>+F71</f>
        <v>108448.45070048957</v>
      </c>
      <c r="C74" s="9">
        <f t="shared" ref="C74:C85" si="25">+E74-D74</f>
        <v>764.83557151235573</v>
      </c>
      <c r="D74" s="105">
        <f t="shared" ref="D74:D85" si="26">B74*$I$4</f>
        <v>296.42576524800478</v>
      </c>
      <c r="E74" s="9">
        <f t="shared" ref="E74:E85" si="27">-$I$10</f>
        <v>1061.2613367603606</v>
      </c>
      <c r="F74" s="9">
        <f t="shared" ref="F74:F85" si="28">+B74-C74</f>
        <v>107683.61512897721</v>
      </c>
    </row>
    <row r="75" spans="1:7" x14ac:dyDescent="0.25">
      <c r="A75" s="8">
        <v>2</v>
      </c>
      <c r="B75" s="9">
        <f t="shared" ref="B75:B85" si="29">+F74</f>
        <v>107683.61512897721</v>
      </c>
      <c r="C75" s="9">
        <f t="shared" si="25"/>
        <v>766.92612207448951</v>
      </c>
      <c r="D75" s="105">
        <f t="shared" si="26"/>
        <v>294.33521468587099</v>
      </c>
      <c r="E75" s="9">
        <f t="shared" si="27"/>
        <v>1061.2613367603606</v>
      </c>
      <c r="F75" s="9">
        <f t="shared" si="28"/>
        <v>106916.68900690271</v>
      </c>
    </row>
    <row r="76" spans="1:7" x14ac:dyDescent="0.25">
      <c r="A76" s="8">
        <v>3</v>
      </c>
      <c r="B76" s="9">
        <f t="shared" si="29"/>
        <v>106916.68900690271</v>
      </c>
      <c r="C76" s="9">
        <f t="shared" si="25"/>
        <v>769.02238680815981</v>
      </c>
      <c r="D76" s="105">
        <f t="shared" si="26"/>
        <v>292.2389499522007</v>
      </c>
      <c r="E76" s="9">
        <f t="shared" si="27"/>
        <v>1061.2613367603606</v>
      </c>
      <c r="F76" s="9">
        <f t="shared" si="28"/>
        <v>106147.66662009455</v>
      </c>
    </row>
    <row r="77" spans="1:7" x14ac:dyDescent="0.25">
      <c r="A77" s="8">
        <v>4</v>
      </c>
      <c r="B77" s="9">
        <f t="shared" si="29"/>
        <v>106147.66662009455</v>
      </c>
      <c r="C77" s="9">
        <f t="shared" si="25"/>
        <v>771.12438133210219</v>
      </c>
      <c r="D77" s="105">
        <f t="shared" si="26"/>
        <v>290.13695542825837</v>
      </c>
      <c r="E77" s="9">
        <f t="shared" si="27"/>
        <v>1061.2613367603606</v>
      </c>
      <c r="F77" s="9">
        <f t="shared" si="28"/>
        <v>105376.54223876244</v>
      </c>
    </row>
    <row r="78" spans="1:7" x14ac:dyDescent="0.25">
      <c r="A78" s="8">
        <v>5</v>
      </c>
      <c r="B78" s="9">
        <f t="shared" si="29"/>
        <v>105376.54223876244</v>
      </c>
      <c r="C78" s="9">
        <f t="shared" si="25"/>
        <v>773.23212130774323</v>
      </c>
      <c r="D78" s="105">
        <f t="shared" si="26"/>
        <v>288.02921545261728</v>
      </c>
      <c r="E78" s="9">
        <f t="shared" si="27"/>
        <v>1061.2613367603606</v>
      </c>
      <c r="F78" s="9">
        <f t="shared" si="28"/>
        <v>104603.3101174547</v>
      </c>
    </row>
    <row r="79" spans="1:7" x14ac:dyDescent="0.25">
      <c r="A79" s="8">
        <v>6</v>
      </c>
      <c r="B79" s="9">
        <f t="shared" si="29"/>
        <v>104603.3101174547</v>
      </c>
      <c r="C79" s="9">
        <f t="shared" si="25"/>
        <v>775.34562243931782</v>
      </c>
      <c r="D79" s="105">
        <f t="shared" si="26"/>
        <v>285.9157143210428</v>
      </c>
      <c r="E79" s="9">
        <f t="shared" si="27"/>
        <v>1061.2613367603606</v>
      </c>
      <c r="F79" s="9">
        <f t="shared" si="28"/>
        <v>103827.96449501539</v>
      </c>
    </row>
    <row r="80" spans="1:7" x14ac:dyDescent="0.25">
      <c r="A80" s="8">
        <v>7</v>
      </c>
      <c r="B80" s="9">
        <f t="shared" si="29"/>
        <v>103827.96449501539</v>
      </c>
      <c r="C80" s="9">
        <f t="shared" si="25"/>
        <v>777.46490047398515</v>
      </c>
      <c r="D80" s="105">
        <f t="shared" si="26"/>
        <v>283.79643628637535</v>
      </c>
      <c r="E80" s="9">
        <f t="shared" si="27"/>
        <v>1061.2613367603606</v>
      </c>
      <c r="F80" s="9">
        <f t="shared" si="28"/>
        <v>103050.4995945414</v>
      </c>
    </row>
    <row r="81" spans="1:7" x14ac:dyDescent="0.25">
      <c r="A81" s="8">
        <v>8</v>
      </c>
      <c r="B81" s="9">
        <f t="shared" si="29"/>
        <v>103050.4995945414</v>
      </c>
      <c r="C81" s="9">
        <f t="shared" si="25"/>
        <v>779.58997120194749</v>
      </c>
      <c r="D81" s="105">
        <f t="shared" si="26"/>
        <v>281.67136555841313</v>
      </c>
      <c r="E81" s="9">
        <f t="shared" si="27"/>
        <v>1061.2613367603606</v>
      </c>
      <c r="F81" s="9">
        <f t="shared" si="28"/>
        <v>102270.90962333945</v>
      </c>
    </row>
    <row r="82" spans="1:7" x14ac:dyDescent="0.25">
      <c r="A82" s="8">
        <v>9</v>
      </c>
      <c r="B82" s="9">
        <f t="shared" si="29"/>
        <v>102270.90962333945</v>
      </c>
      <c r="C82" s="9">
        <f t="shared" si="25"/>
        <v>781.72085045656604</v>
      </c>
      <c r="D82" s="105">
        <f t="shared" si="26"/>
        <v>279.54048630379447</v>
      </c>
      <c r="E82" s="9">
        <f t="shared" si="27"/>
        <v>1061.2613367603606</v>
      </c>
      <c r="F82" s="9">
        <f t="shared" si="28"/>
        <v>101489.18877288289</v>
      </c>
    </row>
    <row r="83" spans="1:7" x14ac:dyDescent="0.25">
      <c r="A83" s="8">
        <v>10</v>
      </c>
      <c r="B83" s="9">
        <f t="shared" si="29"/>
        <v>101489.18877288289</v>
      </c>
      <c r="C83" s="9">
        <f t="shared" si="25"/>
        <v>783.85755411448076</v>
      </c>
      <c r="D83" s="105">
        <f t="shared" si="26"/>
        <v>277.40378264587986</v>
      </c>
      <c r="E83" s="9">
        <f t="shared" si="27"/>
        <v>1061.2613367603606</v>
      </c>
      <c r="F83" s="9">
        <f t="shared" si="28"/>
        <v>100705.33121876841</v>
      </c>
    </row>
    <row r="84" spans="1:7" x14ac:dyDescent="0.25">
      <c r="A84" s="8">
        <v>11</v>
      </c>
      <c r="B84" s="9">
        <f t="shared" si="29"/>
        <v>100705.33121876841</v>
      </c>
      <c r="C84" s="9">
        <f t="shared" si="25"/>
        <v>786.00009809572703</v>
      </c>
      <c r="D84" s="105">
        <f t="shared" si="26"/>
        <v>275.26123866463359</v>
      </c>
      <c r="E84" s="9">
        <f t="shared" si="27"/>
        <v>1061.2613367603606</v>
      </c>
      <c r="F84" s="9">
        <f t="shared" si="28"/>
        <v>99919.331120672679</v>
      </c>
    </row>
    <row r="85" spans="1:7" x14ac:dyDescent="0.25">
      <c r="A85" s="8">
        <v>12</v>
      </c>
      <c r="B85" s="9">
        <f t="shared" si="29"/>
        <v>99919.331120672679</v>
      </c>
      <c r="C85" s="9">
        <f t="shared" si="25"/>
        <v>788.14849836385531</v>
      </c>
      <c r="D85" s="105">
        <f t="shared" si="26"/>
        <v>273.11283839650525</v>
      </c>
      <c r="E85" s="9">
        <f t="shared" si="27"/>
        <v>1061.2613367603606</v>
      </c>
      <c r="F85" s="11">
        <f t="shared" si="28"/>
        <v>99131.182622308828</v>
      </c>
      <c r="G85" t="s">
        <v>63</v>
      </c>
    </row>
    <row r="86" spans="1:7" x14ac:dyDescent="0.25">
      <c r="A86" s="12" t="s">
        <v>58</v>
      </c>
      <c r="B86" s="14"/>
      <c r="C86" s="11">
        <f>SUM(C74:C85)</f>
        <v>9317.2680781807285</v>
      </c>
      <c r="D86" s="128">
        <f>SUM(D74:D85)</f>
        <v>3417.8679629435965</v>
      </c>
    </row>
    <row r="87" spans="1:7" x14ac:dyDescent="0.25">
      <c r="B87" s="13"/>
      <c r="C87" s="9"/>
      <c r="D87" s="105"/>
      <c r="E87" s="9"/>
      <c r="F87" s="9"/>
    </row>
    <row r="88" spans="1:7" x14ac:dyDescent="0.25">
      <c r="A88" s="8">
        <v>1</v>
      </c>
      <c r="B88" s="9">
        <f>+F85</f>
        <v>99131.182622308828</v>
      </c>
      <c r="C88" s="9">
        <f t="shared" ref="C88:C99" si="30">+E88-D88</f>
        <v>790.30277092604979</v>
      </c>
      <c r="D88" s="105">
        <f t="shared" ref="D88:D99" si="31">B88*$I$4</f>
        <v>270.95856583431078</v>
      </c>
      <c r="E88" s="9">
        <f t="shared" ref="E88:E99" si="32">-$I$10</f>
        <v>1061.2613367603606</v>
      </c>
      <c r="F88" s="9">
        <f t="shared" ref="F88:F99" si="33">+B88-C88</f>
        <v>98340.879851382779</v>
      </c>
    </row>
    <row r="89" spans="1:7" x14ac:dyDescent="0.25">
      <c r="A89" s="8">
        <v>2</v>
      </c>
      <c r="B89" s="9">
        <f t="shared" ref="B89:B99" si="34">+F88</f>
        <v>98340.879851382779</v>
      </c>
      <c r="C89" s="9">
        <f t="shared" si="30"/>
        <v>792.46293183324769</v>
      </c>
      <c r="D89" s="105">
        <f t="shared" si="31"/>
        <v>268.79840492711287</v>
      </c>
      <c r="E89" s="9">
        <f t="shared" si="32"/>
        <v>1061.2613367603606</v>
      </c>
      <c r="F89" s="9">
        <f t="shared" si="33"/>
        <v>97548.416919549534</v>
      </c>
    </row>
    <row r="90" spans="1:7" x14ac:dyDescent="0.25">
      <c r="A90" s="8">
        <v>3</v>
      </c>
      <c r="B90" s="9">
        <f t="shared" si="34"/>
        <v>97548.416919549534</v>
      </c>
      <c r="C90" s="9">
        <f t="shared" si="30"/>
        <v>794.62899718025858</v>
      </c>
      <c r="D90" s="105">
        <f t="shared" si="31"/>
        <v>266.63233958010198</v>
      </c>
      <c r="E90" s="9">
        <f t="shared" si="32"/>
        <v>1061.2613367603606</v>
      </c>
      <c r="F90" s="9">
        <f t="shared" si="33"/>
        <v>96753.787922369273</v>
      </c>
    </row>
    <row r="91" spans="1:7" x14ac:dyDescent="0.25">
      <c r="A91" s="8">
        <v>4</v>
      </c>
      <c r="B91" s="9">
        <f t="shared" si="34"/>
        <v>96753.787922369273</v>
      </c>
      <c r="C91" s="9">
        <f t="shared" si="30"/>
        <v>796.8009831058846</v>
      </c>
      <c r="D91" s="105">
        <f t="shared" si="31"/>
        <v>264.46035365447597</v>
      </c>
      <c r="E91" s="9">
        <f t="shared" si="32"/>
        <v>1061.2613367603606</v>
      </c>
      <c r="F91" s="9">
        <f t="shared" si="33"/>
        <v>95956.986939263385</v>
      </c>
    </row>
    <row r="92" spans="1:7" x14ac:dyDescent="0.25">
      <c r="A92" s="8">
        <v>5</v>
      </c>
      <c r="B92" s="9">
        <f t="shared" si="34"/>
        <v>95956.986939263385</v>
      </c>
      <c r="C92" s="9">
        <f t="shared" si="30"/>
        <v>798.97890579304067</v>
      </c>
      <c r="D92" s="105">
        <f t="shared" si="31"/>
        <v>262.2824309673199</v>
      </c>
      <c r="E92" s="9">
        <f t="shared" si="32"/>
        <v>1061.2613367603606</v>
      </c>
      <c r="F92" s="9">
        <f t="shared" si="33"/>
        <v>95158.008033470338</v>
      </c>
    </row>
    <row r="93" spans="1:7" x14ac:dyDescent="0.25">
      <c r="A93" s="8">
        <v>6</v>
      </c>
      <c r="B93" s="9">
        <f t="shared" si="34"/>
        <v>95158.008033470338</v>
      </c>
      <c r="C93" s="9">
        <f t="shared" si="30"/>
        <v>801.16278146887498</v>
      </c>
      <c r="D93" s="105">
        <f t="shared" si="31"/>
        <v>260.09855529148552</v>
      </c>
      <c r="E93" s="9">
        <f t="shared" si="32"/>
        <v>1061.2613367603606</v>
      </c>
      <c r="F93" s="9">
        <f t="shared" si="33"/>
        <v>94356.845252001469</v>
      </c>
    </row>
    <row r="94" spans="1:7" x14ac:dyDescent="0.25">
      <c r="A94" s="8">
        <v>7</v>
      </c>
      <c r="B94" s="9">
        <f t="shared" si="34"/>
        <v>94356.845252001469</v>
      </c>
      <c r="C94" s="9">
        <f t="shared" si="30"/>
        <v>803.35262640488986</v>
      </c>
      <c r="D94" s="105">
        <f t="shared" si="31"/>
        <v>257.90871035547065</v>
      </c>
      <c r="E94" s="9">
        <f t="shared" si="32"/>
        <v>1061.2613367603606</v>
      </c>
      <c r="F94" s="9">
        <f t="shared" si="33"/>
        <v>93553.492625596584</v>
      </c>
    </row>
    <row r="95" spans="1:7" x14ac:dyDescent="0.25">
      <c r="A95" s="8">
        <v>8</v>
      </c>
      <c r="B95" s="9">
        <f t="shared" si="34"/>
        <v>93553.492625596584</v>
      </c>
      <c r="C95" s="9">
        <f t="shared" si="30"/>
        <v>805.54845691706328</v>
      </c>
      <c r="D95" s="105">
        <f t="shared" si="31"/>
        <v>255.71287984329729</v>
      </c>
      <c r="E95" s="9">
        <f t="shared" si="32"/>
        <v>1061.2613367603606</v>
      </c>
      <c r="F95" s="9">
        <f t="shared" si="33"/>
        <v>92747.944168679518</v>
      </c>
    </row>
    <row r="96" spans="1:7" x14ac:dyDescent="0.25">
      <c r="A96" s="8">
        <v>9</v>
      </c>
      <c r="B96" s="9">
        <f t="shared" si="34"/>
        <v>92747.944168679518</v>
      </c>
      <c r="C96" s="9">
        <f t="shared" si="30"/>
        <v>807.75028936596993</v>
      </c>
      <c r="D96" s="105">
        <f t="shared" si="31"/>
        <v>253.51104739439063</v>
      </c>
      <c r="E96" s="9">
        <f t="shared" si="32"/>
        <v>1061.2613367603606</v>
      </c>
      <c r="F96" s="9">
        <f t="shared" si="33"/>
        <v>91940.193879313549</v>
      </c>
    </row>
    <row r="97" spans="1:7" x14ac:dyDescent="0.25">
      <c r="A97" s="8">
        <v>10</v>
      </c>
      <c r="B97" s="9">
        <f t="shared" si="34"/>
        <v>91940.193879313549</v>
      </c>
      <c r="C97" s="9">
        <f t="shared" si="30"/>
        <v>809.9581401569036</v>
      </c>
      <c r="D97" s="105">
        <f t="shared" si="31"/>
        <v>251.303196603457</v>
      </c>
      <c r="E97" s="9">
        <f t="shared" si="32"/>
        <v>1061.2613367603606</v>
      </c>
      <c r="F97" s="9">
        <f t="shared" si="33"/>
        <v>91130.235739156647</v>
      </c>
    </row>
    <row r="98" spans="1:7" x14ac:dyDescent="0.25">
      <c r="A98" s="8">
        <v>11</v>
      </c>
      <c r="B98" s="9">
        <f t="shared" si="34"/>
        <v>91130.235739156647</v>
      </c>
      <c r="C98" s="9">
        <f t="shared" si="30"/>
        <v>812.17202573999907</v>
      </c>
      <c r="D98" s="105">
        <f t="shared" si="31"/>
        <v>249.08931102036146</v>
      </c>
      <c r="E98" s="9">
        <f t="shared" si="32"/>
        <v>1061.2613367603606</v>
      </c>
      <c r="F98" s="9">
        <f t="shared" si="33"/>
        <v>90318.063713416646</v>
      </c>
    </row>
    <row r="99" spans="1:7" x14ac:dyDescent="0.25">
      <c r="A99" s="8">
        <v>12</v>
      </c>
      <c r="B99" s="9">
        <f t="shared" si="34"/>
        <v>90318.063713416646</v>
      </c>
      <c r="C99" s="9">
        <f t="shared" si="30"/>
        <v>814.39196261035511</v>
      </c>
      <c r="D99" s="105">
        <f t="shared" si="31"/>
        <v>246.86937415000546</v>
      </c>
      <c r="E99" s="9">
        <f t="shared" si="32"/>
        <v>1061.2613367603606</v>
      </c>
      <c r="F99" s="11">
        <f t="shared" si="33"/>
        <v>89503.671750806287</v>
      </c>
    </row>
    <row r="100" spans="1:7" x14ac:dyDescent="0.25">
      <c r="A100" s="12" t="s">
        <v>58</v>
      </c>
      <c r="B100" s="14"/>
      <c r="C100" s="11">
        <f>SUM(C88:C99)</f>
        <v>9627.5108715025362</v>
      </c>
      <c r="D100" s="128">
        <f>SUM(D88:D99)</f>
        <v>3107.6251696217896</v>
      </c>
      <c r="G100" t="s">
        <v>64</v>
      </c>
    </row>
    <row r="101" spans="1:7" x14ac:dyDescent="0.25">
      <c r="B101" s="13"/>
      <c r="C101" s="9"/>
      <c r="D101" s="105"/>
      <c r="E101" s="9"/>
      <c r="F101" s="9"/>
    </row>
    <row r="102" spans="1:7" x14ac:dyDescent="0.25">
      <c r="A102" s="8">
        <v>1</v>
      </c>
      <c r="B102" s="9">
        <f>+F99</f>
        <v>89503.671750806287</v>
      </c>
      <c r="C102" s="9">
        <f t="shared" ref="C102:C113" si="35">+E102-D102</f>
        <v>816.61796730815672</v>
      </c>
      <c r="D102" s="105">
        <f t="shared" ref="D102:D113" si="36">B102*$I$4</f>
        <v>244.64336945220381</v>
      </c>
      <c r="E102" s="9">
        <f t="shared" ref="E102:E113" si="37">-$I$10</f>
        <v>1061.2613367603606</v>
      </c>
      <c r="F102" s="9">
        <f t="shared" ref="F102:F113" si="38">+B102-C102</f>
        <v>88687.053783498137</v>
      </c>
    </row>
    <row r="103" spans="1:7" x14ac:dyDescent="0.25">
      <c r="A103" s="8">
        <v>2</v>
      </c>
      <c r="B103" s="9">
        <f t="shared" ref="B103:B113" si="39">+F102</f>
        <v>88687.053783498137</v>
      </c>
      <c r="C103" s="9">
        <f t="shared" si="35"/>
        <v>818.850056418799</v>
      </c>
      <c r="D103" s="105">
        <f t="shared" si="36"/>
        <v>242.41128034156154</v>
      </c>
      <c r="E103" s="9">
        <f t="shared" si="37"/>
        <v>1061.2613367603606</v>
      </c>
      <c r="F103" s="9">
        <f t="shared" si="38"/>
        <v>87868.203727079337</v>
      </c>
    </row>
    <row r="104" spans="1:7" x14ac:dyDescent="0.25">
      <c r="A104" s="8">
        <v>3</v>
      </c>
      <c r="B104" s="9">
        <f t="shared" si="39"/>
        <v>87868.203727079337</v>
      </c>
      <c r="C104" s="9">
        <f t="shared" si="35"/>
        <v>821.08824657301045</v>
      </c>
      <c r="D104" s="105">
        <f t="shared" si="36"/>
        <v>240.17309018735014</v>
      </c>
      <c r="E104" s="9">
        <f t="shared" si="37"/>
        <v>1061.2613367603606</v>
      </c>
      <c r="F104" s="9">
        <f t="shared" si="38"/>
        <v>87047.115480506327</v>
      </c>
    </row>
    <row r="105" spans="1:7" x14ac:dyDescent="0.25">
      <c r="A105" s="8">
        <v>4</v>
      </c>
      <c r="B105" s="9">
        <f t="shared" si="39"/>
        <v>87047.115480506327</v>
      </c>
      <c r="C105" s="9">
        <f t="shared" si="35"/>
        <v>823.3325544469767</v>
      </c>
      <c r="D105" s="105">
        <f t="shared" si="36"/>
        <v>237.92878231338392</v>
      </c>
      <c r="E105" s="9">
        <f t="shared" si="37"/>
        <v>1061.2613367603606</v>
      </c>
      <c r="F105" s="9">
        <f t="shared" si="38"/>
        <v>86223.782926059357</v>
      </c>
    </row>
    <row r="106" spans="1:7" x14ac:dyDescent="0.25">
      <c r="A106" s="8">
        <v>5</v>
      </c>
      <c r="B106" s="9">
        <f t="shared" si="39"/>
        <v>86223.782926059357</v>
      </c>
      <c r="C106" s="9">
        <f t="shared" si="35"/>
        <v>825.58299676246497</v>
      </c>
      <c r="D106" s="105">
        <f t="shared" si="36"/>
        <v>235.67833999789553</v>
      </c>
      <c r="E106" s="9">
        <f t="shared" si="37"/>
        <v>1061.2613367603606</v>
      </c>
      <c r="F106" s="9">
        <f t="shared" si="38"/>
        <v>85398.199929296898</v>
      </c>
    </row>
    <row r="107" spans="1:7" x14ac:dyDescent="0.25">
      <c r="A107" s="8">
        <v>6</v>
      </c>
      <c r="B107" s="9">
        <f t="shared" si="39"/>
        <v>85398.199929296898</v>
      </c>
      <c r="C107" s="9">
        <f t="shared" si="35"/>
        <v>827.83959028694903</v>
      </c>
      <c r="D107" s="105">
        <f t="shared" si="36"/>
        <v>233.42174647341147</v>
      </c>
      <c r="E107" s="9">
        <f t="shared" si="37"/>
        <v>1061.2613367603606</v>
      </c>
      <c r="F107" s="9">
        <f t="shared" si="38"/>
        <v>84570.360339009945</v>
      </c>
    </row>
    <row r="108" spans="1:7" x14ac:dyDescent="0.25">
      <c r="A108" s="8">
        <v>7</v>
      </c>
      <c r="B108" s="9">
        <f t="shared" si="39"/>
        <v>84570.360339009945</v>
      </c>
      <c r="C108" s="9">
        <f t="shared" si="35"/>
        <v>830.10235183373345</v>
      </c>
      <c r="D108" s="105">
        <f t="shared" si="36"/>
        <v>231.15898492662714</v>
      </c>
      <c r="E108" s="9">
        <f t="shared" si="37"/>
        <v>1061.2613367603606</v>
      </c>
      <c r="F108" s="9">
        <f t="shared" si="38"/>
        <v>83740.257987176214</v>
      </c>
    </row>
    <row r="109" spans="1:7" x14ac:dyDescent="0.25">
      <c r="A109" s="8">
        <v>8</v>
      </c>
      <c r="B109" s="9">
        <f t="shared" si="39"/>
        <v>83740.257987176214</v>
      </c>
      <c r="C109" s="9">
        <f t="shared" si="35"/>
        <v>832.37129826207899</v>
      </c>
      <c r="D109" s="105">
        <f t="shared" si="36"/>
        <v>228.8900384982816</v>
      </c>
      <c r="E109" s="9">
        <f t="shared" si="37"/>
        <v>1061.2613367603606</v>
      </c>
      <c r="F109" s="9">
        <f t="shared" si="38"/>
        <v>82907.886688914135</v>
      </c>
    </row>
    <row r="110" spans="1:7" x14ac:dyDescent="0.25">
      <c r="A110" s="8">
        <v>9</v>
      </c>
      <c r="B110" s="9">
        <f t="shared" si="39"/>
        <v>82907.886688914135</v>
      </c>
      <c r="C110" s="9">
        <f t="shared" si="35"/>
        <v>834.6464464773286</v>
      </c>
      <c r="D110" s="105">
        <f t="shared" si="36"/>
        <v>226.61489028303194</v>
      </c>
      <c r="E110" s="9">
        <f t="shared" si="37"/>
        <v>1061.2613367603606</v>
      </c>
      <c r="F110" s="9">
        <f t="shared" si="38"/>
        <v>82073.240242436805</v>
      </c>
    </row>
    <row r="111" spans="1:7" x14ac:dyDescent="0.25">
      <c r="A111" s="8">
        <v>10</v>
      </c>
      <c r="B111" s="9">
        <f t="shared" si="39"/>
        <v>82073.240242436805</v>
      </c>
      <c r="C111" s="9">
        <f t="shared" si="35"/>
        <v>836.92781343103331</v>
      </c>
      <c r="D111" s="105">
        <f t="shared" si="36"/>
        <v>224.33352332932722</v>
      </c>
      <c r="E111" s="9">
        <f t="shared" si="37"/>
        <v>1061.2613367603606</v>
      </c>
      <c r="F111" s="9">
        <f t="shared" si="38"/>
        <v>81236.312429005775</v>
      </c>
    </row>
    <row r="112" spans="1:7" x14ac:dyDescent="0.25">
      <c r="A112" s="8">
        <v>11</v>
      </c>
      <c r="B112" s="9">
        <f t="shared" si="39"/>
        <v>81236.312429005775</v>
      </c>
      <c r="C112" s="9">
        <f t="shared" si="35"/>
        <v>839.21541612107819</v>
      </c>
      <c r="D112" s="105">
        <f t="shared" si="36"/>
        <v>222.0459206392824</v>
      </c>
      <c r="E112" s="9">
        <f t="shared" si="37"/>
        <v>1061.2613367603606</v>
      </c>
      <c r="F112" s="9">
        <f t="shared" si="38"/>
        <v>80397.097012884697</v>
      </c>
    </row>
    <row r="113" spans="1:7" x14ac:dyDescent="0.25">
      <c r="A113" s="8">
        <v>12</v>
      </c>
      <c r="B113" s="9">
        <f t="shared" si="39"/>
        <v>80397.097012884697</v>
      </c>
      <c r="C113" s="9">
        <f t="shared" si="35"/>
        <v>841.50927159180912</v>
      </c>
      <c r="D113" s="105">
        <f t="shared" si="36"/>
        <v>219.75206516855147</v>
      </c>
      <c r="E113" s="9">
        <f t="shared" si="37"/>
        <v>1061.2613367603606</v>
      </c>
      <c r="F113" s="11">
        <f t="shared" si="38"/>
        <v>79555.587741292882</v>
      </c>
      <c r="G113" t="s">
        <v>65</v>
      </c>
    </row>
    <row r="114" spans="1:7" x14ac:dyDescent="0.25">
      <c r="A114" s="12" t="s">
        <v>58</v>
      </c>
      <c r="B114" s="14"/>
      <c r="C114" s="11">
        <f>SUM(C102:C113)</f>
        <v>9948.084009513419</v>
      </c>
      <c r="D114" s="128">
        <f>SUM(D102:D113)</f>
        <v>2787.0520316109087</v>
      </c>
    </row>
    <row r="115" spans="1:7" x14ac:dyDescent="0.25">
      <c r="D115" s="20"/>
    </row>
    <row r="116" spans="1:7" x14ac:dyDescent="0.25">
      <c r="A116" s="8">
        <v>1</v>
      </c>
      <c r="B116" s="9">
        <f>+F113</f>
        <v>79555.587741292882</v>
      </c>
      <c r="C116" s="9">
        <f t="shared" ref="C116:C127" si="40">+E116-D116</f>
        <v>843.80939693416008</v>
      </c>
      <c r="D116" s="105">
        <f t="shared" ref="D116:D127" si="41">B116*$I$4</f>
        <v>217.45193982620052</v>
      </c>
      <c r="E116" s="9">
        <f t="shared" ref="E116:E127" si="42">-$I$10</f>
        <v>1061.2613367603606</v>
      </c>
      <c r="F116" s="9">
        <f t="shared" ref="F116:F127" si="43">+B116-C116</f>
        <v>78711.778344358725</v>
      </c>
    </row>
    <row r="117" spans="1:7" x14ac:dyDescent="0.25">
      <c r="A117" s="8">
        <v>2</v>
      </c>
      <c r="B117" s="9">
        <f t="shared" ref="B117:B127" si="44">+F116</f>
        <v>78711.778344358725</v>
      </c>
      <c r="C117" s="9">
        <f t="shared" si="40"/>
        <v>846.11580928578007</v>
      </c>
      <c r="D117" s="105">
        <f t="shared" si="41"/>
        <v>215.14552747458049</v>
      </c>
      <c r="E117" s="9">
        <f t="shared" si="42"/>
        <v>1061.2613367603606</v>
      </c>
      <c r="F117" s="9">
        <f t="shared" si="43"/>
        <v>77865.662535072945</v>
      </c>
    </row>
    <row r="118" spans="1:7" x14ac:dyDescent="0.25">
      <c r="A118" s="8">
        <v>3</v>
      </c>
      <c r="B118" s="9">
        <f t="shared" si="44"/>
        <v>77865.662535072945</v>
      </c>
      <c r="C118" s="9">
        <f t="shared" si="40"/>
        <v>848.42852583116121</v>
      </c>
      <c r="D118" s="105">
        <f t="shared" si="41"/>
        <v>212.83281092919935</v>
      </c>
      <c r="E118" s="9">
        <f t="shared" si="42"/>
        <v>1061.2613367603606</v>
      </c>
      <c r="F118" s="9">
        <f t="shared" si="43"/>
        <v>77017.234009241787</v>
      </c>
    </row>
    <row r="119" spans="1:7" x14ac:dyDescent="0.25">
      <c r="A119" s="8">
        <v>4</v>
      </c>
      <c r="B119" s="9">
        <f t="shared" si="44"/>
        <v>77017.234009241787</v>
      </c>
      <c r="C119" s="9">
        <f t="shared" si="40"/>
        <v>850.74756380176632</v>
      </c>
      <c r="D119" s="105">
        <f t="shared" si="41"/>
        <v>210.51377295859419</v>
      </c>
      <c r="E119" s="9">
        <f t="shared" si="42"/>
        <v>1061.2613367603606</v>
      </c>
      <c r="F119" s="9">
        <f t="shared" si="43"/>
        <v>76166.486445440023</v>
      </c>
    </row>
    <row r="120" spans="1:7" x14ac:dyDescent="0.25">
      <c r="A120" s="8">
        <v>5</v>
      </c>
      <c r="B120" s="9">
        <f t="shared" si="44"/>
        <v>76166.486445440023</v>
      </c>
      <c r="C120" s="9">
        <f t="shared" si="40"/>
        <v>853.0729404761579</v>
      </c>
      <c r="D120" s="105">
        <f t="shared" si="41"/>
        <v>208.1883962842027</v>
      </c>
      <c r="E120" s="9">
        <f t="shared" si="42"/>
        <v>1061.2613367603606</v>
      </c>
      <c r="F120" s="9">
        <f t="shared" si="43"/>
        <v>75313.413504963872</v>
      </c>
    </row>
    <row r="121" spans="1:7" x14ac:dyDescent="0.25">
      <c r="A121" s="8">
        <v>6</v>
      </c>
      <c r="B121" s="9">
        <f t="shared" si="44"/>
        <v>75313.413504963872</v>
      </c>
      <c r="C121" s="9">
        <f t="shared" si="40"/>
        <v>855.404673180126</v>
      </c>
      <c r="D121" s="105">
        <f t="shared" si="41"/>
        <v>205.85666358023454</v>
      </c>
      <c r="E121" s="9">
        <f t="shared" si="42"/>
        <v>1061.2613367603606</v>
      </c>
      <c r="F121" s="9">
        <f t="shared" si="43"/>
        <v>74458.008831783751</v>
      </c>
    </row>
    <row r="122" spans="1:7" x14ac:dyDescent="0.25">
      <c r="A122" s="8">
        <v>7</v>
      </c>
      <c r="B122" s="9">
        <f t="shared" si="44"/>
        <v>74458.008831783751</v>
      </c>
      <c r="C122" s="9">
        <f t="shared" si="40"/>
        <v>857.7427792868184</v>
      </c>
      <c r="D122" s="105">
        <f t="shared" si="41"/>
        <v>203.51855747354222</v>
      </c>
      <c r="E122" s="9">
        <f t="shared" si="42"/>
        <v>1061.2613367603606</v>
      </c>
      <c r="F122" s="9">
        <f t="shared" si="43"/>
        <v>73600.26605249694</v>
      </c>
    </row>
    <row r="123" spans="1:7" x14ac:dyDescent="0.25">
      <c r="A123" s="8">
        <v>8</v>
      </c>
      <c r="B123" s="9">
        <f t="shared" si="44"/>
        <v>73600.26605249694</v>
      </c>
      <c r="C123" s="9">
        <f t="shared" si="40"/>
        <v>860.08727621686899</v>
      </c>
      <c r="D123" s="105">
        <f t="shared" si="41"/>
        <v>201.17406054349161</v>
      </c>
      <c r="E123" s="9">
        <f t="shared" si="42"/>
        <v>1061.2613367603606</v>
      </c>
      <c r="F123" s="9">
        <f t="shared" si="43"/>
        <v>72740.178776280067</v>
      </c>
    </row>
    <row r="124" spans="1:7" x14ac:dyDescent="0.25">
      <c r="A124" s="8">
        <v>9</v>
      </c>
      <c r="B124" s="9">
        <f t="shared" si="44"/>
        <v>72740.178776280067</v>
      </c>
      <c r="C124" s="9">
        <f t="shared" si="40"/>
        <v>862.43818143852843</v>
      </c>
      <c r="D124" s="105">
        <f t="shared" si="41"/>
        <v>198.82315532183216</v>
      </c>
      <c r="E124" s="9">
        <f t="shared" si="42"/>
        <v>1061.2613367603606</v>
      </c>
      <c r="F124" s="9">
        <f t="shared" si="43"/>
        <v>71877.74059484154</v>
      </c>
    </row>
    <row r="125" spans="1:7" x14ac:dyDescent="0.25">
      <c r="A125" s="8">
        <v>10</v>
      </c>
      <c r="B125" s="9">
        <f t="shared" si="44"/>
        <v>71877.74059484154</v>
      </c>
      <c r="C125" s="9">
        <f t="shared" si="40"/>
        <v>864.79551246779374</v>
      </c>
      <c r="D125" s="105">
        <f t="shared" si="41"/>
        <v>196.46582429256685</v>
      </c>
      <c r="E125" s="9">
        <f t="shared" si="42"/>
        <v>1061.2613367603606</v>
      </c>
      <c r="F125" s="9">
        <f t="shared" si="43"/>
        <v>71012.945082373742</v>
      </c>
    </row>
    <row r="126" spans="1:7" x14ac:dyDescent="0.25">
      <c r="A126" s="8">
        <v>11</v>
      </c>
      <c r="B126" s="9">
        <f t="shared" si="44"/>
        <v>71012.945082373742</v>
      </c>
      <c r="C126" s="9">
        <f t="shared" si="40"/>
        <v>867.15928686853908</v>
      </c>
      <c r="D126" s="105">
        <f t="shared" si="41"/>
        <v>194.10204989182154</v>
      </c>
      <c r="E126" s="9">
        <f t="shared" si="42"/>
        <v>1061.2613367603606</v>
      </c>
      <c r="F126" s="9">
        <f t="shared" si="43"/>
        <v>70145.785795505202</v>
      </c>
    </row>
    <row r="127" spans="1:7" x14ac:dyDescent="0.25">
      <c r="A127" s="8">
        <v>12</v>
      </c>
      <c r="B127" s="9">
        <f t="shared" si="44"/>
        <v>70145.785795505202</v>
      </c>
      <c r="C127" s="9">
        <f t="shared" si="40"/>
        <v>869.52952225264642</v>
      </c>
      <c r="D127" s="105">
        <f t="shared" si="41"/>
        <v>191.73181450771418</v>
      </c>
      <c r="E127" s="9">
        <f t="shared" si="42"/>
        <v>1061.2613367603606</v>
      </c>
      <c r="F127" s="11">
        <f t="shared" si="43"/>
        <v>69276.256273252555</v>
      </c>
    </row>
    <row r="128" spans="1:7" x14ac:dyDescent="0.25">
      <c r="A128" s="12" t="s">
        <v>58</v>
      </c>
      <c r="B128" s="14"/>
      <c r="C128" s="11">
        <f>SUM(C116:C127)</f>
        <v>10279.331468040345</v>
      </c>
      <c r="D128" s="128">
        <f>SUM(D116:D127)</f>
        <v>2455.8045730839804</v>
      </c>
      <c r="G128" t="s">
        <v>66</v>
      </c>
    </row>
    <row r="129" spans="1:7" x14ac:dyDescent="0.25">
      <c r="D129" s="20"/>
    </row>
    <row r="130" spans="1:7" x14ac:dyDescent="0.25">
      <c r="A130" s="8">
        <v>1</v>
      </c>
      <c r="B130" s="9">
        <f>+F127</f>
        <v>69276.256273252555</v>
      </c>
      <c r="C130" s="9">
        <f t="shared" ref="C130:C141" si="45">+E130-D130</f>
        <v>871.90623628013691</v>
      </c>
      <c r="D130" s="105">
        <f t="shared" ref="D130:D141" si="46">B130*$I$4</f>
        <v>189.35510048022363</v>
      </c>
      <c r="E130" s="9">
        <f t="shared" ref="E130:E141" si="47">-$I$10</f>
        <v>1061.2613367603606</v>
      </c>
      <c r="F130" s="9">
        <f t="shared" ref="F130:F141" si="48">+B130-C130</f>
        <v>68404.350036972421</v>
      </c>
    </row>
    <row r="131" spans="1:7" x14ac:dyDescent="0.25">
      <c r="A131" s="8">
        <v>2</v>
      </c>
      <c r="B131" s="9">
        <f t="shared" ref="B131:B141" si="49">+F130</f>
        <v>68404.350036972421</v>
      </c>
      <c r="C131" s="9">
        <f t="shared" si="45"/>
        <v>874.28944665930271</v>
      </c>
      <c r="D131" s="105">
        <f t="shared" si="46"/>
        <v>186.97189010105791</v>
      </c>
      <c r="E131" s="9">
        <f t="shared" si="47"/>
        <v>1061.2613367603606</v>
      </c>
      <c r="F131" s="9">
        <f t="shared" si="48"/>
        <v>67530.060590313122</v>
      </c>
    </row>
    <row r="132" spans="1:7" x14ac:dyDescent="0.25">
      <c r="A132" s="8">
        <v>3</v>
      </c>
      <c r="B132" s="9">
        <f t="shared" si="49"/>
        <v>67530.060590313122</v>
      </c>
      <c r="C132" s="9">
        <f t="shared" si="45"/>
        <v>876.67917114683803</v>
      </c>
      <c r="D132" s="105">
        <f t="shared" si="46"/>
        <v>184.58216561352251</v>
      </c>
      <c r="E132" s="9">
        <f t="shared" si="47"/>
        <v>1061.2613367603606</v>
      </c>
      <c r="F132" s="9">
        <f t="shared" si="48"/>
        <v>66653.381419166282</v>
      </c>
    </row>
    <row r="133" spans="1:7" x14ac:dyDescent="0.25">
      <c r="A133" s="8">
        <v>4</v>
      </c>
      <c r="B133" s="9">
        <f t="shared" si="49"/>
        <v>66653.381419166282</v>
      </c>
      <c r="C133" s="9">
        <f t="shared" si="45"/>
        <v>879.07542754797282</v>
      </c>
      <c r="D133" s="105">
        <f t="shared" si="46"/>
        <v>182.1859092123878</v>
      </c>
      <c r="E133" s="9">
        <f t="shared" si="47"/>
        <v>1061.2613367603606</v>
      </c>
      <c r="F133" s="9">
        <f t="shared" si="48"/>
        <v>65774.305991618312</v>
      </c>
    </row>
    <row r="134" spans="1:7" x14ac:dyDescent="0.25">
      <c r="A134" s="8">
        <v>5</v>
      </c>
      <c r="B134" s="9">
        <f t="shared" si="49"/>
        <v>65774.305991618312</v>
      </c>
      <c r="C134" s="9">
        <f t="shared" si="45"/>
        <v>881.47823371660388</v>
      </c>
      <c r="D134" s="105">
        <f t="shared" si="46"/>
        <v>179.78310304375668</v>
      </c>
      <c r="E134" s="9">
        <f t="shared" si="47"/>
        <v>1061.2613367603606</v>
      </c>
      <c r="F134" s="9">
        <f t="shared" si="48"/>
        <v>64892.827757901709</v>
      </c>
    </row>
    <row r="135" spans="1:7" x14ac:dyDescent="0.25">
      <c r="A135" s="8">
        <v>6</v>
      </c>
      <c r="B135" s="9">
        <f t="shared" si="49"/>
        <v>64892.827757901709</v>
      </c>
      <c r="C135" s="9">
        <f t="shared" si="45"/>
        <v>883.88760755542921</v>
      </c>
      <c r="D135" s="105">
        <f t="shared" si="46"/>
        <v>177.37372920493129</v>
      </c>
      <c r="E135" s="9">
        <f t="shared" si="47"/>
        <v>1061.2613367603606</v>
      </c>
      <c r="F135" s="9">
        <f t="shared" si="48"/>
        <v>64008.94015034628</v>
      </c>
    </row>
    <row r="136" spans="1:7" x14ac:dyDescent="0.25">
      <c r="A136" s="8">
        <v>7</v>
      </c>
      <c r="B136" s="9">
        <f t="shared" si="49"/>
        <v>64008.94015034628</v>
      </c>
      <c r="C136" s="9">
        <f t="shared" si="45"/>
        <v>886.30356701608071</v>
      </c>
      <c r="D136" s="105">
        <f t="shared" si="46"/>
        <v>174.9577697442798</v>
      </c>
      <c r="E136" s="9">
        <f t="shared" si="47"/>
        <v>1061.2613367603606</v>
      </c>
      <c r="F136" s="9">
        <f t="shared" si="48"/>
        <v>63122.636583330197</v>
      </c>
    </row>
    <row r="137" spans="1:7" x14ac:dyDescent="0.25">
      <c r="A137" s="8">
        <v>8</v>
      </c>
      <c r="B137" s="9">
        <f t="shared" si="49"/>
        <v>63122.636583330197</v>
      </c>
      <c r="C137" s="9">
        <f t="shared" si="45"/>
        <v>888.72613009925806</v>
      </c>
      <c r="D137" s="105">
        <f t="shared" si="46"/>
        <v>172.53520666110251</v>
      </c>
      <c r="E137" s="9">
        <f t="shared" si="47"/>
        <v>1061.2613367603606</v>
      </c>
      <c r="F137" s="9">
        <f t="shared" si="48"/>
        <v>62233.910453230936</v>
      </c>
    </row>
    <row r="138" spans="1:7" x14ac:dyDescent="0.25">
      <c r="A138" s="8">
        <v>9</v>
      </c>
      <c r="B138" s="9">
        <f t="shared" si="49"/>
        <v>62233.910453230936</v>
      </c>
      <c r="C138" s="9">
        <f t="shared" si="45"/>
        <v>891.1553148548627</v>
      </c>
      <c r="D138" s="105">
        <f t="shared" si="46"/>
        <v>170.10602190549787</v>
      </c>
      <c r="E138" s="9">
        <f t="shared" si="47"/>
        <v>1061.2613367603606</v>
      </c>
      <c r="F138" s="9">
        <f t="shared" si="48"/>
        <v>61342.755138376073</v>
      </c>
    </row>
    <row r="139" spans="1:7" x14ac:dyDescent="0.25">
      <c r="A139" s="8">
        <v>10</v>
      </c>
      <c r="B139" s="9">
        <f t="shared" si="49"/>
        <v>61342.755138376073</v>
      </c>
      <c r="C139" s="9">
        <f t="shared" si="45"/>
        <v>893.59113938213272</v>
      </c>
      <c r="D139" s="105">
        <f t="shared" si="46"/>
        <v>167.6701973782279</v>
      </c>
      <c r="E139" s="9">
        <f t="shared" si="47"/>
        <v>1061.2613367603606</v>
      </c>
      <c r="F139" s="9">
        <f t="shared" si="48"/>
        <v>60449.163998993943</v>
      </c>
    </row>
    <row r="140" spans="1:7" x14ac:dyDescent="0.25">
      <c r="A140" s="8">
        <v>11</v>
      </c>
      <c r="B140" s="9">
        <f t="shared" si="49"/>
        <v>60449.163998993943</v>
      </c>
      <c r="C140" s="9">
        <f t="shared" si="45"/>
        <v>896.03362182977719</v>
      </c>
      <c r="D140" s="105">
        <f t="shared" si="46"/>
        <v>165.2277149305834</v>
      </c>
      <c r="E140" s="9">
        <f t="shared" si="47"/>
        <v>1061.2613367603606</v>
      </c>
      <c r="F140" s="9">
        <f t="shared" si="48"/>
        <v>59553.130377164169</v>
      </c>
    </row>
    <row r="141" spans="1:7" x14ac:dyDescent="0.25">
      <c r="A141" s="8">
        <v>12</v>
      </c>
      <c r="B141" s="9">
        <f t="shared" si="49"/>
        <v>59553.130377164169</v>
      </c>
      <c r="C141" s="9">
        <f t="shared" si="45"/>
        <v>898.48278039611182</v>
      </c>
      <c r="D141" s="105">
        <f t="shared" si="46"/>
        <v>162.77855636424869</v>
      </c>
      <c r="E141" s="9">
        <f t="shared" si="47"/>
        <v>1061.2613367603606</v>
      </c>
      <c r="F141" s="11">
        <f t="shared" si="48"/>
        <v>58654.64759676806</v>
      </c>
      <c r="G141" t="s">
        <v>67</v>
      </c>
    </row>
    <row r="142" spans="1:7" x14ac:dyDescent="0.25">
      <c r="A142" s="12" t="s">
        <v>58</v>
      </c>
      <c r="B142" s="14"/>
      <c r="C142" s="11">
        <f>SUM(C130:C141)</f>
        <v>10621.608676484508</v>
      </c>
      <c r="D142" s="128">
        <f>SUM(D130:D141)</f>
        <v>2113.52736463982</v>
      </c>
    </row>
    <row r="143" spans="1:7" x14ac:dyDescent="0.25">
      <c r="B143" s="13"/>
      <c r="C143" s="9"/>
      <c r="D143" s="9"/>
      <c r="E143" s="9"/>
      <c r="F143" s="9"/>
    </row>
    <row r="144" spans="1:7" x14ac:dyDescent="0.25">
      <c r="B144" s="9"/>
      <c r="C144" s="9"/>
      <c r="D144" s="9"/>
      <c r="E144" s="9"/>
      <c r="F144" s="9"/>
    </row>
    <row r="145" spans="2:6" x14ac:dyDescent="0.25">
      <c r="B145" s="9"/>
      <c r="C145" s="9"/>
      <c r="D145" s="9"/>
      <c r="E145" s="9"/>
      <c r="F145" s="9"/>
    </row>
    <row r="146" spans="2:6" x14ac:dyDescent="0.25">
      <c r="B146" s="9"/>
      <c r="C146" s="9"/>
      <c r="D146" s="9"/>
      <c r="E146" s="9"/>
      <c r="F146" s="9"/>
    </row>
    <row r="147" spans="2:6" x14ac:dyDescent="0.25">
      <c r="B147" s="9"/>
      <c r="C147" s="9"/>
      <c r="D147" s="9"/>
      <c r="E147" s="9"/>
      <c r="F147" s="9"/>
    </row>
    <row r="148" spans="2:6" x14ac:dyDescent="0.25">
      <c r="B148" s="9"/>
      <c r="C148" s="9"/>
      <c r="D148" s="9"/>
      <c r="E148" s="9"/>
      <c r="F148" s="9"/>
    </row>
    <row r="149" spans="2:6" x14ac:dyDescent="0.25">
      <c r="B149" s="9"/>
      <c r="C149" s="9"/>
      <c r="D149" s="9"/>
      <c r="E149" s="9"/>
      <c r="F149" s="9"/>
    </row>
    <row r="150" spans="2:6" x14ac:dyDescent="0.25">
      <c r="B150" s="9"/>
      <c r="C150" s="9"/>
      <c r="D150" s="9"/>
      <c r="E150" s="9"/>
      <c r="F150" s="9"/>
    </row>
    <row r="151" spans="2:6" x14ac:dyDescent="0.25">
      <c r="B151" s="9"/>
      <c r="C151" s="9"/>
      <c r="D151" s="9"/>
      <c r="E151" s="9"/>
      <c r="F151" s="9"/>
    </row>
    <row r="152" spans="2:6" x14ac:dyDescent="0.25">
      <c r="B152" s="9"/>
      <c r="C152" s="9"/>
      <c r="D152" s="9"/>
      <c r="E152" s="9"/>
      <c r="F152" s="9"/>
    </row>
    <row r="153" spans="2:6" x14ac:dyDescent="0.25">
      <c r="B153" s="9"/>
      <c r="C153" s="9"/>
      <c r="D153" s="9"/>
      <c r="E153" s="9"/>
      <c r="F153" s="9"/>
    </row>
    <row r="154" spans="2:6" x14ac:dyDescent="0.25">
      <c r="B154" s="9"/>
      <c r="C154" s="9"/>
      <c r="D154" s="9"/>
      <c r="E154" s="9"/>
      <c r="F154" s="9"/>
    </row>
    <row r="155" spans="2:6" x14ac:dyDescent="0.25">
      <c r="B155" s="9"/>
      <c r="C155" s="9"/>
      <c r="D155" s="9"/>
      <c r="E155" s="9"/>
      <c r="F155" s="11"/>
    </row>
    <row r="156" spans="2:6" x14ac:dyDescent="0.25">
      <c r="B156" s="12"/>
      <c r="C156" s="11"/>
      <c r="D156" s="11"/>
      <c r="E156" s="9"/>
      <c r="F156" s="9"/>
    </row>
    <row r="157" spans="2:6" x14ac:dyDescent="0.25">
      <c r="B157" s="13"/>
      <c r="C157" s="9"/>
      <c r="D157" s="9"/>
      <c r="E157" s="9"/>
      <c r="F157" s="9"/>
    </row>
    <row r="158" spans="2:6" x14ac:dyDescent="0.25">
      <c r="B158" s="9"/>
      <c r="C158" s="9"/>
      <c r="D158" s="9"/>
      <c r="E158" s="9"/>
      <c r="F158" s="9"/>
    </row>
    <row r="159" spans="2:6" x14ac:dyDescent="0.25">
      <c r="B159" s="9"/>
      <c r="C159" s="9"/>
      <c r="D159" s="9"/>
      <c r="E159" s="9"/>
      <c r="F159" s="9"/>
    </row>
    <row r="160" spans="2:6" x14ac:dyDescent="0.25">
      <c r="B160" s="9"/>
      <c r="C160" s="9"/>
      <c r="D160" s="9"/>
      <c r="E160" s="9"/>
      <c r="F160" s="9"/>
    </row>
    <row r="161" spans="2:6" x14ac:dyDescent="0.25">
      <c r="B161" s="9"/>
      <c r="C161" s="9"/>
      <c r="D161" s="9"/>
      <c r="E161" s="9"/>
      <c r="F161" s="9"/>
    </row>
    <row r="162" spans="2:6" x14ac:dyDescent="0.25">
      <c r="B162" s="9"/>
      <c r="C162" s="9"/>
      <c r="D162" s="9"/>
      <c r="E162" s="9"/>
      <c r="F162" s="9"/>
    </row>
    <row r="163" spans="2:6" x14ac:dyDescent="0.25">
      <c r="B163" s="9"/>
      <c r="C163" s="9"/>
      <c r="D163" s="9"/>
      <c r="E163" s="9"/>
      <c r="F163" s="9"/>
    </row>
    <row r="164" spans="2:6" x14ac:dyDescent="0.25">
      <c r="B164" s="9"/>
      <c r="C164" s="9"/>
      <c r="D164" s="9"/>
      <c r="E164" s="9"/>
      <c r="F164" s="9"/>
    </row>
    <row r="165" spans="2:6" x14ac:dyDescent="0.25">
      <c r="B165" s="9"/>
      <c r="C165" s="9"/>
      <c r="D165" s="9"/>
      <c r="E165" s="9"/>
      <c r="F165" s="9"/>
    </row>
    <row r="166" spans="2:6" x14ac:dyDescent="0.25">
      <c r="B166" s="9"/>
      <c r="C166" s="9"/>
      <c r="D166" s="9"/>
      <c r="E166" s="9"/>
      <c r="F166" s="9"/>
    </row>
    <row r="167" spans="2:6" x14ac:dyDescent="0.25">
      <c r="B167" s="9"/>
      <c r="C167" s="9"/>
      <c r="D167" s="9"/>
      <c r="E167" s="9"/>
      <c r="F167" s="9"/>
    </row>
    <row r="168" spans="2:6" x14ac:dyDescent="0.25">
      <c r="B168" s="9"/>
      <c r="C168" s="9"/>
      <c r="D168" s="9"/>
      <c r="E168" s="9"/>
      <c r="F168" s="9"/>
    </row>
    <row r="169" spans="2:6" x14ac:dyDescent="0.25">
      <c r="B169" s="9"/>
      <c r="C169" s="9"/>
      <c r="D169" s="9"/>
      <c r="E169" s="9"/>
      <c r="F169" s="11"/>
    </row>
    <row r="170" spans="2:6" x14ac:dyDescent="0.25">
      <c r="B170" s="14"/>
      <c r="C170" s="11"/>
      <c r="D170" s="11"/>
    </row>
    <row r="172" spans="2:6" x14ac:dyDescent="0.25">
      <c r="B172" s="9"/>
      <c r="C172" s="9"/>
      <c r="D172" s="9"/>
      <c r="E172" s="9"/>
      <c r="F172" s="9"/>
    </row>
    <row r="173" spans="2:6" x14ac:dyDescent="0.25">
      <c r="B173" s="9"/>
      <c r="C173" s="9"/>
      <c r="D173" s="9"/>
      <c r="E173" s="9"/>
      <c r="F173" s="9"/>
    </row>
    <row r="174" spans="2:6" x14ac:dyDescent="0.25">
      <c r="B174" s="9"/>
      <c r="C174" s="9"/>
      <c r="D174" s="9"/>
      <c r="E174" s="9"/>
      <c r="F174" s="9"/>
    </row>
    <row r="175" spans="2:6" x14ac:dyDescent="0.25">
      <c r="B175" s="9"/>
      <c r="C175" s="9"/>
      <c r="D175" s="9"/>
      <c r="E175" s="9"/>
      <c r="F175" s="9"/>
    </row>
    <row r="176" spans="2:6" x14ac:dyDescent="0.25">
      <c r="B176" s="9"/>
      <c r="C176" s="9"/>
      <c r="D176" s="9"/>
      <c r="E176" s="9"/>
      <c r="F176" s="9"/>
    </row>
    <row r="177" spans="2:6" x14ac:dyDescent="0.25">
      <c r="B177" s="9"/>
      <c r="C177" s="9"/>
      <c r="D177" s="9"/>
      <c r="E177" s="9"/>
      <c r="F177" s="9"/>
    </row>
    <row r="178" spans="2:6" x14ac:dyDescent="0.25">
      <c r="B178" s="9"/>
      <c r="C178" s="9"/>
      <c r="D178" s="9"/>
      <c r="E178" s="9"/>
      <c r="F178" s="9"/>
    </row>
    <row r="179" spans="2:6" x14ac:dyDescent="0.25">
      <c r="B179" s="9"/>
      <c r="C179" s="9"/>
      <c r="D179" s="9"/>
      <c r="E179" s="9"/>
      <c r="F179" s="9"/>
    </row>
    <row r="180" spans="2:6" x14ac:dyDescent="0.25">
      <c r="B180" s="9"/>
      <c r="C180" s="9"/>
      <c r="D180" s="9"/>
      <c r="E180" s="9"/>
      <c r="F180" s="9"/>
    </row>
    <row r="181" spans="2:6" x14ac:dyDescent="0.25">
      <c r="B181" s="9"/>
      <c r="C181" s="9"/>
      <c r="D181" s="9"/>
      <c r="E181" s="9"/>
      <c r="F181" s="9"/>
    </row>
    <row r="182" spans="2:6" x14ac:dyDescent="0.25">
      <c r="B182" s="9"/>
      <c r="C182" s="9"/>
      <c r="D182" s="9"/>
      <c r="E182" s="9"/>
      <c r="F182" s="9"/>
    </row>
    <row r="183" spans="2:6" x14ac:dyDescent="0.25">
      <c r="B183" s="9"/>
      <c r="C183" s="9"/>
      <c r="D183" s="9"/>
      <c r="E183" s="9"/>
      <c r="F183" s="11"/>
    </row>
    <row r="184" spans="2:6" x14ac:dyDescent="0.25">
      <c r="B184" s="14"/>
      <c r="C184" s="11"/>
      <c r="D184" s="11"/>
    </row>
    <row r="186" spans="2:6" x14ac:dyDescent="0.25">
      <c r="B186" s="9"/>
      <c r="C186" s="9"/>
      <c r="D186" s="9"/>
      <c r="E186" s="9"/>
      <c r="F186" s="9"/>
    </row>
  </sheetData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topLeftCell="A4" zoomScale="80" zoomScaleNormal="80" workbookViewId="0">
      <selection sqref="A1:M2"/>
    </sheetView>
  </sheetViews>
  <sheetFormatPr defaultRowHeight="15" x14ac:dyDescent="0.25"/>
  <cols>
    <col min="1" max="1" width="4" customWidth="1"/>
    <col min="2" max="2" width="31.140625" customWidth="1"/>
    <col min="3" max="3" width="13.7109375" customWidth="1"/>
    <col min="4" max="5" width="12.5703125" bestFit="1" customWidth="1"/>
    <col min="6" max="6" width="11.7109375" customWidth="1"/>
    <col min="7" max="7" width="12" customWidth="1"/>
    <col min="8" max="9" width="11.42578125" customWidth="1"/>
    <col min="10" max="10" width="13.28515625" customWidth="1"/>
    <col min="11" max="11" width="14.7109375" customWidth="1"/>
    <col min="12" max="12" width="12.85546875" customWidth="1"/>
    <col min="13" max="13" width="14.140625" customWidth="1"/>
    <col min="14" max="14" width="11.85546875" customWidth="1"/>
    <col min="15" max="15" width="10" customWidth="1"/>
    <col min="16" max="16" width="12.7109375" bestFit="1" customWidth="1"/>
    <col min="17" max="17" width="9.5703125" bestFit="1" customWidth="1"/>
    <col min="18" max="18" width="10.140625" customWidth="1"/>
    <col min="19" max="19" width="10.7109375" customWidth="1"/>
    <col min="20" max="20" width="11.85546875" customWidth="1"/>
  </cols>
  <sheetData>
    <row r="1" spans="1:17" ht="15" customHeight="1" x14ac:dyDescent="0.25">
      <c r="A1" s="160" t="s">
        <v>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7" ht="1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7" x14ac:dyDescent="0.25">
      <c r="A3" s="1"/>
      <c r="B3" s="20" t="s">
        <v>121</v>
      </c>
      <c r="C3" s="20"/>
      <c r="D3" s="20">
        <f>Forecast!$D$3</f>
        <v>0.56999999999999995</v>
      </c>
      <c r="E3" s="20"/>
    </row>
    <row r="4" spans="1:17" x14ac:dyDescent="0.25">
      <c r="A4" s="1"/>
      <c r="B4" s="20" t="s">
        <v>125</v>
      </c>
      <c r="C4" s="20"/>
      <c r="D4" s="108">
        <f>Forecast!$D$4</f>
        <v>0.91471090787253806</v>
      </c>
      <c r="E4" s="108"/>
    </row>
    <row r="5" spans="1:17" x14ac:dyDescent="0.25">
      <c r="A5" s="1"/>
      <c r="B5" s="20" t="s">
        <v>122</v>
      </c>
      <c r="C5" s="20"/>
      <c r="D5" s="35">
        <f>Forecast!$D$5</f>
        <v>1.5299999999999999E-2</v>
      </c>
      <c r="E5" s="20"/>
    </row>
    <row r="6" spans="1:17" x14ac:dyDescent="0.25">
      <c r="A6" s="1"/>
      <c r="B6" s="20" t="s">
        <v>123</v>
      </c>
      <c r="C6" s="20"/>
      <c r="D6" s="35">
        <f>Forecast!$D$6</f>
        <v>0.13</v>
      </c>
      <c r="E6" s="20"/>
    </row>
    <row r="7" spans="1:17" x14ac:dyDescent="0.25">
      <c r="A7" s="1"/>
      <c r="B7" s="20" t="s">
        <v>132</v>
      </c>
      <c r="C7" s="20"/>
      <c r="D7" s="94">
        <f>Forecast!$D$7</f>
        <v>0.12021734113298012</v>
      </c>
      <c r="E7" s="94"/>
    </row>
    <row r="8" spans="1:17" x14ac:dyDescent="0.25">
      <c r="D8" s="1">
        <v>2015</v>
      </c>
      <c r="E8" s="1">
        <v>2016</v>
      </c>
      <c r="F8" s="1">
        <v>2017</v>
      </c>
      <c r="G8" s="1">
        <v>2018</v>
      </c>
      <c r="H8" s="1">
        <v>2019</v>
      </c>
      <c r="I8" s="1"/>
      <c r="J8" s="1"/>
      <c r="K8" s="1"/>
      <c r="L8" s="1"/>
      <c r="M8" s="1"/>
      <c r="N8" s="1"/>
    </row>
    <row r="9" spans="1:17" x14ac:dyDescent="0.25">
      <c r="B9" s="20" t="s">
        <v>29</v>
      </c>
      <c r="D9" s="19">
        <f>118</f>
        <v>118</v>
      </c>
      <c r="E9" s="19">
        <f>118</f>
        <v>118</v>
      </c>
      <c r="F9" s="19">
        <f>118</f>
        <v>118</v>
      </c>
      <c r="G9" s="19">
        <f>118</f>
        <v>118</v>
      </c>
      <c r="H9" s="19">
        <f>118</f>
        <v>118</v>
      </c>
      <c r="I9" s="19"/>
      <c r="J9" s="19"/>
      <c r="K9" s="19"/>
      <c r="L9" s="19"/>
      <c r="M9" s="19"/>
      <c r="N9" s="19"/>
    </row>
    <row r="10" spans="1:17" x14ac:dyDescent="0.25">
      <c r="B10" s="20" t="s">
        <v>30</v>
      </c>
      <c r="D10">
        <v>28</v>
      </c>
      <c r="E10">
        <v>28</v>
      </c>
      <c r="F10">
        <v>28</v>
      </c>
      <c r="G10">
        <v>28</v>
      </c>
      <c r="H10">
        <v>28</v>
      </c>
    </row>
    <row r="11" spans="1:17" x14ac:dyDescent="0.25">
      <c r="B11" s="20" t="s">
        <v>31</v>
      </c>
      <c r="D11">
        <v>15</v>
      </c>
      <c r="E11">
        <v>15</v>
      </c>
      <c r="F11">
        <v>15</v>
      </c>
      <c r="G11">
        <v>15</v>
      </c>
      <c r="H11">
        <v>15</v>
      </c>
    </row>
    <row r="12" spans="1:17" x14ac:dyDescent="0.25">
      <c r="B12" s="20" t="s">
        <v>72</v>
      </c>
      <c r="D12" s="98">
        <v>35</v>
      </c>
      <c r="O12" s="18">
        <f>4723*0.81*1.5</f>
        <v>5738.4449999999997</v>
      </c>
      <c r="P12" s="18">
        <f>O12/52</f>
        <v>110.35471153846153</v>
      </c>
      <c r="Q12" s="18">
        <f>P12/6</f>
        <v>18.392451923076923</v>
      </c>
    </row>
    <row r="13" spans="1:17" x14ac:dyDescent="0.25">
      <c r="B13" s="20" t="s">
        <v>73</v>
      </c>
      <c r="D13">
        <v>18</v>
      </c>
    </row>
    <row r="14" spans="1:17" x14ac:dyDescent="0.25">
      <c r="B14" s="20" t="s">
        <v>164</v>
      </c>
      <c r="D14">
        <v>365</v>
      </c>
    </row>
    <row r="15" spans="1:17" x14ac:dyDescent="0.25">
      <c r="A15" s="117" t="s">
        <v>0</v>
      </c>
      <c r="B15" s="118"/>
    </row>
    <row r="16" spans="1:17" x14ac:dyDescent="0.25">
      <c r="A16" s="1" t="s">
        <v>4</v>
      </c>
    </row>
    <row r="17" spans="1:18" x14ac:dyDescent="0.25">
      <c r="B17" t="s">
        <v>1</v>
      </c>
      <c r="D17" s="3">
        <f>Forecast!$D$18</f>
        <v>197190</v>
      </c>
      <c r="E17" s="3">
        <f>D17*$O$17</f>
        <v>138033</v>
      </c>
      <c r="F17" s="3">
        <f>E17*$O$17</f>
        <v>96623.099999999991</v>
      </c>
      <c r="G17" s="3">
        <f>F17*$O$17</f>
        <v>67636.169999999984</v>
      </c>
      <c r="H17" s="3">
        <f>G17*$O$17</f>
        <v>47345.318999999989</v>
      </c>
      <c r="I17" s="3"/>
      <c r="J17" s="3"/>
      <c r="M17" s="3"/>
      <c r="N17" s="3"/>
      <c r="O17" s="20">
        <v>0.7</v>
      </c>
    </row>
    <row r="18" spans="1:18" x14ac:dyDescent="0.25">
      <c r="B18" t="s">
        <v>2</v>
      </c>
      <c r="D18" s="3">
        <f>Forecast!$D$19</f>
        <v>1971.9</v>
      </c>
      <c r="E18" s="3">
        <f>E17*$O$18</f>
        <v>1380.33</v>
      </c>
      <c r="F18" s="3">
        <f>F17*$O$18</f>
        <v>966.23099999999988</v>
      </c>
      <c r="G18" s="3">
        <f>G17*$O$18</f>
        <v>676.36169999999981</v>
      </c>
      <c r="H18" s="3">
        <f>H17*$O$18</f>
        <v>473.45318999999989</v>
      </c>
      <c r="I18" s="3"/>
      <c r="J18" s="3"/>
      <c r="M18" s="3"/>
      <c r="N18" s="3"/>
      <c r="O18">
        <v>0.01</v>
      </c>
      <c r="P18" t="s">
        <v>87</v>
      </c>
    </row>
    <row r="19" spans="1:18" x14ac:dyDescent="0.25">
      <c r="B19" t="s">
        <v>3</v>
      </c>
      <c r="D19" s="3">
        <f>Forecast!$D$20</f>
        <v>985.95</v>
      </c>
      <c r="E19" s="3">
        <f>E17*$O$19</f>
        <v>690.16499999999996</v>
      </c>
      <c r="F19" s="3">
        <f>F17*$O$19</f>
        <v>483.11549999999994</v>
      </c>
      <c r="G19" s="3">
        <f>G17*$O$19</f>
        <v>338.18084999999991</v>
      </c>
      <c r="H19" s="3">
        <f>H17*$O$19</f>
        <v>236.72659499999995</v>
      </c>
      <c r="I19" s="3"/>
      <c r="J19" s="3"/>
      <c r="K19" s="3"/>
      <c r="L19" s="3"/>
      <c r="M19" s="3"/>
      <c r="N19" s="3"/>
      <c r="O19">
        <v>5.0000000000000001E-3</v>
      </c>
      <c r="P19" t="s">
        <v>87</v>
      </c>
    </row>
    <row r="20" spans="1:18" x14ac:dyDescent="0.25">
      <c r="B20" s="1" t="s">
        <v>5</v>
      </c>
      <c r="C20" s="1"/>
      <c r="D20" s="21">
        <f>SUM(D17:D19)</f>
        <v>200147.85</v>
      </c>
      <c r="E20" s="21">
        <f t="shared" ref="E20:H20" si="0">SUM(E17:E19)</f>
        <v>140103.495</v>
      </c>
      <c r="F20" s="21">
        <f t="shared" si="0"/>
        <v>98072.446499999991</v>
      </c>
      <c r="G20" s="21">
        <f t="shared" si="0"/>
        <v>68650.712549999982</v>
      </c>
      <c r="H20" s="21">
        <f t="shared" si="0"/>
        <v>48055.498784999989</v>
      </c>
      <c r="I20" s="21"/>
      <c r="J20" s="21"/>
      <c r="K20" s="21"/>
      <c r="L20" s="21"/>
      <c r="M20" s="21"/>
      <c r="N20" s="21"/>
    </row>
    <row r="21" spans="1:18" x14ac:dyDescent="0.2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8" x14ac:dyDescent="0.25">
      <c r="A22" t="s">
        <v>6</v>
      </c>
      <c r="B22" s="20"/>
      <c r="D22" s="3">
        <f>Forecast!$D$23</f>
        <v>130096.10250000001</v>
      </c>
      <c r="E22" s="3">
        <f>E20*$O$22</f>
        <v>91067.27175</v>
      </c>
      <c r="F22" s="3">
        <f>F20*$O$22</f>
        <v>63747.090224999993</v>
      </c>
      <c r="G22" s="3">
        <f>G20*$O$22</f>
        <v>44622.963157499988</v>
      </c>
      <c r="H22" s="3">
        <f>H20*$O$22</f>
        <v>31236.074210249993</v>
      </c>
      <c r="I22" s="3"/>
      <c r="J22" s="3"/>
      <c r="K22" s="3"/>
      <c r="L22" s="3"/>
      <c r="M22" s="3"/>
      <c r="N22" s="3"/>
      <c r="O22" s="18">
        <v>0.65</v>
      </c>
      <c r="P22" t="s">
        <v>157</v>
      </c>
      <c r="R22" t="s">
        <v>176</v>
      </c>
    </row>
    <row r="23" spans="1:18" x14ac:dyDescent="0.2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8" x14ac:dyDescent="0.25">
      <c r="A24" t="s">
        <v>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 x14ac:dyDescent="0.25">
      <c r="B25" t="s">
        <v>74</v>
      </c>
      <c r="D25" s="3">
        <f>Forecast!$D$26</f>
        <v>19000</v>
      </c>
      <c r="E25" s="3">
        <f>1*$O$25</f>
        <v>19000</v>
      </c>
      <c r="F25" s="3">
        <f>1*$O$25</f>
        <v>19000</v>
      </c>
      <c r="G25" s="3">
        <f>1*$O$25</f>
        <v>19000</v>
      </c>
      <c r="H25" s="3">
        <f>1*$O$25</f>
        <v>19000</v>
      </c>
      <c r="I25" s="3"/>
      <c r="J25" s="3"/>
      <c r="K25" s="3"/>
      <c r="L25" s="3"/>
      <c r="M25" s="3"/>
      <c r="N25" s="3"/>
      <c r="O25" s="16">
        <v>19000</v>
      </c>
      <c r="P25" t="s">
        <v>70</v>
      </c>
    </row>
    <row r="26" spans="1:18" x14ac:dyDescent="0.25">
      <c r="B26" t="s">
        <v>75</v>
      </c>
      <c r="D26" s="3">
        <f>Forecast!$D$27</f>
        <v>2912</v>
      </c>
      <c r="E26" s="3">
        <f>D26*$O$26</f>
        <v>2970.2400000000002</v>
      </c>
      <c r="F26" s="3">
        <f>E26*$O$26</f>
        <v>3029.6448000000005</v>
      </c>
      <c r="G26" s="3">
        <f>F26*$O$26</f>
        <v>3090.2376960000006</v>
      </c>
      <c r="H26" s="3">
        <f>G26*$O$26</f>
        <v>3152.0424499200008</v>
      </c>
      <c r="I26" s="3"/>
      <c r="J26" s="3"/>
      <c r="K26" s="3"/>
      <c r="L26" s="3"/>
      <c r="M26" s="3"/>
      <c r="N26" s="3"/>
      <c r="O26">
        <v>1.02</v>
      </c>
      <c r="P26" t="s">
        <v>69</v>
      </c>
    </row>
    <row r="27" spans="1:18" x14ac:dyDescent="0.25">
      <c r="B27" t="s">
        <v>76</v>
      </c>
      <c r="D27" s="3">
        <f>Forecast!$D$28</f>
        <v>1131</v>
      </c>
      <c r="E27" s="3">
        <f>D27*$O$27</f>
        <v>1153.6200000000001</v>
      </c>
      <c r="F27" s="3">
        <f>E27*$O$27</f>
        <v>1176.6924000000001</v>
      </c>
      <c r="G27" s="3">
        <f>F27*$O$27</f>
        <v>1200.2262480000002</v>
      </c>
      <c r="H27" s="3">
        <f>G27*$O$27</f>
        <v>1224.2307729600002</v>
      </c>
      <c r="I27" s="3"/>
      <c r="J27" s="3"/>
      <c r="K27" s="3"/>
      <c r="L27" s="3"/>
      <c r="M27" s="3"/>
      <c r="N27" s="3"/>
      <c r="O27">
        <v>1.02</v>
      </c>
      <c r="P27" t="s">
        <v>68</v>
      </c>
    </row>
    <row r="28" spans="1:18" x14ac:dyDescent="0.25">
      <c r="B28" t="s">
        <v>8</v>
      </c>
      <c r="D28" s="3">
        <f>Forecast!$D$29</f>
        <v>8005.9140000000007</v>
      </c>
      <c r="E28" s="3">
        <f>E20*$O$28</f>
        <v>5604.1397999999999</v>
      </c>
      <c r="F28" s="3">
        <f>F20*$O$28</f>
        <v>3922.8978599999996</v>
      </c>
      <c r="G28" s="3">
        <f>G20*$O$28</f>
        <v>2746.0285019999992</v>
      </c>
      <c r="H28" s="3">
        <f>H20*$O$28</f>
        <v>1922.2199513999997</v>
      </c>
      <c r="I28" s="3"/>
      <c r="J28" s="3"/>
      <c r="K28" s="3"/>
      <c r="L28" s="3"/>
      <c r="M28" s="3"/>
      <c r="N28" s="3"/>
      <c r="O28">
        <v>0.04</v>
      </c>
      <c r="P28" t="s">
        <v>86</v>
      </c>
    </row>
    <row r="29" spans="1:18" x14ac:dyDescent="0.25">
      <c r="B29" t="s">
        <v>9</v>
      </c>
      <c r="D29" s="3">
        <f>Forecast!$D$30</f>
        <v>5000</v>
      </c>
      <c r="E29" s="3">
        <f>D29 * (1+$O$29)</f>
        <v>5100</v>
      </c>
      <c r="F29" s="3">
        <f>E29 * (1+$O$29)</f>
        <v>5202</v>
      </c>
      <c r="G29" s="3">
        <f>F29 * (1+$O$29)</f>
        <v>5306.04</v>
      </c>
      <c r="H29" s="3">
        <f>G29 * (1+$O$29)</f>
        <v>5412.1607999999997</v>
      </c>
      <c r="I29" s="3"/>
      <c r="J29" s="3"/>
      <c r="K29" s="3"/>
      <c r="L29" s="3"/>
      <c r="M29" s="3"/>
      <c r="N29" s="3"/>
      <c r="O29" s="17">
        <v>0.02</v>
      </c>
      <c r="P29" t="s">
        <v>83</v>
      </c>
    </row>
    <row r="30" spans="1:18" x14ac:dyDescent="0.25">
      <c r="B30" t="s">
        <v>10</v>
      </c>
      <c r="D30" s="3">
        <f>Forecast!$D$31</f>
        <v>2001.4785000000002</v>
      </c>
      <c r="E30" s="3">
        <f>E20*$O$30</f>
        <v>1401.03495</v>
      </c>
      <c r="F30" s="3">
        <f>F20*$O$30</f>
        <v>980.7244649999999</v>
      </c>
      <c r="G30" s="3">
        <f>G20*$O$30</f>
        <v>686.5071254999998</v>
      </c>
      <c r="H30" s="3">
        <f>H20*$O$30</f>
        <v>480.55498784999992</v>
      </c>
      <c r="I30" s="3"/>
      <c r="J30" s="3"/>
      <c r="K30" s="3"/>
      <c r="L30" s="3"/>
      <c r="M30" s="3"/>
      <c r="N30" s="3"/>
      <c r="O30">
        <v>0.01</v>
      </c>
      <c r="P30" t="s">
        <v>86</v>
      </c>
    </row>
    <row r="31" spans="1:18" x14ac:dyDescent="0.25">
      <c r="B31" t="s">
        <v>116</v>
      </c>
      <c r="D31" s="3">
        <f>Forecast!$D$32</f>
        <v>2102.9233006849313</v>
      </c>
      <c r="E31" s="3">
        <f>$O$31*E48</f>
        <v>1472.0463104794521</v>
      </c>
      <c r="F31" s="3">
        <f>$O$31*F48</f>
        <v>1030.4324173356163</v>
      </c>
      <c r="G31" s="3">
        <f>$O$31*G48</f>
        <v>721.30269213493136</v>
      </c>
      <c r="H31" s="3">
        <f>$O$31*H48</f>
        <v>504.91188449445201</v>
      </c>
      <c r="I31" s="3"/>
      <c r="J31" s="3"/>
      <c r="K31" s="3"/>
      <c r="L31" s="3"/>
      <c r="M31" s="3"/>
      <c r="N31" s="3"/>
      <c r="O31" s="18">
        <v>0.05</v>
      </c>
      <c r="P31" t="s">
        <v>117</v>
      </c>
    </row>
    <row r="32" spans="1:18" x14ac:dyDescent="0.25">
      <c r="B32" s="1" t="s">
        <v>11</v>
      </c>
      <c r="D32" s="21">
        <f>SUM(D25:D31)</f>
        <v>40153.315800684933</v>
      </c>
      <c r="E32" s="21">
        <f t="shared" ref="E32:H32" si="1">SUM(E25:E31)</f>
        <v>36701.081060479461</v>
      </c>
      <c r="F32" s="21">
        <f t="shared" si="1"/>
        <v>34342.39194233562</v>
      </c>
      <c r="G32" s="21">
        <f t="shared" si="1"/>
        <v>32750.342263634928</v>
      </c>
      <c r="H32" s="21">
        <f t="shared" si="1"/>
        <v>31696.120846624453</v>
      </c>
      <c r="I32" s="21"/>
      <c r="J32" s="21"/>
      <c r="K32" s="21"/>
      <c r="L32" s="21"/>
      <c r="M32" s="21"/>
      <c r="N32" s="21"/>
    </row>
    <row r="33" spans="1:16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x14ac:dyDescent="0.25">
      <c r="A34" t="s">
        <v>24</v>
      </c>
      <c r="D34" s="3">
        <f>Forecast!$D$35</f>
        <v>5142.8571428571431</v>
      </c>
      <c r="E34" s="3">
        <f>E50/$O$34</f>
        <v>5142.8571428571431</v>
      </c>
      <c r="F34" s="3">
        <f>F50/$O$34</f>
        <v>5142.8571428571431</v>
      </c>
      <c r="G34" s="3">
        <f>G50/$O$34</f>
        <v>5142.8571428571431</v>
      </c>
      <c r="H34" s="3">
        <f>H50/$O$34</f>
        <v>5142.8571428571431</v>
      </c>
      <c r="I34" s="3"/>
      <c r="J34" s="3"/>
      <c r="K34" s="3"/>
      <c r="L34" s="3"/>
      <c r="M34" s="3"/>
      <c r="N34" s="3"/>
      <c r="O34">
        <v>7</v>
      </c>
      <c r="P34" t="s">
        <v>84</v>
      </c>
    </row>
    <row r="35" spans="1:16" x14ac:dyDescent="0.25">
      <c r="A35" t="s">
        <v>43</v>
      </c>
      <c r="D35" s="3">
        <f>Forecast!$D$36</f>
        <v>2907.6923076923076</v>
      </c>
      <c r="E35" s="3">
        <f>E52/$O$35</f>
        <v>2907.6923076923076</v>
      </c>
      <c r="F35" s="3">
        <f>F52/$O$35</f>
        <v>2907.6923076923076</v>
      </c>
      <c r="G35" s="3">
        <f>G52/$O$35</f>
        <v>2907.6923076923076</v>
      </c>
      <c r="H35" s="3">
        <f>H52/$O$35</f>
        <v>2907.6923076923076</v>
      </c>
      <c r="I35" s="3"/>
      <c r="J35" s="3"/>
      <c r="K35" s="3"/>
      <c r="L35" s="3"/>
      <c r="M35" s="3"/>
      <c r="N35" s="3"/>
      <c r="O35">
        <v>39</v>
      </c>
      <c r="P35" t="s">
        <v>44</v>
      </c>
    </row>
    <row r="36" spans="1:16" x14ac:dyDescent="0.25">
      <c r="A36" t="s">
        <v>37</v>
      </c>
      <c r="D36" s="3">
        <f>Forecast!$D$37</f>
        <v>4825.4096825418692</v>
      </c>
      <c r="E36" s="3">
        <f>Mortgage!$D$30</f>
        <v>4562.034669683283</v>
      </c>
      <c r="F36" s="3">
        <f>Mortgage!$D$44</f>
        <v>4289.8898973850428</v>
      </c>
      <c r="G36" s="3">
        <f>Mortgage!$D$58</f>
        <v>4008.6833535849746</v>
      </c>
      <c r="H36" s="3">
        <f>Mortgage!$D$72</f>
        <v>3718.1133029160637</v>
      </c>
      <c r="I36" s="3"/>
      <c r="J36" s="3"/>
      <c r="K36" s="3"/>
      <c r="L36" s="3"/>
      <c r="M36" s="3"/>
      <c r="N36" s="3"/>
      <c r="O36" s="20">
        <f>Mortgage!J6</f>
        <v>15</v>
      </c>
      <c r="P36" t="s">
        <v>216</v>
      </c>
    </row>
    <row r="37" spans="1:16" x14ac:dyDescent="0.25">
      <c r="A37" t="s">
        <v>38</v>
      </c>
      <c r="D37" s="3">
        <f>Forecast!$D$38</f>
        <v>4204.5936926298218</v>
      </c>
      <c r="E37" s="3">
        <f>E69*$O$37</f>
        <v>4986.4509259435099</v>
      </c>
      <c r="F37" s="3">
        <f>F69*$O$37</f>
        <v>5406.3541653890379</v>
      </c>
      <c r="G37" s="3">
        <f>G69*$O$37</f>
        <v>6545.9747065440361</v>
      </c>
      <c r="H37" s="3">
        <f>H69*$O$37</f>
        <v>8242.4262148592061</v>
      </c>
      <c r="I37" s="3"/>
      <c r="J37" s="3"/>
      <c r="K37" s="3"/>
      <c r="L37" s="3"/>
      <c r="M37" s="3"/>
      <c r="N37" s="3"/>
      <c r="O37" s="7">
        <f>Forecast!$O$38</f>
        <v>5.5300000000000002E-2</v>
      </c>
      <c r="P37" t="s">
        <v>85</v>
      </c>
    </row>
    <row r="38" spans="1:16" x14ac:dyDescent="0.2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6" x14ac:dyDescent="0.25">
      <c r="A39" t="s">
        <v>13</v>
      </c>
      <c r="D39" s="3">
        <f t="shared" ref="D39:H39" si="2">D20-D22-D32-SUM(D34:D37)</f>
        <v>12817.878873593923</v>
      </c>
      <c r="E39" s="3">
        <f t="shared" si="2"/>
        <v>-5263.8928566557079</v>
      </c>
      <c r="F39" s="3">
        <f t="shared" si="2"/>
        <v>-17763.829180659155</v>
      </c>
      <c r="G39" s="3">
        <f t="shared" si="2"/>
        <v>-27327.800381813395</v>
      </c>
      <c r="H39" s="3">
        <f t="shared" si="2"/>
        <v>-34887.785240199184</v>
      </c>
      <c r="I39" s="3"/>
      <c r="J39" s="3"/>
      <c r="K39" s="3"/>
      <c r="L39" s="3"/>
      <c r="M39" s="3"/>
      <c r="N39" s="3"/>
    </row>
    <row r="40" spans="1:16" x14ac:dyDescent="0.25">
      <c r="A40" t="s">
        <v>14</v>
      </c>
      <c r="D40" s="3">
        <f>IF(D39&gt;0,(D39*$O$40),0)</f>
        <v>3845.3636620781767</v>
      </c>
      <c r="E40" s="3">
        <f>IF(E39&gt;0,(E39*$O$40),0)</f>
        <v>0</v>
      </c>
      <c r="F40" s="3">
        <f>IF(F39&gt;0,(F39*$O$40),0)</f>
        <v>0</v>
      </c>
      <c r="G40" s="3">
        <f>IF(G39&gt;0,(G39*$O$40),0)</f>
        <v>0</v>
      </c>
      <c r="H40" s="3">
        <f>IF(H39&gt;0,(H39*$O$40),0)</f>
        <v>0</v>
      </c>
      <c r="I40" s="3"/>
      <c r="J40" s="3"/>
      <c r="K40" s="3"/>
      <c r="L40" s="3"/>
      <c r="M40" s="3"/>
      <c r="N40" s="3"/>
      <c r="O40" s="20">
        <v>0.3</v>
      </c>
      <c r="P40" t="s">
        <v>71</v>
      </c>
    </row>
    <row r="41" spans="1:16" x14ac:dyDescent="0.25">
      <c r="A41" s="1" t="s">
        <v>15</v>
      </c>
      <c r="D41" s="21">
        <f>D39-D40</f>
        <v>8972.5152115157471</v>
      </c>
      <c r="E41" s="21">
        <f t="shared" ref="E41:H41" si="3">E39-E40</f>
        <v>-5263.8928566557079</v>
      </c>
      <c r="F41" s="21">
        <f t="shared" si="3"/>
        <v>-17763.829180659155</v>
      </c>
      <c r="G41" s="21">
        <f t="shared" si="3"/>
        <v>-27327.800381813395</v>
      </c>
      <c r="H41" s="21">
        <f t="shared" si="3"/>
        <v>-34887.785240199184</v>
      </c>
      <c r="I41" s="21"/>
      <c r="J41" s="21"/>
      <c r="K41" s="21"/>
      <c r="L41" s="21"/>
      <c r="M41" s="21"/>
      <c r="N41" s="21"/>
    </row>
    <row r="42" spans="1:16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6" x14ac:dyDescent="0.25">
      <c r="A43" s="117" t="s">
        <v>16</v>
      </c>
      <c r="B43" s="1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x14ac:dyDescent="0.25">
      <c r="A44" t="s">
        <v>17</v>
      </c>
      <c r="D44" s="3"/>
      <c r="E44" s="3"/>
      <c r="F44" s="3"/>
      <c r="G44" s="3"/>
      <c r="H44" s="3"/>
      <c r="I44" s="3"/>
      <c r="J44" s="3" t="s">
        <v>165</v>
      </c>
      <c r="K44" s="3" t="s">
        <v>166</v>
      </c>
      <c r="L44" s="3" t="s">
        <v>167</v>
      </c>
      <c r="M44" s="3"/>
      <c r="N44" s="3"/>
    </row>
    <row r="45" spans="1:16" x14ac:dyDescent="0.25">
      <c r="B45" s="20" t="s">
        <v>19</v>
      </c>
      <c r="D45" s="3">
        <f>Forecast!$D$46</f>
        <v>10007.392500000002</v>
      </c>
      <c r="E45" s="3">
        <f>E20*$O$45</f>
        <v>7005.1747500000001</v>
      </c>
      <c r="F45" s="3">
        <f>F20*$O$45</f>
        <v>4903.6223249999994</v>
      </c>
      <c r="G45" s="3">
        <f>G20*$O$45</f>
        <v>3432.5356274999995</v>
      </c>
      <c r="H45" s="3">
        <f>H20*$O$45</f>
        <v>2402.7749392499995</v>
      </c>
      <c r="I45" s="3"/>
      <c r="J45" s="28">
        <v>1</v>
      </c>
      <c r="K45" s="3"/>
      <c r="L45" s="22">
        <f>H45*J45</f>
        <v>2402.7749392499995</v>
      </c>
      <c r="M45" s="3"/>
      <c r="N45" s="3"/>
      <c r="O45" s="28">
        <v>0.05</v>
      </c>
      <c r="P45" t="s">
        <v>78</v>
      </c>
    </row>
    <row r="46" spans="1:16" x14ac:dyDescent="0.25">
      <c r="B46" s="20" t="s">
        <v>18</v>
      </c>
      <c r="D46" s="33">
        <f>Forecast!$D$47</f>
        <v>0</v>
      </c>
      <c r="E46" s="3">
        <v>0</v>
      </c>
      <c r="F46" s="3">
        <v>0</v>
      </c>
      <c r="G46" s="3">
        <v>0</v>
      </c>
      <c r="H46" s="3">
        <v>0</v>
      </c>
      <c r="I46" s="3"/>
      <c r="J46" s="28">
        <v>1</v>
      </c>
      <c r="K46" s="3"/>
      <c r="L46" s="22">
        <f t="shared" ref="L46:L48" si="4">H46*J46</f>
        <v>0</v>
      </c>
      <c r="M46" s="3"/>
      <c r="N46" s="3"/>
    </row>
    <row r="47" spans="1:16" x14ac:dyDescent="0.25">
      <c r="B47" t="s">
        <v>20</v>
      </c>
      <c r="D47" s="3">
        <f>Forecast!$D$48</f>
        <v>8225.254109589041</v>
      </c>
      <c r="E47" s="3">
        <f t="shared" ref="E47:H47" si="5">(E20/365)*$D$11</f>
        <v>5757.6778767123287</v>
      </c>
      <c r="F47" s="3">
        <f t="shared" si="5"/>
        <v>4030.3745136986295</v>
      </c>
      <c r="G47" s="3">
        <f t="shared" si="5"/>
        <v>2821.2621595890405</v>
      </c>
      <c r="H47" s="3">
        <f t="shared" si="5"/>
        <v>1974.8835117123283</v>
      </c>
      <c r="I47" s="3"/>
      <c r="J47" s="28">
        <v>0.95</v>
      </c>
      <c r="K47" s="3"/>
      <c r="L47" s="22">
        <f t="shared" si="4"/>
        <v>1876.1393361267119</v>
      </c>
      <c r="M47" s="3"/>
      <c r="N47" s="3"/>
      <c r="P47" t="s">
        <v>80</v>
      </c>
    </row>
    <row r="48" spans="1:16" x14ac:dyDescent="0.25">
      <c r="B48" t="s">
        <v>21</v>
      </c>
      <c r="D48" s="3">
        <f>Forecast!$D$49</f>
        <v>42058.466013698628</v>
      </c>
      <c r="E48" s="3">
        <f t="shared" ref="E48:H48" si="6">(E22/365)*$D$9</f>
        <v>29440.926209589041</v>
      </c>
      <c r="F48" s="3">
        <f t="shared" si="6"/>
        <v>20608.648346712325</v>
      </c>
      <c r="G48" s="3">
        <f t="shared" si="6"/>
        <v>14426.053842698626</v>
      </c>
      <c r="H48" s="3">
        <f t="shared" si="6"/>
        <v>10098.23768988904</v>
      </c>
      <c r="I48" s="3"/>
      <c r="J48" s="28">
        <v>0.5</v>
      </c>
      <c r="K48" s="3"/>
      <c r="L48" s="22">
        <f t="shared" si="4"/>
        <v>5049.1188449445199</v>
      </c>
      <c r="M48" s="3"/>
      <c r="N48" s="3"/>
      <c r="O48" s="17">
        <f>D9</f>
        <v>118</v>
      </c>
      <c r="P48" t="s">
        <v>79</v>
      </c>
    </row>
    <row r="49" spans="1:16" x14ac:dyDescent="0.25">
      <c r="D49" s="3"/>
      <c r="E49" s="3"/>
      <c r="F49" s="3"/>
      <c r="G49" s="3"/>
      <c r="H49" s="3"/>
      <c r="I49" s="3"/>
      <c r="J49" s="28"/>
      <c r="K49" s="3"/>
      <c r="L49" s="3"/>
      <c r="M49" s="3"/>
      <c r="N49" s="3"/>
    </row>
    <row r="50" spans="1:16" x14ac:dyDescent="0.25">
      <c r="B50" t="s">
        <v>22</v>
      </c>
      <c r="D50" s="3">
        <f>Forecast!$D$51</f>
        <v>36000</v>
      </c>
      <c r="E50" s="3">
        <f>D50</f>
        <v>36000</v>
      </c>
      <c r="F50" s="3">
        <f t="shared" ref="F50:H50" si="7">E50</f>
        <v>36000</v>
      </c>
      <c r="G50" s="3">
        <f t="shared" si="7"/>
        <v>36000</v>
      </c>
      <c r="H50" s="3">
        <f t="shared" si="7"/>
        <v>36000</v>
      </c>
      <c r="I50" s="3"/>
      <c r="J50" s="28">
        <v>0.5</v>
      </c>
      <c r="K50" s="3"/>
      <c r="L50" s="3">
        <f>J50*H50</f>
        <v>18000</v>
      </c>
      <c r="M50" s="3"/>
      <c r="N50" s="3"/>
    </row>
    <row r="51" spans="1:16" x14ac:dyDescent="0.25">
      <c r="B51" s="2" t="s">
        <v>23</v>
      </c>
      <c r="D51" s="3">
        <f>Forecast!$D$52</f>
        <v>5142.8571428571431</v>
      </c>
      <c r="E51" s="3">
        <f>D51+E34</f>
        <v>10285.714285714286</v>
      </c>
      <c r="F51" s="3">
        <f t="shared" ref="F51:H51" si="8">E51+F34</f>
        <v>15428.571428571429</v>
      </c>
      <c r="G51" s="3">
        <f t="shared" si="8"/>
        <v>20571.428571428572</v>
      </c>
      <c r="H51" s="3">
        <f t="shared" si="8"/>
        <v>25714.285714285717</v>
      </c>
      <c r="I51" s="3"/>
      <c r="J51" s="28"/>
      <c r="K51" s="3"/>
      <c r="L51" s="3"/>
      <c r="M51" s="3"/>
      <c r="N51" s="3"/>
    </row>
    <row r="52" spans="1:16" x14ac:dyDescent="0.25">
      <c r="B52" s="4" t="s">
        <v>39</v>
      </c>
      <c r="D52" s="3">
        <f>Forecast!$D$53</f>
        <v>113400</v>
      </c>
      <c r="E52" s="3">
        <f>Mortgage!$I$12</f>
        <v>113400</v>
      </c>
      <c r="F52" s="3">
        <f>Mortgage!$I$12</f>
        <v>113400</v>
      </c>
      <c r="G52" s="3">
        <f>Mortgage!$I$12</f>
        <v>113400</v>
      </c>
      <c r="H52" s="3">
        <f>Mortgage!$I$12</f>
        <v>113400</v>
      </c>
      <c r="I52" s="3"/>
      <c r="J52" s="28">
        <v>0.85</v>
      </c>
      <c r="K52" s="3">
        <f>J52*H52</f>
        <v>96390</v>
      </c>
      <c r="L52" s="3"/>
      <c r="M52" s="3"/>
      <c r="N52" s="3"/>
    </row>
    <row r="53" spans="1:16" x14ac:dyDescent="0.25">
      <c r="B53" s="2" t="s">
        <v>40</v>
      </c>
      <c r="D53" s="3">
        <f>Forecast!$D$54</f>
        <v>2907.6923076923076</v>
      </c>
      <c r="E53" s="3">
        <f>D53+E35</f>
        <v>5815.3846153846152</v>
      </c>
      <c r="F53" s="3">
        <f t="shared" ref="F53:H53" si="9">E53+F35</f>
        <v>8723.076923076922</v>
      </c>
      <c r="G53" s="3">
        <f t="shared" si="9"/>
        <v>11630.76923076923</v>
      </c>
      <c r="H53" s="3">
        <f t="shared" si="9"/>
        <v>14538.461538461539</v>
      </c>
      <c r="I53" s="3"/>
      <c r="J53" s="28"/>
      <c r="K53" s="3"/>
      <c r="L53" s="3"/>
      <c r="M53" s="3"/>
      <c r="N53" s="3"/>
    </row>
    <row r="54" spans="1:16" x14ac:dyDescent="0.25">
      <c r="B54" s="4" t="s">
        <v>118</v>
      </c>
      <c r="D54" s="3">
        <f>Forecast!$D$55</f>
        <v>75000</v>
      </c>
      <c r="E54" s="3">
        <f>Mortgage!$I$14</f>
        <v>75000</v>
      </c>
      <c r="F54" s="3">
        <f>Mortgage!$I$14</f>
        <v>75000</v>
      </c>
      <c r="G54" s="3">
        <f>Mortgage!$I$14</f>
        <v>75000</v>
      </c>
      <c r="H54" s="3">
        <f>Mortgage!$I$14</f>
        <v>75000</v>
      </c>
      <c r="I54" s="3"/>
      <c r="J54" s="28">
        <v>0.85</v>
      </c>
      <c r="K54" s="3">
        <f>J54*H54</f>
        <v>63750</v>
      </c>
      <c r="L54" s="3"/>
      <c r="M54" s="3"/>
      <c r="N54" s="3"/>
    </row>
    <row r="55" spans="1:16" x14ac:dyDescent="0.25">
      <c r="B55" s="4"/>
      <c r="D55" s="3"/>
      <c r="E55" s="3"/>
      <c r="F55" s="3"/>
      <c r="G55" s="3"/>
      <c r="H55" s="3"/>
      <c r="I55" s="3"/>
      <c r="J55" s="28"/>
      <c r="K55" s="3"/>
      <c r="L55" s="3"/>
      <c r="M55" s="3"/>
      <c r="N55" s="3"/>
    </row>
    <row r="56" spans="1:16" x14ac:dyDescent="0.25">
      <c r="B56" s="4" t="s">
        <v>120</v>
      </c>
      <c r="D56" s="33">
        <f>Forecast!$D$57</f>
        <v>35000</v>
      </c>
      <c r="E56" s="33">
        <f>D56</f>
        <v>35000</v>
      </c>
      <c r="F56" s="33">
        <f t="shared" ref="F56:H56" si="10">E56</f>
        <v>35000</v>
      </c>
      <c r="G56" s="33">
        <f t="shared" si="10"/>
        <v>35000</v>
      </c>
      <c r="H56" s="33">
        <f t="shared" si="10"/>
        <v>35000</v>
      </c>
      <c r="I56" s="33"/>
      <c r="J56" s="28"/>
      <c r="K56" s="33"/>
      <c r="L56" s="33"/>
      <c r="M56" s="33"/>
      <c r="N56" s="3"/>
      <c r="O56" s="37"/>
    </row>
    <row r="57" spans="1:16" x14ac:dyDescent="0.25">
      <c r="B57" s="1" t="s">
        <v>25</v>
      </c>
      <c r="C57" s="1"/>
      <c r="D57" s="21">
        <f>SUM(D45:D48)+(D50-D51)+(D52-D53)+D54+D56</f>
        <v>311640.56317273818</v>
      </c>
      <c r="E57" s="21">
        <f t="shared" ref="E57:H57" si="11">SUM(E45:E48)+(E50-E51)+(E52-E53)+E54+E56</f>
        <v>285502.67993520247</v>
      </c>
      <c r="F57" s="21">
        <f t="shared" si="11"/>
        <v>264790.99683376262</v>
      </c>
      <c r="G57" s="21">
        <f t="shared" si="11"/>
        <v>247877.65382758988</v>
      </c>
      <c r="H57" s="129">
        <f t="shared" si="11"/>
        <v>233623.14888810413</v>
      </c>
      <c r="I57" s="21"/>
      <c r="J57" s="28"/>
      <c r="K57" s="21"/>
      <c r="L57" s="21"/>
      <c r="M57" s="21"/>
      <c r="N57" s="21"/>
    </row>
    <row r="58" spans="1:16" x14ac:dyDescent="0.25">
      <c r="D58" s="3"/>
      <c r="E58" s="3"/>
      <c r="F58" s="3"/>
      <c r="G58" s="3"/>
      <c r="H58" s="3"/>
      <c r="I58" s="3"/>
      <c r="J58" s="28"/>
      <c r="K58" s="3"/>
      <c r="L58" s="3"/>
      <c r="M58" s="3"/>
      <c r="N58" s="3"/>
    </row>
    <row r="59" spans="1:16" x14ac:dyDescent="0.25">
      <c r="A59" t="s">
        <v>26</v>
      </c>
      <c r="D59" s="3"/>
      <c r="E59" s="3"/>
      <c r="F59" s="3"/>
      <c r="G59" s="3"/>
      <c r="H59" s="3"/>
      <c r="I59" s="3"/>
      <c r="J59" s="28"/>
      <c r="K59" s="3"/>
      <c r="L59" s="3"/>
      <c r="M59" s="3"/>
      <c r="N59" s="3"/>
      <c r="P59" s="16">
        <f>290000/1350</f>
        <v>214.81481481481481</v>
      </c>
    </row>
    <row r="60" spans="1:16" x14ac:dyDescent="0.25">
      <c r="B60" t="s">
        <v>27</v>
      </c>
      <c r="D60" s="3">
        <f>Forecast!$D$61</f>
        <v>3845.3636620781767</v>
      </c>
      <c r="E60" s="3">
        <f t="shared" ref="E60:H60" si="12">E40</f>
        <v>0</v>
      </c>
      <c r="F60" s="3">
        <f t="shared" si="12"/>
        <v>0</v>
      </c>
      <c r="G60" s="3">
        <f t="shared" si="12"/>
        <v>0</v>
      </c>
      <c r="H60" s="3">
        <f t="shared" si="12"/>
        <v>0</v>
      </c>
      <c r="I60" s="3"/>
      <c r="J60" s="28">
        <v>-1</v>
      </c>
      <c r="K60" s="3"/>
      <c r="L60" s="3">
        <f>J60*H60</f>
        <v>0</v>
      </c>
      <c r="M60" s="3"/>
      <c r="N60" s="3"/>
    </row>
    <row r="61" spans="1:16" x14ac:dyDescent="0.25">
      <c r="B61" s="20" t="s">
        <v>28</v>
      </c>
      <c r="D61" s="3">
        <f>Forecast!$D$62</f>
        <v>9979.9749863013694</v>
      </c>
      <c r="E61" s="3">
        <f t="shared" ref="E61:H61" si="13">(E22/365)*$D$10</f>
        <v>6985.9824904109591</v>
      </c>
      <c r="F61" s="3">
        <f t="shared" si="13"/>
        <v>4890.1877432876699</v>
      </c>
      <c r="G61" s="3">
        <f t="shared" si="13"/>
        <v>3423.131420301369</v>
      </c>
      <c r="H61" s="3">
        <f t="shared" si="13"/>
        <v>2396.1919942109585</v>
      </c>
      <c r="I61" s="3"/>
      <c r="J61" s="28">
        <v>-1</v>
      </c>
      <c r="K61" s="138"/>
      <c r="L61" s="138">
        <f>J61*H61</f>
        <v>-2396.1919942109585</v>
      </c>
      <c r="M61" s="3"/>
      <c r="N61" s="3"/>
      <c r="P61" t="s">
        <v>81</v>
      </c>
    </row>
    <row r="62" spans="1:16" x14ac:dyDescent="0.25">
      <c r="B62" s="20"/>
      <c r="D62" s="3"/>
      <c r="E62" s="3"/>
      <c r="F62" s="3"/>
      <c r="G62" s="3"/>
      <c r="H62" s="3"/>
      <c r="I62" s="3"/>
      <c r="J62" s="139" t="s">
        <v>168</v>
      </c>
      <c r="K62" s="140">
        <f>SUM(K45:K61)</f>
        <v>160140</v>
      </c>
      <c r="L62" s="140">
        <f>SUM(L45:L61)</f>
        <v>24931.841126110274</v>
      </c>
      <c r="M62" s="140"/>
      <c r="N62" s="140"/>
      <c r="O62" s="66"/>
    </row>
    <row r="63" spans="1:16" x14ac:dyDescent="0.25">
      <c r="B63" s="20"/>
      <c r="D63" s="3"/>
      <c r="E63" s="3"/>
      <c r="F63" s="3"/>
      <c r="G63" s="3"/>
      <c r="H63" s="3"/>
      <c r="I63" s="3"/>
      <c r="J63" s="141" t="s">
        <v>170</v>
      </c>
      <c r="K63" s="133"/>
      <c r="L63" s="133">
        <v>0</v>
      </c>
      <c r="M63" s="133"/>
      <c r="N63" s="133"/>
      <c r="O63" s="142"/>
    </row>
    <row r="64" spans="1:16" x14ac:dyDescent="0.25">
      <c r="B64" s="101"/>
      <c r="C64" s="130"/>
      <c r="D64" s="131"/>
      <c r="E64" s="131"/>
      <c r="F64" s="65"/>
      <c r="G64" s="65"/>
      <c r="H64" s="66" t="s">
        <v>206</v>
      </c>
      <c r="I64" s="3"/>
      <c r="J64" s="141" t="s">
        <v>171</v>
      </c>
      <c r="K64" s="133"/>
      <c r="L64" s="136">
        <v>-2000</v>
      </c>
      <c r="M64" s="133"/>
      <c r="N64" s="133"/>
      <c r="O64" s="142"/>
    </row>
    <row r="65" spans="1:20" x14ac:dyDescent="0.25">
      <c r="C65" s="132" t="s">
        <v>204</v>
      </c>
      <c r="D65" s="133"/>
      <c r="E65" s="133"/>
      <c r="F65" s="133">
        <f>F57</f>
        <v>264790.99683376262</v>
      </c>
      <c r="G65" s="133">
        <f>G57</f>
        <v>247877.65382758988</v>
      </c>
      <c r="H65" s="134">
        <f>H57</f>
        <v>233623.14888810413</v>
      </c>
      <c r="I65" s="3"/>
      <c r="J65" s="141" t="s">
        <v>168</v>
      </c>
      <c r="K65" s="133"/>
      <c r="L65" s="133">
        <f>SUM(L62:L64)</f>
        <v>22931.841126110274</v>
      </c>
      <c r="M65" s="133"/>
      <c r="N65" s="133"/>
      <c r="O65" s="142"/>
    </row>
    <row r="66" spans="1:20" x14ac:dyDescent="0.25">
      <c r="C66" s="135" t="s">
        <v>205</v>
      </c>
      <c r="D66" s="136"/>
      <c r="E66" s="136"/>
      <c r="F66" s="136">
        <f>SUM(F68:F69)</f>
        <v>223956.01591627405</v>
      </c>
      <c r="G66" s="136">
        <f>SUM(G68:G69)</f>
        <v>235837.52961490105</v>
      </c>
      <c r="H66" s="137">
        <f>SUM(H68:H69)</f>
        <v>257497.74934170485</v>
      </c>
      <c r="I66" s="3"/>
      <c r="J66" s="141"/>
      <c r="K66" s="133"/>
      <c r="L66" s="133"/>
      <c r="M66" s="133"/>
      <c r="N66" s="133"/>
      <c r="O66" s="142"/>
    </row>
    <row r="67" spans="1:20" x14ac:dyDescent="0.25">
      <c r="D67" s="3"/>
      <c r="E67" s="3"/>
      <c r="F67" s="3"/>
      <c r="G67" s="3"/>
      <c r="H67" s="3"/>
      <c r="I67" s="3"/>
      <c r="J67" s="143" t="s">
        <v>207</v>
      </c>
      <c r="K67" s="144" t="s">
        <v>202</v>
      </c>
      <c r="L67" s="144" t="s">
        <v>203</v>
      </c>
      <c r="M67" s="144" t="s">
        <v>209</v>
      </c>
      <c r="N67" s="144" t="s">
        <v>208</v>
      </c>
      <c r="O67" s="145" t="s">
        <v>169</v>
      </c>
      <c r="P67" s="23" t="s">
        <v>126</v>
      </c>
      <c r="Q67" s="23" t="s">
        <v>127</v>
      </c>
      <c r="R67" s="23" t="s">
        <v>128</v>
      </c>
      <c r="S67" s="23" t="s">
        <v>129</v>
      </c>
      <c r="T67" s="23" t="s">
        <v>130</v>
      </c>
    </row>
    <row r="68" spans="1:20" x14ac:dyDescent="0.25">
      <c r="B68" t="s">
        <v>42</v>
      </c>
      <c r="D68" s="3">
        <f>Mortgage!$F$15</f>
        <v>142810.27364141756</v>
      </c>
      <c r="E68" s="3">
        <f>Mortgage!$F$29</f>
        <v>134637.17226997649</v>
      </c>
      <c r="F68" s="3">
        <f>Mortgage!$F$43</f>
        <v>126191.9261262372</v>
      </c>
      <c r="G68" s="3">
        <f>Mortgage!$F$57</f>
        <v>117465.47343869785</v>
      </c>
      <c r="H68" s="33">
        <f>Mortgage!$F$71</f>
        <v>108448.45070048957</v>
      </c>
      <c r="I68" s="3"/>
      <c r="J68" s="146">
        <f>IF(K62&gt;H68,H68,K62)</f>
        <v>108448.45070048957</v>
      </c>
      <c r="K68" s="147">
        <f>H68-J68</f>
        <v>0</v>
      </c>
      <c r="L68" s="39">
        <f>K68/K70</f>
        <v>0</v>
      </c>
      <c r="M68" s="40">
        <f>K63*L68</f>
        <v>0</v>
      </c>
      <c r="N68" s="148">
        <f>J68+M68</f>
        <v>108448.45070048957</v>
      </c>
      <c r="O68" s="149">
        <f>N68/H68</f>
        <v>1</v>
      </c>
      <c r="P68" s="3">
        <f>AVERAGE(D68:H68)</f>
        <v>125910.65923536374</v>
      </c>
      <c r="Q68" s="30">
        <f>P68/P73</f>
        <v>0.47987382955755692</v>
      </c>
      <c r="R68" s="7">
        <f>Mortgage!$I$3</f>
        <v>3.2799999999999996E-2</v>
      </c>
      <c r="S68" s="29">
        <f>R68*(1-$O$40)</f>
        <v>2.2959999999999994E-2</v>
      </c>
      <c r="T68" s="7">
        <f>Q68*S68</f>
        <v>1.1017903126641504E-2</v>
      </c>
    </row>
    <row r="69" spans="1:20" x14ac:dyDescent="0.25">
      <c r="B69" s="20" t="s">
        <v>32</v>
      </c>
      <c r="D69" s="33">
        <f>Forecast!$D$65</f>
        <v>76032.435671425352</v>
      </c>
      <c r="E69" s="33">
        <v>90170.902819954965</v>
      </c>
      <c r="F69" s="33">
        <v>97764.089790036844</v>
      </c>
      <c r="G69" s="3">
        <v>118372.05617620319</v>
      </c>
      <c r="H69" s="33">
        <v>149049.29864121528</v>
      </c>
      <c r="I69" s="3"/>
      <c r="J69" s="146">
        <f>IF(K62&gt;H68,(K62-H68),0)</f>
        <v>51691.549299510429</v>
      </c>
      <c r="K69" s="150">
        <f>H69-J69</f>
        <v>97357.749341704854</v>
      </c>
      <c r="L69" s="39">
        <f>K69/K70</f>
        <v>1</v>
      </c>
      <c r="M69" s="148">
        <f>L65*L69</f>
        <v>22931.841126110274</v>
      </c>
      <c r="N69" s="148">
        <f>J69+M69</f>
        <v>74623.390425620702</v>
      </c>
      <c r="O69" s="149">
        <f>IF((N69/H69)&lt;0,0,(N69/H69))</f>
        <v>0.50066247279197706</v>
      </c>
      <c r="P69" s="3">
        <f>AVERAGE(D69:H69)</f>
        <v>106277.75661976713</v>
      </c>
      <c r="Q69" s="30">
        <f>P69/P73</f>
        <v>0.40504842382391099</v>
      </c>
      <c r="R69" s="29">
        <f>$O$37</f>
        <v>5.5300000000000002E-2</v>
      </c>
      <c r="S69" s="29">
        <f>R69*(1-$O$40)</f>
        <v>3.8710000000000001E-2</v>
      </c>
      <c r="T69" s="7">
        <f>Q69*S69</f>
        <v>1.5679424486223593E-2</v>
      </c>
    </row>
    <row r="70" spans="1:20" x14ac:dyDescent="0.25">
      <c r="D70" s="3"/>
      <c r="E70" s="3"/>
      <c r="F70" s="3"/>
      <c r="G70" s="3"/>
      <c r="H70" s="3"/>
      <c r="I70" s="3"/>
      <c r="J70" s="151"/>
      <c r="K70" s="152">
        <f>SUM(K68:K69)</f>
        <v>97357.749341704854</v>
      </c>
      <c r="L70" s="153"/>
      <c r="M70" s="153"/>
      <c r="N70" s="153"/>
      <c r="O70" s="154"/>
      <c r="Q70" s="28"/>
    </row>
    <row r="71" spans="1:20" x14ac:dyDescent="0.25">
      <c r="B71" t="s">
        <v>33</v>
      </c>
      <c r="D71" s="33">
        <f>Forecast!$D$67</f>
        <v>70000</v>
      </c>
      <c r="E71" s="33">
        <v>50000</v>
      </c>
      <c r="F71" s="33">
        <v>50000</v>
      </c>
      <c r="G71" s="33">
        <v>50000</v>
      </c>
      <c r="H71" s="33">
        <v>50000</v>
      </c>
      <c r="I71" s="33"/>
      <c r="J71" s="33"/>
      <c r="K71" s="40"/>
      <c r="L71" s="38"/>
      <c r="M71" s="38"/>
      <c r="N71" s="41"/>
      <c r="O71" s="39"/>
      <c r="P71" s="3">
        <f>AVERAGE(D71:H71)</f>
        <v>54000</v>
      </c>
      <c r="Q71" s="28">
        <f>SUM(P71:P72)/$P$73</f>
        <v>0.11507774661853204</v>
      </c>
      <c r="R71" s="29">
        <f>$D$7</f>
        <v>0.12021734113298012</v>
      </c>
      <c r="S71" s="29">
        <f>$D$7</f>
        <v>0.12021734113298012</v>
      </c>
      <c r="T71" s="29">
        <f>Q71*S71</f>
        <v>1.3834340722054715E-2</v>
      </c>
    </row>
    <row r="72" spans="1:20" x14ac:dyDescent="0.25">
      <c r="B72" t="s">
        <v>34</v>
      </c>
      <c r="D72" s="3">
        <f>Forecast!$D$68</f>
        <v>8972.5152115157471</v>
      </c>
      <c r="E72" s="3">
        <f>D72+E41</f>
        <v>3708.6223548600392</v>
      </c>
      <c r="F72" s="3">
        <f>E72+F41</f>
        <v>-14055.206825799116</v>
      </c>
      <c r="G72" s="3">
        <f>F72+G41</f>
        <v>-41383.007207612507</v>
      </c>
      <c r="H72" s="3">
        <f>G72+H41</f>
        <v>-76270.792447811691</v>
      </c>
      <c r="I72" s="3"/>
      <c r="J72" s="3"/>
      <c r="K72" s="3"/>
      <c r="L72" s="3"/>
      <c r="M72" s="3"/>
      <c r="N72" s="3"/>
      <c r="P72" s="31">
        <f>AVERAGE(D72:H72)</f>
        <v>-23805.573782969506</v>
      </c>
      <c r="Q72" s="26"/>
      <c r="T72" s="26"/>
    </row>
    <row r="73" spans="1:20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P73" s="3">
        <f>SUM(P68:P72)</f>
        <v>262382.84207216138</v>
      </c>
      <c r="Q73" s="24">
        <f>SUM(Q68:Q71)</f>
        <v>1</v>
      </c>
      <c r="S73" s="34" t="s">
        <v>131</v>
      </c>
      <c r="T73" s="7">
        <f>T68+T69+T71</f>
        <v>4.0531668334919814E-2</v>
      </c>
    </row>
    <row r="74" spans="1:20" x14ac:dyDescent="0.25">
      <c r="B74" s="1" t="s">
        <v>35</v>
      </c>
      <c r="C74" s="1"/>
      <c r="D74" s="21">
        <f>SUM(D60:D61)+SUM(D68:D69)+SUM(D71:D72)</f>
        <v>311640.56317273818</v>
      </c>
      <c r="E74" s="21">
        <f t="shared" ref="E74:H74" si="14">SUM(E60:E61)+SUM(E68:E69)+SUM(E71:E72)</f>
        <v>285502.67993520247</v>
      </c>
      <c r="F74" s="21">
        <f t="shared" si="14"/>
        <v>264790.99683376262</v>
      </c>
      <c r="G74" s="21">
        <f t="shared" si="14"/>
        <v>247877.65382758991</v>
      </c>
      <c r="H74" s="21">
        <f t="shared" si="14"/>
        <v>233623.14888810413</v>
      </c>
      <c r="I74" s="21"/>
      <c r="J74" s="21"/>
      <c r="K74" s="21"/>
      <c r="L74" s="21"/>
      <c r="M74" s="21"/>
      <c r="N74" s="21"/>
    </row>
    <row r="75" spans="1:20" x14ac:dyDescent="0.25">
      <c r="B75" t="s">
        <v>124</v>
      </c>
      <c r="D75" s="3">
        <f>D74-SUM(D60:D61)</f>
        <v>297815.22452435864</v>
      </c>
      <c r="E75" s="3">
        <f>E74-SUM(E60:E61)</f>
        <v>278516.6974447915</v>
      </c>
      <c r="F75" s="3">
        <f>F74-SUM(F60:F61)</f>
        <v>259900.80909047494</v>
      </c>
      <c r="G75" s="3">
        <f>G74-SUM(G60:G61)</f>
        <v>244454.52240728855</v>
      </c>
      <c r="H75" s="3">
        <f>H74-SUM(H60:H61)</f>
        <v>231226.95689389316</v>
      </c>
      <c r="I75" s="102"/>
      <c r="J75" s="3"/>
      <c r="K75" s="3"/>
      <c r="L75" s="3"/>
      <c r="M75" s="3"/>
      <c r="N75" s="3"/>
      <c r="P75" s="104" t="s">
        <v>156</v>
      </c>
      <c r="Q75" s="103">
        <f>(Q68+Q69)/Q71</f>
        <v>7.6897773842832668</v>
      </c>
    </row>
    <row r="76" spans="1:20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20" x14ac:dyDescent="0.25">
      <c r="B77" t="s">
        <v>36</v>
      </c>
      <c r="D77" s="33">
        <f>D57-D74</f>
        <v>0</v>
      </c>
      <c r="E77" s="3">
        <f>E57-E74</f>
        <v>0</v>
      </c>
      <c r="F77" s="3">
        <f>F57-F74</f>
        <v>0</v>
      </c>
      <c r="G77" s="3">
        <f>G57-G74</f>
        <v>0</v>
      </c>
      <c r="H77" s="3">
        <f>H57-H74</f>
        <v>0</v>
      </c>
      <c r="I77" s="3"/>
      <c r="J77" s="3"/>
      <c r="K77" s="3"/>
      <c r="L77" s="3"/>
      <c r="M77" s="3"/>
      <c r="N77" s="3"/>
    </row>
    <row r="78" spans="1:20" x14ac:dyDescent="0.25">
      <c r="A78" s="26"/>
      <c r="B78" s="26"/>
      <c r="C78" s="26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26"/>
      <c r="P78" s="26"/>
      <c r="Q78" s="26"/>
      <c r="R78" s="26"/>
      <c r="S78" s="26"/>
      <c r="T78" s="26"/>
    </row>
    <row r="79" spans="1:20" x14ac:dyDescent="0.25">
      <c r="A79" s="117" t="s">
        <v>210</v>
      </c>
      <c r="B79" s="11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20" x14ac:dyDescent="0.25">
      <c r="C80" s="19"/>
      <c r="D80" s="19">
        <v>1</v>
      </c>
      <c r="E80" s="19">
        <v>2</v>
      </c>
      <c r="F80" s="19">
        <v>3</v>
      </c>
      <c r="G80" s="19">
        <v>4</v>
      </c>
      <c r="H80" s="19">
        <v>5</v>
      </c>
      <c r="I80" s="19"/>
      <c r="J80" s="19"/>
      <c r="K80" s="19"/>
      <c r="L80" s="19"/>
      <c r="M80" s="19"/>
      <c r="N80" s="3"/>
    </row>
    <row r="81" spans="1:16" x14ac:dyDescent="0.25">
      <c r="A81" t="s">
        <v>172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6" x14ac:dyDescent="0.25">
      <c r="A82" t="s">
        <v>141</v>
      </c>
      <c r="B82" t="s">
        <v>173</v>
      </c>
      <c r="C82" s="3">
        <f>-(D68-C68)</f>
        <v>-142810.27364141756</v>
      </c>
      <c r="D82" s="3">
        <f>-(E68-D68)</f>
        <v>8173.1013714410656</v>
      </c>
      <c r="E82" s="3">
        <f>-(F68-E68)</f>
        <v>8445.2461437392922</v>
      </c>
      <c r="F82" s="3">
        <f>-(G68-F68)</f>
        <v>8726.4526875393494</v>
      </c>
      <c r="G82" s="3">
        <f>-(H68-G68)</f>
        <v>9017.0227382082812</v>
      </c>
      <c r="H82" s="3"/>
      <c r="I82" s="3"/>
      <c r="J82" s="3"/>
      <c r="K82" s="3"/>
      <c r="L82" s="3"/>
      <c r="M82" s="3"/>
      <c r="N82" s="3"/>
    </row>
    <row r="83" spans="1:16" x14ac:dyDescent="0.25">
      <c r="A83" t="s">
        <v>151</v>
      </c>
      <c r="B83" s="32" t="s">
        <v>174</v>
      </c>
      <c r="D83" s="3"/>
      <c r="E83" s="3"/>
      <c r="F83" s="3"/>
      <c r="G83" s="3"/>
      <c r="H83" s="120">
        <f>N68</f>
        <v>108448.45070048957</v>
      </c>
      <c r="I83" s="3"/>
      <c r="J83" s="3"/>
      <c r="K83" s="3"/>
      <c r="L83" s="3"/>
      <c r="M83" s="3"/>
      <c r="N83" s="3"/>
    </row>
    <row r="84" spans="1:16" x14ac:dyDescent="0.25">
      <c r="A84" t="s">
        <v>151</v>
      </c>
      <c r="B84" s="32" t="s">
        <v>175</v>
      </c>
      <c r="C84" s="26"/>
      <c r="D84" s="31">
        <f>D36</f>
        <v>4825.4096825418692</v>
      </c>
      <c r="E84" s="31">
        <f>E36</f>
        <v>4562.034669683283</v>
      </c>
      <c r="F84" s="31">
        <f>F36</f>
        <v>4289.8898973850428</v>
      </c>
      <c r="G84" s="31">
        <f>G36</f>
        <v>4008.6833535849746</v>
      </c>
      <c r="H84" s="31">
        <f>H36</f>
        <v>3718.1133029160637</v>
      </c>
      <c r="I84" s="3"/>
      <c r="J84" s="3"/>
      <c r="K84" s="3"/>
      <c r="L84" s="3"/>
      <c r="M84" s="3"/>
      <c r="N84" s="3"/>
    </row>
    <row r="85" spans="1:16" x14ac:dyDescent="0.25">
      <c r="A85" s="1"/>
      <c r="B85" t="s">
        <v>211</v>
      </c>
      <c r="C85" s="19">
        <f>SUM(C82:C84)</f>
        <v>-142810.27364141756</v>
      </c>
      <c r="D85" s="3">
        <f t="shared" ref="D85:H85" si="15">SUM(D82:D84)</f>
        <v>12998.511053982935</v>
      </c>
      <c r="E85" s="3">
        <f t="shared" si="15"/>
        <v>13007.280813422574</v>
      </c>
      <c r="F85" s="3">
        <f t="shared" si="15"/>
        <v>13016.342584924392</v>
      </c>
      <c r="G85" s="3">
        <f t="shared" si="15"/>
        <v>13025.706091793256</v>
      </c>
      <c r="H85" s="3">
        <f t="shared" si="15"/>
        <v>112166.56400340564</v>
      </c>
      <c r="I85" s="91" t="s">
        <v>214</v>
      </c>
      <c r="J85" s="3"/>
      <c r="K85" s="3"/>
      <c r="L85" s="3"/>
      <c r="M85" s="3"/>
      <c r="N85" s="3"/>
    </row>
    <row r="86" spans="1:16" x14ac:dyDescent="0.25">
      <c r="B86" t="s">
        <v>155</v>
      </c>
      <c r="C86" s="121">
        <f>IRR(C85:H85)</f>
        <v>3.3990869822880576E-2</v>
      </c>
      <c r="D86" s="3"/>
      <c r="E86" s="3"/>
      <c r="F86" s="3"/>
      <c r="G86" s="3"/>
      <c r="H86" s="3"/>
      <c r="I86" s="93">
        <v>0.2</v>
      </c>
      <c r="J86" s="3"/>
      <c r="K86" s="3"/>
      <c r="L86" s="3"/>
      <c r="M86" s="3"/>
      <c r="N86" s="3"/>
    </row>
    <row r="87" spans="1:16" x14ac:dyDescent="0.25">
      <c r="A87" s="1"/>
      <c r="B87" t="s">
        <v>213</v>
      </c>
      <c r="C87" s="29">
        <f>R68</f>
        <v>3.2799999999999996E-2</v>
      </c>
      <c r="D87" s="3"/>
      <c r="E87" s="3"/>
      <c r="F87" s="3"/>
      <c r="G87" s="3"/>
      <c r="H87" s="3"/>
      <c r="I87" s="92">
        <v>0.8</v>
      </c>
      <c r="J87" s="3"/>
      <c r="K87" s="3"/>
      <c r="L87" s="3"/>
      <c r="M87" s="3"/>
      <c r="N87" s="3"/>
    </row>
    <row r="88" spans="1:16" x14ac:dyDescent="0.25">
      <c r="A88" s="1"/>
      <c r="B88" t="s">
        <v>212</v>
      </c>
      <c r="C88" s="29">
        <f>(I86*C86)+(I87*C87)</f>
        <v>3.3038173964576117E-2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6" x14ac:dyDescent="0.25">
      <c r="A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P89" s="3"/>
    </row>
    <row r="90" spans="1:16" x14ac:dyDescent="0.25">
      <c r="B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28"/>
      <c r="P90" s="3"/>
    </row>
    <row r="91" spans="1:16" x14ac:dyDescent="0.25">
      <c r="A91" t="s">
        <v>32</v>
      </c>
      <c r="B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6" x14ac:dyDescent="0.25">
      <c r="A92" t="s">
        <v>141</v>
      </c>
      <c r="B92" s="4" t="s">
        <v>173</v>
      </c>
      <c r="C92" s="3">
        <f>-(D69-C69)</f>
        <v>-76032.435671425352</v>
      </c>
      <c r="D92" s="3">
        <f>-(E69-D69)</f>
        <v>-14138.467148529613</v>
      </c>
      <c r="E92" s="3">
        <f>-(F69-E69)</f>
        <v>-7593.1869700818788</v>
      </c>
      <c r="F92" s="3">
        <f>-(G69-F69)</f>
        <v>-20607.966386166343</v>
      </c>
      <c r="G92" s="3">
        <f>-(H69-G69)</f>
        <v>-30677.242465012096</v>
      </c>
      <c r="H92" s="3"/>
      <c r="I92" s="3"/>
      <c r="J92" s="3"/>
      <c r="K92" s="3"/>
      <c r="L92" s="3"/>
      <c r="M92" s="3"/>
      <c r="N92" s="3"/>
      <c r="P92" s="3"/>
    </row>
    <row r="93" spans="1:16" x14ac:dyDescent="0.25">
      <c r="A93" t="s">
        <v>151</v>
      </c>
      <c r="B93" s="4" t="s">
        <v>174</v>
      </c>
      <c r="D93" s="3"/>
      <c r="E93" s="3"/>
      <c r="F93" s="3"/>
      <c r="G93" s="3"/>
      <c r="H93" s="120">
        <f>N69</f>
        <v>74623.390425620702</v>
      </c>
      <c r="I93" s="3"/>
      <c r="J93" s="3"/>
      <c r="K93" s="3"/>
      <c r="L93" s="3"/>
      <c r="M93" s="3"/>
      <c r="N93" s="28"/>
      <c r="P93" s="3"/>
    </row>
    <row r="94" spans="1:16" x14ac:dyDescent="0.25">
      <c r="A94" t="s">
        <v>151</v>
      </c>
      <c r="B94" s="4" t="s">
        <v>175</v>
      </c>
      <c r="C94" s="26"/>
      <c r="D94" s="31">
        <f>D37</f>
        <v>4204.5936926298218</v>
      </c>
      <c r="E94" s="31">
        <f>E37</f>
        <v>4986.4509259435099</v>
      </c>
      <c r="F94" s="31">
        <f>F37</f>
        <v>5406.3541653890379</v>
      </c>
      <c r="G94" s="31">
        <f>G37</f>
        <v>6545.9747065440361</v>
      </c>
      <c r="H94" s="31">
        <f>H37</f>
        <v>8242.4262148592061</v>
      </c>
      <c r="I94" s="3"/>
      <c r="J94" s="3"/>
      <c r="K94" s="3"/>
      <c r="L94" s="3"/>
      <c r="M94" s="3"/>
      <c r="N94" s="3"/>
    </row>
    <row r="95" spans="1:16" x14ac:dyDescent="0.25">
      <c r="B95" s="4" t="s">
        <v>211</v>
      </c>
      <c r="C95" s="3">
        <f>SUM(C92:C94)</f>
        <v>-76032.435671425352</v>
      </c>
      <c r="D95" s="3">
        <f t="shared" ref="D95:H95" si="16">SUM(D92:D94)</f>
        <v>-9933.8734558997912</v>
      </c>
      <c r="E95" s="3">
        <f t="shared" si="16"/>
        <v>-2606.7360441383689</v>
      </c>
      <c r="F95" s="3">
        <f t="shared" si="16"/>
        <v>-15201.612220777304</v>
      </c>
      <c r="G95" s="3">
        <f t="shared" si="16"/>
        <v>-24131.26775846806</v>
      </c>
      <c r="H95" s="3">
        <f t="shared" si="16"/>
        <v>82865.816640479912</v>
      </c>
      <c r="I95" s="91" t="s">
        <v>214</v>
      </c>
      <c r="J95" s="3"/>
      <c r="K95" s="3"/>
      <c r="L95" s="3"/>
      <c r="M95" s="3"/>
      <c r="N95" s="3"/>
      <c r="P95" s="3"/>
    </row>
    <row r="96" spans="1:16" x14ac:dyDescent="0.25">
      <c r="B96" s="4" t="s">
        <v>155</v>
      </c>
      <c r="C96" s="122">
        <f>IRR(C95:H95)</f>
        <v>-0.11366660369262249</v>
      </c>
      <c r="D96" s="3"/>
      <c r="E96" s="3"/>
      <c r="F96" s="3"/>
      <c r="G96" s="3"/>
      <c r="H96" s="3"/>
      <c r="I96" s="93">
        <v>0.2</v>
      </c>
      <c r="J96" s="3"/>
      <c r="K96" s="3"/>
      <c r="L96" s="3"/>
      <c r="M96" s="3"/>
      <c r="N96" s="28"/>
      <c r="P96" s="3"/>
    </row>
    <row r="97" spans="1:20" x14ac:dyDescent="0.25">
      <c r="A97" s="1"/>
      <c r="B97" t="s">
        <v>213</v>
      </c>
      <c r="C97" s="29">
        <f>O37</f>
        <v>5.5300000000000002E-2</v>
      </c>
      <c r="D97" s="3"/>
      <c r="E97" s="3"/>
      <c r="F97" s="3"/>
      <c r="G97" s="3"/>
      <c r="H97" s="3"/>
      <c r="I97" s="92">
        <v>0.8</v>
      </c>
      <c r="J97" s="3"/>
      <c r="K97" s="3"/>
      <c r="L97" s="3"/>
      <c r="M97" s="3"/>
      <c r="N97" s="3"/>
    </row>
    <row r="98" spans="1:20" x14ac:dyDescent="0.25">
      <c r="B98" t="s">
        <v>212</v>
      </c>
      <c r="C98" s="29">
        <f>(I96*C96)+(I97*C97)</f>
        <v>2.1506679261475502E-2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20" x14ac:dyDescent="0.25">
      <c r="A99" s="26"/>
      <c r="B99" s="26"/>
      <c r="C99" s="26"/>
      <c r="D99" s="42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x14ac:dyDescent="0.25">
      <c r="A100" s="43"/>
      <c r="B100" s="44"/>
      <c r="C100" s="44"/>
      <c r="D100" s="44"/>
      <c r="E100" s="44"/>
      <c r="F100" s="44"/>
      <c r="G100" s="44"/>
      <c r="H100" s="44"/>
      <c r="I100" s="44"/>
      <c r="J100" s="44"/>
      <c r="L100" s="44"/>
      <c r="N100" s="45"/>
      <c r="O100" s="45"/>
    </row>
    <row r="101" spans="1:20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K101" s="45"/>
      <c r="L101" s="45"/>
      <c r="M101" s="45"/>
      <c r="N101" s="45"/>
      <c r="O101" s="45"/>
    </row>
  </sheetData>
  <mergeCells count="1">
    <mergeCell ref="A1:M2"/>
  </mergeCells>
  <pageMargins left="0.25" right="0.25" top="1" bottom="0.5" header="0" footer="0"/>
  <pageSetup scale="35" orientation="landscape" horizontalDpi="4294967293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zoomScale="80" zoomScaleNormal="80" workbookViewId="0">
      <selection sqref="A1:M2"/>
    </sheetView>
  </sheetViews>
  <sheetFormatPr defaultRowHeight="15" x14ac:dyDescent="0.25"/>
  <cols>
    <col min="1" max="1" width="4" customWidth="1"/>
    <col min="2" max="2" width="31.140625" customWidth="1"/>
    <col min="3" max="3" width="13.7109375" customWidth="1"/>
    <col min="4" max="4" width="12.5703125" bestFit="1" customWidth="1"/>
    <col min="5" max="5" width="14.42578125" customWidth="1"/>
    <col min="6" max="6" width="11.7109375" customWidth="1"/>
    <col min="7" max="7" width="12" customWidth="1"/>
    <col min="8" max="12" width="13.42578125" bestFit="1" customWidth="1"/>
    <col min="13" max="13" width="14" customWidth="1"/>
    <col min="14" max="14" width="8.85546875" customWidth="1"/>
    <col min="15" max="15" width="12" customWidth="1"/>
    <col min="16" max="16" width="12.7109375" bestFit="1" customWidth="1"/>
    <col min="17" max="17" width="9.5703125" bestFit="1" customWidth="1"/>
    <col min="18" max="18" width="13" customWidth="1"/>
    <col min="19" max="19" width="10.7109375" customWidth="1"/>
    <col min="20" max="20" width="11.85546875" customWidth="1"/>
  </cols>
  <sheetData>
    <row r="1" spans="1:17" ht="15" customHeight="1" x14ac:dyDescent="0.25">
      <c r="A1" s="160" t="s">
        <v>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7" ht="1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7" x14ac:dyDescent="0.25">
      <c r="A3" s="1"/>
      <c r="B3" s="20" t="s">
        <v>121</v>
      </c>
      <c r="C3" s="20"/>
      <c r="D3" s="20">
        <v>0.56999999999999995</v>
      </c>
      <c r="E3" s="20"/>
    </row>
    <row r="4" spans="1:17" x14ac:dyDescent="0.25">
      <c r="A4" s="1"/>
      <c r="B4" s="20" t="s">
        <v>125</v>
      </c>
      <c r="C4" s="20"/>
      <c r="D4" s="108">
        <f>(1+((1-$O$41)*$Q$71))*D3</f>
        <v>1.0535130485002246</v>
      </c>
      <c r="E4" s="108"/>
    </row>
    <row r="5" spans="1:17" x14ac:dyDescent="0.25">
      <c r="A5" s="1"/>
      <c r="B5" s="20" t="s">
        <v>122</v>
      </c>
      <c r="C5" s="20"/>
      <c r="D5" s="35">
        <v>1.5299999999999999E-2</v>
      </c>
      <c r="E5" s="20"/>
    </row>
    <row r="6" spans="1:17" x14ac:dyDescent="0.25">
      <c r="A6" s="1"/>
      <c r="B6" s="20" t="s">
        <v>123</v>
      </c>
      <c r="C6" s="20"/>
      <c r="D6" s="35">
        <v>0.13</v>
      </c>
      <c r="E6" s="20"/>
    </row>
    <row r="7" spans="1:17" x14ac:dyDescent="0.25">
      <c r="A7" s="1"/>
      <c r="B7" s="20" t="s">
        <v>132</v>
      </c>
      <c r="C7" s="20"/>
      <c r="D7" s="94">
        <f>(D4*(D6-D5))+$D$5</f>
        <v>0.13613794666297577</v>
      </c>
      <c r="E7" s="94"/>
    </row>
    <row r="8" spans="1:17" x14ac:dyDescent="0.25">
      <c r="A8" s="1"/>
      <c r="B8" s="20"/>
      <c r="C8" s="20"/>
      <c r="D8" s="94"/>
      <c r="E8" s="94"/>
    </row>
    <row r="9" spans="1:17" x14ac:dyDescent="0.25">
      <c r="D9" s="1">
        <v>2015</v>
      </c>
      <c r="E9" s="1">
        <v>2016</v>
      </c>
      <c r="F9" s="1">
        <v>2017</v>
      </c>
      <c r="G9" s="1">
        <v>2018</v>
      </c>
      <c r="H9" s="1">
        <v>2019</v>
      </c>
      <c r="I9" s="1">
        <v>2020</v>
      </c>
      <c r="J9" s="1">
        <v>2021</v>
      </c>
      <c r="K9" s="1">
        <v>2022</v>
      </c>
      <c r="L9" s="1">
        <v>2023</v>
      </c>
      <c r="M9" s="1">
        <v>2024</v>
      </c>
      <c r="N9" s="1"/>
    </row>
    <row r="10" spans="1:17" x14ac:dyDescent="0.25">
      <c r="B10" s="20" t="s">
        <v>29</v>
      </c>
      <c r="D10" s="19">
        <f>118</f>
        <v>118</v>
      </c>
      <c r="E10" s="19">
        <f>118</f>
        <v>118</v>
      </c>
      <c r="F10" s="19">
        <f>118</f>
        <v>118</v>
      </c>
      <c r="G10" s="19">
        <f>118</f>
        <v>118</v>
      </c>
      <c r="H10" s="19">
        <f>118</f>
        <v>118</v>
      </c>
      <c r="I10" s="19">
        <f>118</f>
        <v>118</v>
      </c>
      <c r="J10" s="19">
        <f>118</f>
        <v>118</v>
      </c>
      <c r="K10" s="19">
        <f>118</f>
        <v>118</v>
      </c>
      <c r="L10" s="19">
        <f>118</f>
        <v>118</v>
      </c>
      <c r="M10" s="19">
        <f>118</f>
        <v>118</v>
      </c>
      <c r="N10" s="19"/>
    </row>
    <row r="11" spans="1:17" x14ac:dyDescent="0.25">
      <c r="B11" s="20" t="s">
        <v>30</v>
      </c>
      <c r="D11">
        <v>28</v>
      </c>
      <c r="E11">
        <v>28</v>
      </c>
      <c r="F11">
        <v>28</v>
      </c>
      <c r="G11">
        <v>28</v>
      </c>
      <c r="H11">
        <v>28</v>
      </c>
      <c r="I11">
        <v>28</v>
      </c>
      <c r="J11">
        <v>28</v>
      </c>
      <c r="K11">
        <v>28</v>
      </c>
      <c r="L11">
        <v>28</v>
      </c>
      <c r="M11">
        <v>28</v>
      </c>
    </row>
    <row r="12" spans="1:17" x14ac:dyDescent="0.25">
      <c r="B12" s="20" t="s">
        <v>31</v>
      </c>
      <c r="D12">
        <v>15</v>
      </c>
      <c r="E12">
        <v>15</v>
      </c>
      <c r="F12">
        <v>15</v>
      </c>
      <c r="G12">
        <v>15</v>
      </c>
      <c r="H12">
        <v>15</v>
      </c>
      <c r="I12">
        <v>15</v>
      </c>
      <c r="J12">
        <v>15</v>
      </c>
      <c r="K12">
        <v>15</v>
      </c>
      <c r="L12">
        <v>15</v>
      </c>
      <c r="M12">
        <v>15</v>
      </c>
    </row>
    <row r="13" spans="1:17" x14ac:dyDescent="0.25">
      <c r="B13" s="20" t="s">
        <v>72</v>
      </c>
      <c r="D13" s="15">
        <v>35</v>
      </c>
      <c r="O13" s="18">
        <f>4723*0.81*1.5</f>
        <v>5738.4449999999997</v>
      </c>
      <c r="P13" s="18">
        <f>O13/52</f>
        <v>110.35471153846153</v>
      </c>
      <c r="Q13" s="18">
        <f>P13/6</f>
        <v>18.392451923076923</v>
      </c>
    </row>
    <row r="14" spans="1:17" x14ac:dyDescent="0.25">
      <c r="B14" s="20" t="s">
        <v>73</v>
      </c>
      <c r="D14">
        <v>18</v>
      </c>
    </row>
    <row r="15" spans="1:17" x14ac:dyDescent="0.25">
      <c r="B15" s="20" t="s">
        <v>164</v>
      </c>
      <c r="D15">
        <v>365</v>
      </c>
    </row>
    <row r="16" spans="1:17" x14ac:dyDescent="0.25">
      <c r="A16" s="117" t="s">
        <v>0</v>
      </c>
      <c r="B16" s="118"/>
    </row>
    <row r="17" spans="1:16" x14ac:dyDescent="0.25">
      <c r="A17" s="1" t="s">
        <v>4</v>
      </c>
      <c r="O17">
        <v>1.1000000000000001</v>
      </c>
      <c r="P17" t="s">
        <v>228</v>
      </c>
    </row>
    <row r="18" spans="1:16" x14ac:dyDescent="0.25">
      <c r="B18" t="s">
        <v>1</v>
      </c>
      <c r="D18" s="3">
        <f>D13*D14*(365-52)</f>
        <v>197190</v>
      </c>
      <c r="E18" s="3">
        <f>D18*$O$18</f>
        <v>203105.7</v>
      </c>
      <c r="F18" s="3">
        <f>E18*$O$18</f>
        <v>209198.87100000001</v>
      </c>
      <c r="G18" s="3">
        <f t="shared" ref="G18" si="0">F18*$O$18</f>
        <v>215474.83713000003</v>
      </c>
      <c r="H18" s="22">
        <f>G18*$O$17</f>
        <v>237022.32084300005</v>
      </c>
      <c r="I18" s="22">
        <f t="shared" ref="I18:M18" si="1">H18*$O$17</f>
        <v>260724.55292730007</v>
      </c>
      <c r="J18" s="22">
        <f t="shared" si="1"/>
        <v>286797.00822003011</v>
      </c>
      <c r="K18" s="22">
        <f t="shared" si="1"/>
        <v>315476.70904203312</v>
      </c>
      <c r="L18" s="22">
        <f t="shared" si="1"/>
        <v>347024.37994623644</v>
      </c>
      <c r="M18" s="22">
        <f t="shared" si="1"/>
        <v>381726.81794086011</v>
      </c>
      <c r="N18" s="3"/>
      <c r="O18">
        <v>1.03</v>
      </c>
      <c r="P18" t="s">
        <v>220</v>
      </c>
    </row>
    <row r="19" spans="1:16" x14ac:dyDescent="0.25">
      <c r="B19" t="s">
        <v>2</v>
      </c>
      <c r="D19" s="3">
        <f t="shared" ref="D19:M19" si="2">D18*$O$19</f>
        <v>1971.9</v>
      </c>
      <c r="E19" s="3">
        <f t="shared" si="2"/>
        <v>2031.0570000000002</v>
      </c>
      <c r="F19" s="3">
        <f t="shared" si="2"/>
        <v>2091.9887100000001</v>
      </c>
      <c r="G19" s="3">
        <f t="shared" si="2"/>
        <v>2154.7483713000001</v>
      </c>
      <c r="H19" s="3">
        <f t="shared" si="2"/>
        <v>2370.2232084300008</v>
      </c>
      <c r="I19" s="3">
        <f t="shared" si="2"/>
        <v>2607.2455292730006</v>
      </c>
      <c r="J19" s="3">
        <f t="shared" si="2"/>
        <v>2867.970082200301</v>
      </c>
      <c r="K19" s="3">
        <f t="shared" si="2"/>
        <v>3154.7670904203314</v>
      </c>
      <c r="L19" s="3">
        <f t="shared" si="2"/>
        <v>3470.2437994623647</v>
      </c>
      <c r="M19" s="3">
        <f t="shared" si="2"/>
        <v>3817.2681794086011</v>
      </c>
      <c r="N19" s="3"/>
      <c r="O19">
        <v>0.01</v>
      </c>
      <c r="P19" t="s">
        <v>87</v>
      </c>
    </row>
    <row r="20" spans="1:16" x14ac:dyDescent="0.25">
      <c r="B20" t="s">
        <v>3</v>
      </c>
      <c r="D20" s="3">
        <f t="shared" ref="D20:M20" si="3">D18*$O$20</f>
        <v>985.95</v>
      </c>
      <c r="E20" s="3">
        <f t="shared" si="3"/>
        <v>1015.5285000000001</v>
      </c>
      <c r="F20" s="3">
        <f t="shared" si="3"/>
        <v>1045.994355</v>
      </c>
      <c r="G20" s="3">
        <f t="shared" si="3"/>
        <v>1077.3741856500001</v>
      </c>
      <c r="H20" s="3">
        <f t="shared" si="3"/>
        <v>1185.1116042150004</v>
      </c>
      <c r="I20" s="3">
        <f t="shared" si="3"/>
        <v>1303.6227646365003</v>
      </c>
      <c r="J20" s="3">
        <f t="shared" si="3"/>
        <v>1433.9850411001505</v>
      </c>
      <c r="K20" s="3">
        <f t="shared" si="3"/>
        <v>1577.3835452101657</v>
      </c>
      <c r="L20" s="3">
        <f t="shared" si="3"/>
        <v>1735.1218997311823</v>
      </c>
      <c r="M20" s="3">
        <f t="shared" si="3"/>
        <v>1908.6340897043005</v>
      </c>
      <c r="N20" s="3"/>
      <c r="O20">
        <v>5.0000000000000001E-3</v>
      </c>
      <c r="P20" t="s">
        <v>87</v>
      </c>
    </row>
    <row r="21" spans="1:16" x14ac:dyDescent="0.25">
      <c r="B21" s="1" t="s">
        <v>5</v>
      </c>
      <c r="C21" s="1"/>
      <c r="D21" s="21">
        <f>SUM(D18:D20)</f>
        <v>200147.85</v>
      </c>
      <c r="E21" s="21">
        <f t="shared" ref="E21:M21" si="4">SUM(E18:E20)</f>
        <v>206152.2855</v>
      </c>
      <c r="F21" s="21">
        <f t="shared" si="4"/>
        <v>212336.85406500002</v>
      </c>
      <c r="G21" s="21">
        <f t="shared" si="4"/>
        <v>218706.95968695002</v>
      </c>
      <c r="H21" s="21">
        <f t="shared" si="4"/>
        <v>240577.65565564504</v>
      </c>
      <c r="I21" s="21">
        <f t="shared" si="4"/>
        <v>264635.42122120952</v>
      </c>
      <c r="J21" s="21">
        <f t="shared" si="4"/>
        <v>291098.96334333054</v>
      </c>
      <c r="K21" s="21">
        <f t="shared" si="4"/>
        <v>320208.85967766366</v>
      </c>
      <c r="L21" s="21">
        <f t="shared" si="4"/>
        <v>352229.74564543</v>
      </c>
      <c r="M21" s="21">
        <f t="shared" si="4"/>
        <v>387452.72020997305</v>
      </c>
      <c r="N21" s="21"/>
    </row>
    <row r="22" spans="1:16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x14ac:dyDescent="0.25">
      <c r="A23" t="s">
        <v>6</v>
      </c>
      <c r="B23" s="20"/>
      <c r="D23" s="3">
        <f>D21*$O$23</f>
        <v>130096.10250000001</v>
      </c>
      <c r="E23" s="3">
        <f t="shared" ref="E23:M23" si="5">E21*$O$23</f>
        <v>133998.985575</v>
      </c>
      <c r="F23" s="3">
        <f t="shared" si="5"/>
        <v>138018.95514225002</v>
      </c>
      <c r="G23" s="3">
        <f t="shared" si="5"/>
        <v>142159.52379651752</v>
      </c>
      <c r="H23" s="3">
        <f t="shared" si="5"/>
        <v>156375.47617616929</v>
      </c>
      <c r="I23" s="3">
        <f t="shared" si="5"/>
        <v>172013.02379378618</v>
      </c>
      <c r="J23" s="3">
        <f t="shared" si="5"/>
        <v>189214.32617316485</v>
      </c>
      <c r="K23" s="3">
        <f t="shared" si="5"/>
        <v>208135.75879048137</v>
      </c>
      <c r="L23" s="3">
        <f t="shared" si="5"/>
        <v>228949.33466952952</v>
      </c>
      <c r="M23" s="3">
        <f t="shared" si="5"/>
        <v>251844.26813648248</v>
      </c>
      <c r="N23" s="3"/>
      <c r="O23" s="18">
        <v>0.65</v>
      </c>
      <c r="P23" t="s">
        <v>157</v>
      </c>
    </row>
    <row r="24" spans="1:16" x14ac:dyDescent="0.2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6" x14ac:dyDescent="0.25">
      <c r="A25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6" x14ac:dyDescent="0.25">
      <c r="B26" t="s">
        <v>74</v>
      </c>
      <c r="D26" s="3">
        <f>1*$O$26</f>
        <v>19000</v>
      </c>
      <c r="E26" s="3">
        <f t="shared" ref="E26:M26" si="6">1*$O$26</f>
        <v>19000</v>
      </c>
      <c r="F26" s="3">
        <f t="shared" si="6"/>
        <v>19000</v>
      </c>
      <c r="G26" s="3">
        <f t="shared" si="6"/>
        <v>19000</v>
      </c>
      <c r="H26" s="3">
        <f t="shared" si="6"/>
        <v>19000</v>
      </c>
      <c r="I26" s="3">
        <f t="shared" si="6"/>
        <v>19000</v>
      </c>
      <c r="J26" s="3">
        <f t="shared" si="6"/>
        <v>19000</v>
      </c>
      <c r="K26" s="3">
        <f t="shared" si="6"/>
        <v>19000</v>
      </c>
      <c r="L26" s="3">
        <f t="shared" si="6"/>
        <v>19000</v>
      </c>
      <c r="M26" s="3">
        <f t="shared" si="6"/>
        <v>19000</v>
      </c>
      <c r="N26" s="3"/>
      <c r="O26" s="16">
        <v>19000</v>
      </c>
      <c r="P26" t="s">
        <v>70</v>
      </c>
    </row>
    <row r="27" spans="1:16" x14ac:dyDescent="0.25">
      <c r="B27" t="s">
        <v>75</v>
      </c>
      <c r="D27" s="3">
        <f>4*52*14</f>
        <v>2912</v>
      </c>
      <c r="E27" s="3">
        <f t="shared" ref="E27:M27" si="7">D27*$O$27</f>
        <v>2970.2400000000002</v>
      </c>
      <c r="F27" s="3">
        <f t="shared" si="7"/>
        <v>3029.6448000000005</v>
      </c>
      <c r="G27" s="3">
        <f t="shared" si="7"/>
        <v>3090.2376960000006</v>
      </c>
      <c r="H27" s="3">
        <f t="shared" si="7"/>
        <v>3152.0424499200008</v>
      </c>
      <c r="I27" s="3">
        <f t="shared" si="7"/>
        <v>3215.0832989184009</v>
      </c>
      <c r="J27" s="3">
        <f t="shared" si="7"/>
        <v>3279.3849648967689</v>
      </c>
      <c r="K27" s="3">
        <f t="shared" si="7"/>
        <v>3344.9726641947045</v>
      </c>
      <c r="L27" s="3">
        <f t="shared" si="7"/>
        <v>3411.8721174785987</v>
      </c>
      <c r="M27" s="3">
        <f t="shared" si="7"/>
        <v>3480.1095598281709</v>
      </c>
      <c r="N27" s="3"/>
      <c r="O27">
        <v>1.02</v>
      </c>
      <c r="P27" t="s">
        <v>69</v>
      </c>
    </row>
    <row r="28" spans="1:16" x14ac:dyDescent="0.25">
      <c r="B28" t="s">
        <v>76</v>
      </c>
      <c r="D28" s="3">
        <f>3*52*7.25</f>
        <v>1131</v>
      </c>
      <c r="E28" s="3">
        <f t="shared" ref="E28:M28" si="8">D28*$O$28</f>
        <v>1153.6200000000001</v>
      </c>
      <c r="F28" s="3">
        <f t="shared" si="8"/>
        <v>1176.6924000000001</v>
      </c>
      <c r="G28" s="3">
        <f t="shared" si="8"/>
        <v>1200.2262480000002</v>
      </c>
      <c r="H28" s="3">
        <f t="shared" si="8"/>
        <v>1224.2307729600002</v>
      </c>
      <c r="I28" s="3">
        <f t="shared" si="8"/>
        <v>1248.7153884192003</v>
      </c>
      <c r="J28" s="3">
        <f t="shared" si="8"/>
        <v>1273.6896961875843</v>
      </c>
      <c r="K28" s="3">
        <f t="shared" si="8"/>
        <v>1299.1634901113359</v>
      </c>
      <c r="L28" s="3">
        <f t="shared" si="8"/>
        <v>1325.1467599135626</v>
      </c>
      <c r="M28" s="3">
        <f t="shared" si="8"/>
        <v>1351.6496951118338</v>
      </c>
      <c r="N28" s="3"/>
      <c r="O28">
        <v>1.02</v>
      </c>
      <c r="P28" t="s">
        <v>68</v>
      </c>
    </row>
    <row r="29" spans="1:16" x14ac:dyDescent="0.25">
      <c r="B29" t="s">
        <v>8</v>
      </c>
      <c r="D29" s="3">
        <f t="shared" ref="D29:M29" si="9">D21*$O$29</f>
        <v>8005.9140000000007</v>
      </c>
      <c r="E29" s="3">
        <f t="shared" si="9"/>
        <v>8246.0914200000007</v>
      </c>
      <c r="F29" s="3">
        <f t="shared" si="9"/>
        <v>8493.4741626000014</v>
      </c>
      <c r="G29" s="3">
        <f t="shared" si="9"/>
        <v>8748.2783874780016</v>
      </c>
      <c r="H29" s="3">
        <f t="shared" si="9"/>
        <v>9623.1062262258019</v>
      </c>
      <c r="I29" s="3">
        <f t="shared" si="9"/>
        <v>10585.416848848381</v>
      </c>
      <c r="J29" s="3">
        <f t="shared" si="9"/>
        <v>11643.958533733223</v>
      </c>
      <c r="K29" s="3">
        <f t="shared" si="9"/>
        <v>12808.354387106547</v>
      </c>
      <c r="L29" s="3">
        <f t="shared" si="9"/>
        <v>14089.1898258172</v>
      </c>
      <c r="M29" s="3">
        <f t="shared" si="9"/>
        <v>15498.108808398922</v>
      </c>
      <c r="N29" s="3"/>
      <c r="O29">
        <v>0.04</v>
      </c>
      <c r="P29" t="s">
        <v>86</v>
      </c>
    </row>
    <row r="30" spans="1:16" x14ac:dyDescent="0.25">
      <c r="B30" t="s">
        <v>9</v>
      </c>
      <c r="D30" s="3">
        <v>5000</v>
      </c>
      <c r="E30" s="3">
        <f t="shared" ref="E30:M30" si="10">D30 * (1+$O$30)</f>
        <v>5100</v>
      </c>
      <c r="F30" s="3">
        <f t="shared" si="10"/>
        <v>5202</v>
      </c>
      <c r="G30" s="3">
        <f t="shared" si="10"/>
        <v>5306.04</v>
      </c>
      <c r="H30" s="3">
        <f t="shared" si="10"/>
        <v>5412.1607999999997</v>
      </c>
      <c r="I30" s="3">
        <f t="shared" si="10"/>
        <v>5520.4040159999995</v>
      </c>
      <c r="J30" s="3">
        <f t="shared" si="10"/>
        <v>5630.8120963199999</v>
      </c>
      <c r="K30" s="3">
        <f t="shared" si="10"/>
        <v>5743.4283382464</v>
      </c>
      <c r="L30" s="3">
        <f t="shared" si="10"/>
        <v>5858.2969050113279</v>
      </c>
      <c r="M30" s="3">
        <f t="shared" si="10"/>
        <v>5975.4628431115543</v>
      </c>
      <c r="N30" s="3"/>
      <c r="O30" s="17">
        <v>0.02</v>
      </c>
      <c r="P30" t="s">
        <v>83</v>
      </c>
    </row>
    <row r="31" spans="1:16" x14ac:dyDescent="0.25">
      <c r="B31" t="s">
        <v>10</v>
      </c>
      <c r="D31" s="3">
        <f t="shared" ref="D31:M31" si="11">D21*$O$31</f>
        <v>2001.4785000000002</v>
      </c>
      <c r="E31" s="3">
        <f t="shared" si="11"/>
        <v>2061.5228550000002</v>
      </c>
      <c r="F31" s="3">
        <f t="shared" si="11"/>
        <v>2123.3685406500003</v>
      </c>
      <c r="G31" s="3">
        <f t="shared" si="11"/>
        <v>2187.0695968695004</v>
      </c>
      <c r="H31" s="3">
        <f t="shared" si="11"/>
        <v>2405.7765565564505</v>
      </c>
      <c r="I31" s="3">
        <f t="shared" si="11"/>
        <v>2646.3542122120953</v>
      </c>
      <c r="J31" s="3">
        <f t="shared" si="11"/>
        <v>2910.9896334333057</v>
      </c>
      <c r="K31" s="3">
        <f t="shared" si="11"/>
        <v>3202.0885967766367</v>
      </c>
      <c r="L31" s="3">
        <f t="shared" si="11"/>
        <v>3522.2974564543001</v>
      </c>
      <c r="M31" s="3">
        <f t="shared" si="11"/>
        <v>3874.5272020997304</v>
      </c>
      <c r="N31" s="3"/>
      <c r="O31">
        <v>0.01</v>
      </c>
      <c r="P31" t="s">
        <v>86</v>
      </c>
    </row>
    <row r="32" spans="1:16" x14ac:dyDescent="0.25">
      <c r="B32" t="s">
        <v>116</v>
      </c>
      <c r="D32" s="3">
        <f t="shared" ref="D32:M32" si="12">$O$32*D49</f>
        <v>2102.9233006849313</v>
      </c>
      <c r="E32" s="3">
        <f t="shared" si="12"/>
        <v>2166.0109997054797</v>
      </c>
      <c r="F32" s="3">
        <f t="shared" si="12"/>
        <v>2230.9913296966442</v>
      </c>
      <c r="G32" s="3">
        <f t="shared" si="12"/>
        <v>2297.9210695875436</v>
      </c>
      <c r="H32" s="3">
        <f t="shared" si="12"/>
        <v>2527.7131765462982</v>
      </c>
      <c r="I32" s="3">
        <f t="shared" si="12"/>
        <v>2780.4844942009277</v>
      </c>
      <c r="J32" s="3">
        <f t="shared" si="12"/>
        <v>3058.5329436210213</v>
      </c>
      <c r="K32" s="3">
        <f t="shared" si="12"/>
        <v>3364.3862379831244</v>
      </c>
      <c r="L32" s="3">
        <f t="shared" si="12"/>
        <v>3700.8248617814361</v>
      </c>
      <c r="M32" s="3">
        <f t="shared" si="12"/>
        <v>4070.90734795958</v>
      </c>
      <c r="N32" s="3"/>
      <c r="O32" s="18">
        <v>0.05</v>
      </c>
      <c r="P32" t="s">
        <v>117</v>
      </c>
    </row>
    <row r="33" spans="1:16" x14ac:dyDescent="0.25">
      <c r="B33" s="1" t="s">
        <v>11</v>
      </c>
      <c r="D33" s="21">
        <f>SUM(D26:D32)</f>
        <v>40153.315800684933</v>
      </c>
      <c r="E33" s="21">
        <f t="shared" ref="E33:M33" si="13">SUM(E26:E32)</f>
        <v>40697.485274705483</v>
      </c>
      <c r="F33" s="21">
        <f t="shared" si="13"/>
        <v>41256.171232946654</v>
      </c>
      <c r="G33" s="21">
        <f t="shared" si="13"/>
        <v>41829.772997935048</v>
      </c>
      <c r="H33" s="21">
        <f t="shared" si="13"/>
        <v>43345.029982208551</v>
      </c>
      <c r="I33" s="21">
        <f t="shared" si="13"/>
        <v>44996.458258599007</v>
      </c>
      <c r="J33" s="21">
        <f t="shared" si="13"/>
        <v>46797.367868191897</v>
      </c>
      <c r="K33" s="21">
        <f t="shared" si="13"/>
        <v>48762.393714418751</v>
      </c>
      <c r="L33" s="21">
        <f t="shared" si="13"/>
        <v>50907.627926456422</v>
      </c>
      <c r="M33" s="21">
        <f t="shared" si="13"/>
        <v>53250.765456509798</v>
      </c>
      <c r="N33" s="21"/>
    </row>
    <row r="34" spans="1:16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6" x14ac:dyDescent="0.25">
      <c r="A35" t="s">
        <v>24</v>
      </c>
      <c r="D35" s="3">
        <f t="shared" ref="D35:J35" si="14">D51/$O$35</f>
        <v>5142.8571428571431</v>
      </c>
      <c r="E35" s="3">
        <f t="shared" si="14"/>
        <v>5142.8571428571431</v>
      </c>
      <c r="F35" s="3">
        <f t="shared" si="14"/>
        <v>5142.8571428571431</v>
      </c>
      <c r="G35" s="3">
        <f t="shared" si="14"/>
        <v>5142.8571428571431</v>
      </c>
      <c r="H35" s="3">
        <f t="shared" si="14"/>
        <v>5142.8571428571431</v>
      </c>
      <c r="I35" s="3">
        <f t="shared" si="14"/>
        <v>5142.8571428571431</v>
      </c>
      <c r="J35" s="3">
        <f t="shared" si="14"/>
        <v>5142.8571428571431</v>
      </c>
      <c r="K35" s="3">
        <v>0</v>
      </c>
      <c r="L35" s="3">
        <v>0</v>
      </c>
      <c r="M35" s="3">
        <v>0</v>
      </c>
      <c r="N35" s="3"/>
      <c r="O35">
        <v>7</v>
      </c>
      <c r="P35" t="s">
        <v>84</v>
      </c>
    </row>
    <row r="36" spans="1:16" x14ac:dyDescent="0.25">
      <c r="A36" t="s">
        <v>43</v>
      </c>
      <c r="D36" s="3">
        <f t="shared" ref="D36:M36" si="15">D53/$O$36</f>
        <v>2907.6923076923076</v>
      </c>
      <c r="E36" s="3">
        <f t="shared" si="15"/>
        <v>2907.6923076923076</v>
      </c>
      <c r="F36" s="3">
        <f t="shared" si="15"/>
        <v>2907.6923076923076</v>
      </c>
      <c r="G36" s="3">
        <f t="shared" si="15"/>
        <v>2907.6923076923076</v>
      </c>
      <c r="H36" s="3">
        <f t="shared" si="15"/>
        <v>5471.7948717948721</v>
      </c>
      <c r="I36" s="3">
        <f t="shared" si="15"/>
        <v>5471.7948717948721</v>
      </c>
      <c r="J36" s="3">
        <f t="shared" si="15"/>
        <v>5471.7948717948721</v>
      </c>
      <c r="K36" s="3">
        <f t="shared" si="15"/>
        <v>5471.7948717948721</v>
      </c>
      <c r="L36" s="3">
        <f t="shared" si="15"/>
        <v>5471.7948717948721</v>
      </c>
      <c r="M36" s="3">
        <f t="shared" si="15"/>
        <v>5471.7948717948721</v>
      </c>
      <c r="N36" s="3"/>
      <c r="O36">
        <v>39</v>
      </c>
      <c r="P36" t="s">
        <v>44</v>
      </c>
    </row>
    <row r="37" spans="1:16" x14ac:dyDescent="0.25">
      <c r="A37" t="s">
        <v>37</v>
      </c>
      <c r="D37" s="3">
        <f>'Expansion mortgage'!$D$16</f>
        <v>4825.4096825418692</v>
      </c>
      <c r="E37" s="3">
        <f>'Expansion mortgage'!$D$30</f>
        <v>4562.034669683283</v>
      </c>
      <c r="F37" s="3">
        <f>'Expansion mortgage'!$D$44</f>
        <v>4289.8898973850428</v>
      </c>
      <c r="G37" s="3">
        <f>'Expansion mortgage'!$D$58</f>
        <v>4008.6833535849746</v>
      </c>
      <c r="H37" s="3">
        <f>'Expansion mortgage'!$D$72</f>
        <v>7047.8746741525192</v>
      </c>
      <c r="I37" s="3">
        <f>'Expansion mortgage'!$D$86</f>
        <v>6858.5024420738382</v>
      </c>
      <c r="J37" s="3">
        <f>'Expansion mortgage'!$D$100</f>
        <v>6662.8245665635513</v>
      </c>
      <c r="K37" s="3">
        <f>'Expansion mortgage'!$D$114</f>
        <v>6460.6310847424684</v>
      </c>
      <c r="L37" s="3">
        <f>'Expansion mortgage'!$D$128</f>
        <v>6251.7050424685494</v>
      </c>
      <c r="M37" s="3">
        <f>'Expansion mortgage'!$D$142</f>
        <v>6035.8222615445384</v>
      </c>
      <c r="N37" s="3"/>
      <c r="O37" s="20">
        <f>Mortgage!J6</f>
        <v>15</v>
      </c>
      <c r="P37" t="s">
        <v>216</v>
      </c>
    </row>
    <row r="38" spans="1:16" x14ac:dyDescent="0.25">
      <c r="A38" t="s">
        <v>38</v>
      </c>
      <c r="D38" s="3">
        <f t="shared" ref="D38:M38" si="16">D65*$O$38</f>
        <v>4204.5936926298218</v>
      </c>
      <c r="E38" s="3">
        <f t="shared" si="16"/>
        <v>3668.3126425271466</v>
      </c>
      <c r="F38" s="3">
        <f t="shared" si="16"/>
        <v>3050.6765902078459</v>
      </c>
      <c r="G38" s="3">
        <f t="shared" si="16"/>
        <v>2346.5095499383051</v>
      </c>
      <c r="H38" s="3">
        <f t="shared" si="16"/>
        <v>1516.2020953028054</v>
      </c>
      <c r="I38" s="3">
        <f t="shared" si="16"/>
        <v>297.24436228160897</v>
      </c>
      <c r="J38" s="3">
        <f t="shared" si="16"/>
        <v>0</v>
      </c>
      <c r="K38" s="3">
        <f t="shared" si="16"/>
        <v>0</v>
      </c>
      <c r="L38" s="3">
        <f t="shared" si="16"/>
        <v>0</v>
      </c>
      <c r="M38" s="3">
        <f t="shared" si="16"/>
        <v>0</v>
      </c>
      <c r="N38" s="3"/>
      <c r="O38" s="7">
        <f>$N$125</f>
        <v>5.5300000000000002E-2</v>
      </c>
      <c r="P38" t="s">
        <v>85</v>
      </c>
    </row>
    <row r="39" spans="1:16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25">
      <c r="A40" t="s">
        <v>13</v>
      </c>
      <c r="D40" s="3">
        <f t="shared" ref="D40:M40" si="17">D21-D23-D33-SUM(D35:D38)</f>
        <v>12817.878873593923</v>
      </c>
      <c r="E40" s="3">
        <f t="shared" si="17"/>
        <v>15174.917887534637</v>
      </c>
      <c r="F40" s="3">
        <f t="shared" si="17"/>
        <v>17670.611751661003</v>
      </c>
      <c r="G40" s="3">
        <f t="shared" si="17"/>
        <v>20311.920538424725</v>
      </c>
      <c r="H40" s="3">
        <f t="shared" si="17"/>
        <v>21678.420713159852</v>
      </c>
      <c r="I40" s="3">
        <f t="shared" si="17"/>
        <v>29855.540349816863</v>
      </c>
      <c r="J40" s="3">
        <f t="shared" si="17"/>
        <v>37809.792720758225</v>
      </c>
      <c r="K40" s="3">
        <f t="shared" si="17"/>
        <v>51378.281216226198</v>
      </c>
      <c r="L40" s="3">
        <f t="shared" si="17"/>
        <v>60649.283135180638</v>
      </c>
      <c r="M40" s="3">
        <f t="shared" si="17"/>
        <v>70850.069483641346</v>
      </c>
      <c r="N40" s="3"/>
    </row>
    <row r="41" spans="1:16" x14ac:dyDescent="0.25">
      <c r="A41" t="s">
        <v>14</v>
      </c>
      <c r="D41" s="3">
        <f>IF(D40&gt;0,(D40*$O$41),0)</f>
        <v>3845.3636620781767</v>
      </c>
      <c r="E41" s="3">
        <f t="shared" ref="E41:M41" si="18">IF(E40&gt;0,(E40*$O$41),0)</f>
        <v>4552.4753662603907</v>
      </c>
      <c r="F41" s="3">
        <f t="shared" si="18"/>
        <v>5301.1835254983007</v>
      </c>
      <c r="G41" s="3">
        <f t="shared" si="18"/>
        <v>6093.5761615274178</v>
      </c>
      <c r="H41" s="3">
        <f t="shared" si="18"/>
        <v>6503.5262139479555</v>
      </c>
      <c r="I41" s="3">
        <f t="shared" si="18"/>
        <v>8956.6621049450587</v>
      </c>
      <c r="J41" s="3">
        <f t="shared" si="18"/>
        <v>11342.937816227468</v>
      </c>
      <c r="K41" s="3">
        <f t="shared" si="18"/>
        <v>15413.484364867858</v>
      </c>
      <c r="L41" s="3">
        <f t="shared" si="18"/>
        <v>18194.784940554189</v>
      </c>
      <c r="M41" s="3">
        <f t="shared" si="18"/>
        <v>21255.020845092404</v>
      </c>
      <c r="N41" s="3"/>
      <c r="O41" s="20">
        <v>0.3</v>
      </c>
      <c r="P41" t="s">
        <v>71</v>
      </c>
    </row>
    <row r="42" spans="1:16" x14ac:dyDescent="0.25">
      <c r="A42" s="1" t="s">
        <v>15</v>
      </c>
      <c r="D42" s="21">
        <f>D40-D41</f>
        <v>8972.5152115157471</v>
      </c>
      <c r="E42" s="21">
        <f t="shared" ref="E42:M42" si="19">E40-E41</f>
        <v>10622.442521274246</v>
      </c>
      <c r="F42" s="21">
        <f t="shared" si="19"/>
        <v>12369.428226162701</v>
      </c>
      <c r="G42" s="21">
        <f t="shared" si="19"/>
        <v>14218.344376897308</v>
      </c>
      <c r="H42" s="21">
        <f t="shared" si="19"/>
        <v>15174.894499211896</v>
      </c>
      <c r="I42" s="21">
        <f t="shared" si="19"/>
        <v>20898.878244871805</v>
      </c>
      <c r="J42" s="21">
        <f t="shared" si="19"/>
        <v>26466.854904530759</v>
      </c>
      <c r="K42" s="21">
        <f t="shared" si="19"/>
        <v>35964.79685135834</v>
      </c>
      <c r="L42" s="21">
        <f t="shared" si="19"/>
        <v>42454.498194626445</v>
      </c>
      <c r="M42" s="21">
        <f t="shared" si="19"/>
        <v>49595.048638548942</v>
      </c>
      <c r="N42" s="21"/>
    </row>
    <row r="43" spans="1:16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x14ac:dyDescent="0.25">
      <c r="A44" s="117" t="s">
        <v>16</v>
      </c>
      <c r="B44" s="1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x14ac:dyDescent="0.25">
      <c r="A45" t="s">
        <v>17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6" x14ac:dyDescent="0.25">
      <c r="B46" s="20" t="s">
        <v>19</v>
      </c>
      <c r="D46" s="3">
        <f t="shared" ref="D46:M46" si="20">D21*$O$46</f>
        <v>10007.392500000002</v>
      </c>
      <c r="E46" s="3">
        <f t="shared" si="20"/>
        <v>10307.614275</v>
      </c>
      <c r="F46" s="3">
        <f t="shared" si="20"/>
        <v>10616.842703250002</v>
      </c>
      <c r="G46" s="3">
        <f t="shared" si="20"/>
        <v>10935.347984347502</v>
      </c>
      <c r="H46" s="3">
        <f t="shared" si="20"/>
        <v>12028.882782782253</v>
      </c>
      <c r="I46" s="3">
        <f t="shared" si="20"/>
        <v>13231.771061060477</v>
      </c>
      <c r="J46" s="3">
        <f t="shared" si="20"/>
        <v>14554.948167166527</v>
      </c>
      <c r="K46" s="3">
        <f t="shared" si="20"/>
        <v>16010.442983883184</v>
      </c>
      <c r="L46" s="3">
        <f t="shared" si="20"/>
        <v>17611.487282271501</v>
      </c>
      <c r="M46" s="3">
        <f t="shared" si="20"/>
        <v>19372.636010498652</v>
      </c>
      <c r="N46" s="3"/>
      <c r="O46" s="28">
        <v>0.05</v>
      </c>
      <c r="P46" t="s">
        <v>78</v>
      </c>
    </row>
    <row r="47" spans="1:16" x14ac:dyDescent="0.25">
      <c r="B47" s="20" t="s">
        <v>18</v>
      </c>
      <c r="D47" s="3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21368</v>
      </c>
      <c r="K47" s="3">
        <v>53283</v>
      </c>
      <c r="L47" s="3">
        <v>89459</v>
      </c>
      <c r="M47" s="3">
        <v>132032</v>
      </c>
      <c r="N47" s="3"/>
    </row>
    <row r="48" spans="1:16" x14ac:dyDescent="0.25">
      <c r="B48" t="s">
        <v>20</v>
      </c>
      <c r="D48" s="3">
        <f t="shared" ref="D48:M48" si="21">(D21/365)*$D$12</f>
        <v>8225.254109589041</v>
      </c>
      <c r="E48" s="3">
        <f t="shared" si="21"/>
        <v>8472.0117328767119</v>
      </c>
      <c r="F48" s="3">
        <f t="shared" si="21"/>
        <v>8726.1720848630157</v>
      </c>
      <c r="G48" s="3">
        <f t="shared" si="21"/>
        <v>8987.9572474089055</v>
      </c>
      <c r="H48" s="3">
        <f t="shared" si="21"/>
        <v>9886.7529721497958</v>
      </c>
      <c r="I48" s="3">
        <f t="shared" si="21"/>
        <v>10875.428269364775</v>
      </c>
      <c r="J48" s="3">
        <f t="shared" si="21"/>
        <v>11962.971096301257</v>
      </c>
      <c r="K48" s="3">
        <f t="shared" si="21"/>
        <v>13159.268205931383</v>
      </c>
      <c r="L48" s="3">
        <f t="shared" si="21"/>
        <v>14475.195026524521</v>
      </c>
      <c r="M48" s="3">
        <f t="shared" si="21"/>
        <v>15922.714529176974</v>
      </c>
      <c r="N48" s="3"/>
      <c r="P48" t="s">
        <v>80</v>
      </c>
    </row>
    <row r="49" spans="1:20" x14ac:dyDescent="0.25">
      <c r="B49" t="s">
        <v>21</v>
      </c>
      <c r="D49" s="3">
        <f t="shared" ref="D49:M49" si="22">(D23/365)*$D$10</f>
        <v>42058.466013698628</v>
      </c>
      <c r="E49" s="3">
        <f t="shared" si="22"/>
        <v>43320.21999410959</v>
      </c>
      <c r="F49" s="3">
        <f t="shared" si="22"/>
        <v>44619.826593932885</v>
      </c>
      <c r="G49" s="3">
        <f t="shared" si="22"/>
        <v>45958.421391750868</v>
      </c>
      <c r="H49" s="3">
        <f t="shared" si="22"/>
        <v>50554.263530925964</v>
      </c>
      <c r="I49" s="3">
        <f t="shared" si="22"/>
        <v>55609.689884018546</v>
      </c>
      <c r="J49" s="3">
        <f t="shared" si="22"/>
        <v>61170.658872420419</v>
      </c>
      <c r="K49" s="3">
        <f t="shared" si="22"/>
        <v>67287.72475966248</v>
      </c>
      <c r="L49" s="3">
        <f t="shared" si="22"/>
        <v>74016.497235628718</v>
      </c>
      <c r="M49" s="3">
        <f t="shared" si="22"/>
        <v>81418.146959191596</v>
      </c>
      <c r="N49" s="3"/>
      <c r="O49" s="17">
        <f>D10</f>
        <v>118</v>
      </c>
      <c r="P49" t="s">
        <v>79</v>
      </c>
    </row>
    <row r="50" spans="1:20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20" x14ac:dyDescent="0.25">
      <c r="B51" t="s">
        <v>22</v>
      </c>
      <c r="D51" s="3">
        <v>36000</v>
      </c>
      <c r="E51" s="3">
        <f>D51</f>
        <v>36000</v>
      </c>
      <c r="F51" s="3">
        <f t="shared" ref="F51:M51" si="23">E51</f>
        <v>36000</v>
      </c>
      <c r="G51" s="3">
        <f t="shared" si="23"/>
        <v>36000</v>
      </c>
      <c r="H51" s="3">
        <f t="shared" si="23"/>
        <v>36000</v>
      </c>
      <c r="I51" s="3">
        <f t="shared" si="23"/>
        <v>36000</v>
      </c>
      <c r="J51" s="3">
        <f t="shared" si="23"/>
        <v>36000</v>
      </c>
      <c r="K51" s="3">
        <f t="shared" si="23"/>
        <v>36000</v>
      </c>
      <c r="L51" s="3">
        <f t="shared" si="23"/>
        <v>36000</v>
      </c>
      <c r="M51" s="3">
        <f t="shared" si="23"/>
        <v>36000</v>
      </c>
      <c r="N51" s="3"/>
    </row>
    <row r="52" spans="1:20" x14ac:dyDescent="0.25">
      <c r="B52" s="2" t="s">
        <v>23</v>
      </c>
      <c r="D52" s="3">
        <f>D35</f>
        <v>5142.8571428571431</v>
      </c>
      <c r="E52" s="3">
        <f>D52+E35</f>
        <v>10285.714285714286</v>
      </c>
      <c r="F52" s="3">
        <f t="shared" ref="F52:M52" si="24">E52+F35</f>
        <v>15428.571428571429</v>
      </c>
      <c r="G52" s="3">
        <f t="shared" si="24"/>
        <v>20571.428571428572</v>
      </c>
      <c r="H52" s="3">
        <f t="shared" si="24"/>
        <v>25714.285714285717</v>
      </c>
      <c r="I52" s="3">
        <f t="shared" si="24"/>
        <v>30857.142857142862</v>
      </c>
      <c r="J52" s="3">
        <f t="shared" si="24"/>
        <v>36000.000000000007</v>
      </c>
      <c r="K52" s="3">
        <f t="shared" si="24"/>
        <v>36000.000000000007</v>
      </c>
      <c r="L52" s="3">
        <f t="shared" si="24"/>
        <v>36000.000000000007</v>
      </c>
      <c r="M52" s="3">
        <f t="shared" si="24"/>
        <v>36000.000000000007</v>
      </c>
      <c r="N52" s="3"/>
    </row>
    <row r="53" spans="1:20" x14ac:dyDescent="0.25">
      <c r="B53" s="4" t="s">
        <v>39</v>
      </c>
      <c r="D53" s="3">
        <f>'Expansion mortgage'!$I$12</f>
        <v>113400</v>
      </c>
      <c r="E53" s="3">
        <f>'Expansion mortgage'!$I$12</f>
        <v>113400</v>
      </c>
      <c r="F53" s="3">
        <f>'Expansion mortgage'!$I$12</f>
        <v>113400</v>
      </c>
      <c r="G53" s="3">
        <f>'Expansion mortgage'!$I$12</f>
        <v>113400</v>
      </c>
      <c r="H53" s="3">
        <f>'Expansion mortgage'!$I$12+100000</f>
        <v>213400</v>
      </c>
      <c r="I53" s="3">
        <f>'Expansion mortgage'!$I$12+100000</f>
        <v>213400</v>
      </c>
      <c r="J53" s="3">
        <f>'Expansion mortgage'!$I$12+100000</f>
        <v>213400</v>
      </c>
      <c r="K53" s="3">
        <f>'Expansion mortgage'!$I$12+100000</f>
        <v>213400</v>
      </c>
      <c r="L53" s="3">
        <f>'Expansion mortgage'!$I$12+100000</f>
        <v>213400</v>
      </c>
      <c r="M53" s="3">
        <f>'Expansion mortgage'!$I$12+100000</f>
        <v>213400</v>
      </c>
      <c r="N53" s="3"/>
      <c r="Q53" t="s">
        <v>221</v>
      </c>
      <c r="R53" s="3">
        <f>H58</f>
        <v>389053.04946900823</v>
      </c>
    </row>
    <row r="54" spans="1:20" x14ac:dyDescent="0.25">
      <c r="B54" s="2" t="s">
        <v>40</v>
      </c>
      <c r="D54" s="3">
        <f>D36</f>
        <v>2907.6923076923076</v>
      </c>
      <c r="E54" s="3">
        <f>D54+E36</f>
        <v>5815.3846153846152</v>
      </c>
      <c r="F54" s="3">
        <f t="shared" ref="F54:M54" si="25">E54+F36</f>
        <v>8723.076923076922</v>
      </c>
      <c r="G54" s="3">
        <f t="shared" si="25"/>
        <v>11630.76923076923</v>
      </c>
      <c r="H54" s="3">
        <f t="shared" si="25"/>
        <v>17102.564102564102</v>
      </c>
      <c r="I54" s="3">
        <f t="shared" si="25"/>
        <v>22574.358974358973</v>
      </c>
      <c r="J54" s="3">
        <f t="shared" si="25"/>
        <v>28046.153846153844</v>
      </c>
      <c r="K54" s="3">
        <f t="shared" si="25"/>
        <v>33517.948717948719</v>
      </c>
      <c r="L54" s="3">
        <f t="shared" si="25"/>
        <v>38989.743589743593</v>
      </c>
      <c r="M54" s="3">
        <f t="shared" si="25"/>
        <v>44461.538461538468</v>
      </c>
      <c r="N54" s="3"/>
      <c r="Q54" t="s">
        <v>222</v>
      </c>
      <c r="R54" s="3">
        <f>H64+H65</f>
        <v>239195.97148045673</v>
      </c>
    </row>
    <row r="55" spans="1:20" x14ac:dyDescent="0.25">
      <c r="B55" s="4" t="s">
        <v>118</v>
      </c>
      <c r="D55" s="3">
        <f>Mortgage!$I$14</f>
        <v>75000</v>
      </c>
      <c r="E55" s="3">
        <f>Mortgage!$I$14</f>
        <v>75000</v>
      </c>
      <c r="F55" s="3">
        <f>Mortgage!$I$14</f>
        <v>75000</v>
      </c>
      <c r="G55" s="3">
        <f>Mortgage!$I$14</f>
        <v>75000</v>
      </c>
      <c r="H55" s="3">
        <f>Mortgage!$I$14</f>
        <v>75000</v>
      </c>
      <c r="I55" s="3">
        <f>Mortgage!$I$14</f>
        <v>75000</v>
      </c>
      <c r="J55" s="3">
        <f>Mortgage!$I$14</f>
        <v>75000</v>
      </c>
      <c r="K55" s="3">
        <f>Mortgage!$I$14</f>
        <v>75000</v>
      </c>
      <c r="L55" s="3">
        <f>Mortgage!$I$14</f>
        <v>75000</v>
      </c>
      <c r="M55" s="3">
        <f>Mortgage!$I$14</f>
        <v>75000</v>
      </c>
      <c r="N55" s="3"/>
    </row>
    <row r="56" spans="1:20" x14ac:dyDescent="0.25">
      <c r="B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0" x14ac:dyDescent="0.25">
      <c r="B57" s="4" t="s">
        <v>120</v>
      </c>
      <c r="D57" s="33">
        <v>35000</v>
      </c>
      <c r="E57" s="33">
        <f>D57</f>
        <v>35000</v>
      </c>
      <c r="F57" s="33">
        <f t="shared" ref="F57:M57" si="26">E57</f>
        <v>35000</v>
      </c>
      <c r="G57" s="33">
        <f t="shared" si="26"/>
        <v>35000</v>
      </c>
      <c r="H57" s="33">
        <f t="shared" si="26"/>
        <v>35000</v>
      </c>
      <c r="I57" s="33">
        <f t="shared" si="26"/>
        <v>35000</v>
      </c>
      <c r="J57" s="33">
        <f t="shared" si="26"/>
        <v>35000</v>
      </c>
      <c r="K57" s="33">
        <f t="shared" si="26"/>
        <v>35000</v>
      </c>
      <c r="L57" s="33">
        <f t="shared" si="26"/>
        <v>35000</v>
      </c>
      <c r="M57" s="33">
        <f t="shared" si="26"/>
        <v>35000</v>
      </c>
      <c r="N57" s="3"/>
      <c r="O57" s="20"/>
    </row>
    <row r="58" spans="1:20" x14ac:dyDescent="0.25">
      <c r="B58" s="1" t="s">
        <v>25</v>
      </c>
      <c r="C58" s="1"/>
      <c r="D58" s="21">
        <f>SUM(D46:D49)+(D51-D52)+(D53-D54)+D55+D57</f>
        <v>311640.56317273818</v>
      </c>
      <c r="E58" s="21">
        <f t="shared" ref="E58:M58" si="27">SUM(E46:E49)+(E51-E52)+(E53-E54)+E55+E57</f>
        <v>305398.74710088741</v>
      </c>
      <c r="F58" s="21">
        <f t="shared" si="27"/>
        <v>299211.19303039752</v>
      </c>
      <c r="G58" s="21">
        <f t="shared" si="27"/>
        <v>293079.52882130945</v>
      </c>
      <c r="H58" s="21">
        <f t="shared" si="27"/>
        <v>389053.04946900823</v>
      </c>
      <c r="I58" s="21">
        <f t="shared" si="27"/>
        <v>385685.38738294196</v>
      </c>
      <c r="J58" s="21">
        <f t="shared" si="27"/>
        <v>404410.42428973434</v>
      </c>
      <c r="K58" s="21">
        <f t="shared" si="27"/>
        <v>439622.48723152833</v>
      </c>
      <c r="L58" s="21">
        <f t="shared" si="27"/>
        <v>479972.43595468113</v>
      </c>
      <c r="M58" s="21">
        <f t="shared" si="27"/>
        <v>527683.95903732872</v>
      </c>
      <c r="N58" s="21"/>
    </row>
    <row r="59" spans="1:20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20" x14ac:dyDescent="0.25">
      <c r="A60" t="s">
        <v>26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P60" s="16">
        <f>290000/1350</f>
        <v>214.81481481481481</v>
      </c>
    </row>
    <row r="61" spans="1:20" x14ac:dyDescent="0.25">
      <c r="B61" t="s">
        <v>27</v>
      </c>
      <c r="D61" s="3">
        <f>D41</f>
        <v>3845.3636620781767</v>
      </c>
      <c r="E61" s="3">
        <f t="shared" ref="E61:M61" si="28">E41</f>
        <v>4552.4753662603907</v>
      </c>
      <c r="F61" s="3">
        <f t="shared" si="28"/>
        <v>5301.1835254983007</v>
      </c>
      <c r="G61" s="3">
        <f t="shared" si="28"/>
        <v>6093.5761615274178</v>
      </c>
      <c r="H61" s="3">
        <f t="shared" si="28"/>
        <v>6503.5262139479555</v>
      </c>
      <c r="I61" s="3">
        <f t="shared" si="28"/>
        <v>8956.6621049450587</v>
      </c>
      <c r="J61" s="3">
        <f t="shared" si="28"/>
        <v>11342.937816227468</v>
      </c>
      <c r="K61" s="3">
        <f t="shared" si="28"/>
        <v>15413.484364867858</v>
      </c>
      <c r="L61" s="3">
        <f t="shared" si="28"/>
        <v>18194.784940554189</v>
      </c>
      <c r="M61" s="3">
        <f t="shared" si="28"/>
        <v>21255.020845092404</v>
      </c>
      <c r="N61" s="3"/>
    </row>
    <row r="62" spans="1:20" x14ac:dyDescent="0.25">
      <c r="B62" s="20" t="s">
        <v>28</v>
      </c>
      <c r="D62" s="3">
        <f t="shared" ref="D62:M62" si="29">(D23/365)*$D$11</f>
        <v>9979.9749863013694</v>
      </c>
      <c r="E62" s="3">
        <f t="shared" si="29"/>
        <v>10279.374235890411</v>
      </c>
      <c r="F62" s="3">
        <f t="shared" si="29"/>
        <v>10587.755462967125</v>
      </c>
      <c r="G62" s="3">
        <f t="shared" si="29"/>
        <v>10905.388126856138</v>
      </c>
      <c r="H62" s="3">
        <f t="shared" si="29"/>
        <v>11995.926939541754</v>
      </c>
      <c r="I62" s="3">
        <f t="shared" si="29"/>
        <v>13195.519633495926</v>
      </c>
      <c r="J62" s="3">
        <f t="shared" si="29"/>
        <v>14515.071596845522</v>
      </c>
      <c r="K62" s="3">
        <f t="shared" si="29"/>
        <v>15966.578756530078</v>
      </c>
      <c r="L62" s="3">
        <f t="shared" si="29"/>
        <v>17563.236632183085</v>
      </c>
      <c r="M62" s="3">
        <f t="shared" si="29"/>
        <v>19319.560295401396</v>
      </c>
      <c r="N62" s="3"/>
      <c r="P62" t="s">
        <v>81</v>
      </c>
    </row>
    <row r="63" spans="1:20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P63" s="100" t="s">
        <v>126</v>
      </c>
      <c r="Q63" s="100" t="s">
        <v>127</v>
      </c>
      <c r="R63" s="100" t="s">
        <v>128</v>
      </c>
      <c r="S63" s="100" t="s">
        <v>129</v>
      </c>
      <c r="T63" s="100" t="s">
        <v>130</v>
      </c>
    </row>
    <row r="64" spans="1:20" x14ac:dyDescent="0.25">
      <c r="B64" t="s">
        <v>42</v>
      </c>
      <c r="D64" s="3">
        <f>'Expansion mortgage'!$F$15</f>
        <v>142810.27364141756</v>
      </c>
      <c r="E64" s="3">
        <f>'Expansion mortgage'!$F$29</f>
        <v>134637.17226997649</v>
      </c>
      <c r="F64" s="3">
        <f>'Expansion mortgage'!$F$43</f>
        <v>126191.9261262372</v>
      </c>
      <c r="G64" s="3">
        <f>'Expansion mortgage'!$F$57</f>
        <v>117465.47343869785</v>
      </c>
      <c r="H64" s="3">
        <f>'Expansion mortgage'!$F$71</f>
        <v>211778.21207172607</v>
      </c>
      <c r="I64" s="3">
        <f>'Expansion mortgage'!$F$85</f>
        <v>205901.57847267558</v>
      </c>
      <c r="J64" s="3">
        <f>'Expansion mortgage'!$F$99</f>
        <v>199829.26699811482</v>
      </c>
      <c r="K64" s="3">
        <f>'Expansion mortgage'!$F$113</f>
        <v>193554.76204173296</v>
      </c>
      <c r="L64" s="3">
        <f>'Expansion mortgage'!$F$127</f>
        <v>187071.33104307717</v>
      </c>
      <c r="M64" s="3">
        <f>'Expansion mortgage'!$F$141</f>
        <v>180372.01726349734</v>
      </c>
      <c r="N64" s="3"/>
      <c r="P64" s="3">
        <f>AVERAGE(D64:M64)</f>
        <v>169961.20133671528</v>
      </c>
      <c r="Q64" s="29">
        <f>P64/P69</f>
        <v>0.47211563009585794</v>
      </c>
      <c r="R64" s="7">
        <f>Mortgage!$I$3</f>
        <v>3.2799999999999996E-2</v>
      </c>
      <c r="S64" s="29">
        <f>R64*(1-O41)</f>
        <v>2.2959999999999994E-2</v>
      </c>
      <c r="T64" s="7">
        <f>Q64*S64</f>
        <v>1.0839774867000896E-2</v>
      </c>
    </row>
    <row r="65" spans="1:20" x14ac:dyDescent="0.25">
      <c r="B65" s="20" t="s">
        <v>32</v>
      </c>
      <c r="D65" s="33">
        <v>76032.435671425352</v>
      </c>
      <c r="E65" s="33">
        <v>66334.767495970096</v>
      </c>
      <c r="F65" s="33">
        <v>55165.941956742237</v>
      </c>
      <c r="G65" s="3">
        <v>42432.360758378032</v>
      </c>
      <c r="H65" s="3">
        <v>27417.759408730657</v>
      </c>
      <c r="I65" s="3">
        <v>5375.1240918916628</v>
      </c>
      <c r="J65" s="3">
        <v>0</v>
      </c>
      <c r="K65" s="3">
        <v>0</v>
      </c>
      <c r="L65" s="3">
        <v>0</v>
      </c>
      <c r="M65" s="3">
        <v>0</v>
      </c>
      <c r="N65" s="3"/>
      <c r="O65" s="3"/>
      <c r="P65" s="3">
        <f>AVERAGE(D65:M65)</f>
        <v>27275.838938313806</v>
      </c>
      <c r="Q65" s="29">
        <f>P65/P69</f>
        <v>7.5766408953790873E-2</v>
      </c>
      <c r="R65" s="29">
        <f>$O$38</f>
        <v>5.5300000000000002E-2</v>
      </c>
      <c r="S65" s="29">
        <f>R65*(1-O41)</f>
        <v>3.8710000000000001E-2</v>
      </c>
      <c r="T65" s="7">
        <f>Q65*S65</f>
        <v>2.9329176906012448E-3</v>
      </c>
    </row>
    <row r="66" spans="1:20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Q66" s="28"/>
    </row>
    <row r="67" spans="1:20" x14ac:dyDescent="0.25">
      <c r="B67" t="s">
        <v>33</v>
      </c>
      <c r="D67" s="33">
        <v>70000</v>
      </c>
      <c r="E67" s="33">
        <f>D67</f>
        <v>70000</v>
      </c>
      <c r="F67" s="33">
        <f t="shared" ref="F67:M67" si="30">E67</f>
        <v>70000</v>
      </c>
      <c r="G67" s="33">
        <f t="shared" si="30"/>
        <v>70000</v>
      </c>
      <c r="H67" s="33">
        <f t="shared" si="30"/>
        <v>70000</v>
      </c>
      <c r="I67" s="33">
        <f t="shared" si="30"/>
        <v>70000</v>
      </c>
      <c r="J67" s="33">
        <f t="shared" si="30"/>
        <v>70000</v>
      </c>
      <c r="K67" s="33">
        <f t="shared" si="30"/>
        <v>70000</v>
      </c>
      <c r="L67" s="33">
        <f t="shared" si="30"/>
        <v>70000</v>
      </c>
      <c r="M67" s="33">
        <f t="shared" si="30"/>
        <v>70000</v>
      </c>
      <c r="N67" s="3"/>
      <c r="P67" s="3">
        <f>AVERAGE(D67:M67)</f>
        <v>70000</v>
      </c>
      <c r="Q67" s="29">
        <f>SUM(P67:P68)/$P$69</f>
        <v>0.45211796095035112</v>
      </c>
      <c r="R67" s="29">
        <f>$D$7</f>
        <v>0.13613794666297577</v>
      </c>
      <c r="S67" s="29">
        <f>$D$7</f>
        <v>0.13613794666297577</v>
      </c>
      <c r="T67" s="29">
        <f>Q67*S67</f>
        <v>6.1550410853232262E-2</v>
      </c>
    </row>
    <row r="68" spans="1:20" x14ac:dyDescent="0.25">
      <c r="B68" t="s">
        <v>34</v>
      </c>
      <c r="D68" s="3">
        <f>D42</f>
        <v>8972.5152115157471</v>
      </c>
      <c r="E68" s="3">
        <f>D68+E42</f>
        <v>19594.957732789993</v>
      </c>
      <c r="F68" s="3">
        <f t="shared" ref="F68:M68" si="31">E68+F42</f>
        <v>31964.385958952695</v>
      </c>
      <c r="G68" s="3">
        <f t="shared" si="31"/>
        <v>46182.730335850007</v>
      </c>
      <c r="H68" s="3">
        <f t="shared" si="31"/>
        <v>61357.624835061899</v>
      </c>
      <c r="I68" s="3">
        <f t="shared" si="31"/>
        <v>82256.503079933696</v>
      </c>
      <c r="J68" s="3">
        <f t="shared" si="31"/>
        <v>108723.35798446446</v>
      </c>
      <c r="K68" s="3">
        <f t="shared" si="31"/>
        <v>144688.15483582279</v>
      </c>
      <c r="L68" s="3">
        <f t="shared" si="31"/>
        <v>187142.65303044923</v>
      </c>
      <c r="M68" s="3">
        <f t="shared" si="31"/>
        <v>236737.70166899817</v>
      </c>
      <c r="N68" s="3"/>
      <c r="P68" s="31">
        <f>AVERAGE(D68:M68)</f>
        <v>92762.058467383875</v>
      </c>
      <c r="Q68" s="26"/>
      <c r="T68" s="26"/>
    </row>
    <row r="69" spans="1:20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P69" s="3">
        <f>SUM(P64:P68)</f>
        <v>359999.09874241299</v>
      </c>
      <c r="Q69" s="24">
        <f>SUM(Q64:Q67)</f>
        <v>1</v>
      </c>
      <c r="S69" s="34" t="s">
        <v>131</v>
      </c>
      <c r="T69" s="7">
        <f>T64+T65+T67</f>
        <v>7.5323103410834397E-2</v>
      </c>
    </row>
    <row r="70" spans="1:20" x14ac:dyDescent="0.25">
      <c r="B70" s="1" t="s">
        <v>35</v>
      </c>
      <c r="C70" s="1"/>
      <c r="D70" s="21">
        <f>SUM(D61:D68)</f>
        <v>311640.56317273824</v>
      </c>
      <c r="E70" s="21">
        <f t="shared" ref="E70:M70" si="32">SUM(E61:E68)</f>
        <v>305398.74710088735</v>
      </c>
      <c r="F70" s="21">
        <f t="shared" si="32"/>
        <v>299211.19303039758</v>
      </c>
      <c r="G70" s="21">
        <f t="shared" si="32"/>
        <v>293079.52882130945</v>
      </c>
      <c r="H70" s="21">
        <f t="shared" si="32"/>
        <v>389053.04946900834</v>
      </c>
      <c r="I70" s="21">
        <f t="shared" si="32"/>
        <v>385685.3873829419</v>
      </c>
      <c r="J70" s="21">
        <f t="shared" si="32"/>
        <v>404410.63439565228</v>
      </c>
      <c r="K70" s="21">
        <f t="shared" si="32"/>
        <v>439622.97999895364</v>
      </c>
      <c r="L70" s="21">
        <f t="shared" si="32"/>
        <v>479972.00564626366</v>
      </c>
      <c r="M70" s="21">
        <f t="shared" si="32"/>
        <v>527684.30007298931</v>
      </c>
      <c r="N70" s="21"/>
    </row>
    <row r="71" spans="1:20" x14ac:dyDescent="0.25">
      <c r="B71" t="s">
        <v>124</v>
      </c>
      <c r="D71" s="3">
        <f>D70-SUM(D61:D62)</f>
        <v>297815.22452435869</v>
      </c>
      <c r="E71" s="3">
        <f t="shared" ref="E71:M71" si="33">E70-SUM(E61:E62)</f>
        <v>290566.89749873657</v>
      </c>
      <c r="F71" s="3">
        <f t="shared" si="33"/>
        <v>283322.25404193217</v>
      </c>
      <c r="G71" s="3">
        <f t="shared" si="33"/>
        <v>276080.5645329259</v>
      </c>
      <c r="H71" s="3">
        <f t="shared" si="33"/>
        <v>370553.5963155186</v>
      </c>
      <c r="I71" s="3">
        <f t="shared" si="33"/>
        <v>363533.20564450091</v>
      </c>
      <c r="J71" s="3">
        <f t="shared" si="33"/>
        <v>378552.62498257926</v>
      </c>
      <c r="K71" s="3">
        <f t="shared" si="33"/>
        <v>408242.91687755572</v>
      </c>
      <c r="L71" s="3">
        <f t="shared" si="33"/>
        <v>444213.9840735264</v>
      </c>
      <c r="M71" s="3">
        <f t="shared" si="33"/>
        <v>487109.71893249551</v>
      </c>
      <c r="N71" s="3"/>
      <c r="P71" s="155" t="s">
        <v>156</v>
      </c>
      <c r="Q71" s="156">
        <f>(Q64+Q65)/Q67</f>
        <v>1.2118121516296363</v>
      </c>
    </row>
    <row r="72" spans="1:20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20" x14ac:dyDescent="0.25">
      <c r="B73" t="s">
        <v>36</v>
      </c>
      <c r="D73" s="33">
        <f>D58-D70</f>
        <v>0</v>
      </c>
      <c r="E73" s="3">
        <f t="shared" ref="E73:M73" si="34">E58-E70</f>
        <v>0</v>
      </c>
      <c r="F73" s="3">
        <f t="shared" si="34"/>
        <v>0</v>
      </c>
      <c r="G73" s="3">
        <f t="shared" si="34"/>
        <v>0</v>
      </c>
      <c r="H73" s="3">
        <f t="shared" si="34"/>
        <v>0</v>
      </c>
      <c r="I73" s="3">
        <f t="shared" si="34"/>
        <v>0</v>
      </c>
      <c r="J73" s="3">
        <f t="shared" si="34"/>
        <v>-0.21010591794038191</v>
      </c>
      <c r="K73" s="3">
        <f t="shared" si="34"/>
        <v>-0.49276742531219497</v>
      </c>
      <c r="L73" s="3">
        <f t="shared" si="34"/>
        <v>0.43030841747531667</v>
      </c>
      <c r="M73" s="3">
        <f t="shared" si="34"/>
        <v>-0.34103566058911383</v>
      </c>
      <c r="N73" s="3"/>
    </row>
    <row r="74" spans="1:20" x14ac:dyDescent="0.25">
      <c r="A74" s="26"/>
      <c r="B74" s="26"/>
      <c r="C74" s="26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26"/>
      <c r="P74" s="26"/>
      <c r="Q74" s="26"/>
      <c r="R74" s="26"/>
      <c r="S74" s="26"/>
      <c r="T74" s="26"/>
    </row>
    <row r="75" spans="1:20" x14ac:dyDescent="0.25">
      <c r="A75" s="119" t="s">
        <v>133</v>
      </c>
      <c r="B75" s="11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20" x14ac:dyDescent="0.25">
      <c r="C76" s="19">
        <v>0</v>
      </c>
      <c r="D76" s="19">
        <v>1</v>
      </c>
      <c r="E76" s="19">
        <v>2</v>
      </c>
      <c r="F76" s="19">
        <v>3</v>
      </c>
      <c r="G76" s="19">
        <v>4</v>
      </c>
      <c r="H76" s="19">
        <v>5</v>
      </c>
      <c r="I76" s="19">
        <v>6</v>
      </c>
      <c r="J76" s="19">
        <v>7</v>
      </c>
      <c r="K76" s="19">
        <v>8</v>
      </c>
      <c r="L76" s="19">
        <v>9</v>
      </c>
      <c r="M76" s="19">
        <v>10</v>
      </c>
      <c r="N76" s="3"/>
    </row>
    <row r="77" spans="1:20" x14ac:dyDescent="0.25">
      <c r="A77" s="1" t="s">
        <v>134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20" x14ac:dyDescent="0.25">
      <c r="B78" t="s">
        <v>135</v>
      </c>
      <c r="D78" s="3">
        <f>D21-D23-D33</f>
        <v>29898.431699315064</v>
      </c>
      <c r="E78" s="3">
        <f t="shared" ref="E78:M78" si="35">E21-E23-E33</f>
        <v>31455.814650294516</v>
      </c>
      <c r="F78" s="3">
        <f t="shared" si="35"/>
        <v>33061.727689803345</v>
      </c>
      <c r="G78" s="3">
        <f t="shared" si="35"/>
        <v>34717.662892497458</v>
      </c>
      <c r="H78" s="3">
        <f t="shared" si="35"/>
        <v>40857.149497267194</v>
      </c>
      <c r="I78" s="3">
        <f t="shared" si="35"/>
        <v>47625.939168824327</v>
      </c>
      <c r="J78" s="3">
        <f t="shared" si="35"/>
        <v>55087.269301973793</v>
      </c>
      <c r="K78" s="3">
        <f t="shared" si="35"/>
        <v>63310.707172763534</v>
      </c>
      <c r="L78" s="3">
        <f t="shared" si="35"/>
        <v>72372.783049444057</v>
      </c>
      <c r="M78" s="3">
        <f t="shared" si="35"/>
        <v>82357.686616980762</v>
      </c>
      <c r="N78" s="3"/>
    </row>
    <row r="79" spans="1:20" x14ac:dyDescent="0.25">
      <c r="B79" t="s">
        <v>136</v>
      </c>
      <c r="D79" s="3">
        <f>SUM(D35:D36)</f>
        <v>8050.5494505494507</v>
      </c>
      <c r="E79" s="3">
        <f t="shared" ref="E79:M79" si="36">SUM(E35:E36)</f>
        <v>8050.5494505494507</v>
      </c>
      <c r="F79" s="3">
        <f t="shared" si="36"/>
        <v>8050.5494505494507</v>
      </c>
      <c r="G79" s="3">
        <f t="shared" si="36"/>
        <v>8050.5494505494507</v>
      </c>
      <c r="H79" s="3">
        <f t="shared" si="36"/>
        <v>10614.652014652016</v>
      </c>
      <c r="I79" s="3">
        <f t="shared" si="36"/>
        <v>10614.652014652016</v>
      </c>
      <c r="J79" s="3">
        <f t="shared" si="36"/>
        <v>10614.652014652016</v>
      </c>
      <c r="K79" s="3">
        <f t="shared" si="36"/>
        <v>5471.7948717948721</v>
      </c>
      <c r="L79" s="3">
        <f t="shared" si="36"/>
        <v>5471.7948717948721</v>
      </c>
      <c r="M79" s="3">
        <f t="shared" si="36"/>
        <v>5471.7948717948721</v>
      </c>
      <c r="N79" s="3"/>
    </row>
    <row r="80" spans="1:20" x14ac:dyDescent="0.25">
      <c r="B80" s="32" t="s">
        <v>137</v>
      </c>
      <c r="D80" s="3">
        <f>D78-D79</f>
        <v>21847.882248765614</v>
      </c>
      <c r="E80" s="3">
        <f t="shared" ref="E80:M80" si="37">E78-E79</f>
        <v>23405.265199745067</v>
      </c>
      <c r="F80" s="3">
        <f t="shared" si="37"/>
        <v>25011.178239253895</v>
      </c>
      <c r="G80" s="3">
        <f t="shared" si="37"/>
        <v>26667.113441948008</v>
      </c>
      <c r="H80" s="3">
        <f t="shared" si="37"/>
        <v>30242.497482615177</v>
      </c>
      <c r="I80" s="3">
        <f t="shared" si="37"/>
        <v>37011.287154172314</v>
      </c>
      <c r="J80" s="3">
        <f t="shared" si="37"/>
        <v>44472.617287321773</v>
      </c>
      <c r="K80" s="3">
        <f t="shared" si="37"/>
        <v>57838.912300968659</v>
      </c>
      <c r="L80" s="3">
        <f t="shared" si="37"/>
        <v>66900.988177649182</v>
      </c>
      <c r="M80" s="3">
        <f t="shared" si="37"/>
        <v>76885.891745185887</v>
      </c>
      <c r="N80" s="3"/>
    </row>
    <row r="81" spans="1:16" x14ac:dyDescent="0.25">
      <c r="B81" s="32" t="s">
        <v>148</v>
      </c>
      <c r="D81" s="3">
        <f>IF(D80&lt;=0,0,(D80*$O$41))</f>
        <v>6554.3646746296845</v>
      </c>
      <c r="E81" s="3">
        <f t="shared" ref="E81:M81" si="38">IF(E80&lt;=0,0,(E80*$O$41))</f>
        <v>7021.5795599235198</v>
      </c>
      <c r="F81" s="3">
        <f t="shared" si="38"/>
        <v>7503.3534717761686</v>
      </c>
      <c r="G81" s="3">
        <f t="shared" si="38"/>
        <v>8000.1340325844021</v>
      </c>
      <c r="H81" s="3">
        <f t="shared" si="38"/>
        <v>9072.7492447845525</v>
      </c>
      <c r="I81" s="3">
        <f t="shared" si="38"/>
        <v>11103.386146251694</v>
      </c>
      <c r="J81" s="3">
        <f t="shared" si="38"/>
        <v>13341.785186196532</v>
      </c>
      <c r="K81" s="3">
        <f t="shared" si="38"/>
        <v>17351.673690290598</v>
      </c>
      <c r="L81" s="3">
        <f t="shared" si="38"/>
        <v>20070.296453294755</v>
      </c>
      <c r="M81" s="3">
        <f t="shared" si="38"/>
        <v>23065.767523555765</v>
      </c>
      <c r="N81" s="3"/>
    </row>
    <row r="82" spans="1:16" x14ac:dyDescent="0.25">
      <c r="A82" s="1" t="s">
        <v>138</v>
      </c>
      <c r="D82" s="3">
        <f>D78-D81</f>
        <v>23344.067024685381</v>
      </c>
      <c r="E82" s="3">
        <f t="shared" ref="E82:M82" si="39">E78-E81</f>
        <v>24434.235090370996</v>
      </c>
      <c r="F82" s="3">
        <f t="shared" si="39"/>
        <v>25558.374218027177</v>
      </c>
      <c r="G82" s="3">
        <f t="shared" si="39"/>
        <v>26717.528859913054</v>
      </c>
      <c r="H82" s="3">
        <f t="shared" si="39"/>
        <v>31784.400252482643</v>
      </c>
      <c r="I82" s="3">
        <f t="shared" si="39"/>
        <v>36522.553022572632</v>
      </c>
      <c r="J82" s="3">
        <f t="shared" si="39"/>
        <v>41745.484115777261</v>
      </c>
      <c r="K82" s="3">
        <f t="shared" si="39"/>
        <v>45959.033482472936</v>
      </c>
      <c r="L82" s="3">
        <f t="shared" si="39"/>
        <v>52302.486596149305</v>
      </c>
      <c r="M82" s="3">
        <f t="shared" si="39"/>
        <v>59291.919093424993</v>
      </c>
      <c r="N82" s="3"/>
    </row>
    <row r="83" spans="1:16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6" x14ac:dyDescent="0.25">
      <c r="A84" s="1" t="s">
        <v>139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6" x14ac:dyDescent="0.25">
      <c r="A85" s="1" t="s">
        <v>140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6" x14ac:dyDescent="0.25">
      <c r="A86" s="1" t="s">
        <v>141</v>
      </c>
      <c r="B86" t="s">
        <v>22</v>
      </c>
      <c r="C86" s="3">
        <f>-(D51-C51)</f>
        <v>-36000</v>
      </c>
      <c r="D86" s="3">
        <f t="shared" ref="D86:L86" si="40">-(E51-D51)</f>
        <v>0</v>
      </c>
      <c r="E86" s="3">
        <f t="shared" si="40"/>
        <v>0</v>
      </c>
      <c r="F86" s="3">
        <f t="shared" si="40"/>
        <v>0</v>
      </c>
      <c r="G86" s="3">
        <f t="shared" si="40"/>
        <v>0</v>
      </c>
      <c r="H86" s="3">
        <f t="shared" si="40"/>
        <v>0</v>
      </c>
      <c r="I86" s="3">
        <f t="shared" si="40"/>
        <v>0</v>
      </c>
      <c r="J86" s="3">
        <f t="shared" si="40"/>
        <v>0</v>
      </c>
      <c r="K86" s="3">
        <f t="shared" si="40"/>
        <v>0</v>
      </c>
      <c r="L86" s="3">
        <f t="shared" si="40"/>
        <v>0</v>
      </c>
      <c r="M86" s="3">
        <f>-(N51-M51)</f>
        <v>36000</v>
      </c>
      <c r="N86" s="3"/>
      <c r="O86" t="s">
        <v>149</v>
      </c>
      <c r="P86" s="3">
        <f>M86-M52</f>
        <v>0</v>
      </c>
    </row>
    <row r="87" spans="1:16" x14ac:dyDescent="0.25">
      <c r="B87" s="4" t="s">
        <v>142</v>
      </c>
      <c r="D87" s="3"/>
      <c r="E87" s="3"/>
      <c r="F87" s="3"/>
      <c r="G87" s="3"/>
      <c r="H87" s="3"/>
      <c r="I87" s="3"/>
      <c r="J87" s="3"/>
      <c r="K87" s="3"/>
      <c r="L87" s="3"/>
      <c r="M87" s="3">
        <f>N87*M86</f>
        <v>-18000</v>
      </c>
      <c r="N87" s="28">
        <v>-0.5</v>
      </c>
      <c r="O87" t="s">
        <v>150</v>
      </c>
      <c r="P87" s="3">
        <f>SUM(M86:M87)-P86</f>
        <v>18000</v>
      </c>
    </row>
    <row r="88" spans="1:16" x14ac:dyDescent="0.25">
      <c r="A88" t="s">
        <v>141</v>
      </c>
      <c r="B88" s="4" t="s">
        <v>143</v>
      </c>
      <c r="D88" s="3"/>
      <c r="E88" s="3"/>
      <c r="F88" s="3"/>
      <c r="G88" s="3"/>
      <c r="H88" s="3"/>
      <c r="I88" s="3"/>
      <c r="J88" s="3"/>
      <c r="K88" s="3"/>
      <c r="L88" s="3"/>
      <c r="M88" s="3">
        <f>-(P87*$O$41)</f>
        <v>-5400</v>
      </c>
      <c r="N88" s="3"/>
    </row>
    <row r="89" spans="1:16" x14ac:dyDescent="0.25">
      <c r="A89" t="s">
        <v>141</v>
      </c>
      <c r="B89" s="4" t="s">
        <v>144</v>
      </c>
      <c r="C89" s="3">
        <f>-(D53-C53)</f>
        <v>-113400</v>
      </c>
      <c r="D89" s="3">
        <f t="shared" ref="D89:L89" si="41">-(E53-D53)</f>
        <v>0</v>
      </c>
      <c r="E89" s="3">
        <f t="shared" si="41"/>
        <v>0</v>
      </c>
      <c r="F89" s="3">
        <f t="shared" si="41"/>
        <v>0</v>
      </c>
      <c r="G89" s="3">
        <f t="shared" si="41"/>
        <v>-100000</v>
      </c>
      <c r="H89" s="3">
        <f t="shared" si="41"/>
        <v>0</v>
      </c>
      <c r="I89" s="3">
        <f t="shared" si="41"/>
        <v>0</v>
      </c>
      <c r="J89" s="3">
        <f t="shared" si="41"/>
        <v>0</v>
      </c>
      <c r="K89" s="3">
        <f t="shared" si="41"/>
        <v>0</v>
      </c>
      <c r="L89" s="3">
        <f t="shared" si="41"/>
        <v>0</v>
      </c>
      <c r="M89" s="3">
        <f>-(N53-M53)</f>
        <v>213400</v>
      </c>
      <c r="N89" s="3"/>
      <c r="O89" t="s">
        <v>149</v>
      </c>
      <c r="P89" s="3">
        <f>M89-M54</f>
        <v>168938.46153846153</v>
      </c>
    </row>
    <row r="90" spans="1:16" x14ac:dyDescent="0.25">
      <c r="B90" s="4" t="s">
        <v>142</v>
      </c>
      <c r="D90" s="3"/>
      <c r="E90" s="3"/>
      <c r="F90" s="3"/>
      <c r="G90" s="3"/>
      <c r="H90" s="3"/>
      <c r="I90" s="3"/>
      <c r="J90" s="3"/>
      <c r="K90" s="3"/>
      <c r="L90" s="3"/>
      <c r="M90" s="3">
        <f>N90*M89</f>
        <v>21340</v>
      </c>
      <c r="N90" s="28">
        <v>0.1</v>
      </c>
      <c r="O90" t="s">
        <v>150</v>
      </c>
      <c r="P90" s="3">
        <f>SUM(M89:M90)-P89</f>
        <v>65801.538461538468</v>
      </c>
    </row>
    <row r="91" spans="1:16" x14ac:dyDescent="0.25">
      <c r="A91" t="s">
        <v>141</v>
      </c>
      <c r="B91" s="4" t="s">
        <v>143</v>
      </c>
      <c r="D91" s="3"/>
      <c r="E91" s="3"/>
      <c r="F91" s="3"/>
      <c r="G91" s="3"/>
      <c r="H91" s="3"/>
      <c r="I91" s="3"/>
      <c r="J91" s="3"/>
      <c r="K91" s="3"/>
      <c r="L91" s="3"/>
      <c r="M91" s="3">
        <f>-(P90*$O$41)</f>
        <v>-19740.461538461539</v>
      </c>
      <c r="N91" s="3"/>
    </row>
    <row r="92" spans="1:16" x14ac:dyDescent="0.25">
      <c r="A92" t="s">
        <v>141</v>
      </c>
      <c r="B92" s="4" t="s">
        <v>145</v>
      </c>
      <c r="C92" s="3">
        <f>-(D55-C55)</f>
        <v>-75000</v>
      </c>
      <c r="D92" s="3">
        <f t="shared" ref="D92:L92" si="42">-(E55-D55)</f>
        <v>0</v>
      </c>
      <c r="E92" s="3">
        <f t="shared" si="42"/>
        <v>0</v>
      </c>
      <c r="F92" s="3">
        <f t="shared" si="42"/>
        <v>0</v>
      </c>
      <c r="G92" s="3">
        <f t="shared" si="42"/>
        <v>0</v>
      </c>
      <c r="H92" s="3">
        <f t="shared" si="42"/>
        <v>0</v>
      </c>
      <c r="I92" s="3">
        <f t="shared" si="42"/>
        <v>0</v>
      </c>
      <c r="J92" s="3">
        <f t="shared" si="42"/>
        <v>0</v>
      </c>
      <c r="K92" s="3">
        <f t="shared" si="42"/>
        <v>0</v>
      </c>
      <c r="L92" s="3">
        <f t="shared" si="42"/>
        <v>0</v>
      </c>
      <c r="M92" s="3">
        <f>-(N55-M55)</f>
        <v>75000</v>
      </c>
      <c r="N92" s="3"/>
      <c r="O92" t="s">
        <v>149</v>
      </c>
      <c r="P92" s="3">
        <f>M92</f>
        <v>75000</v>
      </c>
    </row>
    <row r="93" spans="1:16" x14ac:dyDescent="0.25">
      <c r="B93" s="4" t="s">
        <v>142</v>
      </c>
      <c r="D93" s="3"/>
      <c r="E93" s="3"/>
      <c r="F93" s="3"/>
      <c r="G93" s="3"/>
      <c r="H93" s="3"/>
      <c r="I93" s="3"/>
      <c r="J93" s="3"/>
      <c r="K93" s="3"/>
      <c r="L93" s="3"/>
      <c r="M93" s="3">
        <f>N93*M92</f>
        <v>15000</v>
      </c>
      <c r="N93" s="28">
        <v>0.2</v>
      </c>
      <c r="O93" t="s">
        <v>150</v>
      </c>
      <c r="P93" s="3">
        <f>SUM(M92:M93)-P92</f>
        <v>15000</v>
      </c>
    </row>
    <row r="94" spans="1:16" x14ac:dyDescent="0.25">
      <c r="A94" s="1" t="s">
        <v>141</v>
      </c>
      <c r="B94" s="4" t="s">
        <v>143</v>
      </c>
      <c r="D94" s="3"/>
      <c r="E94" s="3"/>
      <c r="F94" s="3"/>
      <c r="G94" s="3"/>
      <c r="H94" s="3"/>
      <c r="I94" s="3"/>
      <c r="J94" s="3"/>
      <c r="K94" s="3"/>
      <c r="L94" s="3"/>
      <c r="M94" s="3">
        <f>-(P93*$O$41)</f>
        <v>-4500</v>
      </c>
      <c r="N94" s="3"/>
    </row>
    <row r="95" spans="1:16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6" x14ac:dyDescent="0.25">
      <c r="A96" s="1" t="s">
        <v>146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6" x14ac:dyDescent="0.25">
      <c r="A97" t="s">
        <v>141</v>
      </c>
      <c r="B97" s="20" t="s">
        <v>19</v>
      </c>
      <c r="C97" s="3">
        <f>-(D46-C46)</f>
        <v>-10007.392500000002</v>
      </c>
      <c r="D97" s="3">
        <f t="shared" ref="D97:M100" si="43">-(E46-D46)</f>
        <v>-300.22177499999816</v>
      </c>
      <c r="E97" s="3">
        <f t="shared" si="43"/>
        <v>-309.22842825000225</v>
      </c>
      <c r="F97" s="3">
        <f t="shared" si="43"/>
        <v>-318.50528109749939</v>
      </c>
      <c r="G97" s="3">
        <f t="shared" si="43"/>
        <v>-1093.5347984347518</v>
      </c>
      <c r="H97" s="3">
        <f t="shared" si="43"/>
        <v>-1202.8882782782239</v>
      </c>
      <c r="I97" s="3">
        <f t="shared" si="43"/>
        <v>-1323.1771061060499</v>
      </c>
      <c r="J97" s="3">
        <f t="shared" si="43"/>
        <v>-1455.4948167166567</v>
      </c>
      <c r="K97" s="3">
        <f t="shared" si="43"/>
        <v>-1601.0442983883167</v>
      </c>
      <c r="L97" s="3">
        <f t="shared" si="43"/>
        <v>-1761.1487282271519</v>
      </c>
      <c r="M97" s="3">
        <f t="shared" si="43"/>
        <v>19372.636010498652</v>
      </c>
      <c r="N97" s="3"/>
    </row>
    <row r="98" spans="1:16" x14ac:dyDescent="0.25">
      <c r="A98" t="s">
        <v>141</v>
      </c>
      <c r="B98" t="s">
        <v>18</v>
      </c>
      <c r="C98" s="3">
        <f>-(D47-C47)</f>
        <v>0</v>
      </c>
      <c r="D98" s="3">
        <f t="shared" si="43"/>
        <v>0</v>
      </c>
      <c r="E98" s="3">
        <f t="shared" si="43"/>
        <v>0</v>
      </c>
      <c r="F98" s="3">
        <f t="shared" si="43"/>
        <v>0</v>
      </c>
      <c r="G98" s="3">
        <f t="shared" si="43"/>
        <v>0</v>
      </c>
      <c r="H98" s="3">
        <f t="shared" si="43"/>
        <v>0</v>
      </c>
      <c r="I98" s="3">
        <f t="shared" si="43"/>
        <v>-21368</v>
      </c>
      <c r="J98" s="3">
        <f t="shared" si="43"/>
        <v>-31915</v>
      </c>
      <c r="K98" s="3">
        <f t="shared" si="43"/>
        <v>-36176</v>
      </c>
      <c r="L98" s="3">
        <f t="shared" si="43"/>
        <v>-42573</v>
      </c>
      <c r="M98" s="3">
        <f t="shared" si="43"/>
        <v>132032</v>
      </c>
      <c r="N98" s="3"/>
    </row>
    <row r="99" spans="1:16" x14ac:dyDescent="0.25">
      <c r="A99" t="s">
        <v>141</v>
      </c>
      <c r="B99" t="s">
        <v>20</v>
      </c>
      <c r="C99" s="3">
        <f>-(D48-C48)</f>
        <v>-8225.254109589041</v>
      </c>
      <c r="D99" s="3">
        <f t="shared" si="43"/>
        <v>-246.75762328767087</v>
      </c>
      <c r="E99" s="3">
        <f t="shared" si="43"/>
        <v>-254.16035198630379</v>
      </c>
      <c r="F99" s="3">
        <f t="shared" si="43"/>
        <v>-261.78516254588976</v>
      </c>
      <c r="G99" s="3">
        <f t="shared" si="43"/>
        <v>-898.79572474089036</v>
      </c>
      <c r="H99" s="3">
        <f t="shared" si="43"/>
        <v>-988.67529721497885</v>
      </c>
      <c r="I99" s="3">
        <f t="shared" si="43"/>
        <v>-1087.542826936482</v>
      </c>
      <c r="J99" s="3">
        <f t="shared" si="43"/>
        <v>-1196.2971096301262</v>
      </c>
      <c r="K99" s="3">
        <f t="shared" si="43"/>
        <v>-1315.9268205931385</v>
      </c>
      <c r="L99" s="3">
        <f t="shared" si="43"/>
        <v>-1447.5195026524525</v>
      </c>
      <c r="M99" s="3">
        <f t="shared" si="43"/>
        <v>15922.714529176974</v>
      </c>
      <c r="N99" s="3"/>
    </row>
    <row r="100" spans="1:16" x14ac:dyDescent="0.25">
      <c r="A100" t="s">
        <v>141</v>
      </c>
      <c r="B100" t="s">
        <v>21</v>
      </c>
      <c r="C100" s="3">
        <f>-(D49-C49)</f>
        <v>-42058.466013698628</v>
      </c>
      <c r="D100" s="3">
        <f t="shared" si="43"/>
        <v>-1261.753980410962</v>
      </c>
      <c r="E100" s="3">
        <f t="shared" si="43"/>
        <v>-1299.6065998232953</v>
      </c>
      <c r="F100" s="3">
        <f t="shared" si="43"/>
        <v>-1338.5947978179829</v>
      </c>
      <c r="G100" s="3">
        <f t="shared" si="43"/>
        <v>-4595.8421391750962</v>
      </c>
      <c r="H100" s="3">
        <f t="shared" si="43"/>
        <v>-5055.4263530925818</v>
      </c>
      <c r="I100" s="3">
        <f t="shared" si="43"/>
        <v>-5560.9689884018735</v>
      </c>
      <c r="J100" s="3">
        <f t="shared" si="43"/>
        <v>-6117.0658872420609</v>
      </c>
      <c r="K100" s="3">
        <f t="shared" si="43"/>
        <v>-6728.7724759662378</v>
      </c>
      <c r="L100" s="3">
        <f t="shared" si="43"/>
        <v>-7401.6497235628776</v>
      </c>
      <c r="M100" s="3">
        <f t="shared" si="43"/>
        <v>81418.146959191596</v>
      </c>
      <c r="N100" s="3"/>
    </row>
    <row r="101" spans="1:16" x14ac:dyDescent="0.25">
      <c r="A101" t="s">
        <v>141</v>
      </c>
      <c r="B101" t="s">
        <v>120</v>
      </c>
      <c r="C101" s="3">
        <f>-(D57-C57)</f>
        <v>-35000</v>
      </c>
      <c r="D101" s="3">
        <f t="shared" ref="D101:M101" si="44">-(E57-D57)</f>
        <v>0</v>
      </c>
      <c r="E101" s="3">
        <f t="shared" si="44"/>
        <v>0</v>
      </c>
      <c r="F101" s="3">
        <f t="shared" si="44"/>
        <v>0</v>
      </c>
      <c r="G101" s="3">
        <f t="shared" si="44"/>
        <v>0</v>
      </c>
      <c r="H101" s="3">
        <f t="shared" si="44"/>
        <v>0</v>
      </c>
      <c r="I101" s="3">
        <f t="shared" si="44"/>
        <v>0</v>
      </c>
      <c r="J101" s="3">
        <f t="shared" si="44"/>
        <v>0</v>
      </c>
      <c r="K101" s="3">
        <f t="shared" si="44"/>
        <v>0</v>
      </c>
      <c r="L101" s="3">
        <f t="shared" si="44"/>
        <v>0</v>
      </c>
      <c r="M101" s="3">
        <f t="shared" si="44"/>
        <v>35000</v>
      </c>
      <c r="N101" s="3"/>
    </row>
    <row r="102" spans="1:16" x14ac:dyDescent="0.25">
      <c r="A102" t="s">
        <v>151</v>
      </c>
      <c r="B102" t="s">
        <v>147</v>
      </c>
      <c r="C102" s="3">
        <f>D81-C81</f>
        <v>6554.3646746296845</v>
      </c>
      <c r="D102" s="3">
        <f t="shared" ref="D102:M102" si="45">E81-D81</f>
        <v>467.21488529383532</v>
      </c>
      <c r="E102" s="3">
        <f t="shared" si="45"/>
        <v>481.77391185264878</v>
      </c>
      <c r="F102" s="3">
        <f t="shared" si="45"/>
        <v>496.78056080823353</v>
      </c>
      <c r="G102" s="3">
        <f t="shared" si="45"/>
        <v>1072.6152122001504</v>
      </c>
      <c r="H102" s="3">
        <f t="shared" si="45"/>
        <v>2030.6369014671418</v>
      </c>
      <c r="I102" s="3">
        <f t="shared" si="45"/>
        <v>2238.3990399448376</v>
      </c>
      <c r="J102" s="3">
        <f t="shared" si="45"/>
        <v>4009.8885040940659</v>
      </c>
      <c r="K102" s="3">
        <f t="shared" si="45"/>
        <v>2718.6227630041576</v>
      </c>
      <c r="L102" s="3">
        <f t="shared" si="45"/>
        <v>2995.47107026101</v>
      </c>
      <c r="M102" s="3">
        <f t="shared" si="45"/>
        <v>-23065.767523555765</v>
      </c>
      <c r="N102" s="3"/>
    </row>
    <row r="103" spans="1:16" x14ac:dyDescent="0.25">
      <c r="A103" t="s">
        <v>151</v>
      </c>
      <c r="B103" s="20" t="s">
        <v>28</v>
      </c>
      <c r="C103" s="3">
        <f>D62-C62</f>
        <v>9979.9749863013694</v>
      </c>
      <c r="D103" s="3">
        <f t="shared" ref="D103:M103" si="46">E62-D62</f>
        <v>299.39924958904157</v>
      </c>
      <c r="E103" s="3">
        <f t="shared" si="46"/>
        <v>308.38122707671391</v>
      </c>
      <c r="F103" s="3">
        <f t="shared" si="46"/>
        <v>317.6326638890132</v>
      </c>
      <c r="G103" s="3">
        <f t="shared" si="46"/>
        <v>1090.538812685616</v>
      </c>
      <c r="H103" s="3">
        <f t="shared" si="46"/>
        <v>1199.5926939541714</v>
      </c>
      <c r="I103" s="3">
        <f t="shared" si="46"/>
        <v>1319.5519633495969</v>
      </c>
      <c r="J103" s="3">
        <f t="shared" si="46"/>
        <v>1451.5071596845555</v>
      </c>
      <c r="K103" s="3">
        <f t="shared" si="46"/>
        <v>1596.6578756530071</v>
      </c>
      <c r="L103" s="3">
        <f t="shared" si="46"/>
        <v>1756.3236632183107</v>
      </c>
      <c r="M103" s="3">
        <f t="shared" si="46"/>
        <v>-19319.560295401396</v>
      </c>
      <c r="N103" s="3"/>
    </row>
    <row r="104" spans="1:16" x14ac:dyDescent="0.25">
      <c r="A104" s="1" t="s">
        <v>152</v>
      </c>
      <c r="C104" s="21">
        <f>SUM(C82:C103)</f>
        <v>-303156.77296235657</v>
      </c>
      <c r="D104" s="21">
        <f t="shared" ref="D104:M104" si="47">SUM(D82:D103)</f>
        <v>22301.947780869625</v>
      </c>
      <c r="E104" s="21">
        <f t="shared" si="47"/>
        <v>23361.394849240751</v>
      </c>
      <c r="F104" s="21">
        <f t="shared" si="47"/>
        <v>24453.902201263052</v>
      </c>
      <c r="G104" s="21">
        <f t="shared" si="47"/>
        <v>-77707.489777551906</v>
      </c>
      <c r="H104" s="21">
        <f t="shared" si="47"/>
        <v>27767.639919318175</v>
      </c>
      <c r="I104" s="21">
        <f t="shared" si="47"/>
        <v>10740.815104422662</v>
      </c>
      <c r="J104" s="21">
        <f t="shared" si="47"/>
        <v>6523.0219659670365</v>
      </c>
      <c r="K104" s="21">
        <f t="shared" si="47"/>
        <v>4452.570526182406</v>
      </c>
      <c r="L104" s="21">
        <f t="shared" si="47"/>
        <v>3870.9633751861402</v>
      </c>
      <c r="M104" s="21">
        <f t="shared" si="47"/>
        <v>613751.62723487336</v>
      </c>
      <c r="N104" s="3"/>
    </row>
    <row r="105" spans="1:16" x14ac:dyDescent="0.25">
      <c r="A105" t="s">
        <v>153</v>
      </c>
      <c r="C105" s="36">
        <f t="shared" ref="C105:M105" si="48">-PV($C$108,C76,,C104)</f>
        <v>-303156.77296235657</v>
      </c>
      <c r="D105" s="36">
        <f t="shared" si="48"/>
        <v>20739.764364896211</v>
      </c>
      <c r="E105" s="36">
        <f t="shared" si="48"/>
        <v>20203.230386081726</v>
      </c>
      <c r="F105" s="36">
        <f t="shared" si="48"/>
        <v>19666.688575045595</v>
      </c>
      <c r="G105" s="36">
        <f t="shared" si="48"/>
        <v>-58117.506509587074</v>
      </c>
      <c r="H105" s="36">
        <f t="shared" si="48"/>
        <v>19312.748508779139</v>
      </c>
      <c r="I105" s="36">
        <f t="shared" si="48"/>
        <v>6947.0972750865712</v>
      </c>
      <c r="J105" s="36">
        <f t="shared" si="48"/>
        <v>3923.5212009214415</v>
      </c>
      <c r="K105" s="36">
        <f t="shared" si="48"/>
        <v>2490.571379615662</v>
      </c>
      <c r="L105" s="36">
        <f t="shared" si="48"/>
        <v>2013.5771372877716</v>
      </c>
      <c r="M105" s="36">
        <f t="shared" si="48"/>
        <v>296895.00360380503</v>
      </c>
      <c r="N105" s="3"/>
      <c r="O105" s="3"/>
    </row>
    <row r="106" spans="1:16" ht="15.75" thickBot="1" x14ac:dyDescent="0.3">
      <c r="A106" t="s">
        <v>154</v>
      </c>
      <c r="C106" s="3">
        <f>SUM(C105:M105)</f>
        <v>30917.922959575488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6" x14ac:dyDescent="0.25">
      <c r="A107" s="111" t="s">
        <v>155</v>
      </c>
      <c r="B107" s="112"/>
      <c r="C107" s="113">
        <f>IRR(C104:M104)</f>
        <v>8.6829858445699903E-2</v>
      </c>
    </row>
    <row r="108" spans="1:16" ht="15.75" thickBot="1" x14ac:dyDescent="0.3">
      <c r="A108" s="114" t="s">
        <v>131</v>
      </c>
      <c r="B108" s="115"/>
      <c r="C108" s="116">
        <f>$T$69</f>
        <v>7.5323103410834397E-2</v>
      </c>
      <c r="D108" s="7">
        <f>C107-C108</f>
        <v>1.1506755034865507E-2</v>
      </c>
      <c r="E108" t="s">
        <v>223</v>
      </c>
    </row>
    <row r="109" spans="1:16" x14ac:dyDescent="0.25">
      <c r="A109" s="1"/>
      <c r="B109" s="1"/>
      <c r="C109" s="97"/>
      <c r="D109" s="7"/>
    </row>
    <row r="110" spans="1:16" x14ac:dyDescent="0.25">
      <c r="A110" s="26"/>
      <c r="B110" s="26"/>
      <c r="C110" s="95"/>
      <c r="D110" s="9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5">
      <c r="A111" s="125" t="s">
        <v>177</v>
      </c>
      <c r="B111" s="126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N111" s="45"/>
      <c r="O111" s="45"/>
    </row>
    <row r="112" spans="1:16" x14ac:dyDescent="0.25">
      <c r="A112" s="43"/>
      <c r="B112" s="44"/>
      <c r="C112" s="44"/>
      <c r="D112" s="44"/>
      <c r="E112" s="44"/>
      <c r="F112" s="44"/>
      <c r="G112" s="44"/>
      <c r="J112" s="44"/>
      <c r="K112" s="44"/>
      <c r="L112" s="44"/>
      <c r="M112" t="s">
        <v>178</v>
      </c>
      <c r="N112" s="45"/>
      <c r="O112" s="45"/>
    </row>
    <row r="113" spans="1:15" x14ac:dyDescent="0.25">
      <c r="A113" s="43" t="s">
        <v>179</v>
      </c>
      <c r="B113" s="44"/>
      <c r="C113" s="45"/>
      <c r="D113" s="44"/>
      <c r="E113" s="44"/>
      <c r="F113" s="44"/>
      <c r="G113" s="44"/>
      <c r="J113" s="44" t="s">
        <v>180</v>
      </c>
      <c r="K113" s="44" t="s">
        <v>181</v>
      </c>
      <c r="L113" s="44" t="s">
        <v>182</v>
      </c>
      <c r="M113" s="44" t="s">
        <v>183</v>
      </c>
      <c r="N113" s="44" t="s">
        <v>184</v>
      </c>
      <c r="O113" s="46"/>
    </row>
    <row r="114" spans="1:15" x14ac:dyDescent="0.25">
      <c r="A114" s="44"/>
      <c r="B114" s="44" t="s">
        <v>185</v>
      </c>
      <c r="C114" s="45"/>
      <c r="D114" s="47">
        <f>(D21-D23-D33)/(D37+D38)</f>
        <v>3.3110100248159204</v>
      </c>
      <c r="E114" s="47">
        <f t="shared" ref="E114:H114" si="49">(E21-E23-E33)/(E37+E38)</f>
        <v>3.8219304067067865</v>
      </c>
      <c r="F114" s="47">
        <f t="shared" si="49"/>
        <v>4.5039749651044865</v>
      </c>
      <c r="G114" s="47">
        <f t="shared" si="49"/>
        <v>5.4628810516908466</v>
      </c>
      <c r="H114" s="47">
        <f t="shared" si="49"/>
        <v>4.7707593704657683</v>
      </c>
      <c r="J114" s="48">
        <f>AVERAGE(D114:H114)</f>
        <v>4.3741111637567611</v>
      </c>
      <c r="K114" s="49" t="s">
        <v>188</v>
      </c>
      <c r="L114" s="50">
        <f>$D$5</f>
        <v>1.5299999999999999E-2</v>
      </c>
      <c r="M114" s="51">
        <f>I135</f>
        <v>0.02</v>
      </c>
      <c r="N114" s="50">
        <f>L114+M114</f>
        <v>3.5299999999999998E-2</v>
      </c>
      <c r="O114" s="46"/>
    </row>
    <row r="115" spans="1:15" x14ac:dyDescent="0.25">
      <c r="A115" s="44"/>
      <c r="B115" s="44" t="s">
        <v>187</v>
      </c>
      <c r="C115" s="44"/>
      <c r="D115" s="52">
        <f>SUM(D77:D78)/SUM(D77:D81)</f>
        <v>0.45060856547076361</v>
      </c>
      <c r="E115" s="52">
        <f t="shared" ref="E115:H115" si="50">SUM(E77:E78)/SUM(E77:E81)</f>
        <v>0.44979795955074348</v>
      </c>
      <c r="F115" s="52">
        <f t="shared" si="50"/>
        <v>0.44904469181244955</v>
      </c>
      <c r="G115" s="52">
        <f t="shared" si="50"/>
        <v>0.44834321348752276</v>
      </c>
      <c r="H115" s="52">
        <f t="shared" si="50"/>
        <v>0.45003279971792692</v>
      </c>
      <c r="J115" s="53">
        <f>AVERAGE(D115:H115)</f>
        <v>0.44956544600788123</v>
      </c>
      <c r="K115" s="54" t="s">
        <v>195</v>
      </c>
      <c r="L115" s="55">
        <f>$D$5</f>
        <v>1.5299999999999999E-2</v>
      </c>
      <c r="M115" s="56">
        <f>G135</f>
        <v>1.4999999999999999E-2</v>
      </c>
      <c r="N115" s="55">
        <f>L115+M115</f>
        <v>3.0300000000000001E-2</v>
      </c>
      <c r="O115" s="46"/>
    </row>
    <row r="116" spans="1:15" x14ac:dyDescent="0.25">
      <c r="A116" s="44"/>
      <c r="B116" s="44"/>
      <c r="C116" s="45"/>
      <c r="D116" s="57"/>
      <c r="E116" s="57"/>
      <c r="F116" s="57"/>
      <c r="G116" s="57"/>
      <c r="J116" s="57"/>
      <c r="K116" s="44"/>
      <c r="L116" s="50"/>
      <c r="M116" s="50"/>
      <c r="N116" s="50"/>
      <c r="O116" s="46"/>
    </row>
    <row r="117" spans="1:15" x14ac:dyDescent="0.25">
      <c r="C117" s="45"/>
      <c r="J117" s="46"/>
      <c r="L117" s="58"/>
      <c r="M117" s="59" t="s">
        <v>180</v>
      </c>
      <c r="N117" s="60">
        <f>AVERAGE(N114:N115)</f>
        <v>3.2799999999999996E-2</v>
      </c>
      <c r="O117" s="41"/>
    </row>
    <row r="118" spans="1:15" x14ac:dyDescent="0.25">
      <c r="A118" s="43"/>
      <c r="B118" s="44"/>
      <c r="C118" s="44"/>
      <c r="D118" s="44"/>
      <c r="E118" s="44"/>
      <c r="F118" s="44"/>
      <c r="G118" s="44"/>
      <c r="J118" s="44"/>
      <c r="K118" s="44"/>
      <c r="L118" s="44"/>
      <c r="N118" s="45"/>
      <c r="O118" s="46"/>
    </row>
    <row r="119" spans="1:15" x14ac:dyDescent="0.25">
      <c r="A119" s="43"/>
      <c r="B119" s="44"/>
      <c r="C119" s="44"/>
      <c r="D119" s="44"/>
      <c r="E119" s="44"/>
      <c r="F119" s="44"/>
      <c r="G119" s="44"/>
      <c r="J119" s="44"/>
      <c r="K119" s="44"/>
      <c r="L119" s="44"/>
      <c r="N119" s="45"/>
      <c r="O119" s="46"/>
    </row>
    <row r="120" spans="1:15" x14ac:dyDescent="0.25">
      <c r="A120" s="43"/>
      <c r="B120" s="44"/>
      <c r="C120" s="44"/>
      <c r="D120" s="44"/>
      <c r="E120" s="44"/>
      <c r="F120" s="44"/>
      <c r="G120" s="44"/>
      <c r="J120" s="44"/>
      <c r="K120" s="44"/>
      <c r="L120" s="44"/>
      <c r="M120" t="s">
        <v>189</v>
      </c>
      <c r="N120" s="45"/>
      <c r="O120" s="46"/>
    </row>
    <row r="121" spans="1:15" x14ac:dyDescent="0.25">
      <c r="A121" s="43" t="s">
        <v>190</v>
      </c>
      <c r="B121" s="44"/>
      <c r="C121" s="45"/>
      <c r="D121" s="44"/>
      <c r="E121" s="44"/>
      <c r="F121" s="44"/>
      <c r="G121" s="44"/>
      <c r="J121" s="44" t="s">
        <v>180</v>
      </c>
      <c r="K121" s="44" t="s">
        <v>181</v>
      </c>
      <c r="L121" s="44" t="s">
        <v>182</v>
      </c>
      <c r="M121" s="44" t="s">
        <v>215</v>
      </c>
      <c r="N121" s="44" t="s">
        <v>184</v>
      </c>
      <c r="O121" s="46"/>
    </row>
    <row r="122" spans="1:15" x14ac:dyDescent="0.25">
      <c r="A122" s="44"/>
      <c r="B122" s="44" t="s">
        <v>185</v>
      </c>
      <c r="C122" s="45"/>
      <c r="D122" s="47">
        <f>D114</f>
        <v>3.3110100248159204</v>
      </c>
      <c r="E122" s="47">
        <f t="shared" ref="E122:H122" si="51">E114</f>
        <v>3.8219304067067865</v>
      </c>
      <c r="F122" s="47">
        <f t="shared" si="51"/>
        <v>4.5039749651044865</v>
      </c>
      <c r="G122" s="47">
        <f t="shared" si="51"/>
        <v>5.4628810516908466</v>
      </c>
      <c r="H122" s="47">
        <f t="shared" si="51"/>
        <v>4.7707593704657683</v>
      </c>
      <c r="J122" s="48">
        <f>AVERAGE(D122:H122)</f>
        <v>4.3741111637567611</v>
      </c>
      <c r="K122" s="49" t="s">
        <v>188</v>
      </c>
      <c r="L122" s="50">
        <f>$D$5</f>
        <v>1.5299999999999999E-2</v>
      </c>
      <c r="M122" s="51">
        <f>I136</f>
        <v>4.2500000000000003E-2</v>
      </c>
      <c r="N122" s="50">
        <f>L122+M122</f>
        <v>5.7800000000000004E-2</v>
      </c>
      <c r="O122" s="46"/>
    </row>
    <row r="123" spans="1:15" x14ac:dyDescent="0.25">
      <c r="A123" s="44"/>
      <c r="B123" s="44" t="s">
        <v>187</v>
      </c>
      <c r="C123" s="44"/>
      <c r="D123" s="52">
        <f>SUM(D77:D78)/SUM(D77:D81)</f>
        <v>0.45060856547076361</v>
      </c>
      <c r="E123" s="52">
        <f t="shared" ref="E123:H123" si="52">SUM(E77:E78)/SUM(E77:E81)</f>
        <v>0.44979795955074348</v>
      </c>
      <c r="F123" s="52">
        <f t="shared" si="52"/>
        <v>0.44904469181244955</v>
      </c>
      <c r="G123" s="52">
        <f t="shared" si="52"/>
        <v>0.44834321348752276</v>
      </c>
      <c r="H123" s="52">
        <f t="shared" si="52"/>
        <v>0.45003279971792692</v>
      </c>
      <c r="J123" s="53">
        <f>AVERAGE(D123:H123)</f>
        <v>0.44956544600788123</v>
      </c>
      <c r="K123" s="54" t="s">
        <v>195</v>
      </c>
      <c r="L123" s="55">
        <f>$D$5</f>
        <v>1.5299999999999999E-2</v>
      </c>
      <c r="M123" s="56">
        <f>G136</f>
        <v>3.7499999999999999E-2</v>
      </c>
      <c r="N123" s="55">
        <f>L123+M123</f>
        <v>5.28E-2</v>
      </c>
      <c r="O123" s="46"/>
    </row>
    <row r="124" spans="1:15" x14ac:dyDescent="0.25">
      <c r="A124" s="44"/>
      <c r="B124" s="44"/>
      <c r="C124" s="45"/>
      <c r="D124" s="57"/>
      <c r="E124" s="57"/>
      <c r="F124" s="57"/>
      <c r="G124" s="57"/>
      <c r="J124" s="57"/>
      <c r="K124" s="44"/>
      <c r="L124" s="50"/>
      <c r="M124" s="50"/>
      <c r="N124" s="50"/>
      <c r="O124" s="46"/>
    </row>
    <row r="125" spans="1:15" x14ac:dyDescent="0.25">
      <c r="C125" s="45"/>
      <c r="J125" s="46"/>
      <c r="L125" s="58"/>
      <c r="M125" s="59" t="s">
        <v>180</v>
      </c>
      <c r="N125" s="60">
        <f>AVERAGE(N122:N123)</f>
        <v>5.5300000000000002E-2</v>
      </c>
      <c r="O125" s="99"/>
    </row>
    <row r="126" spans="1:15" x14ac:dyDescent="0.25">
      <c r="A126" s="43" t="s">
        <v>191</v>
      </c>
      <c r="C126" s="45"/>
      <c r="D126" s="45"/>
      <c r="E126" s="45"/>
      <c r="J126" s="46"/>
      <c r="L126" s="58"/>
      <c r="M126" s="59"/>
      <c r="N126" s="61"/>
      <c r="O126" s="61"/>
    </row>
    <row r="127" spans="1:15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K127" s="61"/>
      <c r="L127" s="46"/>
      <c r="N127" s="45"/>
      <c r="O127" s="45"/>
    </row>
    <row r="128" spans="1:15" x14ac:dyDescent="0.25">
      <c r="A128" s="46"/>
      <c r="B128" s="62" t="s">
        <v>192</v>
      </c>
      <c r="C128" s="63"/>
      <c r="D128" s="64"/>
      <c r="E128" s="65"/>
      <c r="F128" s="65"/>
      <c r="G128" s="65"/>
      <c r="H128" s="65"/>
      <c r="I128" s="65"/>
      <c r="J128" s="66"/>
      <c r="K128" s="46"/>
      <c r="L128" s="46"/>
      <c r="N128" s="45"/>
      <c r="O128" s="45"/>
    </row>
    <row r="129" spans="1:15" x14ac:dyDescent="0.25">
      <c r="A129" s="46"/>
      <c r="B129" s="67"/>
      <c r="C129" s="45"/>
      <c r="D129" s="45"/>
      <c r="E129" s="68" t="s">
        <v>193</v>
      </c>
      <c r="F129" s="69" t="s">
        <v>194</v>
      </c>
      <c r="G129" s="69" t="s">
        <v>195</v>
      </c>
      <c r="H129" s="68" t="s">
        <v>196</v>
      </c>
      <c r="I129" s="68" t="s">
        <v>188</v>
      </c>
      <c r="J129" s="70" t="s">
        <v>186</v>
      </c>
      <c r="K129" s="46"/>
      <c r="L129" s="46"/>
      <c r="N129" s="45"/>
      <c r="O129" s="45"/>
    </row>
    <row r="130" spans="1:15" x14ac:dyDescent="0.25">
      <c r="A130" s="46"/>
      <c r="B130" s="67" t="s">
        <v>197</v>
      </c>
      <c r="C130" s="45"/>
      <c r="D130" s="45"/>
      <c r="E130" s="71">
        <v>20</v>
      </c>
      <c r="F130" s="71">
        <v>15</v>
      </c>
      <c r="G130" s="71">
        <v>10</v>
      </c>
      <c r="H130" s="71">
        <v>5</v>
      </c>
      <c r="I130" s="71">
        <v>4</v>
      </c>
      <c r="J130" s="72">
        <v>2</v>
      </c>
      <c r="K130" s="46"/>
      <c r="L130" s="46"/>
      <c r="N130" s="45"/>
      <c r="O130" s="45"/>
    </row>
    <row r="131" spans="1:15" x14ac:dyDescent="0.25">
      <c r="A131" s="46"/>
      <c r="B131" s="67" t="s">
        <v>198</v>
      </c>
      <c r="C131" s="45"/>
      <c r="D131" s="45"/>
      <c r="E131" s="73">
        <v>0.25</v>
      </c>
      <c r="F131" s="73">
        <v>0.35</v>
      </c>
      <c r="G131" s="73">
        <v>0.45</v>
      </c>
      <c r="H131" s="73">
        <v>0.5</v>
      </c>
      <c r="I131" s="73">
        <v>0.6</v>
      </c>
      <c r="J131" s="74">
        <v>0.75</v>
      </c>
      <c r="K131" s="46"/>
      <c r="L131" s="46"/>
      <c r="N131" s="45"/>
      <c r="O131" s="45"/>
    </row>
    <row r="132" spans="1:15" x14ac:dyDescent="0.25">
      <c r="A132" s="46"/>
      <c r="B132" s="75"/>
      <c r="C132" s="76"/>
      <c r="D132" s="26"/>
      <c r="E132" s="76"/>
      <c r="F132" s="76"/>
      <c r="G132" s="76"/>
      <c r="H132" s="76"/>
      <c r="I132" s="76"/>
      <c r="J132" s="77"/>
      <c r="K132" s="46"/>
      <c r="L132" s="46"/>
      <c r="N132" s="45"/>
      <c r="O132" s="45"/>
    </row>
    <row r="133" spans="1:15" x14ac:dyDescent="0.25">
      <c r="A133" s="46"/>
      <c r="B133" s="62" t="s">
        <v>199</v>
      </c>
      <c r="C133" s="78"/>
      <c r="D133" s="79"/>
      <c r="E133" s="79"/>
      <c r="F133" s="79"/>
      <c r="G133" s="79"/>
      <c r="H133" s="79"/>
      <c r="I133" s="80"/>
      <c r="J133" s="81"/>
      <c r="K133" s="61"/>
      <c r="L133" s="46"/>
      <c r="N133" s="45"/>
      <c r="O133" s="45"/>
    </row>
    <row r="134" spans="1:15" x14ac:dyDescent="0.25">
      <c r="A134" s="46"/>
      <c r="B134" s="82"/>
      <c r="C134" s="45"/>
      <c r="D134" s="45"/>
      <c r="E134" s="68" t="s">
        <v>193</v>
      </c>
      <c r="F134" s="69" t="s">
        <v>194</v>
      </c>
      <c r="G134" s="69" t="s">
        <v>195</v>
      </c>
      <c r="H134" s="68" t="s">
        <v>196</v>
      </c>
      <c r="I134" s="68" t="s">
        <v>188</v>
      </c>
      <c r="J134" s="70" t="s">
        <v>186</v>
      </c>
      <c r="K134" s="46"/>
      <c r="L134" s="46"/>
      <c r="N134" s="45"/>
      <c r="O134" s="45"/>
    </row>
    <row r="135" spans="1:15" x14ac:dyDescent="0.25">
      <c r="A135" s="46"/>
      <c r="B135" s="67" t="s">
        <v>200</v>
      </c>
      <c r="C135" s="45"/>
      <c r="D135" s="45"/>
      <c r="E135" s="83">
        <v>0.01</v>
      </c>
      <c r="F135" s="84">
        <v>1.2500000000000001E-2</v>
      </c>
      <c r="G135" s="84">
        <v>1.4999999999999999E-2</v>
      </c>
      <c r="H135" s="84">
        <v>1.7500000000000002E-2</v>
      </c>
      <c r="I135" s="84">
        <v>0.02</v>
      </c>
      <c r="J135" s="85">
        <v>2.2499999999999999E-2</v>
      </c>
      <c r="K135" s="46"/>
      <c r="L135" s="46"/>
      <c r="N135" s="45"/>
      <c r="O135" s="45"/>
    </row>
    <row r="136" spans="1:15" x14ac:dyDescent="0.25">
      <c r="A136" s="46"/>
      <c r="B136" s="67" t="s">
        <v>201</v>
      </c>
      <c r="C136" s="45"/>
      <c r="D136" s="45"/>
      <c r="E136" s="83">
        <v>0.03</v>
      </c>
      <c r="F136" s="84">
        <v>3.2500000000000001E-2</v>
      </c>
      <c r="G136" s="84">
        <v>3.7499999999999999E-2</v>
      </c>
      <c r="H136" s="84">
        <v>0.04</v>
      </c>
      <c r="I136" s="84">
        <v>4.2500000000000003E-2</v>
      </c>
      <c r="J136" s="85">
        <v>4.4999999999999998E-2</v>
      </c>
      <c r="K136" s="46"/>
      <c r="L136" s="46"/>
      <c r="N136" s="45"/>
      <c r="O136" s="45"/>
    </row>
    <row r="137" spans="1:15" x14ac:dyDescent="0.25">
      <c r="A137" s="46"/>
      <c r="B137" s="86"/>
      <c r="C137" s="87"/>
      <c r="D137" s="88"/>
      <c r="E137" s="88"/>
      <c r="F137" s="88"/>
      <c r="G137" s="88"/>
      <c r="H137" s="88"/>
      <c r="I137" s="89"/>
      <c r="J137" s="90"/>
      <c r="K137" s="45"/>
      <c r="L137" s="45"/>
      <c r="M137" s="45"/>
      <c r="N137" s="45"/>
      <c r="O137" s="45"/>
    </row>
    <row r="138" spans="1:15" x14ac:dyDescent="0.25">
      <c r="C138" s="35"/>
      <c r="D138" s="7"/>
    </row>
    <row r="139" spans="1:15" x14ac:dyDescent="0.25">
      <c r="B139" s="1"/>
    </row>
    <row r="145" spans="2:2" x14ac:dyDescent="0.25">
      <c r="B145" s="20"/>
    </row>
    <row r="149" spans="2:2" x14ac:dyDescent="0.25">
      <c r="B149" s="1"/>
    </row>
  </sheetData>
  <mergeCells count="1">
    <mergeCell ref="A1:M2"/>
  </mergeCells>
  <pageMargins left="0.25" right="0.25" top="1" bottom="0.5" header="0" footer="0"/>
  <pageSetup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D20" sqref="D20"/>
    </sheetView>
  </sheetViews>
  <sheetFormatPr defaultRowHeight="15" x14ac:dyDescent="0.25"/>
  <cols>
    <col min="1" max="1" width="4.140625" customWidth="1"/>
    <col min="2" max="2" width="10.5703125" customWidth="1"/>
    <col min="3" max="3" width="7.28515625" customWidth="1"/>
    <col min="4" max="4" width="12.5703125" bestFit="1" customWidth="1"/>
    <col min="5" max="7" width="8" bestFit="1" customWidth="1"/>
    <col min="8" max="8" width="8.7109375" bestFit="1" customWidth="1"/>
    <col min="9" max="9" width="9" bestFit="1" customWidth="1"/>
    <col min="10" max="13" width="8" bestFit="1" customWidth="1"/>
    <col min="14" max="14" width="9" bestFit="1" customWidth="1"/>
    <col min="15" max="15" width="10.42578125" customWidth="1"/>
  </cols>
  <sheetData>
    <row r="1" spans="1:15" ht="15" customHeight="1" x14ac:dyDescent="0.25">
      <c r="A1" s="160" t="s">
        <v>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ht="1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5" ht="15.75" x14ac:dyDescent="0.25">
      <c r="A3" s="123" t="s">
        <v>233</v>
      </c>
      <c r="B3" s="124"/>
      <c r="C3" s="124"/>
    </row>
    <row r="4" spans="1:15" x14ac:dyDescent="0.25">
      <c r="A4" t="s">
        <v>230</v>
      </c>
      <c r="B4" s="7"/>
      <c r="D4" s="7">
        <f>Forecast!C108</f>
        <v>7.670339336249074E-2</v>
      </c>
    </row>
    <row r="5" spans="1:15" x14ac:dyDescent="0.25">
      <c r="C5" t="s">
        <v>234</v>
      </c>
      <c r="D5">
        <v>0</v>
      </c>
      <c r="E5">
        <v>1</v>
      </c>
      <c r="F5">
        <v>2</v>
      </c>
      <c r="G5">
        <v>3</v>
      </c>
      <c r="H5">
        <v>4</v>
      </c>
      <c r="I5">
        <v>5</v>
      </c>
      <c r="J5">
        <v>6</v>
      </c>
      <c r="K5">
        <v>7</v>
      </c>
      <c r="L5">
        <v>8</v>
      </c>
      <c r="M5">
        <v>9</v>
      </c>
      <c r="N5">
        <v>10</v>
      </c>
      <c r="O5" s="1" t="s">
        <v>237</v>
      </c>
    </row>
    <row r="6" spans="1:15" x14ac:dyDescent="0.25">
      <c r="A6" s="118" t="s">
        <v>231</v>
      </c>
      <c r="B6" s="118"/>
      <c r="D6" s="106">
        <v>-303156.77296235657</v>
      </c>
      <c r="E6" s="106">
        <v>22301.947780869625</v>
      </c>
      <c r="F6" s="106">
        <v>23361.394849240751</v>
      </c>
      <c r="G6" s="106">
        <v>24453.902201263052</v>
      </c>
      <c r="H6" s="106">
        <v>-77707.489777551906</v>
      </c>
      <c r="I6" s="106">
        <v>27767.639919318175</v>
      </c>
      <c r="J6" s="106">
        <v>10740.815104422662</v>
      </c>
      <c r="K6" s="106">
        <v>6523.0219659670365</v>
      </c>
      <c r="L6" s="106">
        <v>4452.570526182406</v>
      </c>
      <c r="M6" s="106">
        <v>3870.9633751861402</v>
      </c>
      <c r="N6" s="106">
        <v>613751.62723487336</v>
      </c>
    </row>
    <row r="7" spans="1:15" x14ac:dyDescent="0.25">
      <c r="C7" t="s">
        <v>227</v>
      </c>
      <c r="D7" s="106">
        <f>-PV($B$4,D5,,D6)</f>
        <v>-303156.77296235657</v>
      </c>
      <c r="E7" s="106">
        <f t="shared" ref="E7:N7" si="0">-PV($B$4,E5,,E6)</f>
        <v>22301.947780869625</v>
      </c>
      <c r="F7" s="106">
        <f t="shared" si="0"/>
        <v>23361.394849240751</v>
      </c>
      <c r="G7" s="106">
        <f t="shared" si="0"/>
        <v>24453.902201263052</v>
      </c>
      <c r="H7" s="106">
        <f t="shared" si="0"/>
        <v>-77707.489777551906</v>
      </c>
      <c r="I7" s="106">
        <f t="shared" si="0"/>
        <v>27767.639919318175</v>
      </c>
      <c r="J7" s="106">
        <f t="shared" si="0"/>
        <v>10740.815104422662</v>
      </c>
      <c r="K7" s="106">
        <f t="shared" si="0"/>
        <v>6523.0219659670365</v>
      </c>
      <c r="L7" s="106">
        <f t="shared" si="0"/>
        <v>4452.570526182406</v>
      </c>
      <c r="M7" s="106">
        <f t="shared" si="0"/>
        <v>3870.9633751861402</v>
      </c>
      <c r="N7" s="106">
        <f t="shared" si="0"/>
        <v>613751.62723487336</v>
      </c>
    </row>
    <row r="8" spans="1:15" x14ac:dyDescent="0.25">
      <c r="C8" t="s">
        <v>232</v>
      </c>
      <c r="D8" s="16">
        <f>SUM(D7:N7)</f>
        <v>356359.62021741475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24">
        <v>0.2</v>
      </c>
    </row>
    <row r="9" spans="1:15" x14ac:dyDescent="0.25"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5" x14ac:dyDescent="0.25"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5" x14ac:dyDescent="0.25">
      <c r="A11" s="118" t="s">
        <v>224</v>
      </c>
      <c r="B11" s="118"/>
      <c r="D11" s="106">
        <v>-303156.77296235657</v>
      </c>
      <c r="E11" s="106">
        <v>22301.947780869625</v>
      </c>
      <c r="F11" s="106">
        <v>23361.394849240751</v>
      </c>
      <c r="G11" s="106">
        <v>24453.902201263052</v>
      </c>
      <c r="H11" s="106">
        <v>25580.487182877994</v>
      </c>
      <c r="I11" s="106">
        <v>26742.198171154028</v>
      </c>
      <c r="J11" s="106">
        <v>22114.070109012995</v>
      </c>
      <c r="K11" s="106">
        <v>12035.392956418862</v>
      </c>
      <c r="L11" s="106">
        <v>10547.972630518783</v>
      </c>
      <c r="M11" s="106">
        <v>10605.361175014144</v>
      </c>
      <c r="N11" s="106">
        <v>393902.72309988644</v>
      </c>
    </row>
    <row r="12" spans="1:15" x14ac:dyDescent="0.25">
      <c r="A12" t="s">
        <v>225</v>
      </c>
      <c r="C12" t="s">
        <v>227</v>
      </c>
      <c r="D12" s="106">
        <f>-PV($B$4,D5,,D11)</f>
        <v>-303156.77296235657</v>
      </c>
      <c r="E12" s="106">
        <f t="shared" ref="E12:N12" si="1">-PV($B$4,E5,,E11)</f>
        <v>22301.947780869625</v>
      </c>
      <c r="F12" s="106">
        <f t="shared" si="1"/>
        <v>23361.394849240751</v>
      </c>
      <c r="G12" s="106">
        <f t="shared" si="1"/>
        <v>24453.902201263052</v>
      </c>
      <c r="H12" s="106">
        <f t="shared" si="1"/>
        <v>25580.487182877994</v>
      </c>
      <c r="I12" s="106">
        <f t="shared" si="1"/>
        <v>26742.198171154028</v>
      </c>
      <c r="J12" s="106">
        <f t="shared" si="1"/>
        <v>22114.070109012995</v>
      </c>
      <c r="K12" s="106">
        <f t="shared" si="1"/>
        <v>12035.392956418862</v>
      </c>
      <c r="L12" s="106">
        <f t="shared" si="1"/>
        <v>10547.972630518783</v>
      </c>
      <c r="M12" s="106">
        <f t="shared" si="1"/>
        <v>10605.361175014144</v>
      </c>
      <c r="N12" s="106">
        <f t="shared" si="1"/>
        <v>393902.72309988644</v>
      </c>
    </row>
    <row r="13" spans="1:15" x14ac:dyDescent="0.25">
      <c r="C13" t="s">
        <v>232</v>
      </c>
      <c r="D13" s="16">
        <f>SUM(D12:N12)</f>
        <v>268488.6771939001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24">
        <v>0.7</v>
      </c>
    </row>
    <row r="14" spans="1:15" x14ac:dyDescent="0.25"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5" x14ac:dyDescent="0.25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5" x14ac:dyDescent="0.25">
      <c r="A16" s="118" t="s">
        <v>206</v>
      </c>
      <c r="B16" s="118"/>
      <c r="D16" s="106">
        <v>-303156.77296235657</v>
      </c>
      <c r="E16" s="106">
        <v>33168.421462842911</v>
      </c>
      <c r="F16" s="106">
        <v>20329.72544990501</v>
      </c>
      <c r="G16" s="106">
        <v>7378.701565301365</v>
      </c>
      <c r="H16" s="106">
        <v>-3545.5768082890449</v>
      </c>
      <c r="I16" s="106">
        <v>220276.0826186089</v>
      </c>
      <c r="J16" s="107"/>
      <c r="K16" s="107"/>
      <c r="L16" s="107"/>
      <c r="M16" s="107"/>
      <c r="N16" s="107"/>
    </row>
    <row r="17" spans="1:15" x14ac:dyDescent="0.25">
      <c r="A17" t="s">
        <v>226</v>
      </c>
      <c r="C17" t="s">
        <v>227</v>
      </c>
      <c r="D17" s="106">
        <f>-PV($B$4,D5,,D16)</f>
        <v>-303156.77296235657</v>
      </c>
      <c r="E17" s="106">
        <f t="shared" ref="E17:I17" si="2">-PV($B$4,E5,,E16)</f>
        <v>33168.421462842911</v>
      </c>
      <c r="F17" s="106">
        <f t="shared" si="2"/>
        <v>20329.72544990501</v>
      </c>
      <c r="G17" s="106">
        <f t="shared" si="2"/>
        <v>7378.701565301365</v>
      </c>
      <c r="H17" s="106">
        <f t="shared" si="2"/>
        <v>-3545.5768082890449</v>
      </c>
      <c r="I17" s="106">
        <f t="shared" si="2"/>
        <v>220276.0826186089</v>
      </c>
      <c r="J17" s="106"/>
      <c r="K17" s="106"/>
      <c r="L17" s="106"/>
      <c r="M17" s="106"/>
      <c r="N17" s="106"/>
    </row>
    <row r="18" spans="1:15" x14ac:dyDescent="0.25">
      <c r="C18" t="s">
        <v>232</v>
      </c>
      <c r="D18" s="106">
        <f>SUM(D17:I17)</f>
        <v>-25549.418673987442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24">
        <v>0.1</v>
      </c>
    </row>
    <row r="20" spans="1:15" x14ac:dyDescent="0.25">
      <c r="A20" s="118" t="s">
        <v>238</v>
      </c>
      <c r="B20" s="118"/>
      <c r="C20" s="118"/>
      <c r="D20" s="16">
        <f>(D8*O8)+(D13*O13)+(D18*O18)</f>
        <v>256659.05621181428</v>
      </c>
    </row>
  </sheetData>
  <mergeCells count="1">
    <mergeCell ref="A1:N2"/>
  </mergeCells>
  <pageMargins left="0.25" right="0.25" top="1" bottom="0.5" header="0" footer="0"/>
  <pageSetup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zoomScale="80" zoomScaleNormal="80" workbookViewId="0">
      <selection sqref="A1:M2"/>
    </sheetView>
  </sheetViews>
  <sheetFormatPr defaultRowHeight="15" x14ac:dyDescent="0.25"/>
  <cols>
    <col min="1" max="1" width="4" customWidth="1"/>
    <col min="2" max="2" width="31.140625" customWidth="1"/>
    <col min="3" max="3" width="13.7109375" customWidth="1"/>
    <col min="4" max="4" width="12.5703125" bestFit="1" customWidth="1"/>
    <col min="5" max="5" width="14.42578125" customWidth="1"/>
    <col min="6" max="6" width="11.7109375" customWidth="1"/>
    <col min="7" max="7" width="12" customWidth="1"/>
    <col min="8" max="8" width="11.42578125" customWidth="1"/>
    <col min="9" max="10" width="11.28515625" customWidth="1"/>
    <col min="11" max="11" width="11.5703125" customWidth="1"/>
    <col min="12" max="12" width="11.7109375" customWidth="1"/>
    <col min="13" max="13" width="14" customWidth="1"/>
    <col min="14" max="14" width="8.85546875" customWidth="1"/>
    <col min="15" max="15" width="12" customWidth="1"/>
    <col min="16" max="16" width="12.7109375" bestFit="1" customWidth="1"/>
    <col min="17" max="17" width="9.5703125" bestFit="1" customWidth="1"/>
    <col min="18" max="18" width="13" customWidth="1"/>
    <col min="19" max="19" width="10.7109375" customWidth="1"/>
    <col min="20" max="20" width="11.85546875" customWidth="1"/>
  </cols>
  <sheetData>
    <row r="1" spans="1:17" ht="15" customHeight="1" x14ac:dyDescent="0.25">
      <c r="A1" s="160" t="s">
        <v>12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7" ht="1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7" x14ac:dyDescent="0.25">
      <c r="A3" s="1"/>
      <c r="B3" s="20" t="s">
        <v>121</v>
      </c>
      <c r="C3" s="20"/>
      <c r="D3" s="20">
        <v>0.56999999999999995</v>
      </c>
      <c r="E3" s="20"/>
    </row>
    <row r="4" spans="1:17" x14ac:dyDescent="0.25">
      <c r="A4" s="1"/>
      <c r="B4" s="20" t="s">
        <v>125</v>
      </c>
      <c r="C4" s="20"/>
      <c r="D4" s="108">
        <f>(1+((1-$O$41)*$Q$71))*D3</f>
        <v>-2.0173407976935001</v>
      </c>
      <c r="E4" s="108"/>
    </row>
    <row r="5" spans="1:17" x14ac:dyDescent="0.25">
      <c r="A5" s="1"/>
      <c r="B5" s="20" t="s">
        <v>122</v>
      </c>
      <c r="C5" s="20"/>
      <c r="D5" s="35">
        <v>1.5299999999999999E-2</v>
      </c>
      <c r="E5" s="20"/>
    </row>
    <row r="6" spans="1:17" x14ac:dyDescent="0.25">
      <c r="A6" s="1"/>
      <c r="B6" s="20" t="s">
        <v>123</v>
      </c>
      <c r="C6" s="20"/>
      <c r="D6" s="35">
        <v>0.13</v>
      </c>
      <c r="E6" s="20"/>
    </row>
    <row r="7" spans="1:17" x14ac:dyDescent="0.25">
      <c r="A7" s="1"/>
      <c r="B7" s="20" t="s">
        <v>132</v>
      </c>
      <c r="C7" s="20"/>
      <c r="D7" s="94">
        <f>(D4*(D6-D5))+$D$5</f>
        <v>-0.21608898949544447</v>
      </c>
      <c r="E7" s="94"/>
    </row>
    <row r="8" spans="1:17" x14ac:dyDescent="0.25">
      <c r="A8" s="1"/>
      <c r="B8" s="20"/>
      <c r="C8" s="20"/>
      <c r="D8" s="94"/>
      <c r="E8" s="94"/>
    </row>
    <row r="9" spans="1:17" x14ac:dyDescent="0.25">
      <c r="D9" s="1">
        <v>2015</v>
      </c>
      <c r="E9" s="1">
        <v>2016</v>
      </c>
      <c r="F9" s="1">
        <v>2017</v>
      </c>
      <c r="G9" s="1">
        <v>2018</v>
      </c>
      <c r="H9" s="1">
        <v>2019</v>
      </c>
      <c r="I9" s="1">
        <v>2020</v>
      </c>
      <c r="J9" s="1">
        <v>2021</v>
      </c>
      <c r="K9" s="1">
        <v>2022</v>
      </c>
      <c r="L9" s="1">
        <v>2023</v>
      </c>
      <c r="M9" s="1">
        <v>2024</v>
      </c>
      <c r="N9" s="1"/>
    </row>
    <row r="10" spans="1:17" x14ac:dyDescent="0.25">
      <c r="B10" s="20" t="s">
        <v>29</v>
      </c>
      <c r="D10" s="19">
        <f>118</f>
        <v>118</v>
      </c>
      <c r="E10" s="19">
        <f>118</f>
        <v>118</v>
      </c>
      <c r="F10" s="19">
        <f>118</f>
        <v>118</v>
      </c>
      <c r="G10" s="19">
        <f>118</f>
        <v>118</v>
      </c>
      <c r="H10" s="19">
        <f>118</f>
        <v>118</v>
      </c>
      <c r="I10" s="19">
        <f>118</f>
        <v>118</v>
      </c>
      <c r="J10" s="19">
        <f>118</f>
        <v>118</v>
      </c>
      <c r="K10" s="19">
        <f>118</f>
        <v>118</v>
      </c>
      <c r="L10" s="19">
        <f>118</f>
        <v>118</v>
      </c>
      <c r="M10" s="19">
        <f>118</f>
        <v>118</v>
      </c>
      <c r="N10" s="19"/>
    </row>
    <row r="11" spans="1:17" x14ac:dyDescent="0.25">
      <c r="B11" s="20" t="s">
        <v>30</v>
      </c>
      <c r="D11">
        <v>28</v>
      </c>
      <c r="E11">
        <v>28</v>
      </c>
      <c r="F11">
        <v>28</v>
      </c>
      <c r="G11">
        <v>28</v>
      </c>
      <c r="H11">
        <v>28</v>
      </c>
      <c r="I11">
        <v>28</v>
      </c>
      <c r="J11">
        <v>28</v>
      </c>
      <c r="K11">
        <v>28</v>
      </c>
      <c r="L11">
        <v>28</v>
      </c>
      <c r="M11">
        <v>28</v>
      </c>
    </row>
    <row r="12" spans="1:17" x14ac:dyDescent="0.25">
      <c r="B12" s="20" t="s">
        <v>31</v>
      </c>
      <c r="D12">
        <v>15</v>
      </c>
      <c r="E12">
        <v>15</v>
      </c>
      <c r="F12">
        <v>15</v>
      </c>
      <c r="G12">
        <v>15</v>
      </c>
      <c r="H12">
        <v>15</v>
      </c>
      <c r="I12">
        <v>15</v>
      </c>
      <c r="J12">
        <v>15</v>
      </c>
      <c r="K12">
        <v>15</v>
      </c>
      <c r="L12">
        <v>15</v>
      </c>
      <c r="M12">
        <v>15</v>
      </c>
    </row>
    <row r="13" spans="1:17" x14ac:dyDescent="0.25">
      <c r="B13" s="20" t="s">
        <v>72</v>
      </c>
      <c r="D13" s="15">
        <v>35</v>
      </c>
      <c r="O13" s="18">
        <f>4723*0.81*1.5</f>
        <v>5738.4449999999997</v>
      </c>
      <c r="P13" s="18">
        <f>O13/52</f>
        <v>110.35471153846153</v>
      </c>
      <c r="Q13" s="18">
        <f>P13/6</f>
        <v>18.392451923076923</v>
      </c>
    </row>
    <row r="14" spans="1:17" x14ac:dyDescent="0.25">
      <c r="B14" s="20" t="s">
        <v>73</v>
      </c>
      <c r="D14">
        <v>18</v>
      </c>
    </row>
    <row r="15" spans="1:17" x14ac:dyDescent="0.25">
      <c r="B15" s="20" t="s">
        <v>164</v>
      </c>
      <c r="D15">
        <v>365</v>
      </c>
    </row>
    <row r="16" spans="1:17" x14ac:dyDescent="0.25">
      <c r="A16" s="117" t="s">
        <v>0</v>
      </c>
      <c r="B16" s="118"/>
    </row>
    <row r="17" spans="1:16" x14ac:dyDescent="0.25">
      <c r="A17" s="1" t="s">
        <v>4</v>
      </c>
    </row>
    <row r="18" spans="1:16" x14ac:dyDescent="0.25">
      <c r="B18" t="s">
        <v>1</v>
      </c>
      <c r="D18" s="3">
        <f>D13*D14*(365-52)</f>
        <v>197190</v>
      </c>
      <c r="E18" s="3">
        <f>D18*$O$18</f>
        <v>138033</v>
      </c>
      <c r="F18" s="3">
        <f>E18*$O$18</f>
        <v>96623.099999999991</v>
      </c>
      <c r="G18" s="3">
        <f t="shared" ref="G18:M18" si="0">F18*$O$18</f>
        <v>67636.169999999984</v>
      </c>
      <c r="H18" s="3">
        <f t="shared" si="0"/>
        <v>47345.318999999989</v>
      </c>
      <c r="I18" s="3">
        <f t="shared" si="0"/>
        <v>33141.723299999991</v>
      </c>
      <c r="J18" s="3">
        <f t="shared" si="0"/>
        <v>23199.20630999999</v>
      </c>
      <c r="K18" s="3">
        <f t="shared" si="0"/>
        <v>16239.444416999992</v>
      </c>
      <c r="L18" s="3">
        <f t="shared" si="0"/>
        <v>11367.611091899993</v>
      </c>
      <c r="M18" s="3">
        <f t="shared" si="0"/>
        <v>7957.3277643299944</v>
      </c>
      <c r="N18" s="3"/>
      <c r="O18">
        <v>0.7</v>
      </c>
      <c r="P18" t="s">
        <v>220</v>
      </c>
    </row>
    <row r="19" spans="1:16" x14ac:dyDescent="0.25">
      <c r="B19" t="s">
        <v>2</v>
      </c>
      <c r="D19" s="3">
        <f t="shared" ref="D19:M19" si="1">D18*$O$19</f>
        <v>1971.9</v>
      </c>
      <c r="E19" s="3">
        <f t="shared" si="1"/>
        <v>1380.33</v>
      </c>
      <c r="F19" s="3">
        <f t="shared" si="1"/>
        <v>966.23099999999988</v>
      </c>
      <c r="G19" s="3">
        <f t="shared" si="1"/>
        <v>676.36169999999981</v>
      </c>
      <c r="H19" s="3">
        <f t="shared" si="1"/>
        <v>473.45318999999989</v>
      </c>
      <c r="I19" s="3">
        <f t="shared" si="1"/>
        <v>331.4172329999999</v>
      </c>
      <c r="J19" s="3">
        <f t="shared" si="1"/>
        <v>231.99206309999991</v>
      </c>
      <c r="K19" s="3">
        <f t="shared" si="1"/>
        <v>162.39444416999993</v>
      </c>
      <c r="L19" s="3">
        <f t="shared" si="1"/>
        <v>113.67611091899994</v>
      </c>
      <c r="M19" s="3">
        <f t="shared" si="1"/>
        <v>79.573277643299946</v>
      </c>
      <c r="N19" s="3"/>
      <c r="O19">
        <v>0.01</v>
      </c>
      <c r="P19" t="s">
        <v>87</v>
      </c>
    </row>
    <row r="20" spans="1:16" x14ac:dyDescent="0.25">
      <c r="B20" t="s">
        <v>3</v>
      </c>
      <c r="D20" s="3">
        <f t="shared" ref="D20:M20" si="2">D18*$O$20</f>
        <v>985.95</v>
      </c>
      <c r="E20" s="3">
        <f t="shared" si="2"/>
        <v>690.16499999999996</v>
      </c>
      <c r="F20" s="3">
        <f t="shared" si="2"/>
        <v>483.11549999999994</v>
      </c>
      <c r="G20" s="3">
        <f t="shared" si="2"/>
        <v>338.18084999999991</v>
      </c>
      <c r="H20" s="3">
        <f t="shared" si="2"/>
        <v>236.72659499999995</v>
      </c>
      <c r="I20" s="3">
        <f t="shared" si="2"/>
        <v>165.70861649999995</v>
      </c>
      <c r="J20" s="3">
        <f t="shared" si="2"/>
        <v>115.99603154999996</v>
      </c>
      <c r="K20" s="3">
        <f t="shared" si="2"/>
        <v>81.197222084999964</v>
      </c>
      <c r="L20" s="3">
        <f t="shared" si="2"/>
        <v>56.838055459499969</v>
      </c>
      <c r="M20" s="3">
        <f t="shared" si="2"/>
        <v>39.786638821649973</v>
      </c>
      <c r="N20" s="3"/>
      <c r="O20">
        <v>5.0000000000000001E-3</v>
      </c>
      <c r="P20" t="s">
        <v>87</v>
      </c>
    </row>
    <row r="21" spans="1:16" x14ac:dyDescent="0.25">
      <c r="B21" s="1" t="s">
        <v>5</v>
      </c>
      <c r="C21" s="1"/>
      <c r="D21" s="21">
        <f>SUM(D18:D20)</f>
        <v>200147.85</v>
      </c>
      <c r="E21" s="21">
        <f t="shared" ref="E21:M21" si="3">SUM(E18:E20)</f>
        <v>140103.495</v>
      </c>
      <c r="F21" s="21">
        <f t="shared" si="3"/>
        <v>98072.446499999991</v>
      </c>
      <c r="G21" s="21">
        <f t="shared" si="3"/>
        <v>68650.712549999982</v>
      </c>
      <c r="H21" s="21">
        <f t="shared" si="3"/>
        <v>48055.498784999989</v>
      </c>
      <c r="I21" s="21">
        <f t="shared" si="3"/>
        <v>33638.849149499991</v>
      </c>
      <c r="J21" s="21">
        <f t="shared" si="3"/>
        <v>23547.194404649988</v>
      </c>
      <c r="K21" s="21">
        <f t="shared" si="3"/>
        <v>16483.036083254992</v>
      </c>
      <c r="L21" s="21">
        <f t="shared" si="3"/>
        <v>11538.125258278493</v>
      </c>
      <c r="M21" s="21">
        <f t="shared" si="3"/>
        <v>8076.6876807949438</v>
      </c>
      <c r="N21" s="21"/>
    </row>
    <row r="22" spans="1:16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6" x14ac:dyDescent="0.25">
      <c r="A23" t="s">
        <v>6</v>
      </c>
      <c r="B23" s="20"/>
      <c r="D23" s="3">
        <f>D21*$O$23</f>
        <v>130096.10250000001</v>
      </c>
      <c r="E23" s="3">
        <f t="shared" ref="E23:M23" si="4">E21*$O$23</f>
        <v>91067.27175</v>
      </c>
      <c r="F23" s="3">
        <f t="shared" si="4"/>
        <v>63747.090224999993</v>
      </c>
      <c r="G23" s="3">
        <f t="shared" si="4"/>
        <v>44622.963157499988</v>
      </c>
      <c r="H23" s="3">
        <f t="shared" si="4"/>
        <v>31236.074210249993</v>
      </c>
      <c r="I23" s="3">
        <f t="shared" si="4"/>
        <v>21865.251947174995</v>
      </c>
      <c r="J23" s="3">
        <f t="shared" si="4"/>
        <v>15305.676363022492</v>
      </c>
      <c r="K23" s="3">
        <f t="shared" si="4"/>
        <v>10713.973454115745</v>
      </c>
      <c r="L23" s="3">
        <f t="shared" si="4"/>
        <v>7499.7814178810204</v>
      </c>
      <c r="M23" s="3">
        <f t="shared" si="4"/>
        <v>5249.8469925167137</v>
      </c>
      <c r="N23" s="3"/>
      <c r="O23" s="18">
        <v>0.65</v>
      </c>
      <c r="P23" t="s">
        <v>157</v>
      </c>
    </row>
    <row r="24" spans="1:16" x14ac:dyDescent="0.2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6" x14ac:dyDescent="0.25">
      <c r="A25" t="s">
        <v>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6" x14ac:dyDescent="0.25">
      <c r="B26" t="s">
        <v>74</v>
      </c>
      <c r="D26" s="3">
        <f>1*$O$26</f>
        <v>19000</v>
      </c>
      <c r="E26" s="3">
        <f t="shared" ref="E26:M26" si="5">1*$O$26</f>
        <v>19000</v>
      </c>
      <c r="F26" s="3">
        <f t="shared" si="5"/>
        <v>19000</v>
      </c>
      <c r="G26" s="3">
        <f t="shared" si="5"/>
        <v>19000</v>
      </c>
      <c r="H26" s="3">
        <f t="shared" si="5"/>
        <v>19000</v>
      </c>
      <c r="I26" s="3">
        <f t="shared" si="5"/>
        <v>19000</v>
      </c>
      <c r="J26" s="3">
        <f t="shared" si="5"/>
        <v>19000</v>
      </c>
      <c r="K26" s="3">
        <f t="shared" si="5"/>
        <v>19000</v>
      </c>
      <c r="L26" s="3">
        <f t="shared" si="5"/>
        <v>19000</v>
      </c>
      <c r="M26" s="3">
        <f t="shared" si="5"/>
        <v>19000</v>
      </c>
      <c r="N26" s="3"/>
      <c r="O26" s="16">
        <v>19000</v>
      </c>
      <c r="P26" t="s">
        <v>70</v>
      </c>
    </row>
    <row r="27" spans="1:16" x14ac:dyDescent="0.25">
      <c r="B27" t="s">
        <v>75</v>
      </c>
      <c r="D27" s="3">
        <f>4*52*14</f>
        <v>2912</v>
      </c>
      <c r="E27" s="3">
        <f t="shared" ref="E27:M27" si="6">D27*$O$27</f>
        <v>2970.2400000000002</v>
      </c>
      <c r="F27" s="3">
        <f t="shared" si="6"/>
        <v>3029.6448000000005</v>
      </c>
      <c r="G27" s="3">
        <f t="shared" si="6"/>
        <v>3090.2376960000006</v>
      </c>
      <c r="H27" s="3">
        <f t="shared" si="6"/>
        <v>3152.0424499200008</v>
      </c>
      <c r="I27" s="3">
        <f t="shared" si="6"/>
        <v>3215.0832989184009</v>
      </c>
      <c r="J27" s="3">
        <f t="shared" si="6"/>
        <v>3279.3849648967689</v>
      </c>
      <c r="K27" s="3">
        <f t="shared" si="6"/>
        <v>3344.9726641947045</v>
      </c>
      <c r="L27" s="3">
        <f t="shared" si="6"/>
        <v>3411.8721174785987</v>
      </c>
      <c r="M27" s="3">
        <f t="shared" si="6"/>
        <v>3480.1095598281709</v>
      </c>
      <c r="N27" s="3"/>
      <c r="O27">
        <v>1.02</v>
      </c>
      <c r="P27" t="s">
        <v>69</v>
      </c>
    </row>
    <row r="28" spans="1:16" x14ac:dyDescent="0.25">
      <c r="B28" t="s">
        <v>76</v>
      </c>
      <c r="D28" s="3">
        <f>3*52*7.25</f>
        <v>1131</v>
      </c>
      <c r="E28" s="3">
        <f t="shared" ref="E28:M28" si="7">D28*$O$28</f>
        <v>1153.6200000000001</v>
      </c>
      <c r="F28" s="3">
        <f t="shared" si="7"/>
        <v>1176.6924000000001</v>
      </c>
      <c r="G28" s="3">
        <f t="shared" si="7"/>
        <v>1200.2262480000002</v>
      </c>
      <c r="H28" s="3">
        <f t="shared" si="7"/>
        <v>1224.2307729600002</v>
      </c>
      <c r="I28" s="3">
        <f t="shared" si="7"/>
        <v>1248.7153884192003</v>
      </c>
      <c r="J28" s="3">
        <f t="shared" si="7"/>
        <v>1273.6896961875843</v>
      </c>
      <c r="K28" s="3">
        <f t="shared" si="7"/>
        <v>1299.1634901113359</v>
      </c>
      <c r="L28" s="3">
        <f t="shared" si="7"/>
        <v>1325.1467599135626</v>
      </c>
      <c r="M28" s="3">
        <f t="shared" si="7"/>
        <v>1351.6496951118338</v>
      </c>
      <c r="N28" s="3"/>
      <c r="O28">
        <v>1.02</v>
      </c>
      <c r="P28" t="s">
        <v>68</v>
      </c>
    </row>
    <row r="29" spans="1:16" x14ac:dyDescent="0.25">
      <c r="B29" t="s">
        <v>8</v>
      </c>
      <c r="D29" s="3">
        <f t="shared" ref="D29:M29" si="8">D21*$O$29</f>
        <v>8005.9140000000007</v>
      </c>
      <c r="E29" s="3">
        <f t="shared" si="8"/>
        <v>5604.1397999999999</v>
      </c>
      <c r="F29" s="3">
        <f t="shared" si="8"/>
        <v>3922.8978599999996</v>
      </c>
      <c r="G29" s="3">
        <f t="shared" si="8"/>
        <v>2746.0285019999992</v>
      </c>
      <c r="H29" s="3">
        <f t="shared" si="8"/>
        <v>1922.2199513999997</v>
      </c>
      <c r="I29" s="3">
        <f t="shared" si="8"/>
        <v>1345.5539659799997</v>
      </c>
      <c r="J29" s="3">
        <f t="shared" si="8"/>
        <v>941.88777618599954</v>
      </c>
      <c r="K29" s="3">
        <f t="shared" si="8"/>
        <v>659.32144333019971</v>
      </c>
      <c r="L29" s="3">
        <f t="shared" si="8"/>
        <v>461.5250103311397</v>
      </c>
      <c r="M29" s="3">
        <f t="shared" si="8"/>
        <v>323.06750723179778</v>
      </c>
      <c r="N29" s="3"/>
      <c r="O29">
        <v>0.04</v>
      </c>
      <c r="P29" t="s">
        <v>86</v>
      </c>
    </row>
    <row r="30" spans="1:16" x14ac:dyDescent="0.25">
      <c r="B30" t="s">
        <v>9</v>
      </c>
      <c r="D30" s="3">
        <v>5000</v>
      </c>
      <c r="E30" s="3">
        <f t="shared" ref="E30:M30" si="9">D30 * (1+$O$30)</f>
        <v>5100</v>
      </c>
      <c r="F30" s="3">
        <f t="shared" si="9"/>
        <v>5202</v>
      </c>
      <c r="G30" s="3">
        <f t="shared" si="9"/>
        <v>5306.04</v>
      </c>
      <c r="H30" s="3">
        <f t="shared" si="9"/>
        <v>5412.1607999999997</v>
      </c>
      <c r="I30" s="3">
        <f t="shared" si="9"/>
        <v>5520.4040159999995</v>
      </c>
      <c r="J30" s="3">
        <f t="shared" si="9"/>
        <v>5630.8120963199999</v>
      </c>
      <c r="K30" s="3">
        <f t="shared" si="9"/>
        <v>5743.4283382464</v>
      </c>
      <c r="L30" s="3">
        <f t="shared" si="9"/>
        <v>5858.2969050113279</v>
      </c>
      <c r="M30" s="3">
        <f t="shared" si="9"/>
        <v>5975.4628431115543</v>
      </c>
      <c r="N30" s="3"/>
      <c r="O30" s="17">
        <v>0.02</v>
      </c>
      <c r="P30" t="s">
        <v>83</v>
      </c>
    </row>
    <row r="31" spans="1:16" x14ac:dyDescent="0.25">
      <c r="B31" t="s">
        <v>10</v>
      </c>
      <c r="D31" s="3">
        <f t="shared" ref="D31:M31" si="10">D21*$O$31</f>
        <v>2001.4785000000002</v>
      </c>
      <c r="E31" s="3">
        <f t="shared" si="10"/>
        <v>1401.03495</v>
      </c>
      <c r="F31" s="3">
        <f t="shared" si="10"/>
        <v>980.7244649999999</v>
      </c>
      <c r="G31" s="3">
        <f t="shared" si="10"/>
        <v>686.5071254999998</v>
      </c>
      <c r="H31" s="3">
        <f t="shared" si="10"/>
        <v>480.55498784999992</v>
      </c>
      <c r="I31" s="3">
        <f t="shared" si="10"/>
        <v>336.38849149499993</v>
      </c>
      <c r="J31" s="3">
        <f t="shared" si="10"/>
        <v>235.47194404649989</v>
      </c>
      <c r="K31" s="3">
        <f t="shared" si="10"/>
        <v>164.83036083254993</v>
      </c>
      <c r="L31" s="3">
        <f t="shared" si="10"/>
        <v>115.38125258278492</v>
      </c>
      <c r="M31" s="3">
        <f t="shared" si="10"/>
        <v>80.766876807949444</v>
      </c>
      <c r="N31" s="3"/>
      <c r="O31">
        <v>0.01</v>
      </c>
      <c r="P31" t="s">
        <v>86</v>
      </c>
    </row>
    <row r="32" spans="1:16" x14ac:dyDescent="0.25">
      <c r="B32" t="s">
        <v>116</v>
      </c>
      <c r="D32" s="3">
        <f t="shared" ref="D32:M32" si="11">$O$32*D49</f>
        <v>2102.9233006849313</v>
      </c>
      <c r="E32" s="3">
        <f t="shared" si="11"/>
        <v>1472.0463104794521</v>
      </c>
      <c r="F32" s="3">
        <f t="shared" si="11"/>
        <v>1030.4324173356163</v>
      </c>
      <c r="G32" s="3">
        <f t="shared" si="11"/>
        <v>721.30269213493136</v>
      </c>
      <c r="H32" s="3">
        <f t="shared" si="11"/>
        <v>504.91188449445201</v>
      </c>
      <c r="I32" s="3">
        <f t="shared" si="11"/>
        <v>353.43831914611633</v>
      </c>
      <c r="J32" s="3">
        <f t="shared" si="11"/>
        <v>247.40682340228142</v>
      </c>
      <c r="K32" s="3">
        <f t="shared" si="11"/>
        <v>173.18477638159698</v>
      </c>
      <c r="L32" s="3">
        <f t="shared" si="11"/>
        <v>121.22934346711787</v>
      </c>
      <c r="M32" s="3">
        <f t="shared" si="11"/>
        <v>84.860540426982496</v>
      </c>
      <c r="N32" s="3"/>
      <c r="O32" s="18">
        <v>0.05</v>
      </c>
      <c r="P32" t="s">
        <v>117</v>
      </c>
    </row>
    <row r="33" spans="1:16" x14ac:dyDescent="0.25">
      <c r="B33" s="1" t="s">
        <v>11</v>
      </c>
      <c r="D33" s="21">
        <f>SUM(D26:D32)</f>
        <v>40153.315800684933</v>
      </c>
      <c r="E33" s="21">
        <f t="shared" ref="E33:M33" si="12">SUM(E26:E32)</f>
        <v>36701.081060479461</v>
      </c>
      <c r="F33" s="21">
        <f t="shared" si="12"/>
        <v>34342.39194233562</v>
      </c>
      <c r="G33" s="21">
        <f t="shared" si="12"/>
        <v>32750.342263634928</v>
      </c>
      <c r="H33" s="21">
        <f t="shared" si="12"/>
        <v>31696.120846624453</v>
      </c>
      <c r="I33" s="21">
        <f t="shared" si="12"/>
        <v>31019.583479958721</v>
      </c>
      <c r="J33" s="21">
        <f t="shared" si="12"/>
        <v>30608.653301039136</v>
      </c>
      <c r="K33" s="21">
        <f t="shared" si="12"/>
        <v>30384.901073096786</v>
      </c>
      <c r="L33" s="21">
        <f t="shared" si="12"/>
        <v>30293.451388784531</v>
      </c>
      <c r="M33" s="21">
        <f t="shared" si="12"/>
        <v>30295.917022518293</v>
      </c>
      <c r="N33" s="21"/>
    </row>
    <row r="34" spans="1:16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6" x14ac:dyDescent="0.25">
      <c r="A35" t="s">
        <v>24</v>
      </c>
      <c r="D35" s="3">
        <f t="shared" ref="D35:J35" si="13">D51/$O$35</f>
        <v>5142.8571428571431</v>
      </c>
      <c r="E35" s="3">
        <f t="shared" si="13"/>
        <v>5142.8571428571431</v>
      </c>
      <c r="F35" s="3">
        <f t="shared" si="13"/>
        <v>5142.8571428571431</v>
      </c>
      <c r="G35" s="3">
        <f t="shared" si="13"/>
        <v>5142.8571428571431</v>
      </c>
      <c r="H35" s="3">
        <f t="shared" si="13"/>
        <v>5142.8571428571431</v>
      </c>
      <c r="I35" s="3">
        <f t="shared" si="13"/>
        <v>5142.8571428571431</v>
      </c>
      <c r="J35" s="3">
        <f t="shared" si="13"/>
        <v>5142.8571428571431</v>
      </c>
      <c r="K35" s="3">
        <v>0</v>
      </c>
      <c r="L35" s="3">
        <v>0</v>
      </c>
      <c r="M35" s="3">
        <v>0</v>
      </c>
      <c r="N35" s="3"/>
      <c r="O35">
        <v>7</v>
      </c>
      <c r="P35" t="s">
        <v>84</v>
      </c>
    </row>
    <row r="36" spans="1:16" x14ac:dyDescent="0.25">
      <c r="A36" t="s">
        <v>43</v>
      </c>
      <c r="D36" s="3">
        <f t="shared" ref="D36:M36" si="14">D53/$O$36</f>
        <v>2907.6923076923076</v>
      </c>
      <c r="E36" s="3">
        <f t="shared" si="14"/>
        <v>2907.6923076923076</v>
      </c>
      <c r="F36" s="3">
        <f t="shared" si="14"/>
        <v>2907.6923076923076</v>
      </c>
      <c r="G36" s="3">
        <f t="shared" si="14"/>
        <v>2907.6923076923076</v>
      </c>
      <c r="H36" s="3">
        <f t="shared" si="14"/>
        <v>2907.6923076923076</v>
      </c>
      <c r="I36" s="3">
        <f t="shared" si="14"/>
        <v>2907.6923076923076</v>
      </c>
      <c r="J36" s="3">
        <f t="shared" si="14"/>
        <v>2907.6923076923076</v>
      </c>
      <c r="K36" s="3">
        <f t="shared" si="14"/>
        <v>2907.6923076923076</v>
      </c>
      <c r="L36" s="3">
        <f t="shared" si="14"/>
        <v>2907.6923076923076</v>
      </c>
      <c r="M36" s="3">
        <f t="shared" si="14"/>
        <v>2907.6923076923076</v>
      </c>
      <c r="N36" s="3"/>
      <c r="O36">
        <v>39</v>
      </c>
      <c r="P36" t="s">
        <v>44</v>
      </c>
    </row>
    <row r="37" spans="1:16" x14ac:dyDescent="0.25">
      <c r="A37" t="s">
        <v>37</v>
      </c>
      <c r="D37" s="3">
        <f>Mortgage!$D$16</f>
        <v>4825.4096825418692</v>
      </c>
      <c r="E37" s="3">
        <f>Mortgage!$D$30</f>
        <v>4562.034669683283</v>
      </c>
      <c r="F37" s="3">
        <f>Mortgage!$D$44</f>
        <v>4289.8898973850428</v>
      </c>
      <c r="G37" s="3">
        <f>Mortgage!$D$58</f>
        <v>4008.6833535849746</v>
      </c>
      <c r="H37" s="3">
        <f>Mortgage!$D$72</f>
        <v>3718.1133029160637</v>
      </c>
      <c r="I37" s="3">
        <f>Mortgage!$D$86</f>
        <v>3417.8679629435965</v>
      </c>
      <c r="J37" s="3">
        <f>Mortgage!$D$100</f>
        <v>3107.6251696217896</v>
      </c>
      <c r="K37" s="3">
        <f>Mortgage!$D$114</f>
        <v>2787.0520316109087</v>
      </c>
      <c r="L37" s="3">
        <f>Mortgage!$D$128</f>
        <v>2455.8045730839804</v>
      </c>
      <c r="M37" s="3">
        <f>Mortgage!$D$142</f>
        <v>2113.52736463982</v>
      </c>
      <c r="N37" s="3"/>
      <c r="O37" s="20">
        <f>Mortgage!J6</f>
        <v>15</v>
      </c>
      <c r="P37" t="s">
        <v>216</v>
      </c>
    </row>
    <row r="38" spans="1:16" x14ac:dyDescent="0.25">
      <c r="A38" t="s">
        <v>38</v>
      </c>
      <c r="D38" s="3">
        <f t="shared" ref="D38:M38" si="15">D65*$O$38</f>
        <v>4204.5936926298218</v>
      </c>
      <c r="E38" s="3">
        <f t="shared" si="15"/>
        <v>3760.4</v>
      </c>
      <c r="F38" s="3">
        <f t="shared" si="15"/>
        <v>4258.1000000000004</v>
      </c>
      <c r="G38" s="3">
        <f t="shared" si="15"/>
        <v>5530</v>
      </c>
      <c r="H38" s="3">
        <f t="shared" si="15"/>
        <v>6857.2</v>
      </c>
      <c r="I38" s="3">
        <f t="shared" si="15"/>
        <v>8848</v>
      </c>
      <c r="J38" s="3">
        <f t="shared" si="15"/>
        <v>10783.5</v>
      </c>
      <c r="K38" s="3">
        <f t="shared" si="15"/>
        <v>13272</v>
      </c>
      <c r="L38" s="3">
        <f t="shared" si="15"/>
        <v>16590</v>
      </c>
      <c r="M38" s="3">
        <f t="shared" si="15"/>
        <v>19355</v>
      </c>
      <c r="N38" s="3"/>
      <c r="O38" s="7">
        <f>$N$125</f>
        <v>5.5300000000000002E-2</v>
      </c>
      <c r="P38" t="s">
        <v>85</v>
      </c>
    </row>
    <row r="39" spans="1:16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6" x14ac:dyDescent="0.25">
      <c r="A40" t="s">
        <v>13</v>
      </c>
      <c r="D40" s="3">
        <f t="shared" ref="D40:M40" si="16">D21-D23-D33-SUM(D35:D38)</f>
        <v>12817.878873593923</v>
      </c>
      <c r="E40" s="3">
        <f t="shared" si="16"/>
        <v>-4037.8419307121985</v>
      </c>
      <c r="F40" s="3">
        <f t="shared" si="16"/>
        <v>-16615.575015270115</v>
      </c>
      <c r="G40" s="3">
        <f t="shared" si="16"/>
        <v>-26311.82567526936</v>
      </c>
      <c r="H40" s="3">
        <f t="shared" si="16"/>
        <v>-33502.559025339971</v>
      </c>
      <c r="I40" s="3">
        <f t="shared" si="16"/>
        <v>-39562.403691126776</v>
      </c>
      <c r="J40" s="3">
        <f t="shared" si="16"/>
        <v>-44308.809879582885</v>
      </c>
      <c r="K40" s="3">
        <f t="shared" si="16"/>
        <v>-43582.582783260754</v>
      </c>
      <c r="L40" s="3">
        <f t="shared" si="16"/>
        <v>-48208.604429163344</v>
      </c>
      <c r="M40" s="3">
        <f t="shared" si="16"/>
        <v>-51845.296006572193</v>
      </c>
      <c r="N40" s="3"/>
    </row>
    <row r="41" spans="1:16" x14ac:dyDescent="0.25">
      <c r="A41" t="s">
        <v>14</v>
      </c>
      <c r="D41" s="3">
        <f>IF(D40&gt;0,(D40*$O$41),0)</f>
        <v>3845.3636620781767</v>
      </c>
      <c r="E41" s="3">
        <f t="shared" ref="E41:M41" si="17">IF(E40&gt;0,(E40*$O$41),0)</f>
        <v>0</v>
      </c>
      <c r="F41" s="3">
        <f t="shared" si="17"/>
        <v>0</v>
      </c>
      <c r="G41" s="3">
        <f t="shared" si="17"/>
        <v>0</v>
      </c>
      <c r="H41" s="3">
        <f t="shared" si="17"/>
        <v>0</v>
      </c>
      <c r="I41" s="3">
        <f t="shared" si="17"/>
        <v>0</v>
      </c>
      <c r="J41" s="3">
        <f t="shared" si="17"/>
        <v>0</v>
      </c>
      <c r="K41" s="3">
        <f t="shared" si="17"/>
        <v>0</v>
      </c>
      <c r="L41" s="3">
        <f t="shared" si="17"/>
        <v>0</v>
      </c>
      <c r="M41" s="3">
        <f t="shared" si="17"/>
        <v>0</v>
      </c>
      <c r="N41" s="3"/>
      <c r="O41" s="20">
        <v>0.3</v>
      </c>
      <c r="P41" t="s">
        <v>71</v>
      </c>
    </row>
    <row r="42" spans="1:16" x14ac:dyDescent="0.25">
      <c r="A42" s="1" t="s">
        <v>15</v>
      </c>
      <c r="D42" s="21">
        <f>D40-D41</f>
        <v>8972.5152115157471</v>
      </c>
      <c r="E42" s="21">
        <f t="shared" ref="E42:M42" si="18">E40-E41</f>
        <v>-4037.8419307121985</v>
      </c>
      <c r="F42" s="21">
        <f t="shared" si="18"/>
        <v>-16615.575015270115</v>
      </c>
      <c r="G42" s="21">
        <f t="shared" si="18"/>
        <v>-26311.82567526936</v>
      </c>
      <c r="H42" s="21">
        <f t="shared" si="18"/>
        <v>-33502.559025339971</v>
      </c>
      <c r="I42" s="21">
        <f t="shared" si="18"/>
        <v>-39562.403691126776</v>
      </c>
      <c r="J42" s="21">
        <f t="shared" si="18"/>
        <v>-44308.809879582885</v>
      </c>
      <c r="K42" s="21">
        <f t="shared" si="18"/>
        <v>-43582.582783260754</v>
      </c>
      <c r="L42" s="21">
        <f t="shared" si="18"/>
        <v>-48208.604429163344</v>
      </c>
      <c r="M42" s="21">
        <f t="shared" si="18"/>
        <v>-51845.296006572193</v>
      </c>
      <c r="N42" s="21"/>
    </row>
    <row r="43" spans="1:16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x14ac:dyDescent="0.25">
      <c r="A44" s="117" t="s">
        <v>16</v>
      </c>
      <c r="B44" s="1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x14ac:dyDescent="0.25">
      <c r="A45" t="s">
        <v>17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6" x14ac:dyDescent="0.25">
      <c r="B46" s="20" t="s">
        <v>19</v>
      </c>
      <c r="D46" s="3">
        <f t="shared" ref="D46:M46" si="19">D21*$O$46</f>
        <v>10007.392500000002</v>
      </c>
      <c r="E46" s="3">
        <f t="shared" si="19"/>
        <v>7005.1747500000001</v>
      </c>
      <c r="F46" s="3">
        <f t="shared" si="19"/>
        <v>4903.6223249999994</v>
      </c>
      <c r="G46" s="3">
        <f t="shared" si="19"/>
        <v>3432.5356274999995</v>
      </c>
      <c r="H46" s="3">
        <f t="shared" si="19"/>
        <v>2402.7749392499995</v>
      </c>
      <c r="I46" s="3">
        <f t="shared" si="19"/>
        <v>1681.9424574749996</v>
      </c>
      <c r="J46" s="3">
        <f t="shared" si="19"/>
        <v>1177.3597202324995</v>
      </c>
      <c r="K46" s="3">
        <f t="shared" si="19"/>
        <v>824.15180416274961</v>
      </c>
      <c r="L46" s="3">
        <f t="shared" si="19"/>
        <v>576.90626291392471</v>
      </c>
      <c r="M46" s="3">
        <f t="shared" si="19"/>
        <v>403.83438403974719</v>
      </c>
      <c r="N46" s="3"/>
      <c r="O46" s="28">
        <v>0.05</v>
      </c>
      <c r="P46" t="s">
        <v>78</v>
      </c>
    </row>
    <row r="47" spans="1:16" x14ac:dyDescent="0.25">
      <c r="B47" s="20" t="s">
        <v>18</v>
      </c>
      <c r="D47" s="3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/>
      <c r="K47" s="3"/>
      <c r="L47" s="3"/>
      <c r="M47" s="3"/>
      <c r="N47" s="3"/>
    </row>
    <row r="48" spans="1:16" x14ac:dyDescent="0.25">
      <c r="B48" t="s">
        <v>20</v>
      </c>
      <c r="D48" s="3">
        <f t="shared" ref="D48:M48" si="20">(D21/365)*$D$12</f>
        <v>8225.254109589041</v>
      </c>
      <c r="E48" s="3">
        <f t="shared" si="20"/>
        <v>5757.6778767123287</v>
      </c>
      <c r="F48" s="3">
        <f t="shared" si="20"/>
        <v>4030.3745136986295</v>
      </c>
      <c r="G48" s="3">
        <f t="shared" si="20"/>
        <v>2821.2621595890405</v>
      </c>
      <c r="H48" s="3">
        <f t="shared" si="20"/>
        <v>1974.8835117123283</v>
      </c>
      <c r="I48" s="3">
        <f t="shared" si="20"/>
        <v>1382.4184581986297</v>
      </c>
      <c r="J48" s="3">
        <f t="shared" si="20"/>
        <v>967.69292073904057</v>
      </c>
      <c r="K48" s="3">
        <f t="shared" si="20"/>
        <v>677.38504451732842</v>
      </c>
      <c r="L48" s="3">
        <f t="shared" si="20"/>
        <v>474.16953116212983</v>
      </c>
      <c r="M48" s="3">
        <f t="shared" si="20"/>
        <v>331.91867181349085</v>
      </c>
      <c r="N48" s="3"/>
      <c r="P48" t="s">
        <v>80</v>
      </c>
    </row>
    <row r="49" spans="1:20" x14ac:dyDescent="0.25">
      <c r="B49" t="s">
        <v>21</v>
      </c>
      <c r="D49" s="3">
        <f t="shared" ref="D49:M49" si="21">(D23/365)*$D$10</f>
        <v>42058.466013698628</v>
      </c>
      <c r="E49" s="3">
        <f t="shared" si="21"/>
        <v>29440.926209589041</v>
      </c>
      <c r="F49" s="3">
        <f t="shared" si="21"/>
        <v>20608.648346712325</v>
      </c>
      <c r="G49" s="3">
        <f t="shared" si="21"/>
        <v>14426.053842698626</v>
      </c>
      <c r="H49" s="3">
        <f t="shared" si="21"/>
        <v>10098.23768988904</v>
      </c>
      <c r="I49" s="3">
        <f t="shared" si="21"/>
        <v>7068.7663829223266</v>
      </c>
      <c r="J49" s="3">
        <f t="shared" si="21"/>
        <v>4948.1364680456281</v>
      </c>
      <c r="K49" s="3">
        <f t="shared" si="21"/>
        <v>3463.6955276319395</v>
      </c>
      <c r="L49" s="3">
        <f t="shared" si="21"/>
        <v>2424.5868693423572</v>
      </c>
      <c r="M49" s="3">
        <f t="shared" si="21"/>
        <v>1697.2108085396499</v>
      </c>
      <c r="N49" s="3"/>
      <c r="O49" s="17">
        <f>D10</f>
        <v>118</v>
      </c>
      <c r="P49" t="s">
        <v>79</v>
      </c>
    </row>
    <row r="50" spans="1:20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20" x14ac:dyDescent="0.25">
      <c r="B51" t="s">
        <v>22</v>
      </c>
      <c r="D51" s="3">
        <v>36000</v>
      </c>
      <c r="E51" s="3">
        <f>D51</f>
        <v>36000</v>
      </c>
      <c r="F51" s="3">
        <f t="shared" ref="F51:M51" si="22">E51</f>
        <v>36000</v>
      </c>
      <c r="G51" s="3">
        <f t="shared" si="22"/>
        <v>36000</v>
      </c>
      <c r="H51" s="3">
        <f t="shared" si="22"/>
        <v>36000</v>
      </c>
      <c r="I51" s="3">
        <f t="shared" si="22"/>
        <v>36000</v>
      </c>
      <c r="J51" s="3">
        <f t="shared" si="22"/>
        <v>36000</v>
      </c>
      <c r="K51" s="3">
        <f t="shared" si="22"/>
        <v>36000</v>
      </c>
      <c r="L51" s="3">
        <f t="shared" si="22"/>
        <v>36000</v>
      </c>
      <c r="M51" s="3">
        <f t="shared" si="22"/>
        <v>36000</v>
      </c>
      <c r="N51" s="3"/>
    </row>
    <row r="52" spans="1:20" x14ac:dyDescent="0.25">
      <c r="B52" s="2" t="s">
        <v>23</v>
      </c>
      <c r="D52" s="3">
        <f>D35</f>
        <v>5142.8571428571431</v>
      </c>
      <c r="E52" s="3">
        <f>D52+E35</f>
        <v>10285.714285714286</v>
      </c>
      <c r="F52" s="3">
        <f t="shared" ref="F52:M52" si="23">E52+F35</f>
        <v>15428.571428571429</v>
      </c>
      <c r="G52" s="3">
        <f t="shared" si="23"/>
        <v>20571.428571428572</v>
      </c>
      <c r="H52" s="3">
        <f t="shared" si="23"/>
        <v>25714.285714285717</v>
      </c>
      <c r="I52" s="3">
        <f t="shared" si="23"/>
        <v>30857.142857142862</v>
      </c>
      <c r="J52" s="3">
        <f t="shared" si="23"/>
        <v>36000.000000000007</v>
      </c>
      <c r="K52" s="3">
        <f t="shared" si="23"/>
        <v>36000.000000000007</v>
      </c>
      <c r="L52" s="3">
        <f t="shared" si="23"/>
        <v>36000.000000000007</v>
      </c>
      <c r="M52" s="3">
        <f t="shared" si="23"/>
        <v>36000.000000000007</v>
      </c>
      <c r="N52" s="3"/>
    </row>
    <row r="53" spans="1:20" x14ac:dyDescent="0.25">
      <c r="B53" s="4" t="s">
        <v>39</v>
      </c>
      <c r="D53" s="3">
        <f>Mortgage!$I$12</f>
        <v>113400</v>
      </c>
      <c r="E53" s="3">
        <f>Mortgage!$I$12</f>
        <v>113400</v>
      </c>
      <c r="F53" s="3">
        <f>Mortgage!$I$12</f>
        <v>113400</v>
      </c>
      <c r="G53" s="3">
        <f>Mortgage!$I$12</f>
        <v>113400</v>
      </c>
      <c r="H53" s="3">
        <f>Mortgage!$I$12</f>
        <v>113400</v>
      </c>
      <c r="I53" s="3">
        <f>Mortgage!$I$12</f>
        <v>113400</v>
      </c>
      <c r="J53" s="3">
        <f>Mortgage!$I$12</f>
        <v>113400</v>
      </c>
      <c r="K53" s="3">
        <f>Mortgage!$I$12</f>
        <v>113400</v>
      </c>
      <c r="L53" s="3">
        <f>Mortgage!$I$12</f>
        <v>113400</v>
      </c>
      <c r="M53" s="3">
        <f>Mortgage!$I$12</f>
        <v>113400</v>
      </c>
      <c r="N53" s="3"/>
      <c r="Q53" t="s">
        <v>221</v>
      </c>
      <c r="R53" s="3">
        <f>H58</f>
        <v>233623.14888810413</v>
      </c>
    </row>
    <row r="54" spans="1:20" x14ac:dyDescent="0.25">
      <c r="B54" s="2" t="s">
        <v>40</v>
      </c>
      <c r="D54" s="3">
        <f>D36</f>
        <v>2907.6923076923076</v>
      </c>
      <c r="E54" s="3">
        <f>D54+E36</f>
        <v>5815.3846153846152</v>
      </c>
      <c r="F54" s="3">
        <f t="shared" ref="F54:M54" si="24">E54+F36</f>
        <v>8723.076923076922</v>
      </c>
      <c r="G54" s="3">
        <f t="shared" si="24"/>
        <v>11630.76923076923</v>
      </c>
      <c r="H54" s="3">
        <f t="shared" si="24"/>
        <v>14538.461538461539</v>
      </c>
      <c r="I54" s="3">
        <f t="shared" si="24"/>
        <v>17446.153846153848</v>
      </c>
      <c r="J54" s="3">
        <f t="shared" si="24"/>
        <v>20353.846153846156</v>
      </c>
      <c r="K54" s="3">
        <f t="shared" si="24"/>
        <v>23261.538461538465</v>
      </c>
      <c r="L54" s="3">
        <f t="shared" si="24"/>
        <v>26169.230769230773</v>
      </c>
      <c r="M54" s="3">
        <f t="shared" si="24"/>
        <v>29076.923076923082</v>
      </c>
      <c r="N54" s="3"/>
      <c r="Q54" t="s">
        <v>222</v>
      </c>
      <c r="R54" s="3">
        <f>H64+H65</f>
        <v>232448.45070048957</v>
      </c>
    </row>
    <row r="55" spans="1:20" x14ac:dyDescent="0.25">
      <c r="B55" s="4" t="s">
        <v>118</v>
      </c>
      <c r="D55" s="3">
        <f>Mortgage!$I$14</f>
        <v>75000</v>
      </c>
      <c r="E55" s="3">
        <f>Mortgage!$I$14</f>
        <v>75000</v>
      </c>
      <c r="F55" s="3">
        <f>Mortgage!$I$14</f>
        <v>75000</v>
      </c>
      <c r="G55" s="3">
        <f>Mortgage!$I$14</f>
        <v>75000</v>
      </c>
      <c r="H55" s="3">
        <f>Mortgage!$I$14</f>
        <v>75000</v>
      </c>
      <c r="I55" s="3">
        <f>Mortgage!$I$14</f>
        <v>75000</v>
      </c>
      <c r="J55" s="3">
        <f>Mortgage!$I$14</f>
        <v>75000</v>
      </c>
      <c r="K55" s="3">
        <f>Mortgage!$I$14</f>
        <v>75000</v>
      </c>
      <c r="L55" s="3">
        <f>Mortgage!$I$14</f>
        <v>75000</v>
      </c>
      <c r="M55" s="3">
        <f>Mortgage!$I$14</f>
        <v>75000</v>
      </c>
      <c r="N55" s="3"/>
    </row>
    <row r="56" spans="1:20" x14ac:dyDescent="0.25">
      <c r="B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0" x14ac:dyDescent="0.25">
      <c r="B57" s="4" t="s">
        <v>120</v>
      </c>
      <c r="D57" s="33">
        <v>35000</v>
      </c>
      <c r="E57" s="33">
        <f>D57</f>
        <v>35000</v>
      </c>
      <c r="F57" s="33">
        <f t="shared" ref="F57:M57" si="25">E57</f>
        <v>35000</v>
      </c>
      <c r="G57" s="33">
        <f t="shared" si="25"/>
        <v>35000</v>
      </c>
      <c r="H57" s="33">
        <f t="shared" si="25"/>
        <v>35000</v>
      </c>
      <c r="I57" s="33">
        <f t="shared" si="25"/>
        <v>35000</v>
      </c>
      <c r="J57" s="33">
        <f t="shared" si="25"/>
        <v>35000</v>
      </c>
      <c r="K57" s="33">
        <f t="shared" si="25"/>
        <v>35000</v>
      </c>
      <c r="L57" s="33">
        <f t="shared" si="25"/>
        <v>35000</v>
      </c>
      <c r="M57" s="33">
        <f t="shared" si="25"/>
        <v>35000</v>
      </c>
      <c r="N57" s="3"/>
      <c r="O57" s="20"/>
    </row>
    <row r="58" spans="1:20" x14ac:dyDescent="0.25">
      <c r="B58" s="1" t="s">
        <v>25</v>
      </c>
      <c r="C58" s="1"/>
      <c r="D58" s="21">
        <f>SUM(D46:D49)+(D51-D52)+(D53-D54)+D55+D57</f>
        <v>311640.56317273818</v>
      </c>
      <c r="E58" s="21">
        <f t="shared" ref="E58:M58" si="26">SUM(E46:E49)+(E51-E52)+(E53-E54)+E55+E57</f>
        <v>285502.67993520247</v>
      </c>
      <c r="F58" s="21">
        <f t="shared" si="26"/>
        <v>264790.99683376262</v>
      </c>
      <c r="G58" s="21">
        <f t="shared" si="26"/>
        <v>247877.65382758988</v>
      </c>
      <c r="H58" s="21">
        <f t="shared" si="26"/>
        <v>233623.14888810413</v>
      </c>
      <c r="I58" s="21">
        <f t="shared" si="26"/>
        <v>221229.83059529925</v>
      </c>
      <c r="J58" s="21">
        <f t="shared" si="26"/>
        <v>210139.34295517101</v>
      </c>
      <c r="K58" s="21">
        <f t="shared" si="26"/>
        <v>205103.69391477352</v>
      </c>
      <c r="L58" s="21">
        <f t="shared" si="26"/>
        <v>200706.43189418764</v>
      </c>
      <c r="M58" s="21">
        <f t="shared" si="26"/>
        <v>196756.0407874698</v>
      </c>
      <c r="N58" s="21"/>
    </row>
    <row r="59" spans="1:20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20" x14ac:dyDescent="0.25">
      <c r="A60" t="s">
        <v>26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P60" s="16">
        <f>290000/1350</f>
        <v>214.81481481481481</v>
      </c>
    </row>
    <row r="61" spans="1:20" x14ac:dyDescent="0.25">
      <c r="B61" t="s">
        <v>27</v>
      </c>
      <c r="D61" s="3">
        <f>D41</f>
        <v>3845.3636620781767</v>
      </c>
      <c r="E61" s="3">
        <f t="shared" ref="E61:M61" si="27">E41</f>
        <v>0</v>
      </c>
      <c r="F61" s="3">
        <f t="shared" si="27"/>
        <v>0</v>
      </c>
      <c r="G61" s="3">
        <f t="shared" si="27"/>
        <v>0</v>
      </c>
      <c r="H61" s="3">
        <f t="shared" si="27"/>
        <v>0</v>
      </c>
      <c r="I61" s="3">
        <f t="shared" si="27"/>
        <v>0</v>
      </c>
      <c r="J61" s="3">
        <f t="shared" si="27"/>
        <v>0</v>
      </c>
      <c r="K61" s="3">
        <f t="shared" si="27"/>
        <v>0</v>
      </c>
      <c r="L61" s="3">
        <f t="shared" si="27"/>
        <v>0</v>
      </c>
      <c r="M61" s="3">
        <f t="shared" si="27"/>
        <v>0</v>
      </c>
      <c r="N61" s="3"/>
    </row>
    <row r="62" spans="1:20" x14ac:dyDescent="0.25">
      <c r="B62" s="20" t="s">
        <v>28</v>
      </c>
      <c r="D62" s="3">
        <f t="shared" ref="D62:M62" si="28">(D23/365)*$D$11</f>
        <v>9979.9749863013694</v>
      </c>
      <c r="E62" s="3">
        <f t="shared" si="28"/>
        <v>6985.9824904109591</v>
      </c>
      <c r="F62" s="3">
        <f t="shared" si="28"/>
        <v>4890.1877432876699</v>
      </c>
      <c r="G62" s="3">
        <f t="shared" si="28"/>
        <v>3423.131420301369</v>
      </c>
      <c r="H62" s="3">
        <f t="shared" si="28"/>
        <v>2396.1919942109585</v>
      </c>
      <c r="I62" s="3">
        <f t="shared" si="28"/>
        <v>1677.3343959476708</v>
      </c>
      <c r="J62" s="3">
        <f t="shared" si="28"/>
        <v>1174.1340771633693</v>
      </c>
      <c r="K62" s="3">
        <f t="shared" si="28"/>
        <v>821.89385401435857</v>
      </c>
      <c r="L62" s="3">
        <f t="shared" si="28"/>
        <v>575.32569781005088</v>
      </c>
      <c r="M62" s="3">
        <f t="shared" si="28"/>
        <v>402.72798846703557</v>
      </c>
      <c r="N62" s="3"/>
      <c r="P62" t="s">
        <v>81</v>
      </c>
    </row>
    <row r="63" spans="1:20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P63" s="100" t="s">
        <v>126</v>
      </c>
      <c r="Q63" s="100" t="s">
        <v>127</v>
      </c>
      <c r="R63" s="100" t="s">
        <v>128</v>
      </c>
      <c r="S63" s="100" t="s">
        <v>129</v>
      </c>
      <c r="T63" s="100" t="s">
        <v>130</v>
      </c>
    </row>
    <row r="64" spans="1:20" x14ac:dyDescent="0.25">
      <c r="B64" t="s">
        <v>42</v>
      </c>
      <c r="D64" s="3">
        <f>Mortgage!$F$15</f>
        <v>142810.27364141756</v>
      </c>
      <c r="E64" s="3">
        <f>Mortgage!$F$29</f>
        <v>134637.17226997649</v>
      </c>
      <c r="F64" s="3">
        <f>Mortgage!$F$43</f>
        <v>126191.9261262372</v>
      </c>
      <c r="G64" s="3">
        <f>Mortgage!$F$57</f>
        <v>117465.47343869785</v>
      </c>
      <c r="H64" s="3">
        <f>Mortgage!$F$71</f>
        <v>108448.45070048957</v>
      </c>
      <c r="I64" s="3">
        <f>Mortgage!$F$85</f>
        <v>99131.182622308828</v>
      </c>
      <c r="J64" s="3">
        <f>Mortgage!$F$99</f>
        <v>89503.671750806287</v>
      </c>
      <c r="K64" s="3">
        <f>Mortgage!$F$113</f>
        <v>79555.587741292882</v>
      </c>
      <c r="L64" s="3">
        <f>Mortgage!$F$127</f>
        <v>69276.256273252555</v>
      </c>
      <c r="M64" s="3">
        <f>Mortgage!$F$141</f>
        <v>58654.64759676806</v>
      </c>
      <c r="N64" s="3"/>
      <c r="P64" s="3">
        <f>AVERAGE(D64:M64)</f>
        <v>102567.46421612473</v>
      </c>
      <c r="Q64" s="29">
        <f>P64/P69</f>
        <v>0.44654514704615539</v>
      </c>
      <c r="R64" s="7">
        <f>Mortgage!$I$3</f>
        <v>3.2799999999999996E-2</v>
      </c>
      <c r="S64" s="29">
        <f>R64*(1-O41)</f>
        <v>2.2959999999999994E-2</v>
      </c>
      <c r="T64" s="7">
        <f>Q64*S64</f>
        <v>1.0252676576179726E-2</v>
      </c>
    </row>
    <row r="65" spans="1:20" x14ac:dyDescent="0.25">
      <c r="B65" s="20" t="s">
        <v>32</v>
      </c>
      <c r="D65" s="33">
        <v>76032.435671425352</v>
      </c>
      <c r="E65" s="33">
        <v>68000</v>
      </c>
      <c r="F65" s="33">
        <v>77000</v>
      </c>
      <c r="G65" s="3">
        <v>100000</v>
      </c>
      <c r="H65" s="3">
        <v>124000</v>
      </c>
      <c r="I65" s="3">
        <v>160000</v>
      </c>
      <c r="J65" s="3">
        <v>195000</v>
      </c>
      <c r="K65" s="3">
        <v>240000</v>
      </c>
      <c r="L65" s="3">
        <v>300000</v>
      </c>
      <c r="M65" s="3">
        <v>350000</v>
      </c>
      <c r="N65" s="3"/>
      <c r="O65" s="3"/>
      <c r="P65" s="3">
        <f>AVERAGE(D65:M65)</f>
        <v>169003.24356714255</v>
      </c>
      <c r="Q65" s="29">
        <f>P65/P69</f>
        <v>0.73578477177660939</v>
      </c>
      <c r="R65" s="29">
        <f>$O$38</f>
        <v>5.5300000000000002E-2</v>
      </c>
      <c r="S65" s="29">
        <f>R65*(1-O41)</f>
        <v>3.8710000000000001E-2</v>
      </c>
      <c r="T65" s="7">
        <f>Q65*S65</f>
        <v>2.8482228515472552E-2</v>
      </c>
    </row>
    <row r="66" spans="1:20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Q66" s="28"/>
    </row>
    <row r="67" spans="1:20" x14ac:dyDescent="0.25">
      <c r="B67" t="s">
        <v>33</v>
      </c>
      <c r="D67" s="33">
        <v>70000</v>
      </c>
      <c r="E67" s="33">
        <f>D67</f>
        <v>70000</v>
      </c>
      <c r="F67" s="33">
        <f t="shared" ref="F67:M67" si="29">E67</f>
        <v>70000</v>
      </c>
      <c r="G67" s="33">
        <f t="shared" si="29"/>
        <v>70000</v>
      </c>
      <c r="H67" s="33">
        <f t="shared" si="29"/>
        <v>70000</v>
      </c>
      <c r="I67" s="33">
        <f t="shared" si="29"/>
        <v>70000</v>
      </c>
      <c r="J67" s="33">
        <f t="shared" si="29"/>
        <v>70000</v>
      </c>
      <c r="K67" s="33">
        <f t="shared" si="29"/>
        <v>70000</v>
      </c>
      <c r="L67" s="33">
        <f t="shared" si="29"/>
        <v>70000</v>
      </c>
      <c r="M67" s="33">
        <f t="shared" si="29"/>
        <v>70000</v>
      </c>
      <c r="N67" s="3"/>
      <c r="P67" s="3">
        <f>AVERAGE(D67:M67)</f>
        <v>70000</v>
      </c>
      <c r="Q67" s="29">
        <f>SUM(P67:P68)/$P$69</f>
        <v>-0.18232991882276467</v>
      </c>
      <c r="R67" s="29">
        <f>$D$7</f>
        <v>-0.21608898949544447</v>
      </c>
      <c r="S67" s="29">
        <f>$D$7</f>
        <v>-0.21608898949544447</v>
      </c>
      <c r="T67" s="29">
        <f>Q67*S67</f>
        <v>3.9399487913197639E-2</v>
      </c>
    </row>
    <row r="68" spans="1:20" x14ac:dyDescent="0.25">
      <c r="B68" t="s">
        <v>34</v>
      </c>
      <c r="D68" s="3">
        <f>D42</f>
        <v>8972.5152115157471</v>
      </c>
      <c r="E68" s="3">
        <f>D68+E42</f>
        <v>4934.6732808035486</v>
      </c>
      <c r="F68" s="3">
        <f t="shared" ref="F68:M68" si="30">E68+F42</f>
        <v>-11680.901734466566</v>
      </c>
      <c r="G68" s="3">
        <f t="shared" si="30"/>
        <v>-37992.727409735926</v>
      </c>
      <c r="H68" s="3">
        <f t="shared" si="30"/>
        <v>-71495.28643507589</v>
      </c>
      <c r="I68" s="3">
        <f t="shared" si="30"/>
        <v>-111057.69012620267</v>
      </c>
      <c r="J68" s="3">
        <f t="shared" si="30"/>
        <v>-155366.50000578555</v>
      </c>
      <c r="K68" s="3">
        <f t="shared" si="30"/>
        <v>-198949.08278904631</v>
      </c>
      <c r="L68" s="3">
        <f t="shared" si="30"/>
        <v>-247157.68721820967</v>
      </c>
      <c r="M68" s="3">
        <f t="shared" si="30"/>
        <v>-299002.98322478187</v>
      </c>
      <c r="N68" s="3"/>
      <c r="P68" s="31">
        <f>AVERAGE(D68:M68)</f>
        <v>-111879.56704509852</v>
      </c>
      <c r="Q68" s="26"/>
      <c r="T68" s="26"/>
    </row>
    <row r="69" spans="1:20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P69" s="3">
        <f>SUM(P64:P68)</f>
        <v>229691.14073816873</v>
      </c>
      <c r="Q69" s="24">
        <f>SUM(Q64:Q67)</f>
        <v>1</v>
      </c>
      <c r="S69" s="34" t="s">
        <v>131</v>
      </c>
      <c r="T69" s="7">
        <f>T64+T65+T67</f>
        <v>7.8134393004849922E-2</v>
      </c>
    </row>
    <row r="70" spans="1:20" x14ac:dyDescent="0.25">
      <c r="B70" s="1" t="s">
        <v>35</v>
      </c>
      <c r="C70" s="1"/>
      <c r="D70" s="21">
        <f>SUM(D61:D68)</f>
        <v>311640.56317273824</v>
      </c>
      <c r="E70" s="21">
        <f t="shared" ref="E70:M70" si="31">SUM(E61:E68)</f>
        <v>284557.82804119104</v>
      </c>
      <c r="F70" s="21">
        <f t="shared" si="31"/>
        <v>266401.21213505836</v>
      </c>
      <c r="G70" s="21">
        <f t="shared" si="31"/>
        <v>252895.87744926332</v>
      </c>
      <c r="H70" s="21">
        <f t="shared" si="31"/>
        <v>233349.35625962462</v>
      </c>
      <c r="I70" s="21">
        <f t="shared" si="31"/>
        <v>219750.82689205382</v>
      </c>
      <c r="J70" s="21">
        <f t="shared" si="31"/>
        <v>200311.30582218413</v>
      </c>
      <c r="K70" s="21">
        <f t="shared" si="31"/>
        <v>191428.39880626093</v>
      </c>
      <c r="L70" s="21">
        <f t="shared" si="31"/>
        <v>192693.89475285291</v>
      </c>
      <c r="M70" s="21">
        <f t="shared" si="31"/>
        <v>180054.3923604532</v>
      </c>
      <c r="N70" s="21"/>
    </row>
    <row r="71" spans="1:20" x14ac:dyDescent="0.25">
      <c r="B71" t="s">
        <v>124</v>
      </c>
      <c r="D71" s="3">
        <f>D70-SUM(D61:D62)</f>
        <v>297815.22452435869</v>
      </c>
      <c r="E71" s="3">
        <f t="shared" ref="E71:M71" si="32">E70-SUM(E61:E62)</f>
        <v>277571.84555078007</v>
      </c>
      <c r="F71" s="3">
        <f t="shared" si="32"/>
        <v>261511.02439177068</v>
      </c>
      <c r="G71" s="3">
        <f t="shared" si="32"/>
        <v>249472.74602896196</v>
      </c>
      <c r="H71" s="3">
        <f t="shared" si="32"/>
        <v>230953.16426541365</v>
      </c>
      <c r="I71" s="3">
        <f t="shared" si="32"/>
        <v>218073.49249610616</v>
      </c>
      <c r="J71" s="3">
        <f t="shared" si="32"/>
        <v>199137.17174502078</v>
      </c>
      <c r="K71" s="3">
        <f t="shared" si="32"/>
        <v>190606.50495224656</v>
      </c>
      <c r="L71" s="3">
        <f t="shared" si="32"/>
        <v>192118.56905504287</v>
      </c>
      <c r="M71" s="3">
        <f t="shared" si="32"/>
        <v>179651.66437198617</v>
      </c>
      <c r="N71" s="3"/>
      <c r="P71" s="155" t="s">
        <v>156</v>
      </c>
      <c r="Q71" s="156">
        <f>(Q64+Q65)/Q67</f>
        <v>-6.4845634027406023</v>
      </c>
    </row>
    <row r="72" spans="1:20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20" x14ac:dyDescent="0.25">
      <c r="B73" t="s">
        <v>36</v>
      </c>
      <c r="D73" s="33">
        <f>D58-D70</f>
        <v>0</v>
      </c>
      <c r="E73" s="3">
        <f t="shared" ref="E73:M73" si="33">E58-E70</f>
        <v>944.85189401142998</v>
      </c>
      <c r="F73" s="3">
        <f t="shared" si="33"/>
        <v>-1610.2153012957424</v>
      </c>
      <c r="G73" s="3">
        <f t="shared" si="33"/>
        <v>-5018.2236216734455</v>
      </c>
      <c r="H73" s="3">
        <f t="shared" si="33"/>
        <v>273.79262847951031</v>
      </c>
      <c r="I73" s="3">
        <f t="shared" si="33"/>
        <v>1479.0037032454275</v>
      </c>
      <c r="J73" s="3">
        <f t="shared" si="33"/>
        <v>9828.0371329868794</v>
      </c>
      <c r="K73" s="3">
        <f t="shared" si="33"/>
        <v>13675.295108512597</v>
      </c>
      <c r="L73" s="3">
        <f t="shared" si="33"/>
        <v>8012.5371413347311</v>
      </c>
      <c r="M73" s="3">
        <f t="shared" si="33"/>
        <v>16701.648427016597</v>
      </c>
      <c r="N73" s="3"/>
    </row>
    <row r="74" spans="1:20" x14ac:dyDescent="0.25">
      <c r="A74" s="26"/>
      <c r="B74" s="26"/>
      <c r="C74" s="26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26"/>
      <c r="P74" s="26"/>
      <c r="Q74" s="26"/>
      <c r="R74" s="26"/>
      <c r="S74" s="26"/>
      <c r="T74" s="26"/>
    </row>
    <row r="75" spans="1:20" x14ac:dyDescent="0.25">
      <c r="A75" s="119" t="s">
        <v>133</v>
      </c>
      <c r="B75" s="11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20" x14ac:dyDescent="0.25">
      <c r="C76" s="19">
        <v>0</v>
      </c>
      <c r="D76" s="19">
        <v>1</v>
      </c>
      <c r="E76" s="19">
        <v>2</v>
      </c>
      <c r="F76" s="19">
        <v>3</v>
      </c>
      <c r="G76" s="19">
        <v>4</v>
      </c>
      <c r="H76" s="19">
        <v>5</v>
      </c>
      <c r="I76" s="19">
        <v>6</v>
      </c>
      <c r="J76" s="19">
        <v>7</v>
      </c>
      <c r="K76" s="19">
        <v>8</v>
      </c>
      <c r="L76" s="19">
        <v>9</v>
      </c>
      <c r="M76" s="19">
        <v>10</v>
      </c>
      <c r="N76" s="3"/>
    </row>
    <row r="77" spans="1:20" x14ac:dyDescent="0.25">
      <c r="A77" s="1" t="s">
        <v>134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20" x14ac:dyDescent="0.25">
      <c r="B78" t="s">
        <v>135</v>
      </c>
      <c r="D78" s="3">
        <f>D21-D23-D33</f>
        <v>29898.431699315064</v>
      </c>
      <c r="E78" s="3">
        <f t="shared" ref="E78:M78" si="34">E21-E23-E33</f>
        <v>12335.142189520535</v>
      </c>
      <c r="F78" s="3">
        <f t="shared" si="34"/>
        <v>-17.035667335621838</v>
      </c>
      <c r="G78" s="3">
        <f t="shared" si="34"/>
        <v>-8722.5928711349334</v>
      </c>
      <c r="H78" s="3">
        <f t="shared" si="34"/>
        <v>-14876.696271874458</v>
      </c>
      <c r="I78" s="3">
        <f t="shared" si="34"/>
        <v>-19245.986277633725</v>
      </c>
      <c r="J78" s="3">
        <f t="shared" si="34"/>
        <v>-22367.13525941164</v>
      </c>
      <c r="K78" s="3">
        <f t="shared" si="34"/>
        <v>-24615.838443957538</v>
      </c>
      <c r="L78" s="3">
        <f t="shared" si="34"/>
        <v>-26255.107548387059</v>
      </c>
      <c r="M78" s="3">
        <f t="shared" si="34"/>
        <v>-27469.076334240064</v>
      </c>
      <c r="N78" s="3"/>
    </row>
    <row r="79" spans="1:20" x14ac:dyDescent="0.25">
      <c r="B79" t="s">
        <v>136</v>
      </c>
      <c r="D79" s="3">
        <f>SUM(D35:D36)</f>
        <v>8050.5494505494507</v>
      </c>
      <c r="E79" s="3">
        <f t="shared" ref="E79:M79" si="35">SUM(E35:E36)</f>
        <v>8050.5494505494507</v>
      </c>
      <c r="F79" s="3">
        <f t="shared" si="35"/>
        <v>8050.5494505494507</v>
      </c>
      <c r="G79" s="3">
        <f t="shared" si="35"/>
        <v>8050.5494505494507</v>
      </c>
      <c r="H79" s="3">
        <f t="shared" si="35"/>
        <v>8050.5494505494507</v>
      </c>
      <c r="I79" s="3">
        <f t="shared" si="35"/>
        <v>8050.5494505494507</v>
      </c>
      <c r="J79" s="3">
        <f t="shared" si="35"/>
        <v>8050.5494505494507</v>
      </c>
      <c r="K79" s="3">
        <f t="shared" si="35"/>
        <v>2907.6923076923076</v>
      </c>
      <c r="L79" s="3">
        <f t="shared" si="35"/>
        <v>2907.6923076923076</v>
      </c>
      <c r="M79" s="3">
        <f t="shared" si="35"/>
        <v>2907.6923076923076</v>
      </c>
      <c r="N79" s="3"/>
    </row>
    <row r="80" spans="1:20" x14ac:dyDescent="0.25">
      <c r="B80" s="32" t="s">
        <v>137</v>
      </c>
      <c r="D80" s="3">
        <f>D78-D79</f>
        <v>21847.882248765614</v>
      </c>
      <c r="E80" s="3">
        <f t="shared" ref="E80:M80" si="36">E78-E79</f>
        <v>4284.5927389710841</v>
      </c>
      <c r="F80" s="3">
        <f t="shared" si="36"/>
        <v>-8067.5851178850726</v>
      </c>
      <c r="G80" s="3">
        <f t="shared" si="36"/>
        <v>-16773.142321684383</v>
      </c>
      <c r="H80" s="3">
        <f t="shared" si="36"/>
        <v>-22927.245722423908</v>
      </c>
      <c r="I80" s="3">
        <f t="shared" si="36"/>
        <v>-27296.535728183175</v>
      </c>
      <c r="J80" s="3">
        <f t="shared" si="36"/>
        <v>-30417.68470996109</v>
      </c>
      <c r="K80" s="3">
        <f t="shared" si="36"/>
        <v>-27523.530751649847</v>
      </c>
      <c r="L80" s="3">
        <f t="shared" si="36"/>
        <v>-29162.799856079368</v>
      </c>
      <c r="M80" s="3">
        <f t="shared" si="36"/>
        <v>-30376.768641932373</v>
      </c>
      <c r="N80" s="3"/>
    </row>
    <row r="81" spans="1:16" x14ac:dyDescent="0.25">
      <c r="B81" s="32" t="s">
        <v>148</v>
      </c>
      <c r="D81" s="3">
        <f>IF(D80&lt;=0,0,(D80*$O$41))</f>
        <v>6554.3646746296845</v>
      </c>
      <c r="E81" s="3">
        <f t="shared" ref="E81:M81" si="37">IF(E80&lt;=0,0,(E80*$O$41))</f>
        <v>1285.3778216913252</v>
      </c>
      <c r="F81" s="3">
        <f t="shared" si="37"/>
        <v>0</v>
      </c>
      <c r="G81" s="3">
        <f t="shared" si="37"/>
        <v>0</v>
      </c>
      <c r="H81" s="3">
        <f t="shared" si="37"/>
        <v>0</v>
      </c>
      <c r="I81" s="3">
        <f t="shared" si="37"/>
        <v>0</v>
      </c>
      <c r="J81" s="3">
        <f t="shared" si="37"/>
        <v>0</v>
      </c>
      <c r="K81" s="3">
        <f t="shared" si="37"/>
        <v>0</v>
      </c>
      <c r="L81" s="3">
        <f t="shared" si="37"/>
        <v>0</v>
      </c>
      <c r="M81" s="3">
        <f t="shared" si="37"/>
        <v>0</v>
      </c>
      <c r="N81" s="3"/>
    </row>
    <row r="82" spans="1:16" x14ac:dyDescent="0.25">
      <c r="A82" s="1" t="s">
        <v>138</v>
      </c>
      <c r="D82" s="3">
        <f>D78-D81</f>
        <v>23344.067024685381</v>
      </c>
      <c r="E82" s="3">
        <f t="shared" ref="E82:M82" si="38">E78-E81</f>
        <v>11049.76436782921</v>
      </c>
      <c r="F82" s="3">
        <f t="shared" si="38"/>
        <v>-17.035667335621838</v>
      </c>
      <c r="G82" s="3">
        <f t="shared" si="38"/>
        <v>-8722.5928711349334</v>
      </c>
      <c r="H82" s="3">
        <f t="shared" si="38"/>
        <v>-14876.696271874458</v>
      </c>
      <c r="I82" s="3">
        <f t="shared" si="38"/>
        <v>-19245.986277633725</v>
      </c>
      <c r="J82" s="3">
        <f t="shared" si="38"/>
        <v>-22367.13525941164</v>
      </c>
      <c r="K82" s="3">
        <f t="shared" si="38"/>
        <v>-24615.838443957538</v>
      </c>
      <c r="L82" s="3">
        <f t="shared" si="38"/>
        <v>-26255.107548387059</v>
      </c>
      <c r="M82" s="3">
        <f t="shared" si="38"/>
        <v>-27469.076334240064</v>
      </c>
      <c r="N82" s="3"/>
    </row>
    <row r="83" spans="1:16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6" x14ac:dyDescent="0.25">
      <c r="A84" s="1" t="s">
        <v>139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6" x14ac:dyDescent="0.25">
      <c r="A85" s="1" t="s">
        <v>140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6" x14ac:dyDescent="0.25">
      <c r="A86" s="1" t="s">
        <v>141</v>
      </c>
      <c r="B86" t="s">
        <v>22</v>
      </c>
      <c r="C86" s="3">
        <f>-(D51-C51)</f>
        <v>-36000</v>
      </c>
      <c r="D86" s="3">
        <f t="shared" ref="D86:L86" si="39">-(E51-D51)</f>
        <v>0</v>
      </c>
      <c r="E86" s="3">
        <f t="shared" si="39"/>
        <v>0</v>
      </c>
      <c r="F86" s="3">
        <f t="shared" si="39"/>
        <v>0</v>
      </c>
      <c r="G86" s="3">
        <f t="shared" si="39"/>
        <v>0</v>
      </c>
      <c r="H86" s="3">
        <f t="shared" si="39"/>
        <v>0</v>
      </c>
      <c r="I86" s="3">
        <f t="shared" si="39"/>
        <v>0</v>
      </c>
      <c r="J86" s="3">
        <f t="shared" si="39"/>
        <v>0</v>
      </c>
      <c r="K86" s="3">
        <f t="shared" si="39"/>
        <v>0</v>
      </c>
      <c r="L86" s="3">
        <f t="shared" si="39"/>
        <v>0</v>
      </c>
      <c r="M86" s="3">
        <f>-(N51-M51)</f>
        <v>36000</v>
      </c>
      <c r="N86" s="3"/>
      <c r="O86" t="s">
        <v>149</v>
      </c>
      <c r="P86" s="3">
        <f>M86-M52</f>
        <v>0</v>
      </c>
    </row>
    <row r="87" spans="1:16" x14ac:dyDescent="0.25">
      <c r="B87" s="4" t="s">
        <v>142</v>
      </c>
      <c r="D87" s="3"/>
      <c r="E87" s="3"/>
      <c r="F87" s="3"/>
      <c r="G87" s="3"/>
      <c r="H87" s="3"/>
      <c r="I87" s="3"/>
      <c r="J87" s="3"/>
      <c r="K87" s="3"/>
      <c r="L87" s="3"/>
      <c r="M87" s="3">
        <f>N87*M86</f>
        <v>-18000</v>
      </c>
      <c r="N87" s="28">
        <v>-0.5</v>
      </c>
      <c r="O87" t="s">
        <v>150</v>
      </c>
      <c r="P87" s="3">
        <f>SUM(M86:M87)-P86</f>
        <v>18000</v>
      </c>
    </row>
    <row r="88" spans="1:16" x14ac:dyDescent="0.25">
      <c r="A88" t="s">
        <v>141</v>
      </c>
      <c r="B88" s="4" t="s">
        <v>143</v>
      </c>
      <c r="D88" s="3"/>
      <c r="E88" s="3"/>
      <c r="F88" s="3"/>
      <c r="G88" s="3"/>
      <c r="H88" s="3"/>
      <c r="I88" s="3"/>
      <c r="J88" s="3"/>
      <c r="K88" s="3"/>
      <c r="L88" s="3"/>
      <c r="M88" s="3">
        <f>-(P87*$O$41)</f>
        <v>-5400</v>
      </c>
      <c r="N88" s="3"/>
    </row>
    <row r="89" spans="1:16" x14ac:dyDescent="0.25">
      <c r="A89" t="s">
        <v>141</v>
      </c>
      <c r="B89" s="4" t="s">
        <v>144</v>
      </c>
      <c r="C89" s="3">
        <f>-(D53-C53)</f>
        <v>-113400</v>
      </c>
      <c r="D89" s="3">
        <f t="shared" ref="D89:L89" si="40">-(E53-D53)</f>
        <v>0</v>
      </c>
      <c r="E89" s="3">
        <f t="shared" si="40"/>
        <v>0</v>
      </c>
      <c r="F89" s="3">
        <f t="shared" si="40"/>
        <v>0</v>
      </c>
      <c r="G89" s="3">
        <f t="shared" si="40"/>
        <v>0</v>
      </c>
      <c r="H89" s="3">
        <f t="shared" si="40"/>
        <v>0</v>
      </c>
      <c r="I89" s="3">
        <f t="shared" si="40"/>
        <v>0</v>
      </c>
      <c r="J89" s="3">
        <f t="shared" si="40"/>
        <v>0</v>
      </c>
      <c r="K89" s="3">
        <f t="shared" si="40"/>
        <v>0</v>
      </c>
      <c r="L89" s="3">
        <f t="shared" si="40"/>
        <v>0</v>
      </c>
      <c r="M89" s="3">
        <f>-(N53-M53)</f>
        <v>113400</v>
      </c>
      <c r="N89" s="3"/>
      <c r="O89" t="s">
        <v>149</v>
      </c>
      <c r="P89" s="3">
        <f>M89-M54</f>
        <v>84323.076923076922</v>
      </c>
    </row>
    <row r="90" spans="1:16" x14ac:dyDescent="0.25">
      <c r="B90" s="4" t="s">
        <v>142</v>
      </c>
      <c r="D90" s="3"/>
      <c r="E90" s="3"/>
      <c r="F90" s="3"/>
      <c r="G90" s="3"/>
      <c r="H90" s="3"/>
      <c r="I90" s="3"/>
      <c r="J90" s="3"/>
      <c r="K90" s="3"/>
      <c r="L90" s="3"/>
      <c r="M90" s="3">
        <f>N90*M89</f>
        <v>11340</v>
      </c>
      <c r="N90" s="28">
        <v>0.1</v>
      </c>
      <c r="O90" t="s">
        <v>150</v>
      </c>
      <c r="P90" s="3">
        <f>SUM(M89:M90)-P89</f>
        <v>40416.923076923078</v>
      </c>
    </row>
    <row r="91" spans="1:16" x14ac:dyDescent="0.25">
      <c r="A91" t="s">
        <v>141</v>
      </c>
      <c r="B91" s="4" t="s">
        <v>143</v>
      </c>
      <c r="D91" s="3"/>
      <c r="E91" s="3"/>
      <c r="F91" s="3"/>
      <c r="G91" s="3"/>
      <c r="H91" s="3"/>
      <c r="I91" s="3"/>
      <c r="J91" s="3"/>
      <c r="K91" s="3"/>
      <c r="L91" s="3"/>
      <c r="M91" s="3">
        <f>-(P90*$O$41)</f>
        <v>-12125.076923076924</v>
      </c>
      <c r="N91" s="3"/>
    </row>
    <row r="92" spans="1:16" x14ac:dyDescent="0.25">
      <c r="A92" t="s">
        <v>141</v>
      </c>
      <c r="B92" s="4" t="s">
        <v>145</v>
      </c>
      <c r="C92" s="3">
        <f>-(D55-C55)</f>
        <v>-75000</v>
      </c>
      <c r="D92" s="3">
        <f t="shared" ref="D92:L92" si="41">-(E55-D55)</f>
        <v>0</v>
      </c>
      <c r="E92" s="3">
        <f t="shared" si="41"/>
        <v>0</v>
      </c>
      <c r="F92" s="3">
        <f t="shared" si="41"/>
        <v>0</v>
      </c>
      <c r="G92" s="3">
        <f t="shared" si="41"/>
        <v>0</v>
      </c>
      <c r="H92" s="3">
        <f t="shared" si="41"/>
        <v>0</v>
      </c>
      <c r="I92" s="3">
        <f t="shared" si="41"/>
        <v>0</v>
      </c>
      <c r="J92" s="3">
        <f t="shared" si="41"/>
        <v>0</v>
      </c>
      <c r="K92" s="3">
        <f t="shared" si="41"/>
        <v>0</v>
      </c>
      <c r="L92" s="3">
        <f t="shared" si="41"/>
        <v>0</v>
      </c>
      <c r="M92" s="3">
        <f>-(N55-M55)</f>
        <v>75000</v>
      </c>
      <c r="N92" s="3"/>
      <c r="O92" t="s">
        <v>149</v>
      </c>
      <c r="P92" s="3">
        <f>M92</f>
        <v>75000</v>
      </c>
    </row>
    <row r="93" spans="1:16" x14ac:dyDescent="0.25">
      <c r="B93" s="4" t="s">
        <v>142</v>
      </c>
      <c r="D93" s="3"/>
      <c r="E93" s="3"/>
      <c r="F93" s="3"/>
      <c r="G93" s="3"/>
      <c r="H93" s="3"/>
      <c r="I93" s="3"/>
      <c r="J93" s="3"/>
      <c r="K93" s="3"/>
      <c r="L93" s="3"/>
      <c r="M93" s="3">
        <f>N93*M92</f>
        <v>15000</v>
      </c>
      <c r="N93" s="28">
        <v>0.2</v>
      </c>
      <c r="O93" t="s">
        <v>150</v>
      </c>
      <c r="P93" s="3">
        <f>SUM(M92:M93)-P92</f>
        <v>15000</v>
      </c>
    </row>
    <row r="94" spans="1:16" x14ac:dyDescent="0.25">
      <c r="A94" s="1" t="s">
        <v>141</v>
      </c>
      <c r="B94" s="4" t="s">
        <v>143</v>
      </c>
      <c r="D94" s="3"/>
      <c r="E94" s="3"/>
      <c r="F94" s="3"/>
      <c r="G94" s="3"/>
      <c r="H94" s="3"/>
      <c r="I94" s="3"/>
      <c r="J94" s="3"/>
      <c r="K94" s="3"/>
      <c r="L94" s="3"/>
      <c r="M94" s="3">
        <f>-(P93*$O$41)</f>
        <v>-4500</v>
      </c>
      <c r="N94" s="3"/>
    </row>
    <row r="95" spans="1:16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6" x14ac:dyDescent="0.25">
      <c r="A96" s="1" t="s">
        <v>146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6" x14ac:dyDescent="0.25">
      <c r="A97" t="s">
        <v>141</v>
      </c>
      <c r="B97" s="20" t="s">
        <v>19</v>
      </c>
      <c r="C97" s="3">
        <f>-(D46-C46)</f>
        <v>-10007.392500000002</v>
      </c>
      <c r="D97" s="3">
        <f t="shared" ref="D97:M100" si="42">-(E46-D46)</f>
        <v>3002.2177500000016</v>
      </c>
      <c r="E97" s="3">
        <f t="shared" si="42"/>
        <v>2101.5524250000008</v>
      </c>
      <c r="F97" s="3">
        <f t="shared" si="42"/>
        <v>1471.0866974999999</v>
      </c>
      <c r="G97" s="3">
        <f t="shared" si="42"/>
        <v>1029.7606882499999</v>
      </c>
      <c r="H97" s="3">
        <f t="shared" si="42"/>
        <v>720.83248177499991</v>
      </c>
      <c r="I97" s="3">
        <f t="shared" si="42"/>
        <v>504.58273724250012</v>
      </c>
      <c r="J97" s="3">
        <f t="shared" si="42"/>
        <v>353.2079160697499</v>
      </c>
      <c r="K97" s="3">
        <f t="shared" si="42"/>
        <v>247.24554124882491</v>
      </c>
      <c r="L97" s="3">
        <f t="shared" si="42"/>
        <v>173.07187887417751</v>
      </c>
      <c r="M97" s="3">
        <f t="shared" si="42"/>
        <v>403.83438403974719</v>
      </c>
      <c r="N97" s="3"/>
    </row>
    <row r="98" spans="1:16" x14ac:dyDescent="0.25">
      <c r="A98" t="s">
        <v>141</v>
      </c>
      <c r="B98" t="s">
        <v>18</v>
      </c>
      <c r="C98" s="3">
        <f>-(D47-C47)</f>
        <v>0</v>
      </c>
      <c r="D98" s="3">
        <f t="shared" si="42"/>
        <v>0</v>
      </c>
      <c r="E98" s="3">
        <f t="shared" si="42"/>
        <v>0</v>
      </c>
      <c r="F98" s="3">
        <f t="shared" si="42"/>
        <v>0</v>
      </c>
      <c r="G98" s="3">
        <f t="shared" si="42"/>
        <v>0</v>
      </c>
      <c r="H98" s="3">
        <f t="shared" si="42"/>
        <v>0</v>
      </c>
      <c r="I98" s="3">
        <f t="shared" si="42"/>
        <v>0</v>
      </c>
      <c r="J98" s="3">
        <f t="shared" si="42"/>
        <v>0</v>
      </c>
      <c r="K98" s="3">
        <f t="shared" si="42"/>
        <v>0</v>
      </c>
      <c r="L98" s="3">
        <f t="shared" si="42"/>
        <v>0</v>
      </c>
      <c r="M98" s="3">
        <f t="shared" si="42"/>
        <v>0</v>
      </c>
      <c r="N98" s="3"/>
    </row>
    <row r="99" spans="1:16" x14ac:dyDescent="0.25">
      <c r="A99" t="s">
        <v>141</v>
      </c>
      <c r="B99" t="s">
        <v>20</v>
      </c>
      <c r="C99" s="3">
        <f>-(D48-C48)</f>
        <v>-8225.254109589041</v>
      </c>
      <c r="D99" s="3">
        <f t="shared" si="42"/>
        <v>2467.5762328767123</v>
      </c>
      <c r="E99" s="3">
        <f t="shared" si="42"/>
        <v>1727.3033630136993</v>
      </c>
      <c r="F99" s="3">
        <f t="shared" si="42"/>
        <v>1209.112354109589</v>
      </c>
      <c r="G99" s="3">
        <f t="shared" si="42"/>
        <v>846.37864787671219</v>
      </c>
      <c r="H99" s="3">
        <f t="shared" si="42"/>
        <v>592.46505351369865</v>
      </c>
      <c r="I99" s="3">
        <f t="shared" si="42"/>
        <v>414.72553745958908</v>
      </c>
      <c r="J99" s="3">
        <f t="shared" si="42"/>
        <v>290.30787622171215</v>
      </c>
      <c r="K99" s="3">
        <f t="shared" si="42"/>
        <v>203.2155133551986</v>
      </c>
      <c r="L99" s="3">
        <f t="shared" si="42"/>
        <v>142.25085934863898</v>
      </c>
      <c r="M99" s="3">
        <f t="shared" si="42"/>
        <v>331.91867181349085</v>
      </c>
      <c r="N99" s="3"/>
    </row>
    <row r="100" spans="1:16" x14ac:dyDescent="0.25">
      <c r="A100" t="s">
        <v>141</v>
      </c>
      <c r="B100" t="s">
        <v>21</v>
      </c>
      <c r="C100" s="3">
        <f>-(D49-C49)</f>
        <v>-42058.466013698628</v>
      </c>
      <c r="D100" s="3">
        <f t="shared" si="42"/>
        <v>12617.539804109587</v>
      </c>
      <c r="E100" s="3">
        <f t="shared" si="42"/>
        <v>8832.2778628767155</v>
      </c>
      <c r="F100" s="3">
        <f t="shared" si="42"/>
        <v>6182.5945040136994</v>
      </c>
      <c r="G100" s="3">
        <f t="shared" si="42"/>
        <v>4327.8161528095861</v>
      </c>
      <c r="H100" s="3">
        <f t="shared" si="42"/>
        <v>3029.4713069667132</v>
      </c>
      <c r="I100" s="3">
        <f t="shared" si="42"/>
        <v>2120.6299148766984</v>
      </c>
      <c r="J100" s="3">
        <f t="shared" si="42"/>
        <v>1484.4409404136886</v>
      </c>
      <c r="K100" s="3">
        <f t="shared" si="42"/>
        <v>1039.1086582895823</v>
      </c>
      <c r="L100" s="3">
        <f t="shared" si="42"/>
        <v>727.37606080270734</v>
      </c>
      <c r="M100" s="3">
        <f t="shared" si="42"/>
        <v>1697.2108085396499</v>
      </c>
      <c r="N100" s="3"/>
    </row>
    <row r="101" spans="1:16" x14ac:dyDescent="0.25">
      <c r="A101" t="s">
        <v>141</v>
      </c>
      <c r="B101" t="s">
        <v>120</v>
      </c>
      <c r="C101" s="3">
        <f>-(D57-C57)</f>
        <v>-35000</v>
      </c>
      <c r="D101" s="3">
        <f t="shared" ref="D101:M101" si="43">-(E57-D57)</f>
        <v>0</v>
      </c>
      <c r="E101" s="3">
        <f t="shared" si="43"/>
        <v>0</v>
      </c>
      <c r="F101" s="3">
        <f t="shared" si="43"/>
        <v>0</v>
      </c>
      <c r="G101" s="3">
        <f t="shared" si="43"/>
        <v>0</v>
      </c>
      <c r="H101" s="3">
        <f t="shared" si="43"/>
        <v>0</v>
      </c>
      <c r="I101" s="3">
        <f t="shared" si="43"/>
        <v>0</v>
      </c>
      <c r="J101" s="3">
        <f t="shared" si="43"/>
        <v>0</v>
      </c>
      <c r="K101" s="3">
        <f t="shared" si="43"/>
        <v>0</v>
      </c>
      <c r="L101" s="3">
        <f t="shared" si="43"/>
        <v>0</v>
      </c>
      <c r="M101" s="3">
        <f t="shared" si="43"/>
        <v>35000</v>
      </c>
      <c r="N101" s="3"/>
    </row>
    <row r="102" spans="1:16" x14ac:dyDescent="0.25">
      <c r="A102" t="s">
        <v>151</v>
      </c>
      <c r="B102" t="s">
        <v>147</v>
      </c>
      <c r="C102" s="3">
        <f>D81-C81</f>
        <v>6554.3646746296845</v>
      </c>
      <c r="D102" s="3">
        <f t="shared" ref="D102:M102" si="44">E81-D81</f>
        <v>-5268.9868529383593</v>
      </c>
      <c r="E102" s="3">
        <f t="shared" si="44"/>
        <v>-1285.3778216913252</v>
      </c>
      <c r="F102" s="3">
        <f t="shared" si="44"/>
        <v>0</v>
      </c>
      <c r="G102" s="3">
        <f t="shared" si="44"/>
        <v>0</v>
      </c>
      <c r="H102" s="3">
        <f t="shared" si="44"/>
        <v>0</v>
      </c>
      <c r="I102" s="3">
        <f t="shared" si="44"/>
        <v>0</v>
      </c>
      <c r="J102" s="3">
        <f t="shared" si="44"/>
        <v>0</v>
      </c>
      <c r="K102" s="3">
        <f t="shared" si="44"/>
        <v>0</v>
      </c>
      <c r="L102" s="3">
        <f t="shared" si="44"/>
        <v>0</v>
      </c>
      <c r="M102" s="3">
        <f t="shared" si="44"/>
        <v>0</v>
      </c>
      <c r="N102" s="3"/>
    </row>
    <row r="103" spans="1:16" x14ac:dyDescent="0.25">
      <c r="A103" t="s">
        <v>151</v>
      </c>
      <c r="B103" s="20" t="s">
        <v>28</v>
      </c>
      <c r="C103" s="3">
        <f>D62-C62</f>
        <v>9979.9749863013694</v>
      </c>
      <c r="D103" s="3">
        <f t="shared" ref="D103:M103" si="45">E62-D62</f>
        <v>-2993.9924958904103</v>
      </c>
      <c r="E103" s="3">
        <f t="shared" si="45"/>
        <v>-2095.7947471232892</v>
      </c>
      <c r="F103" s="3">
        <f t="shared" si="45"/>
        <v>-1467.056322986301</v>
      </c>
      <c r="G103" s="3">
        <f t="shared" si="45"/>
        <v>-1026.9394260904105</v>
      </c>
      <c r="H103" s="3">
        <f t="shared" si="45"/>
        <v>-718.85759826328763</v>
      </c>
      <c r="I103" s="3">
        <f t="shared" si="45"/>
        <v>-503.20031878430154</v>
      </c>
      <c r="J103" s="3">
        <f t="shared" si="45"/>
        <v>-352.24022314901072</v>
      </c>
      <c r="K103" s="3">
        <f t="shared" si="45"/>
        <v>-246.56815620430768</v>
      </c>
      <c r="L103" s="3">
        <f t="shared" si="45"/>
        <v>-172.59770934301531</v>
      </c>
      <c r="M103" s="3">
        <f t="shared" si="45"/>
        <v>-402.72798846703557</v>
      </c>
      <c r="N103" s="3"/>
    </row>
    <row r="104" spans="1:16" x14ac:dyDescent="0.25">
      <c r="A104" s="1" t="s">
        <v>152</v>
      </c>
      <c r="C104" s="21">
        <f>SUM(C82:C103)</f>
        <v>-303156.77296235657</v>
      </c>
      <c r="D104" s="21">
        <f t="shared" ref="D104:M104" si="46">SUM(D82:D103)</f>
        <v>33168.421462842911</v>
      </c>
      <c r="E104" s="21">
        <f t="shared" si="46"/>
        <v>20329.72544990501</v>
      </c>
      <c r="F104" s="21">
        <f t="shared" si="46"/>
        <v>7378.701565301365</v>
      </c>
      <c r="G104" s="21">
        <f t="shared" si="46"/>
        <v>-3545.5768082890449</v>
      </c>
      <c r="H104" s="21">
        <f t="shared" si="46"/>
        <v>-11252.785027882333</v>
      </c>
      <c r="I104" s="21">
        <f t="shared" si="46"/>
        <v>-16709.248406839237</v>
      </c>
      <c r="J104" s="21">
        <f t="shared" si="46"/>
        <v>-20591.4187498555</v>
      </c>
      <c r="K104" s="21">
        <f t="shared" si="46"/>
        <v>-23372.836887268244</v>
      </c>
      <c r="L104" s="21">
        <f t="shared" si="46"/>
        <v>-25385.006458704553</v>
      </c>
      <c r="M104" s="21">
        <f t="shared" si="46"/>
        <v>220276.0826186089</v>
      </c>
      <c r="N104" s="3"/>
    </row>
    <row r="105" spans="1:16" x14ac:dyDescent="0.25">
      <c r="A105" t="s">
        <v>153</v>
      </c>
      <c r="C105" s="36">
        <f t="shared" ref="C105:M105" si="47">-PV($C$108,C76,,C104)</f>
        <v>-303156.77296235657</v>
      </c>
      <c r="D105" s="36">
        <f t="shared" si="47"/>
        <v>30764.644628764483</v>
      </c>
      <c r="E105" s="36">
        <f t="shared" si="47"/>
        <v>17489.835013009477</v>
      </c>
      <c r="F105" s="36">
        <f t="shared" si="47"/>
        <v>5887.9111000534949</v>
      </c>
      <c r="G105" s="36">
        <f t="shared" si="47"/>
        <v>-2624.1901205054987</v>
      </c>
      <c r="H105" s="36">
        <f t="shared" si="47"/>
        <v>-7724.9472036939715</v>
      </c>
      <c r="I105" s="36">
        <f t="shared" si="47"/>
        <v>-10639.458200792214</v>
      </c>
      <c r="J105" s="36">
        <f t="shared" si="47"/>
        <v>-12161.187020646552</v>
      </c>
      <c r="K105" s="36">
        <f t="shared" si="47"/>
        <v>-12803.485811765326</v>
      </c>
      <c r="L105" s="36">
        <f t="shared" si="47"/>
        <v>-12897.964405096238</v>
      </c>
      <c r="M105" s="36">
        <f t="shared" si="47"/>
        <v>103809.79651869704</v>
      </c>
      <c r="N105" s="3"/>
      <c r="O105" s="3"/>
    </row>
    <row r="106" spans="1:16" ht="15.75" thickBot="1" x14ac:dyDescent="0.3">
      <c r="A106" t="s">
        <v>154</v>
      </c>
      <c r="C106" s="3">
        <f>SUM(C105:M105)</f>
        <v>-204055.81846433179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6" x14ac:dyDescent="0.25">
      <c r="A107" s="111" t="s">
        <v>155</v>
      </c>
      <c r="B107" s="112"/>
      <c r="C107" s="113">
        <f>IRR(C104:M104)</f>
        <v>-5.5373503469017815E-2</v>
      </c>
    </row>
    <row r="108" spans="1:16" ht="15.75" thickBot="1" x14ac:dyDescent="0.3">
      <c r="A108" s="114" t="s">
        <v>131</v>
      </c>
      <c r="B108" s="115"/>
      <c r="C108" s="116">
        <f>$T$69</f>
        <v>7.8134393004849922E-2</v>
      </c>
      <c r="D108" s="7">
        <f>C107-C108</f>
        <v>-0.13350789647386774</v>
      </c>
      <c r="E108" t="s">
        <v>223</v>
      </c>
    </row>
    <row r="109" spans="1:16" x14ac:dyDescent="0.25">
      <c r="A109" s="1"/>
      <c r="B109" s="1"/>
      <c r="C109" s="97"/>
      <c r="D109" s="7"/>
    </row>
    <row r="110" spans="1:16" x14ac:dyDescent="0.25">
      <c r="A110" s="26"/>
      <c r="B110" s="26"/>
      <c r="C110" s="95"/>
      <c r="D110" s="9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5">
      <c r="A111" s="125" t="s">
        <v>177</v>
      </c>
      <c r="B111" s="126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N111" s="45"/>
      <c r="O111" s="45"/>
    </row>
    <row r="112" spans="1:16" x14ac:dyDescent="0.25">
      <c r="A112" s="43"/>
      <c r="B112" s="44"/>
      <c r="C112" s="44"/>
      <c r="D112" s="44"/>
      <c r="E112" s="44"/>
      <c r="F112" s="44"/>
      <c r="G112" s="44"/>
      <c r="J112" s="44"/>
      <c r="K112" s="44"/>
      <c r="L112" s="44"/>
      <c r="M112" t="s">
        <v>178</v>
      </c>
      <c r="N112" s="45"/>
      <c r="O112" s="45"/>
    </row>
    <row r="113" spans="1:15" x14ac:dyDescent="0.25">
      <c r="A113" s="43" t="s">
        <v>179</v>
      </c>
      <c r="B113" s="44"/>
      <c r="C113" s="45"/>
      <c r="D113" s="44"/>
      <c r="E113" s="44"/>
      <c r="F113" s="44"/>
      <c r="G113" s="44"/>
      <c r="J113" s="44" t="s">
        <v>180</v>
      </c>
      <c r="K113" s="44" t="s">
        <v>181</v>
      </c>
      <c r="L113" s="44" t="s">
        <v>182</v>
      </c>
      <c r="M113" s="44" t="s">
        <v>183</v>
      </c>
      <c r="N113" s="44" t="s">
        <v>184</v>
      </c>
      <c r="O113" s="46"/>
    </row>
    <row r="114" spans="1:15" x14ac:dyDescent="0.25">
      <c r="A114" s="44"/>
      <c r="B114" s="44" t="s">
        <v>185</v>
      </c>
      <c r="C114" s="45"/>
      <c r="D114" s="47">
        <f>(D21-D23-D33)/(D37+D38)</f>
        <v>3.3110100248159204</v>
      </c>
      <c r="E114" s="47">
        <f t="shared" ref="E114:H114" si="48">(E21-E23-E33)/(E37+E38)</f>
        <v>1.4821554844346958</v>
      </c>
      <c r="F114" s="47">
        <f t="shared" si="48"/>
        <v>-1.9929442524064403E-3</v>
      </c>
      <c r="G114" s="47">
        <f t="shared" si="48"/>
        <v>-0.91444411642584555</v>
      </c>
      <c r="H114" s="47">
        <f t="shared" si="48"/>
        <v>-1.4067381122195519</v>
      </c>
      <c r="J114" s="48">
        <f>AVERAGE(D114:H114)</f>
        <v>0.4939980672705625</v>
      </c>
      <c r="K114" s="49" t="s">
        <v>188</v>
      </c>
      <c r="L114" s="50">
        <f>$D$5</f>
        <v>1.5299999999999999E-2</v>
      </c>
      <c r="M114" s="51">
        <f>I135</f>
        <v>0.02</v>
      </c>
      <c r="N114" s="50">
        <f>L114+M114</f>
        <v>3.5299999999999998E-2</v>
      </c>
      <c r="O114" s="46"/>
    </row>
    <row r="115" spans="1:15" x14ac:dyDescent="0.25">
      <c r="A115" s="44"/>
      <c r="B115" s="44" t="s">
        <v>187</v>
      </c>
      <c r="C115" s="44"/>
      <c r="D115" s="52">
        <f>SUM(D77:D78)/SUM(D77:D81)</f>
        <v>0.45060856547076361</v>
      </c>
      <c r="E115" s="52">
        <f t="shared" ref="E115:H115" si="49">SUM(E77:E78)/SUM(E77:E81)</f>
        <v>0.47523897075422994</v>
      </c>
      <c r="F115" s="52">
        <f t="shared" si="49"/>
        <v>0.5</v>
      </c>
      <c r="G115" s="52">
        <f t="shared" si="49"/>
        <v>0.5</v>
      </c>
      <c r="H115" s="52">
        <f t="shared" si="49"/>
        <v>0.5</v>
      </c>
      <c r="J115" s="53">
        <f>AVERAGE(D115:H115)</f>
        <v>0.48516950724499869</v>
      </c>
      <c r="K115" s="54" t="s">
        <v>195</v>
      </c>
      <c r="L115" s="55">
        <f>$D$5</f>
        <v>1.5299999999999999E-2</v>
      </c>
      <c r="M115" s="56">
        <f>G135</f>
        <v>1.4999999999999999E-2</v>
      </c>
      <c r="N115" s="55">
        <f>L115+M115</f>
        <v>3.0300000000000001E-2</v>
      </c>
      <c r="O115" s="46"/>
    </row>
    <row r="116" spans="1:15" x14ac:dyDescent="0.25">
      <c r="A116" s="44"/>
      <c r="B116" s="44"/>
      <c r="C116" s="45"/>
      <c r="D116" s="57"/>
      <c r="E116" s="57"/>
      <c r="F116" s="57"/>
      <c r="G116" s="57"/>
      <c r="J116" s="57"/>
      <c r="K116" s="44"/>
      <c r="L116" s="50"/>
      <c r="M116" s="50"/>
      <c r="N116" s="50"/>
      <c r="O116" s="46"/>
    </row>
    <row r="117" spans="1:15" x14ac:dyDescent="0.25">
      <c r="C117" s="45"/>
      <c r="J117" s="46"/>
      <c r="L117" s="58"/>
      <c r="M117" s="59" t="s">
        <v>180</v>
      </c>
      <c r="N117" s="60">
        <f>AVERAGE(N114:N115)</f>
        <v>3.2799999999999996E-2</v>
      </c>
      <c r="O117" s="41"/>
    </row>
    <row r="118" spans="1:15" x14ac:dyDescent="0.25">
      <c r="A118" s="43"/>
      <c r="B118" s="44"/>
      <c r="C118" s="44"/>
      <c r="D118" s="44"/>
      <c r="E118" s="44"/>
      <c r="F118" s="44"/>
      <c r="G118" s="44"/>
      <c r="J118" s="44"/>
      <c r="K118" s="44"/>
      <c r="L118" s="44"/>
      <c r="N118" s="45"/>
      <c r="O118" s="46"/>
    </row>
    <row r="119" spans="1:15" x14ac:dyDescent="0.25">
      <c r="A119" s="43"/>
      <c r="B119" s="44"/>
      <c r="C119" s="44"/>
      <c r="D119" s="44"/>
      <c r="E119" s="44"/>
      <c r="F119" s="44"/>
      <c r="G119" s="44"/>
      <c r="J119" s="44"/>
      <c r="K119" s="44"/>
      <c r="L119" s="44"/>
      <c r="N119" s="45"/>
      <c r="O119" s="46"/>
    </row>
    <row r="120" spans="1:15" x14ac:dyDescent="0.25">
      <c r="A120" s="43"/>
      <c r="B120" s="44"/>
      <c r="C120" s="44"/>
      <c r="D120" s="44"/>
      <c r="E120" s="44"/>
      <c r="F120" s="44"/>
      <c r="G120" s="44"/>
      <c r="J120" s="44"/>
      <c r="K120" s="44"/>
      <c r="L120" s="44"/>
      <c r="M120" t="s">
        <v>189</v>
      </c>
      <c r="N120" s="45"/>
      <c r="O120" s="46"/>
    </row>
    <row r="121" spans="1:15" x14ac:dyDescent="0.25">
      <c r="A121" s="43" t="s">
        <v>190</v>
      </c>
      <c r="B121" s="44"/>
      <c r="C121" s="45"/>
      <c r="D121" s="44"/>
      <c r="E121" s="44"/>
      <c r="F121" s="44"/>
      <c r="G121" s="44"/>
      <c r="J121" s="44" t="s">
        <v>180</v>
      </c>
      <c r="K121" s="44" t="s">
        <v>181</v>
      </c>
      <c r="L121" s="44" t="s">
        <v>182</v>
      </c>
      <c r="M121" s="44" t="s">
        <v>215</v>
      </c>
      <c r="N121" s="44" t="s">
        <v>184</v>
      </c>
      <c r="O121" s="46"/>
    </row>
    <row r="122" spans="1:15" x14ac:dyDescent="0.25">
      <c r="A122" s="44"/>
      <c r="B122" s="44" t="s">
        <v>185</v>
      </c>
      <c r="C122" s="45"/>
      <c r="D122" s="47">
        <f>D114</f>
        <v>3.3110100248159204</v>
      </c>
      <c r="E122" s="47">
        <f t="shared" ref="E122:H122" si="50">E114</f>
        <v>1.4821554844346958</v>
      </c>
      <c r="F122" s="47">
        <f t="shared" si="50"/>
        <v>-1.9929442524064403E-3</v>
      </c>
      <c r="G122" s="47">
        <f t="shared" si="50"/>
        <v>-0.91444411642584555</v>
      </c>
      <c r="H122" s="47">
        <f t="shared" si="50"/>
        <v>-1.4067381122195519</v>
      </c>
      <c r="J122" s="48">
        <f>AVERAGE(D122:H122)</f>
        <v>0.4939980672705625</v>
      </c>
      <c r="K122" s="49" t="s">
        <v>188</v>
      </c>
      <c r="L122" s="50">
        <f>$D$5</f>
        <v>1.5299999999999999E-2</v>
      </c>
      <c r="M122" s="51">
        <f>I136</f>
        <v>4.2500000000000003E-2</v>
      </c>
      <c r="N122" s="50">
        <f>L122+M122</f>
        <v>5.7800000000000004E-2</v>
      </c>
      <c r="O122" s="46"/>
    </row>
    <row r="123" spans="1:15" x14ac:dyDescent="0.25">
      <c r="A123" s="44"/>
      <c r="B123" s="44" t="s">
        <v>187</v>
      </c>
      <c r="C123" s="44"/>
      <c r="D123" s="52">
        <f>SUM(D77:D78)/SUM(D77:D81)</f>
        <v>0.45060856547076361</v>
      </c>
      <c r="E123" s="52">
        <f t="shared" ref="E123:H123" si="51">SUM(E77:E78)/SUM(E77:E81)</f>
        <v>0.47523897075422994</v>
      </c>
      <c r="F123" s="52">
        <f t="shared" si="51"/>
        <v>0.5</v>
      </c>
      <c r="G123" s="52">
        <f t="shared" si="51"/>
        <v>0.5</v>
      </c>
      <c r="H123" s="52">
        <f t="shared" si="51"/>
        <v>0.5</v>
      </c>
      <c r="J123" s="53">
        <f>AVERAGE(D123:H123)</f>
        <v>0.48516950724499869</v>
      </c>
      <c r="K123" s="54" t="s">
        <v>195</v>
      </c>
      <c r="L123" s="55">
        <f>$D$5</f>
        <v>1.5299999999999999E-2</v>
      </c>
      <c r="M123" s="56">
        <f>G136</f>
        <v>3.7499999999999999E-2</v>
      </c>
      <c r="N123" s="55">
        <f>L123+M123</f>
        <v>5.28E-2</v>
      </c>
      <c r="O123" s="46"/>
    </row>
    <row r="124" spans="1:15" x14ac:dyDescent="0.25">
      <c r="A124" s="44"/>
      <c r="B124" s="44"/>
      <c r="C124" s="45"/>
      <c r="D124" s="57"/>
      <c r="E124" s="57"/>
      <c r="F124" s="57"/>
      <c r="G124" s="57"/>
      <c r="J124" s="57"/>
      <c r="K124" s="44"/>
      <c r="L124" s="50"/>
      <c r="M124" s="50"/>
      <c r="N124" s="50"/>
      <c r="O124" s="46"/>
    </row>
    <row r="125" spans="1:15" x14ac:dyDescent="0.25">
      <c r="C125" s="45"/>
      <c r="J125" s="46"/>
      <c r="L125" s="58"/>
      <c r="M125" s="59" t="s">
        <v>180</v>
      </c>
      <c r="N125" s="60">
        <f>AVERAGE(N122:N123)</f>
        <v>5.5300000000000002E-2</v>
      </c>
      <c r="O125" s="99"/>
    </row>
    <row r="126" spans="1:15" x14ac:dyDescent="0.25">
      <c r="A126" s="43" t="s">
        <v>191</v>
      </c>
      <c r="C126" s="45"/>
      <c r="D126" s="45"/>
      <c r="E126" s="45"/>
      <c r="J126" s="46"/>
      <c r="L126" s="58"/>
      <c r="M126" s="59"/>
      <c r="N126" s="61"/>
      <c r="O126" s="61"/>
    </row>
    <row r="127" spans="1:15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K127" s="61"/>
      <c r="L127" s="46"/>
      <c r="N127" s="45"/>
      <c r="O127" s="45"/>
    </row>
    <row r="128" spans="1:15" x14ac:dyDescent="0.25">
      <c r="A128" s="46"/>
      <c r="B128" s="62" t="s">
        <v>192</v>
      </c>
      <c r="C128" s="63"/>
      <c r="D128" s="64"/>
      <c r="E128" s="65"/>
      <c r="F128" s="65"/>
      <c r="G128" s="65"/>
      <c r="H128" s="65"/>
      <c r="I128" s="65"/>
      <c r="J128" s="66"/>
      <c r="K128" s="46"/>
      <c r="L128" s="46"/>
      <c r="N128" s="45"/>
      <c r="O128" s="45"/>
    </row>
    <row r="129" spans="1:15" x14ac:dyDescent="0.25">
      <c r="A129" s="46"/>
      <c r="B129" s="67"/>
      <c r="C129" s="45"/>
      <c r="D129" s="45"/>
      <c r="E129" s="68" t="s">
        <v>193</v>
      </c>
      <c r="F129" s="69" t="s">
        <v>194</v>
      </c>
      <c r="G129" s="69" t="s">
        <v>195</v>
      </c>
      <c r="H129" s="68" t="s">
        <v>196</v>
      </c>
      <c r="I129" s="68" t="s">
        <v>188</v>
      </c>
      <c r="J129" s="70" t="s">
        <v>186</v>
      </c>
      <c r="K129" s="46"/>
      <c r="L129" s="46"/>
      <c r="N129" s="45"/>
      <c r="O129" s="45"/>
    </row>
    <row r="130" spans="1:15" x14ac:dyDescent="0.25">
      <c r="A130" s="46"/>
      <c r="B130" s="67" t="s">
        <v>197</v>
      </c>
      <c r="C130" s="45"/>
      <c r="D130" s="45"/>
      <c r="E130" s="71">
        <v>20</v>
      </c>
      <c r="F130" s="71">
        <v>15</v>
      </c>
      <c r="G130" s="71">
        <v>10</v>
      </c>
      <c r="H130" s="71">
        <v>5</v>
      </c>
      <c r="I130" s="71">
        <v>4</v>
      </c>
      <c r="J130" s="72">
        <v>2</v>
      </c>
      <c r="K130" s="46"/>
      <c r="L130" s="46"/>
      <c r="N130" s="45"/>
      <c r="O130" s="45"/>
    </row>
    <row r="131" spans="1:15" x14ac:dyDescent="0.25">
      <c r="A131" s="46"/>
      <c r="B131" s="67" t="s">
        <v>198</v>
      </c>
      <c r="C131" s="45"/>
      <c r="D131" s="45"/>
      <c r="E131" s="73">
        <v>0.25</v>
      </c>
      <c r="F131" s="73">
        <v>0.35</v>
      </c>
      <c r="G131" s="73">
        <v>0.45</v>
      </c>
      <c r="H131" s="73">
        <v>0.5</v>
      </c>
      <c r="I131" s="73">
        <v>0.6</v>
      </c>
      <c r="J131" s="74">
        <v>0.75</v>
      </c>
      <c r="K131" s="46"/>
      <c r="L131" s="46"/>
      <c r="N131" s="45"/>
      <c r="O131" s="45"/>
    </row>
    <row r="132" spans="1:15" x14ac:dyDescent="0.25">
      <c r="A132" s="46"/>
      <c r="B132" s="75"/>
      <c r="C132" s="76"/>
      <c r="D132" s="26"/>
      <c r="E132" s="76"/>
      <c r="F132" s="76"/>
      <c r="G132" s="76"/>
      <c r="H132" s="76"/>
      <c r="I132" s="76"/>
      <c r="J132" s="77"/>
      <c r="K132" s="46"/>
      <c r="L132" s="46"/>
      <c r="N132" s="45"/>
      <c r="O132" s="45"/>
    </row>
    <row r="133" spans="1:15" x14ac:dyDescent="0.25">
      <c r="A133" s="46"/>
      <c r="B133" s="62" t="s">
        <v>199</v>
      </c>
      <c r="C133" s="78"/>
      <c r="D133" s="79"/>
      <c r="E133" s="79"/>
      <c r="F133" s="79"/>
      <c r="G133" s="79"/>
      <c r="H133" s="79"/>
      <c r="I133" s="80"/>
      <c r="J133" s="81"/>
      <c r="K133" s="61"/>
      <c r="L133" s="46"/>
      <c r="N133" s="45"/>
      <c r="O133" s="45"/>
    </row>
    <row r="134" spans="1:15" x14ac:dyDescent="0.25">
      <c r="A134" s="46"/>
      <c r="B134" s="82"/>
      <c r="C134" s="45"/>
      <c r="D134" s="45"/>
      <c r="E134" s="68" t="s">
        <v>193</v>
      </c>
      <c r="F134" s="69" t="s">
        <v>194</v>
      </c>
      <c r="G134" s="69" t="s">
        <v>195</v>
      </c>
      <c r="H134" s="68" t="s">
        <v>196</v>
      </c>
      <c r="I134" s="68" t="s">
        <v>188</v>
      </c>
      <c r="J134" s="70" t="s">
        <v>186</v>
      </c>
      <c r="K134" s="46"/>
      <c r="L134" s="46"/>
      <c r="N134" s="45"/>
      <c r="O134" s="45"/>
    </row>
    <row r="135" spans="1:15" x14ac:dyDescent="0.25">
      <c r="A135" s="46"/>
      <c r="B135" s="67" t="s">
        <v>200</v>
      </c>
      <c r="C135" s="45"/>
      <c r="D135" s="45"/>
      <c r="E135" s="83">
        <v>0.01</v>
      </c>
      <c r="F135" s="84">
        <v>1.2500000000000001E-2</v>
      </c>
      <c r="G135" s="84">
        <v>1.4999999999999999E-2</v>
      </c>
      <c r="H135" s="84">
        <v>1.7500000000000002E-2</v>
      </c>
      <c r="I135" s="84">
        <v>0.02</v>
      </c>
      <c r="J135" s="85">
        <v>2.2499999999999999E-2</v>
      </c>
      <c r="K135" s="46"/>
      <c r="L135" s="46"/>
      <c r="N135" s="45"/>
      <c r="O135" s="45"/>
    </row>
    <row r="136" spans="1:15" x14ac:dyDescent="0.25">
      <c r="A136" s="46"/>
      <c r="B136" s="67" t="s">
        <v>201</v>
      </c>
      <c r="C136" s="45"/>
      <c r="D136" s="45"/>
      <c r="E136" s="83">
        <v>0.03</v>
      </c>
      <c r="F136" s="84">
        <v>3.2500000000000001E-2</v>
      </c>
      <c r="G136" s="84">
        <v>3.7499999999999999E-2</v>
      </c>
      <c r="H136" s="84">
        <v>0.04</v>
      </c>
      <c r="I136" s="84">
        <v>4.2500000000000003E-2</v>
      </c>
      <c r="J136" s="85">
        <v>4.4999999999999998E-2</v>
      </c>
      <c r="K136" s="46"/>
      <c r="L136" s="46"/>
      <c r="N136" s="45"/>
      <c r="O136" s="45"/>
    </row>
    <row r="137" spans="1:15" x14ac:dyDescent="0.25">
      <c r="A137" s="46"/>
      <c r="B137" s="86"/>
      <c r="C137" s="87"/>
      <c r="D137" s="88"/>
      <c r="E137" s="88"/>
      <c r="F137" s="88"/>
      <c r="G137" s="88"/>
      <c r="H137" s="88"/>
      <c r="I137" s="89"/>
      <c r="J137" s="90"/>
      <c r="K137" s="45"/>
      <c r="L137" s="45"/>
      <c r="M137" s="45"/>
      <c r="N137" s="45"/>
      <c r="O137" s="45"/>
    </row>
    <row r="138" spans="1:15" x14ac:dyDescent="0.25">
      <c r="C138" s="35"/>
      <c r="D138" s="7"/>
    </row>
    <row r="139" spans="1:15" x14ac:dyDescent="0.25">
      <c r="B139" s="1"/>
    </row>
    <row r="145" spans="2:2" x14ac:dyDescent="0.25">
      <c r="B145" s="20"/>
    </row>
    <row r="149" spans="2:2" x14ac:dyDescent="0.25">
      <c r="B149" s="1"/>
    </row>
  </sheetData>
  <mergeCells count="1">
    <mergeCell ref="A1:M2"/>
  </mergeCells>
  <pageMargins left="0.25" right="0.25" top="1" bottom="0.5" header="0" footer="0"/>
  <pageSetup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6"/>
  <sheetViews>
    <sheetView workbookViewId="0"/>
  </sheetViews>
  <sheetFormatPr defaultColWidth="11.5703125" defaultRowHeight="15" x14ac:dyDescent="0.25"/>
  <cols>
    <col min="1" max="1" width="16" customWidth="1"/>
    <col min="2" max="3" width="12.7109375" customWidth="1"/>
    <col min="4" max="4" width="12.85546875" customWidth="1"/>
    <col min="5" max="5" width="13.5703125" customWidth="1"/>
    <col min="6" max="6" width="12.42578125" customWidth="1"/>
    <col min="7" max="7" width="7.42578125" customWidth="1"/>
    <col min="8" max="8" width="14.7109375" customWidth="1"/>
    <col min="9" max="9" width="12.5703125" bestFit="1" customWidth="1"/>
  </cols>
  <sheetData>
    <row r="1" spans="1:11" x14ac:dyDescent="0.25">
      <c r="A1" s="1" t="s">
        <v>240</v>
      </c>
    </row>
    <row r="3" spans="1:11" x14ac:dyDescent="0.25">
      <c r="B3" s="6" t="s">
        <v>46</v>
      </c>
      <c r="C3" s="6" t="s">
        <v>47</v>
      </c>
      <c r="D3" s="127" t="s">
        <v>48</v>
      </c>
      <c r="E3" s="6" t="s">
        <v>49</v>
      </c>
      <c r="F3" s="6" t="s">
        <v>50</v>
      </c>
      <c r="H3" t="s">
        <v>51</v>
      </c>
      <c r="I3" s="7">
        <f>Forecast!$N$117</f>
        <v>3.2799999999999996E-2</v>
      </c>
    </row>
    <row r="4" spans="1:11" x14ac:dyDescent="0.25">
      <c r="A4" s="8">
        <v>1</v>
      </c>
      <c r="B4" s="9">
        <f>I8</f>
        <v>150720</v>
      </c>
      <c r="C4" s="9">
        <f t="shared" ref="C4:C15" si="0">+E4-D4</f>
        <v>649.29333676036072</v>
      </c>
      <c r="D4" s="105">
        <f t="shared" ref="D4:D15" si="1">B4*$I$4</f>
        <v>411.9679999999999</v>
      </c>
      <c r="E4" s="9">
        <f t="shared" ref="E4:E15" si="2">-$I$10</f>
        <v>1061.2613367603606</v>
      </c>
      <c r="F4" s="9">
        <f t="shared" ref="F4:F15" si="3">+B4-C4</f>
        <v>150070.70666323963</v>
      </c>
      <c r="H4" t="s">
        <v>52</v>
      </c>
      <c r="I4" s="7">
        <f>+I3/12</f>
        <v>2.7333333333333328E-3</v>
      </c>
    </row>
    <row r="5" spans="1:11" x14ac:dyDescent="0.25">
      <c r="A5" s="8">
        <v>2</v>
      </c>
      <c r="B5" s="9">
        <f t="shared" ref="B5:B15" si="4">+F4</f>
        <v>150070.70666323963</v>
      </c>
      <c r="C5" s="9">
        <f t="shared" si="0"/>
        <v>651.06807188083894</v>
      </c>
      <c r="D5" s="105">
        <f t="shared" si="1"/>
        <v>410.19326487952156</v>
      </c>
      <c r="E5" s="9">
        <f t="shared" si="2"/>
        <v>1061.2613367603606</v>
      </c>
      <c r="F5" s="9">
        <f t="shared" si="3"/>
        <v>149419.63859135879</v>
      </c>
      <c r="H5" t="s">
        <v>53</v>
      </c>
      <c r="I5" s="10">
        <v>0</v>
      </c>
    </row>
    <row r="6" spans="1:11" x14ac:dyDescent="0.25">
      <c r="A6" s="8">
        <v>3</v>
      </c>
      <c r="B6" s="9">
        <f t="shared" si="4"/>
        <v>149419.63859135879</v>
      </c>
      <c r="C6" s="9">
        <f t="shared" si="0"/>
        <v>652.84765794397993</v>
      </c>
      <c r="D6" s="105">
        <f t="shared" si="1"/>
        <v>408.41367881638064</v>
      </c>
      <c r="E6" s="9">
        <f t="shared" si="2"/>
        <v>1061.2613367603606</v>
      </c>
      <c r="F6" s="9">
        <f t="shared" si="3"/>
        <v>148766.7909334148</v>
      </c>
      <c r="H6" t="s">
        <v>54</v>
      </c>
      <c r="I6" s="5">
        <f>12*$J$6</f>
        <v>180</v>
      </c>
      <c r="J6" s="23">
        <v>15</v>
      </c>
      <c r="K6" t="s">
        <v>44</v>
      </c>
    </row>
    <row r="7" spans="1:11" x14ac:dyDescent="0.25">
      <c r="A7" s="8">
        <v>4</v>
      </c>
      <c r="B7" s="9">
        <f t="shared" si="4"/>
        <v>148766.7909334148</v>
      </c>
      <c r="C7" s="9">
        <f t="shared" si="0"/>
        <v>654.63210820902691</v>
      </c>
      <c r="D7" s="105">
        <f t="shared" si="1"/>
        <v>406.62922855133371</v>
      </c>
      <c r="E7" s="9">
        <f t="shared" si="2"/>
        <v>1061.2613367603606</v>
      </c>
      <c r="F7" s="9">
        <f t="shared" si="3"/>
        <v>148112.15882520578</v>
      </c>
      <c r="H7" t="s">
        <v>55</v>
      </c>
      <c r="I7">
        <v>0</v>
      </c>
    </row>
    <row r="8" spans="1:11" x14ac:dyDescent="0.25">
      <c r="A8" s="8">
        <v>5</v>
      </c>
      <c r="B8" s="9">
        <f t="shared" si="4"/>
        <v>148112.15882520578</v>
      </c>
      <c r="C8" s="9">
        <f t="shared" si="0"/>
        <v>656.4214359714648</v>
      </c>
      <c r="D8" s="105">
        <f t="shared" si="1"/>
        <v>404.83990078889576</v>
      </c>
      <c r="E8" s="9">
        <f t="shared" si="2"/>
        <v>1061.2613367603606</v>
      </c>
      <c r="F8" s="9">
        <f t="shared" si="3"/>
        <v>147455.73738923433</v>
      </c>
      <c r="H8" s="1" t="s">
        <v>56</v>
      </c>
      <c r="I8" s="27">
        <f>$I$16*$J$8</f>
        <v>150720</v>
      </c>
      <c r="J8" s="24">
        <v>0.8</v>
      </c>
      <c r="K8" t="s">
        <v>94</v>
      </c>
    </row>
    <row r="9" spans="1:11" x14ac:dyDescent="0.25">
      <c r="A9" s="8">
        <v>6</v>
      </c>
      <c r="B9" s="9">
        <f t="shared" si="4"/>
        <v>147455.73738923433</v>
      </c>
      <c r="C9" s="9">
        <f t="shared" si="0"/>
        <v>658.2156545631201</v>
      </c>
      <c r="D9" s="105">
        <f t="shared" si="1"/>
        <v>403.04568219724041</v>
      </c>
      <c r="E9" s="9">
        <f t="shared" si="2"/>
        <v>1061.2613367603606</v>
      </c>
      <c r="F9" s="9">
        <f t="shared" si="3"/>
        <v>146797.5217346712</v>
      </c>
    </row>
    <row r="10" spans="1:11" x14ac:dyDescent="0.25">
      <c r="A10" s="8">
        <v>7</v>
      </c>
      <c r="B10" s="9">
        <f t="shared" si="4"/>
        <v>146797.5217346712</v>
      </c>
      <c r="C10" s="9">
        <f t="shared" si="0"/>
        <v>660.01477735225933</v>
      </c>
      <c r="D10" s="105">
        <f t="shared" si="1"/>
        <v>401.24655940810123</v>
      </c>
      <c r="E10" s="9">
        <f t="shared" si="2"/>
        <v>1061.2613367603606</v>
      </c>
      <c r="F10" s="9">
        <f t="shared" si="3"/>
        <v>146137.50695731895</v>
      </c>
      <c r="H10" t="s">
        <v>49</v>
      </c>
      <c r="I10" s="10">
        <f>PMT(I4,I6,I8,I5,I7)</f>
        <v>-1061.2613367603606</v>
      </c>
    </row>
    <row r="11" spans="1:11" x14ac:dyDescent="0.25">
      <c r="A11" s="8">
        <v>8</v>
      </c>
      <c r="B11" s="9">
        <f t="shared" si="4"/>
        <v>146137.50695731895</v>
      </c>
      <c r="C11" s="9">
        <f t="shared" si="0"/>
        <v>661.8188177436889</v>
      </c>
      <c r="D11" s="105">
        <f t="shared" si="1"/>
        <v>399.44251901667172</v>
      </c>
      <c r="E11" s="9">
        <f t="shared" si="2"/>
        <v>1061.2613367603606</v>
      </c>
      <c r="F11" s="9">
        <f t="shared" si="3"/>
        <v>145475.68813957527</v>
      </c>
    </row>
    <row r="12" spans="1:11" x14ac:dyDescent="0.25">
      <c r="A12" s="8">
        <v>9</v>
      </c>
      <c r="B12" s="9">
        <f t="shared" si="4"/>
        <v>145475.68813957527</v>
      </c>
      <c r="C12" s="9">
        <f t="shared" si="0"/>
        <v>663.62778917885487</v>
      </c>
      <c r="D12" s="105">
        <f t="shared" si="1"/>
        <v>397.6335475815057</v>
      </c>
      <c r="E12" s="9">
        <f t="shared" si="2"/>
        <v>1061.2613367603606</v>
      </c>
      <c r="F12" s="9">
        <f t="shared" si="3"/>
        <v>144812.06035039641</v>
      </c>
      <c r="H12" t="s">
        <v>88</v>
      </c>
      <c r="I12" s="15">
        <f>J12*J13</f>
        <v>113400</v>
      </c>
      <c r="J12" s="15">
        <v>84</v>
      </c>
      <c r="K12" t="s">
        <v>92</v>
      </c>
    </row>
    <row r="13" spans="1:11" x14ac:dyDescent="0.25">
      <c r="A13" s="8">
        <v>10</v>
      </c>
      <c r="B13" s="9">
        <f t="shared" si="4"/>
        <v>144812.06035039641</v>
      </c>
      <c r="C13" s="9">
        <f t="shared" si="0"/>
        <v>665.44170513594372</v>
      </c>
      <c r="D13" s="105">
        <f t="shared" si="1"/>
        <v>395.81963162441679</v>
      </c>
      <c r="E13" s="9">
        <f t="shared" si="2"/>
        <v>1061.2613367603606</v>
      </c>
      <c r="F13" s="9">
        <f t="shared" si="3"/>
        <v>144146.61864526046</v>
      </c>
      <c r="I13" s="22"/>
      <c r="J13" s="25">
        <v>1350</v>
      </c>
      <c r="K13" t="s">
        <v>91</v>
      </c>
    </row>
    <row r="14" spans="1:11" x14ac:dyDescent="0.25">
      <c r="A14" s="8">
        <v>11</v>
      </c>
      <c r="B14" s="9">
        <f t="shared" si="4"/>
        <v>144146.61864526046</v>
      </c>
      <c r="C14" s="9">
        <f t="shared" si="0"/>
        <v>667.26057912998203</v>
      </c>
      <c r="D14" s="105">
        <f t="shared" si="1"/>
        <v>394.00075763037853</v>
      </c>
      <c r="E14" s="9">
        <f t="shared" si="2"/>
        <v>1061.2613367603606</v>
      </c>
      <c r="F14" s="9">
        <f t="shared" si="3"/>
        <v>143479.35806613049</v>
      </c>
      <c r="H14" t="s">
        <v>89</v>
      </c>
      <c r="I14" s="22">
        <f>J14*J15</f>
        <v>75000</v>
      </c>
      <c r="J14" s="15">
        <v>75000</v>
      </c>
      <c r="K14" t="s">
        <v>90</v>
      </c>
    </row>
    <row r="15" spans="1:11" x14ac:dyDescent="0.25">
      <c r="A15" s="8">
        <v>12</v>
      </c>
      <c r="B15" s="9">
        <f t="shared" si="4"/>
        <v>143479.35806613049</v>
      </c>
      <c r="C15" s="9">
        <f t="shared" si="0"/>
        <v>669.08442471293733</v>
      </c>
      <c r="D15" s="105">
        <f t="shared" si="1"/>
        <v>392.17691204742329</v>
      </c>
      <c r="E15" s="9">
        <f t="shared" si="2"/>
        <v>1061.2613367603606</v>
      </c>
      <c r="F15" s="11">
        <f t="shared" si="3"/>
        <v>142810.27364141756</v>
      </c>
      <c r="G15" t="s">
        <v>57</v>
      </c>
      <c r="I15" s="26"/>
      <c r="J15">
        <v>1</v>
      </c>
      <c r="K15" t="s">
        <v>95</v>
      </c>
    </row>
    <row r="16" spans="1:11" x14ac:dyDescent="0.25">
      <c r="A16" s="12" t="s">
        <v>58</v>
      </c>
      <c r="B16" s="12"/>
      <c r="C16" s="11">
        <f>SUM(C4:C15)</f>
        <v>7909.7263585824576</v>
      </c>
      <c r="D16" s="128">
        <f>SUM(D4:D15)</f>
        <v>4825.4096825418692</v>
      </c>
      <c r="E16" s="9"/>
      <c r="F16" s="9"/>
      <c r="H16" t="s">
        <v>93</v>
      </c>
      <c r="I16" s="22">
        <f>I12+I14</f>
        <v>188400</v>
      </c>
    </row>
    <row r="17" spans="1:9" x14ac:dyDescent="0.25">
      <c r="A17" s="13"/>
      <c r="B17" s="13"/>
      <c r="C17" s="9"/>
      <c r="D17" s="105"/>
      <c r="E17" s="9"/>
      <c r="F17" s="9"/>
    </row>
    <row r="18" spans="1:9" x14ac:dyDescent="0.25">
      <c r="A18" s="8">
        <v>1</v>
      </c>
      <c r="B18" s="9">
        <f>+F15</f>
        <v>142810.27364141756</v>
      </c>
      <c r="C18" s="9">
        <f t="shared" ref="C18:C29" si="5">+E18-D18</f>
        <v>670.91325547381928</v>
      </c>
      <c r="D18" s="105">
        <f t="shared" ref="D18:D29" si="6">B18*$I$4</f>
        <v>390.34808128654129</v>
      </c>
      <c r="E18" s="9">
        <f t="shared" ref="E18:E29" si="7">-$I$10</f>
        <v>1061.2613367603606</v>
      </c>
      <c r="F18" s="9">
        <f t="shared" ref="F18:F29" si="8">+B18-C18</f>
        <v>142139.36038594373</v>
      </c>
      <c r="H18" t="s">
        <v>229</v>
      </c>
      <c r="I18" s="22">
        <f>I12+100000</f>
        <v>213400</v>
      </c>
    </row>
    <row r="19" spans="1:9" x14ac:dyDescent="0.25">
      <c r="A19" s="8">
        <v>2</v>
      </c>
      <c r="B19" s="9">
        <f t="shared" ref="B19:B29" si="9">+F18</f>
        <v>142139.36038594373</v>
      </c>
      <c r="C19" s="9">
        <f t="shared" si="5"/>
        <v>672.74708503878105</v>
      </c>
      <c r="D19" s="105">
        <f t="shared" si="6"/>
        <v>388.51425172157946</v>
      </c>
      <c r="E19" s="9">
        <f t="shared" si="7"/>
        <v>1061.2613367603606</v>
      </c>
      <c r="F19" s="9">
        <f t="shared" si="8"/>
        <v>141466.61330090495</v>
      </c>
    </row>
    <row r="20" spans="1:9" x14ac:dyDescent="0.25">
      <c r="A20" s="8">
        <v>3</v>
      </c>
      <c r="B20" s="9">
        <f t="shared" si="9"/>
        <v>141466.61330090495</v>
      </c>
      <c r="C20" s="9">
        <f t="shared" si="5"/>
        <v>674.58592707122045</v>
      </c>
      <c r="D20" s="105">
        <f t="shared" si="6"/>
        <v>386.67540968914011</v>
      </c>
      <c r="E20" s="9">
        <f t="shared" si="7"/>
        <v>1061.2613367603606</v>
      </c>
      <c r="F20" s="9">
        <f t="shared" si="8"/>
        <v>140792.02737383373</v>
      </c>
    </row>
    <row r="21" spans="1:9" x14ac:dyDescent="0.25">
      <c r="A21" s="8">
        <v>4</v>
      </c>
      <c r="B21" s="9">
        <f t="shared" si="9"/>
        <v>140792.02737383373</v>
      </c>
      <c r="C21" s="9">
        <f t="shared" si="5"/>
        <v>676.42979527188186</v>
      </c>
      <c r="D21" s="105">
        <f t="shared" si="6"/>
        <v>384.83154148847876</v>
      </c>
      <c r="E21" s="9">
        <f t="shared" si="7"/>
        <v>1061.2613367603606</v>
      </c>
      <c r="F21" s="9">
        <f t="shared" si="8"/>
        <v>140115.59757856184</v>
      </c>
    </row>
    <row r="22" spans="1:9" x14ac:dyDescent="0.25">
      <c r="A22" s="8">
        <v>5</v>
      </c>
      <c r="B22" s="9">
        <f t="shared" si="9"/>
        <v>140115.59757856184</v>
      </c>
      <c r="C22" s="9">
        <f t="shared" si="5"/>
        <v>678.2787033789582</v>
      </c>
      <c r="D22" s="105">
        <f t="shared" si="6"/>
        <v>382.98263338140231</v>
      </c>
      <c r="E22" s="9">
        <f t="shared" si="7"/>
        <v>1061.2613367603606</v>
      </c>
      <c r="F22" s="9">
        <f t="shared" si="8"/>
        <v>139437.31887518289</v>
      </c>
    </row>
    <row r="23" spans="1:9" x14ac:dyDescent="0.25">
      <c r="A23" s="8">
        <v>6</v>
      </c>
      <c r="B23" s="9">
        <f t="shared" si="9"/>
        <v>139437.31887518289</v>
      </c>
      <c r="C23" s="9">
        <f t="shared" si="5"/>
        <v>680.13266516819408</v>
      </c>
      <c r="D23" s="105">
        <f t="shared" si="6"/>
        <v>381.12867159216648</v>
      </c>
      <c r="E23" s="9">
        <f t="shared" si="7"/>
        <v>1061.2613367603606</v>
      </c>
      <c r="F23" s="9">
        <f t="shared" si="8"/>
        <v>138757.18621001468</v>
      </c>
    </row>
    <row r="24" spans="1:9" x14ac:dyDescent="0.25">
      <c r="A24" s="8">
        <v>7</v>
      </c>
      <c r="B24" s="9">
        <f t="shared" si="9"/>
        <v>138757.18621001468</v>
      </c>
      <c r="C24" s="9">
        <f t="shared" si="5"/>
        <v>681.99169445298719</v>
      </c>
      <c r="D24" s="105">
        <f t="shared" si="6"/>
        <v>379.26964230737337</v>
      </c>
      <c r="E24" s="9">
        <f t="shared" si="7"/>
        <v>1061.2613367603606</v>
      </c>
      <c r="F24" s="9">
        <f t="shared" si="8"/>
        <v>138075.19451556168</v>
      </c>
    </row>
    <row r="25" spans="1:9" x14ac:dyDescent="0.25">
      <c r="A25" s="8">
        <v>8</v>
      </c>
      <c r="B25" s="9">
        <f t="shared" si="9"/>
        <v>138075.19451556168</v>
      </c>
      <c r="C25" s="9">
        <f t="shared" si="5"/>
        <v>683.85580508449198</v>
      </c>
      <c r="D25" s="105">
        <f t="shared" si="6"/>
        <v>377.40553167586853</v>
      </c>
      <c r="E25" s="9">
        <f t="shared" si="7"/>
        <v>1061.2613367603606</v>
      </c>
      <c r="F25" s="9">
        <f t="shared" si="8"/>
        <v>137391.3387104772</v>
      </c>
    </row>
    <row r="26" spans="1:9" x14ac:dyDescent="0.25">
      <c r="A26" s="8">
        <v>9</v>
      </c>
      <c r="B26" s="9">
        <f t="shared" si="9"/>
        <v>137391.3387104772</v>
      </c>
      <c r="C26" s="9">
        <f t="shared" si="5"/>
        <v>685.72501095172288</v>
      </c>
      <c r="D26" s="105">
        <f t="shared" si="6"/>
        <v>375.53632580863763</v>
      </c>
      <c r="E26" s="9">
        <f t="shared" si="7"/>
        <v>1061.2613367603606</v>
      </c>
      <c r="F26" s="9">
        <f t="shared" si="8"/>
        <v>136705.61369952548</v>
      </c>
    </row>
    <row r="27" spans="1:9" x14ac:dyDescent="0.25">
      <c r="A27" s="8">
        <v>10</v>
      </c>
      <c r="B27" s="9">
        <f t="shared" si="9"/>
        <v>136705.61369952548</v>
      </c>
      <c r="C27" s="9">
        <f t="shared" si="5"/>
        <v>687.59932598165767</v>
      </c>
      <c r="D27" s="105">
        <f t="shared" si="6"/>
        <v>373.66201077870289</v>
      </c>
      <c r="E27" s="9">
        <f t="shared" si="7"/>
        <v>1061.2613367603606</v>
      </c>
      <c r="F27" s="9">
        <f t="shared" si="8"/>
        <v>136018.01437354382</v>
      </c>
    </row>
    <row r="28" spans="1:9" x14ac:dyDescent="0.25">
      <c r="A28" s="8">
        <v>11</v>
      </c>
      <c r="B28" s="9">
        <f t="shared" si="9"/>
        <v>136018.01437354382</v>
      </c>
      <c r="C28" s="9">
        <f t="shared" si="5"/>
        <v>689.47876413934091</v>
      </c>
      <c r="D28" s="105">
        <f t="shared" si="6"/>
        <v>371.78257262101971</v>
      </c>
      <c r="E28" s="9">
        <f t="shared" si="7"/>
        <v>1061.2613367603606</v>
      </c>
      <c r="F28" s="9">
        <f t="shared" si="8"/>
        <v>135328.53560940447</v>
      </c>
    </row>
    <row r="29" spans="1:9" x14ac:dyDescent="0.25">
      <c r="A29" s="8">
        <v>12</v>
      </c>
      <c r="B29" s="9">
        <f t="shared" si="9"/>
        <v>135328.53560940447</v>
      </c>
      <c r="C29" s="9">
        <f t="shared" si="5"/>
        <v>691.36333942798842</v>
      </c>
      <c r="D29" s="105">
        <f t="shared" si="6"/>
        <v>369.89799733237214</v>
      </c>
      <c r="E29" s="9">
        <f t="shared" si="7"/>
        <v>1061.2613367603606</v>
      </c>
      <c r="F29" s="11">
        <f t="shared" si="8"/>
        <v>134637.17226997649</v>
      </c>
      <c r="G29" t="s">
        <v>59</v>
      </c>
    </row>
    <row r="30" spans="1:9" x14ac:dyDescent="0.25">
      <c r="A30" s="12" t="s">
        <v>58</v>
      </c>
      <c r="B30" s="12"/>
      <c r="C30" s="11">
        <f>SUM(C18:C29)</f>
        <v>8173.1013714410428</v>
      </c>
      <c r="D30" s="128">
        <f>SUM(D18:D29)</f>
        <v>4562.034669683283</v>
      </c>
      <c r="E30" s="9"/>
      <c r="F30" s="9"/>
    </row>
    <row r="31" spans="1:9" x14ac:dyDescent="0.25">
      <c r="A31" s="13"/>
      <c r="B31" s="13"/>
      <c r="C31" s="9"/>
      <c r="D31" s="105"/>
      <c r="E31" s="9"/>
      <c r="F31" s="9"/>
    </row>
    <row r="32" spans="1:9" x14ac:dyDescent="0.25">
      <c r="A32" s="8">
        <v>1</v>
      </c>
      <c r="B32" s="9">
        <f>+F29</f>
        <v>134637.17226997649</v>
      </c>
      <c r="C32" s="9">
        <f t="shared" ref="C32:C43" si="10">+E32-D32</f>
        <v>693.25306588909154</v>
      </c>
      <c r="D32" s="105">
        <f t="shared" ref="D32:D43" si="11">B32*$I$4</f>
        <v>368.00827087126902</v>
      </c>
      <c r="E32" s="9">
        <f t="shared" ref="E32:E43" si="12">-$I$10</f>
        <v>1061.2613367603606</v>
      </c>
      <c r="F32" s="9">
        <f t="shared" ref="F32:F43" si="13">+B32-C32</f>
        <v>133943.9192040874</v>
      </c>
    </row>
    <row r="33" spans="1:7" x14ac:dyDescent="0.25">
      <c r="A33" s="8">
        <v>2</v>
      </c>
      <c r="B33" s="9">
        <f t="shared" ref="B33:B43" si="14">+F32</f>
        <v>133943.9192040874</v>
      </c>
      <c r="C33" s="9">
        <f t="shared" si="10"/>
        <v>695.14795760252173</v>
      </c>
      <c r="D33" s="105">
        <f t="shared" si="11"/>
        <v>366.11337915783884</v>
      </c>
      <c r="E33" s="9">
        <f t="shared" si="12"/>
        <v>1061.2613367603606</v>
      </c>
      <c r="F33" s="9">
        <f t="shared" si="13"/>
        <v>133248.77124648489</v>
      </c>
    </row>
    <row r="34" spans="1:7" x14ac:dyDescent="0.25">
      <c r="A34" s="8">
        <v>3</v>
      </c>
      <c r="B34" s="9">
        <f t="shared" si="14"/>
        <v>133248.77124648489</v>
      </c>
      <c r="C34" s="9">
        <f t="shared" si="10"/>
        <v>697.04802868663523</v>
      </c>
      <c r="D34" s="105">
        <f t="shared" si="11"/>
        <v>364.21330807372527</v>
      </c>
      <c r="E34" s="9">
        <f t="shared" si="12"/>
        <v>1061.2613367603606</v>
      </c>
      <c r="F34" s="9">
        <f t="shared" si="13"/>
        <v>132551.72321779825</v>
      </c>
    </row>
    <row r="35" spans="1:7" x14ac:dyDescent="0.25">
      <c r="A35" s="8">
        <v>4</v>
      </c>
      <c r="B35" s="9">
        <f t="shared" si="14"/>
        <v>132551.72321779825</v>
      </c>
      <c r="C35" s="9">
        <f t="shared" si="10"/>
        <v>698.95329329837875</v>
      </c>
      <c r="D35" s="105">
        <f t="shared" si="11"/>
        <v>362.30804346198181</v>
      </c>
      <c r="E35" s="9">
        <f t="shared" si="12"/>
        <v>1061.2613367603606</v>
      </c>
      <c r="F35" s="9">
        <f t="shared" si="13"/>
        <v>131852.76992449988</v>
      </c>
    </row>
    <row r="36" spans="1:7" x14ac:dyDescent="0.25">
      <c r="A36" s="8">
        <v>5</v>
      </c>
      <c r="B36" s="9">
        <f t="shared" si="14"/>
        <v>131852.76992449988</v>
      </c>
      <c r="C36" s="9">
        <f t="shared" si="10"/>
        <v>700.86376563339422</v>
      </c>
      <c r="D36" s="105">
        <f t="shared" si="11"/>
        <v>360.39757112696628</v>
      </c>
      <c r="E36" s="9">
        <f t="shared" si="12"/>
        <v>1061.2613367603606</v>
      </c>
      <c r="F36" s="9">
        <f t="shared" si="13"/>
        <v>131151.90615886648</v>
      </c>
    </row>
    <row r="37" spans="1:7" x14ac:dyDescent="0.25">
      <c r="A37" s="8">
        <v>6</v>
      </c>
      <c r="B37" s="9">
        <f t="shared" si="14"/>
        <v>131151.90615886648</v>
      </c>
      <c r="C37" s="9">
        <f t="shared" si="10"/>
        <v>702.77945992612558</v>
      </c>
      <c r="D37" s="105">
        <f t="shared" si="11"/>
        <v>358.48187683423498</v>
      </c>
      <c r="E37" s="9">
        <f t="shared" si="12"/>
        <v>1061.2613367603606</v>
      </c>
      <c r="F37" s="9">
        <f t="shared" si="13"/>
        <v>130449.12669894035</v>
      </c>
    </row>
    <row r="38" spans="1:7" x14ac:dyDescent="0.25">
      <c r="A38" s="8">
        <v>7</v>
      </c>
      <c r="B38" s="9">
        <f t="shared" si="14"/>
        <v>130449.12669894035</v>
      </c>
      <c r="C38" s="9">
        <f t="shared" si="10"/>
        <v>704.70039044992359</v>
      </c>
      <c r="D38" s="105">
        <f t="shared" si="11"/>
        <v>356.56094631043692</v>
      </c>
      <c r="E38" s="9">
        <f t="shared" si="12"/>
        <v>1061.2613367603606</v>
      </c>
      <c r="F38" s="9">
        <f t="shared" si="13"/>
        <v>129744.42630849042</v>
      </c>
    </row>
    <row r="39" spans="1:7" x14ac:dyDescent="0.25">
      <c r="A39" s="8">
        <v>8</v>
      </c>
      <c r="B39" s="9">
        <f t="shared" si="14"/>
        <v>129744.42630849042</v>
      </c>
      <c r="C39" s="9">
        <f t="shared" si="10"/>
        <v>706.62657151715348</v>
      </c>
      <c r="D39" s="105">
        <f t="shared" si="11"/>
        <v>354.63476524320708</v>
      </c>
      <c r="E39" s="9">
        <f t="shared" si="12"/>
        <v>1061.2613367603606</v>
      </c>
      <c r="F39" s="9">
        <f t="shared" si="13"/>
        <v>129037.79973697328</v>
      </c>
    </row>
    <row r="40" spans="1:7" x14ac:dyDescent="0.25">
      <c r="A40" s="8">
        <v>9</v>
      </c>
      <c r="B40" s="9">
        <f t="shared" si="14"/>
        <v>129037.79973697328</v>
      </c>
      <c r="C40" s="9">
        <f t="shared" si="10"/>
        <v>708.55801747930036</v>
      </c>
      <c r="D40" s="105">
        <f t="shared" si="11"/>
        <v>352.7033192810602</v>
      </c>
      <c r="E40" s="9">
        <f t="shared" si="12"/>
        <v>1061.2613367603606</v>
      </c>
      <c r="F40" s="9">
        <f t="shared" si="13"/>
        <v>128329.24171949398</v>
      </c>
    </row>
    <row r="41" spans="1:7" x14ac:dyDescent="0.25">
      <c r="A41" s="8">
        <v>10</v>
      </c>
      <c r="B41" s="9">
        <f t="shared" si="14"/>
        <v>128329.24171949398</v>
      </c>
      <c r="C41" s="9">
        <f t="shared" si="10"/>
        <v>710.4947427270771</v>
      </c>
      <c r="D41" s="105">
        <f t="shared" si="11"/>
        <v>350.76659403328347</v>
      </c>
      <c r="E41" s="9">
        <f t="shared" si="12"/>
        <v>1061.2613367603606</v>
      </c>
      <c r="F41" s="9">
        <f t="shared" si="13"/>
        <v>127618.7469767669</v>
      </c>
    </row>
    <row r="42" spans="1:7" x14ac:dyDescent="0.25">
      <c r="A42" s="8">
        <v>11</v>
      </c>
      <c r="B42" s="9">
        <f t="shared" si="14"/>
        <v>127618.7469767669</v>
      </c>
      <c r="C42" s="9">
        <f t="shared" si="10"/>
        <v>712.43676169053106</v>
      </c>
      <c r="D42" s="105">
        <f t="shared" si="11"/>
        <v>348.82457506982945</v>
      </c>
      <c r="E42" s="9">
        <f t="shared" si="12"/>
        <v>1061.2613367603606</v>
      </c>
      <c r="F42" s="9">
        <f t="shared" si="13"/>
        <v>126906.31021507636</v>
      </c>
    </row>
    <row r="43" spans="1:7" x14ac:dyDescent="0.25">
      <c r="A43" s="8">
        <v>12</v>
      </c>
      <c r="B43" s="9">
        <f t="shared" si="14"/>
        <v>126906.31021507636</v>
      </c>
      <c r="C43" s="9">
        <f t="shared" si="10"/>
        <v>714.3840888391519</v>
      </c>
      <c r="D43" s="105">
        <f t="shared" si="11"/>
        <v>346.87724792120866</v>
      </c>
      <c r="E43" s="9">
        <f t="shared" si="12"/>
        <v>1061.2613367603606</v>
      </c>
      <c r="F43" s="11">
        <f t="shared" si="13"/>
        <v>126191.9261262372</v>
      </c>
      <c r="G43" t="s">
        <v>60</v>
      </c>
    </row>
    <row r="44" spans="1:7" x14ac:dyDescent="0.25">
      <c r="A44" s="12" t="s">
        <v>58</v>
      </c>
      <c r="B44" s="12"/>
      <c r="C44" s="11">
        <f>SUM(C32:C43)</f>
        <v>8445.2461437392849</v>
      </c>
      <c r="D44" s="128">
        <f>SUM(D32:D43)</f>
        <v>4289.8898973850428</v>
      </c>
      <c r="E44" s="9"/>
      <c r="F44" s="9"/>
    </row>
    <row r="45" spans="1:7" x14ac:dyDescent="0.25">
      <c r="A45" s="13"/>
      <c r="B45" s="13"/>
      <c r="C45" s="9"/>
      <c r="D45" s="105"/>
      <c r="E45" s="9"/>
      <c r="F45" s="9"/>
    </row>
    <row r="46" spans="1:7" x14ac:dyDescent="0.25">
      <c r="A46" s="8">
        <v>1</v>
      </c>
      <c r="B46" s="9">
        <f>+F43</f>
        <v>126191.9261262372</v>
      </c>
      <c r="C46" s="9">
        <f t="shared" ref="C46:C57" si="15">+E46-D46</f>
        <v>716.33673868197889</v>
      </c>
      <c r="D46" s="105">
        <f t="shared" ref="D46:D57" si="16">B46*$I$4</f>
        <v>344.92459807838162</v>
      </c>
      <c r="E46" s="9">
        <f t="shared" ref="E46:E57" si="17">-$I$10</f>
        <v>1061.2613367603606</v>
      </c>
      <c r="F46" s="9">
        <f t="shared" ref="F46:F57" si="18">+B46-C46</f>
        <v>125475.58938755523</v>
      </c>
    </row>
    <row r="47" spans="1:7" x14ac:dyDescent="0.25">
      <c r="A47" s="8">
        <v>2</v>
      </c>
      <c r="B47" s="9">
        <f t="shared" ref="B47:B57" si="19">+F46</f>
        <v>125475.58938755523</v>
      </c>
      <c r="C47" s="9">
        <f t="shared" si="15"/>
        <v>718.29472576770968</v>
      </c>
      <c r="D47" s="105">
        <f t="shared" si="16"/>
        <v>342.96661099265089</v>
      </c>
      <c r="E47" s="9">
        <f t="shared" si="17"/>
        <v>1061.2613367603606</v>
      </c>
      <c r="F47" s="9">
        <f t="shared" si="18"/>
        <v>124757.29466178751</v>
      </c>
    </row>
    <row r="48" spans="1:7" x14ac:dyDescent="0.25">
      <c r="A48" s="8">
        <v>3</v>
      </c>
      <c r="B48" s="9">
        <f t="shared" si="19"/>
        <v>124757.29466178751</v>
      </c>
      <c r="C48" s="9">
        <f t="shared" si="15"/>
        <v>720.25806468480801</v>
      </c>
      <c r="D48" s="105">
        <f t="shared" si="16"/>
        <v>341.0032720755525</v>
      </c>
      <c r="E48" s="9">
        <f t="shared" si="17"/>
        <v>1061.2613367603606</v>
      </c>
      <c r="F48" s="9">
        <f t="shared" si="18"/>
        <v>124037.03659710271</v>
      </c>
    </row>
    <row r="49" spans="1:8" x14ac:dyDescent="0.25">
      <c r="A49" s="8">
        <v>4</v>
      </c>
      <c r="B49" s="9">
        <f t="shared" si="19"/>
        <v>124037.03659710271</v>
      </c>
      <c r="C49" s="9">
        <f t="shared" si="15"/>
        <v>722.22677006161325</v>
      </c>
      <c r="D49" s="105">
        <f t="shared" si="16"/>
        <v>339.03456669874731</v>
      </c>
      <c r="E49" s="9">
        <f t="shared" si="17"/>
        <v>1061.2613367603606</v>
      </c>
      <c r="F49" s="9">
        <f t="shared" si="18"/>
        <v>123314.8098270411</v>
      </c>
    </row>
    <row r="50" spans="1:8" x14ac:dyDescent="0.25">
      <c r="A50" s="8">
        <v>5</v>
      </c>
      <c r="B50" s="9">
        <f t="shared" si="19"/>
        <v>123314.8098270411</v>
      </c>
      <c r="C50" s="9">
        <f t="shared" si="15"/>
        <v>724.20085656644824</v>
      </c>
      <c r="D50" s="105">
        <f t="shared" si="16"/>
        <v>337.06048019391227</v>
      </c>
      <c r="E50" s="9">
        <f t="shared" si="17"/>
        <v>1061.2613367603606</v>
      </c>
      <c r="F50" s="9">
        <f t="shared" si="18"/>
        <v>122590.60897047466</v>
      </c>
    </row>
    <row r="51" spans="1:8" x14ac:dyDescent="0.25">
      <c r="A51" s="8">
        <v>6</v>
      </c>
      <c r="B51" s="9">
        <f t="shared" si="19"/>
        <v>122590.60897047466</v>
      </c>
      <c r="C51" s="9">
        <f t="shared" si="15"/>
        <v>726.18033890772995</v>
      </c>
      <c r="D51" s="105">
        <f t="shared" si="16"/>
        <v>335.08099785263067</v>
      </c>
      <c r="E51" s="9">
        <f t="shared" si="17"/>
        <v>1061.2613367603606</v>
      </c>
      <c r="F51" s="9">
        <f t="shared" si="18"/>
        <v>121864.42863156693</v>
      </c>
    </row>
    <row r="52" spans="1:8" x14ac:dyDescent="0.25">
      <c r="A52" s="8">
        <v>7</v>
      </c>
      <c r="B52" s="9">
        <f t="shared" si="19"/>
        <v>121864.42863156693</v>
      </c>
      <c r="C52" s="9">
        <f t="shared" si="15"/>
        <v>728.16523183407776</v>
      </c>
      <c r="D52" s="105">
        <f t="shared" si="16"/>
        <v>333.09610492628286</v>
      </c>
      <c r="E52" s="9">
        <f t="shared" si="17"/>
        <v>1061.2613367603606</v>
      </c>
      <c r="F52" s="9">
        <f t="shared" si="18"/>
        <v>121136.26339973285</v>
      </c>
    </row>
    <row r="53" spans="1:8" x14ac:dyDescent="0.25">
      <c r="A53" s="8">
        <v>8</v>
      </c>
      <c r="B53" s="9">
        <f t="shared" si="19"/>
        <v>121136.26339973285</v>
      </c>
      <c r="C53" s="9">
        <f t="shared" si="15"/>
        <v>730.15555013442417</v>
      </c>
      <c r="D53" s="105">
        <f t="shared" si="16"/>
        <v>331.10578662593639</v>
      </c>
      <c r="E53" s="9">
        <f t="shared" si="17"/>
        <v>1061.2613367603606</v>
      </c>
      <c r="F53" s="9">
        <f t="shared" si="18"/>
        <v>120406.10784959843</v>
      </c>
    </row>
    <row r="54" spans="1:8" x14ac:dyDescent="0.25">
      <c r="A54" s="8">
        <v>9</v>
      </c>
      <c r="B54" s="9">
        <f t="shared" si="19"/>
        <v>120406.10784959843</v>
      </c>
      <c r="C54" s="9">
        <f t="shared" si="15"/>
        <v>732.15130863812487</v>
      </c>
      <c r="D54" s="105">
        <f t="shared" si="16"/>
        <v>329.11002812223563</v>
      </c>
      <c r="E54" s="9">
        <f t="shared" si="17"/>
        <v>1061.2613367603606</v>
      </c>
      <c r="F54" s="9">
        <f t="shared" si="18"/>
        <v>119673.95654096029</v>
      </c>
    </row>
    <row r="55" spans="1:8" x14ac:dyDescent="0.25">
      <c r="A55" s="8">
        <v>10</v>
      </c>
      <c r="B55" s="9">
        <f t="shared" si="19"/>
        <v>119673.95654096029</v>
      </c>
      <c r="C55" s="9">
        <f t="shared" si="15"/>
        <v>734.15252221506921</v>
      </c>
      <c r="D55" s="105">
        <f t="shared" si="16"/>
        <v>327.10881454529141</v>
      </c>
      <c r="E55" s="9">
        <f t="shared" si="17"/>
        <v>1061.2613367603606</v>
      </c>
      <c r="F55" s="9">
        <f t="shared" si="18"/>
        <v>118939.80401874523</v>
      </c>
    </row>
    <row r="56" spans="1:8" x14ac:dyDescent="0.25">
      <c r="A56" s="8">
        <v>11</v>
      </c>
      <c r="B56" s="9">
        <f t="shared" si="19"/>
        <v>118939.80401874523</v>
      </c>
      <c r="C56" s="9">
        <f t="shared" si="15"/>
        <v>736.15920577579027</v>
      </c>
      <c r="D56" s="105">
        <f t="shared" si="16"/>
        <v>325.10213098457024</v>
      </c>
      <c r="E56" s="9">
        <f t="shared" si="17"/>
        <v>1061.2613367603606</v>
      </c>
      <c r="F56" s="9">
        <f t="shared" si="18"/>
        <v>118203.64481296943</v>
      </c>
    </row>
    <row r="57" spans="1:8" x14ac:dyDescent="0.25">
      <c r="A57" s="8">
        <v>12</v>
      </c>
      <c r="B57" s="9">
        <f t="shared" si="19"/>
        <v>118203.64481296943</v>
      </c>
      <c r="C57" s="9">
        <f t="shared" si="15"/>
        <v>738.17137427157752</v>
      </c>
      <c r="D57" s="105">
        <f t="shared" si="16"/>
        <v>323.08996248878304</v>
      </c>
      <c r="E57" s="9">
        <f t="shared" si="17"/>
        <v>1061.2613367603606</v>
      </c>
      <c r="F57" s="11">
        <f t="shared" si="18"/>
        <v>117465.47343869785</v>
      </c>
      <c r="G57" s="9" t="s">
        <v>61</v>
      </c>
    </row>
    <row r="58" spans="1:8" x14ac:dyDescent="0.25">
      <c r="A58" s="12" t="s">
        <v>58</v>
      </c>
      <c r="B58" s="14"/>
      <c r="C58" s="11">
        <f>SUM(C46:C57)</f>
        <v>8726.4526875393512</v>
      </c>
      <c r="D58" s="128">
        <f>SUM(D46:D57)</f>
        <v>4008.6833535849746</v>
      </c>
    </row>
    <row r="59" spans="1:8" ht="15.75" thickBot="1" x14ac:dyDescent="0.3">
      <c r="D59" s="20"/>
    </row>
    <row r="60" spans="1:8" ht="15.75" thickBot="1" x14ac:dyDescent="0.3">
      <c r="A60" s="8">
        <v>1</v>
      </c>
      <c r="B60" s="157">
        <f>+F57+100000</f>
        <v>217465.47343869787</v>
      </c>
      <c r="C60" s="9">
        <f t="shared" ref="C60:C71" si="20">+E60-D60</f>
        <v>466.85570936125316</v>
      </c>
      <c r="D60" s="105">
        <f t="shared" ref="D60:D71" si="21">B60*$I$4</f>
        <v>594.4056273991074</v>
      </c>
      <c r="E60" s="9">
        <f t="shared" ref="E60:E71" si="22">-$I$10</f>
        <v>1061.2613367603606</v>
      </c>
      <c r="F60" s="9">
        <f t="shared" ref="F60:F71" si="23">+B60-C60</f>
        <v>216998.61772933661</v>
      </c>
      <c r="H60" s="158" t="s">
        <v>236</v>
      </c>
    </row>
    <row r="61" spans="1:8" ht="15.75" thickBot="1" x14ac:dyDescent="0.3">
      <c r="A61" s="8">
        <v>2</v>
      </c>
      <c r="B61" s="9">
        <f t="shared" ref="B61:B71" si="24">+F60</f>
        <v>216998.61772933661</v>
      </c>
      <c r="C61" s="9">
        <f t="shared" si="20"/>
        <v>468.13178163350733</v>
      </c>
      <c r="D61" s="105">
        <f t="shared" si="21"/>
        <v>593.12955512685323</v>
      </c>
      <c r="E61" s="9">
        <f t="shared" si="22"/>
        <v>1061.2613367603606</v>
      </c>
      <c r="F61" s="9">
        <f t="shared" si="23"/>
        <v>216530.4859477031</v>
      </c>
      <c r="H61" s="159" t="s">
        <v>235</v>
      </c>
    </row>
    <row r="62" spans="1:8" x14ac:dyDescent="0.25">
      <c r="A62" s="8">
        <v>3</v>
      </c>
      <c r="B62" s="9">
        <f t="shared" si="24"/>
        <v>216530.4859477031</v>
      </c>
      <c r="C62" s="9">
        <f t="shared" si="20"/>
        <v>469.41134183663883</v>
      </c>
      <c r="D62" s="105">
        <f t="shared" si="21"/>
        <v>591.84999492372174</v>
      </c>
      <c r="E62" s="9">
        <f t="shared" si="22"/>
        <v>1061.2613367603606</v>
      </c>
      <c r="F62" s="9">
        <f t="shared" si="23"/>
        <v>216061.07460586645</v>
      </c>
    </row>
    <row r="63" spans="1:8" x14ac:dyDescent="0.25">
      <c r="A63" s="8">
        <v>4</v>
      </c>
      <c r="B63" s="9">
        <f t="shared" si="24"/>
        <v>216061.07460586645</v>
      </c>
      <c r="C63" s="9">
        <f t="shared" si="20"/>
        <v>470.6943995043257</v>
      </c>
      <c r="D63" s="105">
        <f t="shared" si="21"/>
        <v>590.56693725603486</v>
      </c>
      <c r="E63" s="9">
        <f t="shared" si="22"/>
        <v>1061.2613367603606</v>
      </c>
      <c r="F63" s="9">
        <f t="shared" si="23"/>
        <v>215590.38020636211</v>
      </c>
    </row>
    <row r="64" spans="1:8" x14ac:dyDescent="0.25">
      <c r="A64" s="8">
        <v>5</v>
      </c>
      <c r="B64" s="9">
        <f t="shared" si="24"/>
        <v>215590.38020636211</v>
      </c>
      <c r="C64" s="9">
        <f t="shared" si="20"/>
        <v>471.98096419630428</v>
      </c>
      <c r="D64" s="105">
        <f t="shared" si="21"/>
        <v>589.28037256405628</v>
      </c>
      <c r="E64" s="9">
        <f t="shared" si="22"/>
        <v>1061.2613367603606</v>
      </c>
      <c r="F64" s="9">
        <f t="shared" si="23"/>
        <v>215118.39924216582</v>
      </c>
    </row>
    <row r="65" spans="1:7" x14ac:dyDescent="0.25">
      <c r="A65" s="8">
        <v>6</v>
      </c>
      <c r="B65" s="9">
        <f t="shared" si="24"/>
        <v>215118.39924216582</v>
      </c>
      <c r="C65" s="9">
        <f t="shared" si="20"/>
        <v>473.2710454984408</v>
      </c>
      <c r="D65" s="105">
        <f t="shared" si="21"/>
        <v>587.99029126191977</v>
      </c>
      <c r="E65" s="9">
        <f t="shared" si="22"/>
        <v>1061.2613367603606</v>
      </c>
      <c r="F65" s="9">
        <f t="shared" si="23"/>
        <v>214645.12819666739</v>
      </c>
    </row>
    <row r="66" spans="1:7" x14ac:dyDescent="0.25">
      <c r="A66" s="8">
        <v>7</v>
      </c>
      <c r="B66" s="9">
        <f t="shared" si="24"/>
        <v>214645.12819666739</v>
      </c>
      <c r="C66" s="9">
        <f t="shared" si="20"/>
        <v>474.5646530228031</v>
      </c>
      <c r="D66" s="105">
        <f t="shared" si="21"/>
        <v>586.69668373755746</v>
      </c>
      <c r="E66" s="9">
        <f t="shared" si="22"/>
        <v>1061.2613367603606</v>
      </c>
      <c r="F66" s="9">
        <f t="shared" si="23"/>
        <v>214170.56354364459</v>
      </c>
    </row>
    <row r="67" spans="1:7" x14ac:dyDescent="0.25">
      <c r="A67" s="8">
        <v>8</v>
      </c>
      <c r="B67" s="9">
        <f t="shared" si="24"/>
        <v>214170.56354364459</v>
      </c>
      <c r="C67" s="9">
        <f t="shared" si="20"/>
        <v>475.86179640773207</v>
      </c>
      <c r="D67" s="105">
        <f t="shared" si="21"/>
        <v>585.39954035262849</v>
      </c>
      <c r="E67" s="9">
        <f t="shared" si="22"/>
        <v>1061.2613367603606</v>
      </c>
      <c r="F67" s="9">
        <f t="shared" si="23"/>
        <v>213694.70174723686</v>
      </c>
    </row>
    <row r="68" spans="1:7" x14ac:dyDescent="0.25">
      <c r="A68" s="8">
        <v>9</v>
      </c>
      <c r="B68" s="9">
        <f t="shared" si="24"/>
        <v>213694.70174723686</v>
      </c>
      <c r="C68" s="9">
        <f t="shared" si="20"/>
        <v>477.16248531791325</v>
      </c>
      <c r="D68" s="105">
        <f t="shared" si="21"/>
        <v>584.09885144244731</v>
      </c>
      <c r="E68" s="9">
        <f t="shared" si="22"/>
        <v>1061.2613367603606</v>
      </c>
      <c r="F68" s="9">
        <f t="shared" si="23"/>
        <v>213217.53926191895</v>
      </c>
    </row>
    <row r="69" spans="1:7" x14ac:dyDescent="0.25">
      <c r="A69" s="8">
        <v>10</v>
      </c>
      <c r="B69" s="9">
        <f t="shared" si="24"/>
        <v>213217.53926191895</v>
      </c>
      <c r="C69" s="9">
        <f t="shared" si="20"/>
        <v>478.4667294444489</v>
      </c>
      <c r="D69" s="105">
        <f t="shared" si="21"/>
        <v>582.79460731591166</v>
      </c>
      <c r="E69" s="9">
        <f t="shared" si="22"/>
        <v>1061.2613367603606</v>
      </c>
      <c r="F69" s="9">
        <f t="shared" si="23"/>
        <v>212739.0725324745</v>
      </c>
    </row>
    <row r="70" spans="1:7" x14ac:dyDescent="0.25">
      <c r="A70" s="8">
        <v>11</v>
      </c>
      <c r="B70" s="9">
        <f t="shared" si="24"/>
        <v>212739.0725324745</v>
      </c>
      <c r="C70" s="9">
        <f t="shared" si="20"/>
        <v>479.77453850493032</v>
      </c>
      <c r="D70" s="105">
        <f t="shared" si="21"/>
        <v>581.48679825543024</v>
      </c>
      <c r="E70" s="9">
        <f t="shared" si="22"/>
        <v>1061.2613367603606</v>
      </c>
      <c r="F70" s="9">
        <f t="shared" si="23"/>
        <v>212259.29799396958</v>
      </c>
    </row>
    <row r="71" spans="1:7" x14ac:dyDescent="0.25">
      <c r="A71" s="8">
        <v>12</v>
      </c>
      <c r="B71" s="9">
        <f t="shared" si="24"/>
        <v>212259.29799396958</v>
      </c>
      <c r="C71" s="9">
        <f t="shared" si="20"/>
        <v>481.08592224351048</v>
      </c>
      <c r="D71" s="105">
        <f t="shared" si="21"/>
        <v>580.17541451685008</v>
      </c>
      <c r="E71" s="9">
        <f t="shared" si="22"/>
        <v>1061.2613367603606</v>
      </c>
      <c r="F71" s="11">
        <f t="shared" si="23"/>
        <v>211778.21207172607</v>
      </c>
    </row>
    <row r="72" spans="1:7" x14ac:dyDescent="0.25">
      <c r="A72" s="12" t="s">
        <v>58</v>
      </c>
      <c r="B72" s="14"/>
      <c r="C72" s="11">
        <f>SUM(C60:C71)</f>
        <v>5687.2613669718085</v>
      </c>
      <c r="D72" s="128">
        <f>SUM(D60:D71)</f>
        <v>7047.8746741525192</v>
      </c>
      <c r="G72" t="s">
        <v>62</v>
      </c>
    </row>
    <row r="73" spans="1:7" x14ac:dyDescent="0.25">
      <c r="D73" s="20"/>
    </row>
    <row r="74" spans="1:7" x14ac:dyDescent="0.25">
      <c r="A74" s="8">
        <v>1</v>
      </c>
      <c r="B74" s="9">
        <f>+F71</f>
        <v>211778.21207172607</v>
      </c>
      <c r="C74" s="9">
        <f t="shared" ref="C74:C85" si="25">+E74-D74</f>
        <v>482.40089043097612</v>
      </c>
      <c r="D74" s="105">
        <f t="shared" ref="D74:D85" si="26">B74*$I$4</f>
        <v>578.86044632938444</v>
      </c>
      <c r="E74" s="9">
        <f t="shared" ref="E74:E85" si="27">-$I$10</f>
        <v>1061.2613367603606</v>
      </c>
      <c r="F74" s="9">
        <f t="shared" ref="F74:F85" si="28">+B74-C74</f>
        <v>211295.81118129508</v>
      </c>
    </row>
    <row r="75" spans="1:7" x14ac:dyDescent="0.25">
      <c r="A75" s="8">
        <v>2</v>
      </c>
      <c r="B75" s="9">
        <f t="shared" ref="B75:B85" si="29">+F74</f>
        <v>211295.81118129508</v>
      </c>
      <c r="C75" s="9">
        <f t="shared" si="25"/>
        <v>483.71945286482082</v>
      </c>
      <c r="D75" s="105">
        <f t="shared" si="26"/>
        <v>577.54188389553974</v>
      </c>
      <c r="E75" s="9">
        <f t="shared" si="27"/>
        <v>1061.2613367603606</v>
      </c>
      <c r="F75" s="9">
        <f t="shared" si="28"/>
        <v>210812.09172843027</v>
      </c>
    </row>
    <row r="76" spans="1:7" x14ac:dyDescent="0.25">
      <c r="A76" s="8">
        <v>3</v>
      </c>
      <c r="B76" s="9">
        <f t="shared" si="29"/>
        <v>210812.09172843027</v>
      </c>
      <c r="C76" s="9">
        <f t="shared" si="25"/>
        <v>485.04161936931791</v>
      </c>
      <c r="D76" s="105">
        <f t="shared" si="26"/>
        <v>576.21971739104265</v>
      </c>
      <c r="E76" s="9">
        <f t="shared" si="27"/>
        <v>1061.2613367603606</v>
      </c>
      <c r="F76" s="9">
        <f t="shared" si="28"/>
        <v>210327.05010906095</v>
      </c>
    </row>
    <row r="77" spans="1:7" x14ac:dyDescent="0.25">
      <c r="A77" s="8">
        <v>4</v>
      </c>
      <c r="B77" s="9">
        <f t="shared" si="29"/>
        <v>210327.05010906095</v>
      </c>
      <c r="C77" s="9">
        <f t="shared" si="25"/>
        <v>486.36739979559411</v>
      </c>
      <c r="D77" s="105">
        <f t="shared" si="26"/>
        <v>574.89393696476645</v>
      </c>
      <c r="E77" s="9">
        <f t="shared" si="27"/>
        <v>1061.2613367603606</v>
      </c>
      <c r="F77" s="9">
        <f t="shared" si="28"/>
        <v>209840.68270926535</v>
      </c>
    </row>
    <row r="78" spans="1:7" x14ac:dyDescent="0.25">
      <c r="A78" s="8">
        <v>5</v>
      </c>
      <c r="B78" s="9">
        <f t="shared" si="29"/>
        <v>209840.68270926535</v>
      </c>
      <c r="C78" s="9">
        <f t="shared" si="25"/>
        <v>487.69680402170206</v>
      </c>
      <c r="D78" s="105">
        <f t="shared" si="26"/>
        <v>573.5645327386585</v>
      </c>
      <c r="E78" s="9">
        <f t="shared" si="27"/>
        <v>1061.2613367603606</v>
      </c>
      <c r="F78" s="9">
        <f t="shared" si="28"/>
        <v>209352.98590524367</v>
      </c>
    </row>
    <row r="79" spans="1:7" x14ac:dyDescent="0.25">
      <c r="A79" s="8">
        <v>6</v>
      </c>
      <c r="B79" s="9">
        <f t="shared" si="29"/>
        <v>209352.98590524367</v>
      </c>
      <c r="C79" s="9">
        <f t="shared" si="25"/>
        <v>489.0298419526946</v>
      </c>
      <c r="D79" s="105">
        <f t="shared" si="26"/>
        <v>572.23149480766597</v>
      </c>
      <c r="E79" s="9">
        <f t="shared" si="27"/>
        <v>1061.2613367603606</v>
      </c>
      <c r="F79" s="9">
        <f t="shared" si="28"/>
        <v>208863.95606329097</v>
      </c>
    </row>
    <row r="80" spans="1:7" x14ac:dyDescent="0.25">
      <c r="A80" s="8">
        <v>7</v>
      </c>
      <c r="B80" s="9">
        <f t="shared" si="29"/>
        <v>208863.95606329097</v>
      </c>
      <c r="C80" s="9">
        <f t="shared" si="25"/>
        <v>490.36652352069871</v>
      </c>
      <c r="D80" s="105">
        <f t="shared" si="26"/>
        <v>570.89481323966186</v>
      </c>
      <c r="E80" s="9">
        <f t="shared" si="27"/>
        <v>1061.2613367603606</v>
      </c>
      <c r="F80" s="9">
        <f t="shared" si="28"/>
        <v>208373.58953977027</v>
      </c>
    </row>
    <row r="81" spans="1:7" x14ac:dyDescent="0.25">
      <c r="A81" s="8">
        <v>8</v>
      </c>
      <c r="B81" s="9">
        <f t="shared" si="29"/>
        <v>208373.58953977027</v>
      </c>
      <c r="C81" s="9">
        <f t="shared" si="25"/>
        <v>491.70685868498856</v>
      </c>
      <c r="D81" s="105">
        <f t="shared" si="26"/>
        <v>569.554478075372</v>
      </c>
      <c r="E81" s="9">
        <f t="shared" si="27"/>
        <v>1061.2613367603606</v>
      </c>
      <c r="F81" s="9">
        <f t="shared" si="28"/>
        <v>207881.88268108529</v>
      </c>
    </row>
    <row r="82" spans="1:7" x14ac:dyDescent="0.25">
      <c r="A82" s="8">
        <v>9</v>
      </c>
      <c r="B82" s="9">
        <f t="shared" si="29"/>
        <v>207881.88268108529</v>
      </c>
      <c r="C82" s="9">
        <f t="shared" si="25"/>
        <v>493.05085743206087</v>
      </c>
      <c r="D82" s="105">
        <f t="shared" si="26"/>
        <v>568.2104793282997</v>
      </c>
      <c r="E82" s="9">
        <f t="shared" si="27"/>
        <v>1061.2613367603606</v>
      </c>
      <c r="F82" s="9">
        <f t="shared" si="28"/>
        <v>207388.83182365322</v>
      </c>
    </row>
    <row r="83" spans="1:7" x14ac:dyDescent="0.25">
      <c r="A83" s="8">
        <v>10</v>
      </c>
      <c r="B83" s="9">
        <f t="shared" si="29"/>
        <v>207388.83182365322</v>
      </c>
      <c r="C83" s="9">
        <f t="shared" si="25"/>
        <v>494.39852977570854</v>
      </c>
      <c r="D83" s="105">
        <f t="shared" si="26"/>
        <v>566.86280698465202</v>
      </c>
      <c r="E83" s="9">
        <f t="shared" si="27"/>
        <v>1061.2613367603606</v>
      </c>
      <c r="F83" s="9">
        <f t="shared" si="28"/>
        <v>206894.43329387752</v>
      </c>
    </row>
    <row r="84" spans="1:7" x14ac:dyDescent="0.25">
      <c r="A84" s="8">
        <v>11</v>
      </c>
      <c r="B84" s="9">
        <f t="shared" si="29"/>
        <v>206894.43329387752</v>
      </c>
      <c r="C84" s="9">
        <f t="shared" si="25"/>
        <v>495.7498857570954</v>
      </c>
      <c r="D84" s="105">
        <f t="shared" si="26"/>
        <v>565.51145100326517</v>
      </c>
      <c r="E84" s="9">
        <f t="shared" si="27"/>
        <v>1061.2613367603606</v>
      </c>
      <c r="F84" s="9">
        <f t="shared" si="28"/>
        <v>206398.68340812041</v>
      </c>
    </row>
    <row r="85" spans="1:7" x14ac:dyDescent="0.25">
      <c r="A85" s="8">
        <v>12</v>
      </c>
      <c r="B85" s="9">
        <f t="shared" si="29"/>
        <v>206398.68340812041</v>
      </c>
      <c r="C85" s="9">
        <f t="shared" si="25"/>
        <v>497.10493544483154</v>
      </c>
      <c r="D85" s="105">
        <f t="shared" si="26"/>
        <v>564.15640131552902</v>
      </c>
      <c r="E85" s="9">
        <f t="shared" si="27"/>
        <v>1061.2613367603606</v>
      </c>
      <c r="F85" s="11">
        <f t="shared" si="28"/>
        <v>205901.57847267558</v>
      </c>
      <c r="G85" t="s">
        <v>63</v>
      </c>
    </row>
    <row r="86" spans="1:7" x14ac:dyDescent="0.25">
      <c r="A86" s="12" t="s">
        <v>58</v>
      </c>
      <c r="B86" s="14"/>
      <c r="C86" s="11">
        <f>SUM(C74:C85)</f>
        <v>5876.6335990504886</v>
      </c>
      <c r="D86" s="128">
        <f>SUM(D74:D85)</f>
        <v>6858.5024420738382</v>
      </c>
    </row>
    <row r="87" spans="1:7" x14ac:dyDescent="0.25">
      <c r="B87" s="13"/>
      <c r="C87" s="9"/>
      <c r="D87" s="105"/>
      <c r="E87" s="9"/>
      <c r="F87" s="9"/>
    </row>
    <row r="88" spans="1:7" x14ac:dyDescent="0.25">
      <c r="A88" s="8">
        <v>1</v>
      </c>
      <c r="B88" s="9">
        <f>+F85</f>
        <v>205901.57847267558</v>
      </c>
      <c r="C88" s="9">
        <f t="shared" ref="C88:C99" si="30">+E88-D88</f>
        <v>498.46368893504746</v>
      </c>
      <c r="D88" s="105">
        <f t="shared" ref="D88:D99" si="31">B88*$I$4</f>
        <v>562.79764782531311</v>
      </c>
      <c r="E88" s="9">
        <f t="shared" ref="E88:E99" si="32">-$I$10</f>
        <v>1061.2613367603606</v>
      </c>
      <c r="F88" s="9">
        <f t="shared" ref="F88:F99" si="33">+B88-C88</f>
        <v>205403.11478374054</v>
      </c>
    </row>
    <row r="89" spans="1:7" x14ac:dyDescent="0.25">
      <c r="A89" s="8">
        <v>2</v>
      </c>
      <c r="B89" s="9">
        <f t="shared" ref="B89:B99" si="34">+F88</f>
        <v>205403.11478374054</v>
      </c>
      <c r="C89" s="9">
        <f t="shared" si="30"/>
        <v>499.82615635146988</v>
      </c>
      <c r="D89" s="105">
        <f t="shared" si="31"/>
        <v>561.43518040889069</v>
      </c>
      <c r="E89" s="9">
        <f t="shared" si="32"/>
        <v>1061.2613367603606</v>
      </c>
      <c r="F89" s="9">
        <f t="shared" si="33"/>
        <v>204903.28862738906</v>
      </c>
    </row>
    <row r="90" spans="1:7" x14ac:dyDescent="0.25">
      <c r="A90" s="8">
        <v>3</v>
      </c>
      <c r="B90" s="9">
        <f t="shared" si="34"/>
        <v>204903.28862738906</v>
      </c>
      <c r="C90" s="9">
        <f t="shared" si="30"/>
        <v>501.19234784549724</v>
      </c>
      <c r="D90" s="105">
        <f t="shared" si="31"/>
        <v>560.06898891486333</v>
      </c>
      <c r="E90" s="9">
        <f t="shared" si="32"/>
        <v>1061.2613367603606</v>
      </c>
      <c r="F90" s="9">
        <f t="shared" si="33"/>
        <v>204402.09627954356</v>
      </c>
    </row>
    <row r="91" spans="1:7" x14ac:dyDescent="0.25">
      <c r="A91" s="8">
        <v>4</v>
      </c>
      <c r="B91" s="9">
        <f t="shared" si="34"/>
        <v>204402.09627954356</v>
      </c>
      <c r="C91" s="9">
        <f t="shared" si="30"/>
        <v>502.56227359627496</v>
      </c>
      <c r="D91" s="105">
        <f t="shared" si="31"/>
        <v>558.6990631640856</v>
      </c>
      <c r="E91" s="9">
        <f t="shared" si="32"/>
        <v>1061.2613367603606</v>
      </c>
      <c r="F91" s="9">
        <f t="shared" si="33"/>
        <v>203899.53400594729</v>
      </c>
    </row>
    <row r="92" spans="1:7" x14ac:dyDescent="0.25">
      <c r="A92" s="8">
        <v>5</v>
      </c>
      <c r="B92" s="9">
        <f t="shared" si="34"/>
        <v>203899.53400594729</v>
      </c>
      <c r="C92" s="9">
        <f t="shared" si="30"/>
        <v>503.93594381077139</v>
      </c>
      <c r="D92" s="105">
        <f t="shared" si="31"/>
        <v>557.32539294958917</v>
      </c>
      <c r="E92" s="9">
        <f t="shared" si="32"/>
        <v>1061.2613367603606</v>
      </c>
      <c r="F92" s="9">
        <f t="shared" si="33"/>
        <v>203395.59806213653</v>
      </c>
    </row>
    <row r="93" spans="1:7" x14ac:dyDescent="0.25">
      <c r="A93" s="8">
        <v>6</v>
      </c>
      <c r="B93" s="9">
        <f t="shared" si="34"/>
        <v>203395.59806213653</v>
      </c>
      <c r="C93" s="9">
        <f t="shared" si="30"/>
        <v>505.31336872385418</v>
      </c>
      <c r="D93" s="105">
        <f t="shared" si="31"/>
        <v>555.94796803650638</v>
      </c>
      <c r="E93" s="9">
        <f t="shared" si="32"/>
        <v>1061.2613367603606</v>
      </c>
      <c r="F93" s="9">
        <f t="shared" si="33"/>
        <v>202890.28469341269</v>
      </c>
    </row>
    <row r="94" spans="1:7" x14ac:dyDescent="0.25">
      <c r="A94" s="8">
        <v>7</v>
      </c>
      <c r="B94" s="9">
        <f t="shared" si="34"/>
        <v>202890.28469341269</v>
      </c>
      <c r="C94" s="9">
        <f t="shared" si="30"/>
        <v>506.69455859836603</v>
      </c>
      <c r="D94" s="105">
        <f t="shared" si="31"/>
        <v>554.56677816199453</v>
      </c>
      <c r="E94" s="9">
        <f t="shared" si="32"/>
        <v>1061.2613367603606</v>
      </c>
      <c r="F94" s="9">
        <f t="shared" si="33"/>
        <v>202383.59013481432</v>
      </c>
    </row>
    <row r="95" spans="1:7" x14ac:dyDescent="0.25">
      <c r="A95" s="8">
        <v>8</v>
      </c>
      <c r="B95" s="9">
        <f t="shared" si="34"/>
        <v>202383.59013481432</v>
      </c>
      <c r="C95" s="9">
        <f t="shared" si="30"/>
        <v>508.07952372520151</v>
      </c>
      <c r="D95" s="105">
        <f t="shared" si="31"/>
        <v>553.18181303515905</v>
      </c>
      <c r="E95" s="9">
        <f t="shared" si="32"/>
        <v>1061.2613367603606</v>
      </c>
      <c r="F95" s="9">
        <f t="shared" si="33"/>
        <v>201875.51061108912</v>
      </c>
    </row>
    <row r="96" spans="1:7" x14ac:dyDescent="0.25">
      <c r="A96" s="8">
        <v>9</v>
      </c>
      <c r="B96" s="9">
        <f t="shared" si="34"/>
        <v>201875.51061108912</v>
      </c>
      <c r="C96" s="9">
        <f t="shared" si="30"/>
        <v>509.46827442338372</v>
      </c>
      <c r="D96" s="105">
        <f t="shared" si="31"/>
        <v>551.79306233697685</v>
      </c>
      <c r="E96" s="9">
        <f t="shared" si="32"/>
        <v>1061.2613367603606</v>
      </c>
      <c r="F96" s="9">
        <f t="shared" si="33"/>
        <v>201366.04233666573</v>
      </c>
    </row>
    <row r="97" spans="1:7" x14ac:dyDescent="0.25">
      <c r="A97" s="8">
        <v>10</v>
      </c>
      <c r="B97" s="9">
        <f t="shared" si="34"/>
        <v>201366.04233666573</v>
      </c>
      <c r="C97" s="9">
        <f t="shared" si="30"/>
        <v>510.86082104014099</v>
      </c>
      <c r="D97" s="105">
        <f t="shared" si="31"/>
        <v>550.40051572021957</v>
      </c>
      <c r="E97" s="9">
        <f t="shared" si="32"/>
        <v>1061.2613367603606</v>
      </c>
      <c r="F97" s="9">
        <f t="shared" si="33"/>
        <v>200855.18151562559</v>
      </c>
    </row>
    <row r="98" spans="1:7" x14ac:dyDescent="0.25">
      <c r="A98" s="8">
        <v>11</v>
      </c>
      <c r="B98" s="9">
        <f t="shared" si="34"/>
        <v>200855.18151562559</v>
      </c>
      <c r="C98" s="9">
        <f t="shared" si="30"/>
        <v>512.257173950984</v>
      </c>
      <c r="D98" s="105">
        <f t="shared" si="31"/>
        <v>549.00416280937657</v>
      </c>
      <c r="E98" s="9">
        <f t="shared" si="32"/>
        <v>1061.2613367603606</v>
      </c>
      <c r="F98" s="9">
        <f t="shared" si="33"/>
        <v>200342.9243416746</v>
      </c>
    </row>
    <row r="99" spans="1:7" x14ac:dyDescent="0.25">
      <c r="A99" s="8">
        <v>12</v>
      </c>
      <c r="B99" s="9">
        <f t="shared" si="34"/>
        <v>200342.9243416746</v>
      </c>
      <c r="C99" s="9">
        <f t="shared" si="30"/>
        <v>513.65734355978338</v>
      </c>
      <c r="D99" s="105">
        <f t="shared" si="31"/>
        <v>547.60399320057718</v>
      </c>
      <c r="E99" s="9">
        <f t="shared" si="32"/>
        <v>1061.2613367603606</v>
      </c>
      <c r="F99" s="11">
        <f t="shared" si="33"/>
        <v>199829.26699811482</v>
      </c>
    </row>
    <row r="100" spans="1:7" x14ac:dyDescent="0.25">
      <c r="A100" s="12" t="s">
        <v>58</v>
      </c>
      <c r="B100" s="14"/>
      <c r="C100" s="11">
        <f>SUM(C88:C99)</f>
        <v>6072.3114745607745</v>
      </c>
      <c r="D100" s="128">
        <f>SUM(D88:D99)</f>
        <v>6662.8245665635513</v>
      </c>
      <c r="G100" t="s">
        <v>64</v>
      </c>
    </row>
    <row r="101" spans="1:7" x14ac:dyDescent="0.25">
      <c r="B101" s="13"/>
      <c r="C101" s="9"/>
      <c r="D101" s="105"/>
      <c r="E101" s="9"/>
      <c r="F101" s="9"/>
    </row>
    <row r="102" spans="1:7" x14ac:dyDescent="0.25">
      <c r="A102" s="8">
        <v>1</v>
      </c>
      <c r="B102" s="9">
        <f>+F99</f>
        <v>199829.26699811482</v>
      </c>
      <c r="C102" s="9">
        <f t="shared" ref="C102:C113" si="35">+E102-D102</f>
        <v>515.06134029884686</v>
      </c>
      <c r="D102" s="105">
        <f t="shared" ref="D102:D113" si="36">B102*$I$4</f>
        <v>546.19999646151371</v>
      </c>
      <c r="E102" s="9">
        <f t="shared" ref="E102:E113" si="37">-$I$10</f>
        <v>1061.2613367603606</v>
      </c>
      <c r="F102" s="9">
        <f t="shared" ref="F102:F113" si="38">+B102-C102</f>
        <v>199314.20565781597</v>
      </c>
    </row>
    <row r="103" spans="1:7" x14ac:dyDescent="0.25">
      <c r="A103" s="8">
        <v>2</v>
      </c>
      <c r="B103" s="9">
        <f t="shared" ref="B103:B113" si="39">+F102</f>
        <v>199314.20565781597</v>
      </c>
      <c r="C103" s="9">
        <f t="shared" si="35"/>
        <v>516.46917462899705</v>
      </c>
      <c r="D103" s="105">
        <f t="shared" si="36"/>
        <v>544.79216213136351</v>
      </c>
      <c r="E103" s="9">
        <f t="shared" si="37"/>
        <v>1061.2613367603606</v>
      </c>
      <c r="F103" s="9">
        <f t="shared" si="38"/>
        <v>198797.73648318698</v>
      </c>
    </row>
    <row r="104" spans="1:7" x14ac:dyDescent="0.25">
      <c r="A104" s="8">
        <v>3</v>
      </c>
      <c r="B104" s="9">
        <f t="shared" si="39"/>
        <v>198797.73648318698</v>
      </c>
      <c r="C104" s="9">
        <f t="shared" si="35"/>
        <v>517.88085703964964</v>
      </c>
      <c r="D104" s="105">
        <f t="shared" si="36"/>
        <v>543.38047972071092</v>
      </c>
      <c r="E104" s="9">
        <f t="shared" si="37"/>
        <v>1061.2613367603606</v>
      </c>
      <c r="F104" s="9">
        <f t="shared" si="38"/>
        <v>198279.85562614733</v>
      </c>
    </row>
    <row r="105" spans="1:7" x14ac:dyDescent="0.25">
      <c r="A105" s="8">
        <v>4</v>
      </c>
      <c r="B105" s="9">
        <f t="shared" si="39"/>
        <v>198279.85562614733</v>
      </c>
      <c r="C105" s="9">
        <f t="shared" si="35"/>
        <v>519.29639804889132</v>
      </c>
      <c r="D105" s="105">
        <f t="shared" si="36"/>
        <v>541.96493871146924</v>
      </c>
      <c r="E105" s="9">
        <f t="shared" si="37"/>
        <v>1061.2613367603606</v>
      </c>
      <c r="F105" s="9">
        <f t="shared" si="38"/>
        <v>197760.55922809843</v>
      </c>
    </row>
    <row r="106" spans="1:7" x14ac:dyDescent="0.25">
      <c r="A106" s="8">
        <v>5</v>
      </c>
      <c r="B106" s="9">
        <f t="shared" si="39"/>
        <v>197760.55922809843</v>
      </c>
      <c r="C106" s="9">
        <f t="shared" si="35"/>
        <v>520.71580820355825</v>
      </c>
      <c r="D106" s="105">
        <f t="shared" si="36"/>
        <v>540.54552855680231</v>
      </c>
      <c r="E106" s="9">
        <f t="shared" si="37"/>
        <v>1061.2613367603606</v>
      </c>
      <c r="F106" s="9">
        <f t="shared" si="38"/>
        <v>197239.84341989487</v>
      </c>
    </row>
    <row r="107" spans="1:7" x14ac:dyDescent="0.25">
      <c r="A107" s="8">
        <v>6</v>
      </c>
      <c r="B107" s="9">
        <f t="shared" si="39"/>
        <v>197239.84341989487</v>
      </c>
      <c r="C107" s="9">
        <f t="shared" si="35"/>
        <v>522.13909807931464</v>
      </c>
      <c r="D107" s="105">
        <f t="shared" si="36"/>
        <v>539.12223868104593</v>
      </c>
      <c r="E107" s="9">
        <f t="shared" si="37"/>
        <v>1061.2613367603606</v>
      </c>
      <c r="F107" s="9">
        <f t="shared" si="38"/>
        <v>196717.70432181554</v>
      </c>
    </row>
    <row r="108" spans="1:7" x14ac:dyDescent="0.25">
      <c r="A108" s="8">
        <v>7</v>
      </c>
      <c r="B108" s="9">
        <f t="shared" si="39"/>
        <v>196717.70432181554</v>
      </c>
      <c r="C108" s="9">
        <f t="shared" si="35"/>
        <v>523.56627828073147</v>
      </c>
      <c r="D108" s="105">
        <f t="shared" si="36"/>
        <v>537.6950584796291</v>
      </c>
      <c r="E108" s="9">
        <f t="shared" si="37"/>
        <v>1061.2613367603606</v>
      </c>
      <c r="F108" s="9">
        <f t="shared" si="38"/>
        <v>196194.13804353483</v>
      </c>
    </row>
    <row r="109" spans="1:7" x14ac:dyDescent="0.25">
      <c r="A109" s="8">
        <v>8</v>
      </c>
      <c r="B109" s="9">
        <f t="shared" si="39"/>
        <v>196194.13804353483</v>
      </c>
      <c r="C109" s="9">
        <f t="shared" si="35"/>
        <v>524.99735944136546</v>
      </c>
      <c r="D109" s="105">
        <f t="shared" si="36"/>
        <v>536.2639773189951</v>
      </c>
      <c r="E109" s="9">
        <f t="shared" si="37"/>
        <v>1061.2613367603606</v>
      </c>
      <c r="F109" s="9">
        <f t="shared" si="38"/>
        <v>195669.14068409347</v>
      </c>
    </row>
    <row r="110" spans="1:7" x14ac:dyDescent="0.25">
      <c r="A110" s="8">
        <v>9</v>
      </c>
      <c r="B110" s="9">
        <f t="shared" si="39"/>
        <v>195669.14068409347</v>
      </c>
      <c r="C110" s="9">
        <f t="shared" si="35"/>
        <v>526.43235222383851</v>
      </c>
      <c r="D110" s="105">
        <f t="shared" si="36"/>
        <v>534.82898453652206</v>
      </c>
      <c r="E110" s="9">
        <f t="shared" si="37"/>
        <v>1061.2613367603606</v>
      </c>
      <c r="F110" s="9">
        <f t="shared" si="38"/>
        <v>195142.70833186962</v>
      </c>
    </row>
    <row r="111" spans="1:7" x14ac:dyDescent="0.25">
      <c r="A111" s="8">
        <v>10</v>
      </c>
      <c r="B111" s="9">
        <f t="shared" si="39"/>
        <v>195142.70833186962</v>
      </c>
      <c r="C111" s="9">
        <f t="shared" si="35"/>
        <v>527.87126731991702</v>
      </c>
      <c r="D111" s="105">
        <f t="shared" si="36"/>
        <v>533.39006944044354</v>
      </c>
      <c r="E111" s="9">
        <f t="shared" si="37"/>
        <v>1061.2613367603606</v>
      </c>
      <c r="F111" s="9">
        <f t="shared" si="38"/>
        <v>194614.83706454971</v>
      </c>
    </row>
    <row r="112" spans="1:7" x14ac:dyDescent="0.25">
      <c r="A112" s="8">
        <v>11</v>
      </c>
      <c r="B112" s="9">
        <f t="shared" si="39"/>
        <v>194614.83706454971</v>
      </c>
      <c r="C112" s="9">
        <f t="shared" si="35"/>
        <v>529.31411545059143</v>
      </c>
      <c r="D112" s="105">
        <f t="shared" si="36"/>
        <v>531.94722130976913</v>
      </c>
      <c r="E112" s="9">
        <f t="shared" si="37"/>
        <v>1061.2613367603606</v>
      </c>
      <c r="F112" s="9">
        <f t="shared" si="38"/>
        <v>194085.5229490991</v>
      </c>
    </row>
    <row r="113" spans="1:7" x14ac:dyDescent="0.25">
      <c r="A113" s="8">
        <v>12</v>
      </c>
      <c r="B113" s="9">
        <f t="shared" si="39"/>
        <v>194085.5229490991</v>
      </c>
      <c r="C113" s="9">
        <f t="shared" si="35"/>
        <v>530.7609073661564</v>
      </c>
      <c r="D113" s="105">
        <f t="shared" si="36"/>
        <v>530.50042939420416</v>
      </c>
      <c r="E113" s="9">
        <f t="shared" si="37"/>
        <v>1061.2613367603606</v>
      </c>
      <c r="F113" s="11">
        <f t="shared" si="38"/>
        <v>193554.76204173296</v>
      </c>
      <c r="G113" t="s">
        <v>65</v>
      </c>
    </row>
    <row r="114" spans="1:7" x14ac:dyDescent="0.25">
      <c r="A114" s="12" t="s">
        <v>58</v>
      </c>
      <c r="B114" s="14"/>
      <c r="C114" s="11">
        <f>SUM(C102:C113)</f>
        <v>6274.5049563818566</v>
      </c>
      <c r="D114" s="128">
        <f>SUM(D102:D113)</f>
        <v>6460.6310847424684</v>
      </c>
    </row>
    <row r="115" spans="1:7" x14ac:dyDescent="0.25">
      <c r="D115" s="20"/>
    </row>
    <row r="116" spans="1:7" x14ac:dyDescent="0.25">
      <c r="A116" s="8">
        <v>1</v>
      </c>
      <c r="B116" s="9">
        <f>+F113</f>
        <v>193554.76204173296</v>
      </c>
      <c r="C116" s="9">
        <f t="shared" ref="C116:C127" si="40">+E116-D116</f>
        <v>532.21165384629057</v>
      </c>
      <c r="D116" s="105">
        <f t="shared" ref="D116:D127" si="41">B116*$I$4</f>
        <v>529.04968291406999</v>
      </c>
      <c r="E116" s="9">
        <f t="shared" ref="E116:E127" si="42">-$I$10</f>
        <v>1061.2613367603606</v>
      </c>
      <c r="F116" s="9">
        <f t="shared" ref="F116:F127" si="43">+B116-C116</f>
        <v>193022.55038788667</v>
      </c>
    </row>
    <row r="117" spans="1:7" x14ac:dyDescent="0.25">
      <c r="A117" s="8">
        <v>2</v>
      </c>
      <c r="B117" s="9">
        <f t="shared" ref="B117:B127" si="44">+F116</f>
        <v>193022.55038788667</v>
      </c>
      <c r="C117" s="9">
        <f t="shared" si="40"/>
        <v>533.66636570013713</v>
      </c>
      <c r="D117" s="105">
        <f t="shared" si="41"/>
        <v>527.59497106022343</v>
      </c>
      <c r="E117" s="9">
        <f t="shared" si="42"/>
        <v>1061.2613367603606</v>
      </c>
      <c r="F117" s="9">
        <f t="shared" si="43"/>
        <v>192488.88402218654</v>
      </c>
    </row>
    <row r="118" spans="1:7" x14ac:dyDescent="0.25">
      <c r="A118" s="8">
        <v>3</v>
      </c>
      <c r="B118" s="9">
        <f t="shared" si="44"/>
        <v>192488.88402218654</v>
      </c>
      <c r="C118" s="9">
        <f t="shared" si="40"/>
        <v>535.1250537663841</v>
      </c>
      <c r="D118" s="105">
        <f t="shared" si="41"/>
        <v>526.13628299397647</v>
      </c>
      <c r="E118" s="9">
        <f t="shared" si="42"/>
        <v>1061.2613367603606</v>
      </c>
      <c r="F118" s="9">
        <f t="shared" si="43"/>
        <v>191953.75896842015</v>
      </c>
    </row>
    <row r="119" spans="1:7" x14ac:dyDescent="0.25">
      <c r="A119" s="8">
        <v>4</v>
      </c>
      <c r="B119" s="9">
        <f t="shared" si="44"/>
        <v>191953.75896842015</v>
      </c>
      <c r="C119" s="9">
        <f t="shared" si="40"/>
        <v>536.58772891334559</v>
      </c>
      <c r="D119" s="105">
        <f t="shared" si="41"/>
        <v>524.67360784701498</v>
      </c>
      <c r="E119" s="9">
        <f t="shared" si="42"/>
        <v>1061.2613367603606</v>
      </c>
      <c r="F119" s="9">
        <f t="shared" si="43"/>
        <v>191417.1712395068</v>
      </c>
    </row>
    <row r="120" spans="1:7" x14ac:dyDescent="0.25">
      <c r="A120" s="8">
        <v>5</v>
      </c>
      <c r="B120" s="9">
        <f t="shared" si="44"/>
        <v>191417.1712395068</v>
      </c>
      <c r="C120" s="9">
        <f t="shared" si="40"/>
        <v>538.05440203904209</v>
      </c>
      <c r="D120" s="105">
        <f t="shared" si="41"/>
        <v>523.20693472131848</v>
      </c>
      <c r="E120" s="9">
        <f t="shared" si="42"/>
        <v>1061.2613367603606</v>
      </c>
      <c r="F120" s="9">
        <f t="shared" si="43"/>
        <v>190879.11683746777</v>
      </c>
    </row>
    <row r="121" spans="1:7" x14ac:dyDescent="0.25">
      <c r="A121" s="8">
        <v>6</v>
      </c>
      <c r="B121" s="9">
        <f t="shared" si="44"/>
        <v>190879.11683746777</v>
      </c>
      <c r="C121" s="9">
        <f t="shared" si="40"/>
        <v>539.52508407128209</v>
      </c>
      <c r="D121" s="105">
        <f t="shared" si="41"/>
        <v>521.73625268907847</v>
      </c>
      <c r="E121" s="9">
        <f t="shared" si="42"/>
        <v>1061.2613367603606</v>
      </c>
      <c r="F121" s="9">
        <f t="shared" si="43"/>
        <v>190339.5917533965</v>
      </c>
    </row>
    <row r="122" spans="1:7" x14ac:dyDescent="0.25">
      <c r="A122" s="8">
        <v>7</v>
      </c>
      <c r="B122" s="9">
        <f t="shared" si="44"/>
        <v>190339.5917533965</v>
      </c>
      <c r="C122" s="9">
        <f t="shared" si="40"/>
        <v>540.99978596774361</v>
      </c>
      <c r="D122" s="105">
        <f t="shared" si="41"/>
        <v>520.26155079261696</v>
      </c>
      <c r="E122" s="9">
        <f t="shared" si="42"/>
        <v>1061.2613367603606</v>
      </c>
      <c r="F122" s="9">
        <f t="shared" si="43"/>
        <v>189798.59196742874</v>
      </c>
    </row>
    <row r="123" spans="1:7" x14ac:dyDescent="0.25">
      <c r="A123" s="8">
        <v>8</v>
      </c>
      <c r="B123" s="9">
        <f t="shared" si="44"/>
        <v>189798.59196742874</v>
      </c>
      <c r="C123" s="9">
        <f t="shared" si="40"/>
        <v>542.47851871605542</v>
      </c>
      <c r="D123" s="105">
        <f t="shared" si="41"/>
        <v>518.78281804430515</v>
      </c>
      <c r="E123" s="9">
        <f t="shared" si="42"/>
        <v>1061.2613367603606</v>
      </c>
      <c r="F123" s="9">
        <f t="shared" si="43"/>
        <v>189256.11344871268</v>
      </c>
    </row>
    <row r="124" spans="1:7" x14ac:dyDescent="0.25">
      <c r="A124" s="8">
        <v>9</v>
      </c>
      <c r="B124" s="9">
        <f t="shared" si="44"/>
        <v>189256.11344871268</v>
      </c>
      <c r="C124" s="9">
        <f t="shared" si="40"/>
        <v>543.96129333387933</v>
      </c>
      <c r="D124" s="105">
        <f t="shared" si="41"/>
        <v>517.30004342648124</v>
      </c>
      <c r="E124" s="9">
        <f t="shared" si="42"/>
        <v>1061.2613367603606</v>
      </c>
      <c r="F124" s="9">
        <f t="shared" si="43"/>
        <v>188712.1521553788</v>
      </c>
    </row>
    <row r="125" spans="1:7" x14ac:dyDescent="0.25">
      <c r="A125" s="8">
        <v>10</v>
      </c>
      <c r="B125" s="9">
        <f t="shared" si="44"/>
        <v>188712.1521553788</v>
      </c>
      <c r="C125" s="9">
        <f t="shared" si="40"/>
        <v>545.44812086899196</v>
      </c>
      <c r="D125" s="105">
        <f t="shared" si="41"/>
        <v>515.8132158913686</v>
      </c>
      <c r="E125" s="9">
        <f t="shared" si="42"/>
        <v>1061.2613367603606</v>
      </c>
      <c r="F125" s="9">
        <f t="shared" si="43"/>
        <v>188166.70403450981</v>
      </c>
    </row>
    <row r="126" spans="1:7" x14ac:dyDescent="0.25">
      <c r="A126" s="8">
        <v>11</v>
      </c>
      <c r="B126" s="9">
        <f t="shared" si="44"/>
        <v>188166.70403450981</v>
      </c>
      <c r="C126" s="9">
        <f t="shared" si="40"/>
        <v>546.93901239936713</v>
      </c>
      <c r="D126" s="105">
        <f t="shared" si="41"/>
        <v>514.32232436099343</v>
      </c>
      <c r="E126" s="9">
        <f t="shared" si="42"/>
        <v>1061.2613367603606</v>
      </c>
      <c r="F126" s="9">
        <f t="shared" si="43"/>
        <v>187619.76502211043</v>
      </c>
    </row>
    <row r="127" spans="1:7" x14ac:dyDescent="0.25">
      <c r="A127" s="8">
        <v>12</v>
      </c>
      <c r="B127" s="9">
        <f t="shared" si="44"/>
        <v>187619.76502211043</v>
      </c>
      <c r="C127" s="9">
        <f t="shared" si="40"/>
        <v>548.43397903325888</v>
      </c>
      <c r="D127" s="105">
        <f t="shared" si="41"/>
        <v>512.82735772710168</v>
      </c>
      <c r="E127" s="9">
        <f t="shared" si="42"/>
        <v>1061.2613367603606</v>
      </c>
      <c r="F127" s="11">
        <f t="shared" si="43"/>
        <v>187071.33104307717</v>
      </c>
    </row>
    <row r="128" spans="1:7" x14ac:dyDescent="0.25">
      <c r="A128" s="12" t="s">
        <v>58</v>
      </c>
      <c r="B128" s="14"/>
      <c r="C128" s="11">
        <f>SUM(C116:C127)</f>
        <v>6483.4309986557782</v>
      </c>
      <c r="D128" s="128">
        <f>SUM(D116:D127)</f>
        <v>6251.7050424685494</v>
      </c>
      <c r="G128" t="s">
        <v>66</v>
      </c>
    </row>
    <row r="129" spans="1:7" x14ac:dyDescent="0.25">
      <c r="D129" s="20"/>
    </row>
    <row r="130" spans="1:7" x14ac:dyDescent="0.25">
      <c r="A130" s="8">
        <v>1</v>
      </c>
      <c r="B130" s="9">
        <f>+F127</f>
        <v>187071.33104307717</v>
      </c>
      <c r="C130" s="9">
        <f t="shared" ref="C130:C141" si="45">+E130-D130</f>
        <v>549.93303190928305</v>
      </c>
      <c r="D130" s="105">
        <f t="shared" ref="D130:D141" si="46">B130*$I$4</f>
        <v>511.32830485107752</v>
      </c>
      <c r="E130" s="9">
        <f t="shared" ref="E130:E141" si="47">-$I$10</f>
        <v>1061.2613367603606</v>
      </c>
      <c r="F130" s="9">
        <f t="shared" ref="F130:F141" si="48">+B130-C130</f>
        <v>186521.39801116788</v>
      </c>
    </row>
    <row r="131" spans="1:7" x14ac:dyDescent="0.25">
      <c r="A131" s="8">
        <v>2</v>
      </c>
      <c r="B131" s="9">
        <f t="shared" ref="B131:B141" si="49">+F130</f>
        <v>186521.39801116788</v>
      </c>
      <c r="C131" s="9">
        <f t="shared" si="45"/>
        <v>551.4361821965017</v>
      </c>
      <c r="D131" s="105">
        <f t="shared" si="46"/>
        <v>509.8251545638588</v>
      </c>
      <c r="E131" s="9">
        <f t="shared" si="47"/>
        <v>1061.2613367603606</v>
      </c>
      <c r="F131" s="9">
        <f t="shared" si="48"/>
        <v>185969.96182897137</v>
      </c>
    </row>
    <row r="132" spans="1:7" x14ac:dyDescent="0.25">
      <c r="A132" s="8">
        <v>3</v>
      </c>
      <c r="B132" s="9">
        <f t="shared" si="49"/>
        <v>185969.96182897137</v>
      </c>
      <c r="C132" s="9">
        <f t="shared" si="45"/>
        <v>552.9434410945056</v>
      </c>
      <c r="D132" s="105">
        <f t="shared" si="46"/>
        <v>508.31789566585496</v>
      </c>
      <c r="E132" s="9">
        <f t="shared" si="47"/>
        <v>1061.2613367603606</v>
      </c>
      <c r="F132" s="9">
        <f t="shared" si="48"/>
        <v>185417.01838787686</v>
      </c>
    </row>
    <row r="133" spans="1:7" x14ac:dyDescent="0.25">
      <c r="A133" s="8">
        <v>4</v>
      </c>
      <c r="B133" s="9">
        <f t="shared" si="49"/>
        <v>185417.01838787686</v>
      </c>
      <c r="C133" s="9">
        <f t="shared" si="45"/>
        <v>554.45481983349725</v>
      </c>
      <c r="D133" s="105">
        <f t="shared" si="46"/>
        <v>506.80651692686331</v>
      </c>
      <c r="E133" s="9">
        <f t="shared" si="47"/>
        <v>1061.2613367603606</v>
      </c>
      <c r="F133" s="9">
        <f t="shared" si="48"/>
        <v>184862.56356804335</v>
      </c>
    </row>
    <row r="134" spans="1:7" x14ac:dyDescent="0.25">
      <c r="A134" s="8">
        <v>5</v>
      </c>
      <c r="B134" s="9">
        <f t="shared" si="49"/>
        <v>184862.56356804335</v>
      </c>
      <c r="C134" s="9">
        <f t="shared" si="45"/>
        <v>555.97032967437553</v>
      </c>
      <c r="D134" s="105">
        <f t="shared" si="46"/>
        <v>505.29100708598509</v>
      </c>
      <c r="E134" s="9">
        <f t="shared" si="47"/>
        <v>1061.2613367603606</v>
      </c>
      <c r="F134" s="9">
        <f t="shared" si="48"/>
        <v>184306.59323836898</v>
      </c>
    </row>
    <row r="135" spans="1:7" x14ac:dyDescent="0.25">
      <c r="A135" s="8">
        <v>6</v>
      </c>
      <c r="B135" s="9">
        <f t="shared" si="49"/>
        <v>184306.59323836898</v>
      </c>
      <c r="C135" s="9">
        <f t="shared" si="45"/>
        <v>557.48998190881878</v>
      </c>
      <c r="D135" s="105">
        <f t="shared" si="46"/>
        <v>503.77135485154179</v>
      </c>
      <c r="E135" s="9">
        <f t="shared" si="47"/>
        <v>1061.2613367603606</v>
      </c>
      <c r="F135" s="9">
        <f t="shared" si="48"/>
        <v>183749.10325646016</v>
      </c>
    </row>
    <row r="136" spans="1:7" x14ac:dyDescent="0.25">
      <c r="A136" s="8">
        <v>7</v>
      </c>
      <c r="B136" s="9">
        <f t="shared" si="49"/>
        <v>183749.10325646016</v>
      </c>
      <c r="C136" s="9">
        <f t="shared" si="45"/>
        <v>559.01378785936959</v>
      </c>
      <c r="D136" s="105">
        <f t="shared" si="46"/>
        <v>502.24754890099103</v>
      </c>
      <c r="E136" s="9">
        <f t="shared" si="47"/>
        <v>1061.2613367603606</v>
      </c>
      <c r="F136" s="9">
        <f t="shared" si="48"/>
        <v>183190.08946860078</v>
      </c>
    </row>
    <row r="137" spans="1:7" x14ac:dyDescent="0.25">
      <c r="A137" s="8">
        <v>8</v>
      </c>
      <c r="B137" s="9">
        <f t="shared" si="49"/>
        <v>183190.08946860078</v>
      </c>
      <c r="C137" s="9">
        <f t="shared" si="45"/>
        <v>560.54175887951851</v>
      </c>
      <c r="D137" s="105">
        <f t="shared" si="46"/>
        <v>500.71957788084205</v>
      </c>
      <c r="E137" s="9">
        <f t="shared" si="47"/>
        <v>1061.2613367603606</v>
      </c>
      <c r="F137" s="9">
        <f t="shared" si="48"/>
        <v>182629.54770972126</v>
      </c>
    </row>
    <row r="138" spans="1:7" x14ac:dyDescent="0.25">
      <c r="A138" s="8">
        <v>9</v>
      </c>
      <c r="B138" s="9">
        <f t="shared" si="49"/>
        <v>182629.54770972126</v>
      </c>
      <c r="C138" s="9">
        <f t="shared" si="45"/>
        <v>562.0739063537892</v>
      </c>
      <c r="D138" s="105">
        <f t="shared" si="46"/>
        <v>499.18743040657137</v>
      </c>
      <c r="E138" s="9">
        <f t="shared" si="47"/>
        <v>1061.2613367603606</v>
      </c>
      <c r="F138" s="9">
        <f t="shared" si="48"/>
        <v>182067.47380336747</v>
      </c>
    </row>
    <row r="139" spans="1:7" x14ac:dyDescent="0.25">
      <c r="A139" s="8">
        <v>10</v>
      </c>
      <c r="B139" s="9">
        <f t="shared" si="49"/>
        <v>182067.47380336747</v>
      </c>
      <c r="C139" s="9">
        <f t="shared" si="45"/>
        <v>563.61024169782286</v>
      </c>
      <c r="D139" s="105">
        <f t="shared" si="46"/>
        <v>497.65109506253765</v>
      </c>
      <c r="E139" s="9">
        <f t="shared" si="47"/>
        <v>1061.2613367603606</v>
      </c>
      <c r="F139" s="9">
        <f t="shared" si="48"/>
        <v>181503.86356166966</v>
      </c>
    </row>
    <row r="140" spans="1:7" x14ac:dyDescent="0.25">
      <c r="A140" s="8">
        <v>11</v>
      </c>
      <c r="B140" s="9">
        <f t="shared" si="49"/>
        <v>181503.86356166966</v>
      </c>
      <c r="C140" s="9">
        <f t="shared" si="45"/>
        <v>565.15077635846365</v>
      </c>
      <c r="D140" s="105">
        <f t="shared" si="46"/>
        <v>496.11056040189698</v>
      </c>
      <c r="E140" s="9">
        <f t="shared" si="47"/>
        <v>1061.2613367603606</v>
      </c>
      <c r="F140" s="9">
        <f t="shared" si="48"/>
        <v>180938.71278531119</v>
      </c>
    </row>
    <row r="141" spans="1:7" x14ac:dyDescent="0.25">
      <c r="A141" s="8">
        <v>12</v>
      </c>
      <c r="B141" s="9">
        <f t="shared" si="49"/>
        <v>180938.71278531119</v>
      </c>
      <c r="C141" s="9">
        <f t="shared" si="45"/>
        <v>566.69552181384347</v>
      </c>
      <c r="D141" s="105">
        <f t="shared" si="46"/>
        <v>494.56581494651715</v>
      </c>
      <c r="E141" s="9">
        <f t="shared" si="47"/>
        <v>1061.2613367603606</v>
      </c>
      <c r="F141" s="11">
        <f t="shared" si="48"/>
        <v>180372.01726349734</v>
      </c>
      <c r="G141" t="s">
        <v>67</v>
      </c>
    </row>
    <row r="142" spans="1:7" x14ac:dyDescent="0.25">
      <c r="A142" s="12" t="s">
        <v>58</v>
      </c>
      <c r="B142" s="14"/>
      <c r="C142" s="11">
        <f>SUM(C130:C141)</f>
        <v>6699.3137795797893</v>
      </c>
      <c r="D142" s="128">
        <f>SUM(D130:D141)</f>
        <v>6035.8222615445384</v>
      </c>
    </row>
    <row r="143" spans="1:7" x14ac:dyDescent="0.25">
      <c r="B143" s="13"/>
      <c r="C143" s="9"/>
      <c r="D143" s="9"/>
      <c r="E143" s="9"/>
      <c r="F143" s="9"/>
    </row>
    <row r="144" spans="1:7" x14ac:dyDescent="0.25">
      <c r="B144" s="9"/>
      <c r="C144" s="9"/>
      <c r="D144" s="9"/>
      <c r="E144" s="9"/>
      <c r="F144" s="9"/>
    </row>
    <row r="145" spans="2:6" x14ac:dyDescent="0.25">
      <c r="B145" s="9"/>
      <c r="C145" s="9"/>
      <c r="D145" s="9"/>
      <c r="E145" s="9"/>
      <c r="F145" s="9"/>
    </row>
    <row r="146" spans="2:6" x14ac:dyDescent="0.25">
      <c r="B146" s="9"/>
      <c r="C146" s="9"/>
      <c r="D146" s="9"/>
      <c r="E146" s="9"/>
      <c r="F146" s="9"/>
    </row>
    <row r="147" spans="2:6" x14ac:dyDescent="0.25">
      <c r="B147" s="9"/>
      <c r="C147" s="9"/>
      <c r="D147" s="9"/>
      <c r="E147" s="9"/>
      <c r="F147" s="9"/>
    </row>
    <row r="148" spans="2:6" x14ac:dyDescent="0.25">
      <c r="B148" s="9"/>
      <c r="C148" s="9"/>
      <c r="D148" s="9"/>
      <c r="E148" s="9"/>
      <c r="F148" s="9"/>
    </row>
    <row r="149" spans="2:6" x14ac:dyDescent="0.25">
      <c r="B149" s="9"/>
      <c r="C149" s="9"/>
      <c r="D149" s="9"/>
      <c r="E149" s="9"/>
      <c r="F149" s="9"/>
    </row>
    <row r="150" spans="2:6" x14ac:dyDescent="0.25">
      <c r="B150" s="9"/>
      <c r="C150" s="9"/>
      <c r="D150" s="9"/>
      <c r="E150" s="9"/>
      <c r="F150" s="9"/>
    </row>
    <row r="151" spans="2:6" x14ac:dyDescent="0.25">
      <c r="B151" s="9"/>
      <c r="C151" s="9"/>
      <c r="D151" s="9"/>
      <c r="E151" s="9"/>
      <c r="F151" s="9"/>
    </row>
    <row r="152" spans="2:6" x14ac:dyDescent="0.25">
      <c r="B152" s="9"/>
      <c r="C152" s="9"/>
      <c r="D152" s="9"/>
      <c r="E152" s="9"/>
      <c r="F152" s="9"/>
    </row>
    <row r="153" spans="2:6" x14ac:dyDescent="0.25">
      <c r="B153" s="9"/>
      <c r="C153" s="9"/>
      <c r="D153" s="9"/>
      <c r="E153" s="9"/>
      <c r="F153" s="9"/>
    </row>
    <row r="154" spans="2:6" x14ac:dyDescent="0.25">
      <c r="B154" s="9"/>
      <c r="C154" s="9"/>
      <c r="D154" s="9"/>
      <c r="E154" s="9"/>
      <c r="F154" s="9"/>
    </row>
    <row r="155" spans="2:6" x14ac:dyDescent="0.25">
      <c r="B155" s="9"/>
      <c r="C155" s="9"/>
      <c r="D155" s="9"/>
      <c r="E155" s="9"/>
      <c r="F155" s="11"/>
    </row>
    <row r="156" spans="2:6" x14ac:dyDescent="0.25">
      <c r="B156" s="12"/>
      <c r="C156" s="11"/>
      <c r="D156" s="11"/>
      <c r="E156" s="9"/>
      <c r="F156" s="9"/>
    </row>
    <row r="157" spans="2:6" x14ac:dyDescent="0.25">
      <c r="B157" s="13"/>
      <c r="C157" s="9"/>
      <c r="D157" s="9"/>
      <c r="E157" s="9"/>
      <c r="F157" s="9"/>
    </row>
    <row r="158" spans="2:6" x14ac:dyDescent="0.25">
      <c r="B158" s="9"/>
      <c r="C158" s="9"/>
      <c r="D158" s="9"/>
      <c r="E158" s="9"/>
      <c r="F158" s="9"/>
    </row>
    <row r="159" spans="2:6" x14ac:dyDescent="0.25">
      <c r="B159" s="9"/>
      <c r="C159" s="9"/>
      <c r="D159" s="9"/>
      <c r="E159" s="9"/>
      <c r="F159" s="9"/>
    </row>
    <row r="160" spans="2:6" x14ac:dyDescent="0.25">
      <c r="B160" s="9"/>
      <c r="C160" s="9"/>
      <c r="D160" s="9"/>
      <c r="E160" s="9"/>
      <c r="F160" s="9"/>
    </row>
    <row r="161" spans="2:6" x14ac:dyDescent="0.25">
      <c r="B161" s="9"/>
      <c r="C161" s="9"/>
      <c r="D161" s="9"/>
      <c r="E161" s="9"/>
      <c r="F161" s="9"/>
    </row>
    <row r="162" spans="2:6" x14ac:dyDescent="0.25">
      <c r="B162" s="9"/>
      <c r="C162" s="9"/>
      <c r="D162" s="9"/>
      <c r="E162" s="9"/>
      <c r="F162" s="9"/>
    </row>
    <row r="163" spans="2:6" x14ac:dyDescent="0.25">
      <c r="B163" s="9"/>
      <c r="C163" s="9"/>
      <c r="D163" s="9"/>
      <c r="E163" s="9"/>
      <c r="F163" s="9"/>
    </row>
    <row r="164" spans="2:6" x14ac:dyDescent="0.25">
      <c r="B164" s="9"/>
      <c r="C164" s="9"/>
      <c r="D164" s="9"/>
      <c r="E164" s="9"/>
      <c r="F164" s="9"/>
    </row>
    <row r="165" spans="2:6" x14ac:dyDescent="0.25">
      <c r="B165" s="9"/>
      <c r="C165" s="9"/>
      <c r="D165" s="9"/>
      <c r="E165" s="9"/>
      <c r="F165" s="9"/>
    </row>
    <row r="166" spans="2:6" x14ac:dyDescent="0.25">
      <c r="B166" s="9"/>
      <c r="C166" s="9"/>
      <c r="D166" s="9"/>
      <c r="E166" s="9"/>
      <c r="F166" s="9"/>
    </row>
    <row r="167" spans="2:6" x14ac:dyDescent="0.25">
      <c r="B167" s="9"/>
      <c r="C167" s="9"/>
      <c r="D167" s="9"/>
      <c r="E167" s="9"/>
      <c r="F167" s="9"/>
    </row>
    <row r="168" spans="2:6" x14ac:dyDescent="0.25">
      <c r="B168" s="9"/>
      <c r="C168" s="9"/>
      <c r="D168" s="9"/>
      <c r="E168" s="9"/>
      <c r="F168" s="9"/>
    </row>
    <row r="169" spans="2:6" x14ac:dyDescent="0.25">
      <c r="B169" s="9"/>
      <c r="C169" s="9"/>
      <c r="D169" s="9"/>
      <c r="E169" s="9"/>
      <c r="F169" s="11"/>
    </row>
    <row r="170" spans="2:6" x14ac:dyDescent="0.25">
      <c r="B170" s="14"/>
      <c r="C170" s="11"/>
      <c r="D170" s="11"/>
    </row>
    <row r="172" spans="2:6" x14ac:dyDescent="0.25">
      <c r="B172" s="9"/>
      <c r="C172" s="9"/>
      <c r="D172" s="9"/>
      <c r="E172" s="9"/>
      <c r="F172" s="9"/>
    </row>
    <row r="173" spans="2:6" x14ac:dyDescent="0.25">
      <c r="B173" s="9"/>
      <c r="C173" s="9"/>
      <c r="D173" s="9"/>
      <c r="E173" s="9"/>
      <c r="F173" s="9"/>
    </row>
    <row r="174" spans="2:6" x14ac:dyDescent="0.25">
      <c r="B174" s="9"/>
      <c r="C174" s="9"/>
      <c r="D174" s="9"/>
      <c r="E174" s="9"/>
      <c r="F174" s="9"/>
    </row>
    <row r="175" spans="2:6" x14ac:dyDescent="0.25">
      <c r="B175" s="9"/>
      <c r="C175" s="9"/>
      <c r="D175" s="9"/>
      <c r="E175" s="9"/>
      <c r="F175" s="9"/>
    </row>
    <row r="176" spans="2:6" x14ac:dyDescent="0.25">
      <c r="B176" s="9"/>
      <c r="C176" s="9"/>
      <c r="D176" s="9"/>
      <c r="E176" s="9"/>
      <c r="F176" s="9"/>
    </row>
    <row r="177" spans="2:6" x14ac:dyDescent="0.25">
      <c r="B177" s="9"/>
      <c r="C177" s="9"/>
      <c r="D177" s="9"/>
      <c r="E177" s="9"/>
      <c r="F177" s="9"/>
    </row>
    <row r="178" spans="2:6" x14ac:dyDescent="0.25">
      <c r="B178" s="9"/>
      <c r="C178" s="9"/>
      <c r="D178" s="9"/>
      <c r="E178" s="9"/>
      <c r="F178" s="9"/>
    </row>
    <row r="179" spans="2:6" x14ac:dyDescent="0.25">
      <c r="B179" s="9"/>
      <c r="C179" s="9"/>
      <c r="D179" s="9"/>
      <c r="E179" s="9"/>
      <c r="F179" s="9"/>
    </row>
    <row r="180" spans="2:6" x14ac:dyDescent="0.25">
      <c r="B180" s="9"/>
      <c r="C180" s="9"/>
      <c r="D180" s="9"/>
      <c r="E180" s="9"/>
      <c r="F180" s="9"/>
    </row>
    <row r="181" spans="2:6" x14ac:dyDescent="0.25">
      <c r="B181" s="9"/>
      <c r="C181" s="9"/>
      <c r="D181" s="9"/>
      <c r="E181" s="9"/>
      <c r="F181" s="9"/>
    </row>
    <row r="182" spans="2:6" x14ac:dyDescent="0.25">
      <c r="B182" s="9"/>
      <c r="C182" s="9"/>
      <c r="D182" s="9"/>
      <c r="E182" s="9"/>
      <c r="F182" s="9"/>
    </row>
    <row r="183" spans="2:6" x14ac:dyDescent="0.25">
      <c r="B183" s="9"/>
      <c r="C183" s="9"/>
      <c r="D183" s="9"/>
      <c r="E183" s="9"/>
      <c r="F183" s="11"/>
    </row>
    <row r="184" spans="2:6" x14ac:dyDescent="0.25">
      <c r="B184" s="14"/>
      <c r="C184" s="11"/>
      <c r="D184" s="11"/>
    </row>
    <row r="186" spans="2:6" x14ac:dyDescent="0.25">
      <c r="B186" s="9"/>
      <c r="C186" s="9"/>
      <c r="D186" s="9"/>
      <c r="E186" s="9"/>
      <c r="F186" s="9"/>
    </row>
  </sheetData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Forecast</vt:lpstr>
      <vt:lpstr>Mortgage</vt:lpstr>
      <vt:lpstr>Bankruptcy</vt:lpstr>
      <vt:lpstr>Growth Option</vt:lpstr>
      <vt:lpstr>Option analysis</vt:lpstr>
      <vt:lpstr>Bankruptcy FCF</vt:lpstr>
      <vt:lpstr>Expansion mortgage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2014-07-18T14:49:24Z</dcterms:created>
  <dcterms:modified xsi:type="dcterms:W3CDTF">2019-08-23T21:07:51Z</dcterms:modified>
</cp:coreProperties>
</file>