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0" yWindow="180" windowWidth="20730" windowHeight="11580"/>
  </bookViews>
  <sheets>
    <sheet name="Original Forecast" sheetId="7" r:id="rId1"/>
    <sheet name="Bankruptcy" sheetId="4" r:id="rId2"/>
    <sheet name="Mortgage" sheetId="2" r:id="rId3"/>
    <sheet name="Sheet4" sheetId="8" r:id="rId4"/>
    <sheet name="Sheet5" sheetId="9" r:id="rId5"/>
    <sheet name="K" sheetId="6" r:id="rId6"/>
  </sheets>
  <calcPr calcId="14562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8" i="7" l="1"/>
  <c r="P100" i="4"/>
  <c r="N116" i="4"/>
  <c r="M116" i="4"/>
  <c r="M111" i="4"/>
  <c r="Q107" i="4"/>
  <c r="O100" i="4"/>
  <c r="O99" i="4"/>
  <c r="Q117" i="4"/>
  <c r="M122" i="4"/>
  <c r="M120" i="4"/>
  <c r="M112" i="4"/>
  <c r="L96" i="4"/>
  <c r="K99" i="4"/>
  <c r="L94" i="4"/>
  <c r="K93" i="4"/>
  <c r="L93" i="4"/>
  <c r="L78" i="4"/>
  <c r="L77" i="4"/>
  <c r="K82" i="4"/>
  <c r="F84" i="4"/>
  <c r="E84" i="4"/>
  <c r="L91" i="4"/>
  <c r="G84" i="4"/>
  <c r="H84" i="4"/>
  <c r="D118" i="7"/>
  <c r="L100" i="4"/>
  <c r="L101" i="4"/>
  <c r="M100" i="4"/>
  <c r="N100" i="4"/>
  <c r="M99" i="4"/>
  <c r="N99" i="4"/>
  <c r="P99" i="4"/>
  <c r="M119" i="4"/>
  <c r="L79" i="4"/>
  <c r="L80" i="4"/>
  <c r="K83" i="4"/>
  <c r="H67" i="4"/>
  <c r="Q118" i="4"/>
  <c r="Q119" i="4"/>
  <c r="N119" i="4"/>
  <c r="O116" i="4"/>
  <c r="F67" i="4"/>
  <c r="O118" i="4"/>
  <c r="O119" i="4"/>
  <c r="P116" i="4"/>
  <c r="G67" i="4"/>
  <c r="P118" i="4"/>
  <c r="P119" i="4"/>
  <c r="M121" i="4"/>
  <c r="N118" i="4"/>
  <c r="O108" i="4"/>
  <c r="N108" i="4"/>
  <c r="Q109" i="4"/>
  <c r="P109" i="4"/>
  <c r="N109" i="4"/>
  <c r="O109" i="4"/>
  <c r="M109" i="4"/>
  <c r="M110" i="4"/>
  <c r="P108" i="4"/>
  <c r="Q108" i="4"/>
  <c r="N106" i="4"/>
  <c r="O106" i="4"/>
  <c r="P106" i="4"/>
  <c r="M106" i="4"/>
  <c r="V96" i="4"/>
  <c r="L99" i="4"/>
  <c r="F8" i="4"/>
  <c r="G8" i="4"/>
  <c r="H8" i="4"/>
  <c r="F12" i="4"/>
  <c r="G12" i="4"/>
  <c r="H12" i="4"/>
  <c r="D113" i="7"/>
  <c r="D114" i="7"/>
  <c r="E23" i="7"/>
  <c r="E26" i="7"/>
  <c r="E29" i="7"/>
  <c r="B14" i="7"/>
  <c r="E14" i="7"/>
  <c r="E17" i="7"/>
  <c r="E20" i="7"/>
  <c r="E5" i="7"/>
  <c r="E8" i="7"/>
  <c r="E11" i="7"/>
  <c r="E55" i="7"/>
  <c r="E79" i="7"/>
  <c r="D115" i="7"/>
  <c r="E58" i="7"/>
  <c r="E80" i="7"/>
  <c r="D116" i="7"/>
  <c r="E90" i="7"/>
  <c r="D117" i="7"/>
  <c r="E9" i="7"/>
  <c r="E52" i="7"/>
  <c r="E18" i="7"/>
  <c r="E53" i="7"/>
  <c r="E27" i="7"/>
  <c r="E54" i="7"/>
  <c r="E56" i="7"/>
  <c r="E61" i="7"/>
  <c r="E62" i="7"/>
  <c r="F63" i="7"/>
  <c r="G63" i="7"/>
  <c r="H63" i="7"/>
  <c r="I63" i="7"/>
  <c r="J63" i="7"/>
  <c r="K63" i="7"/>
  <c r="L63" i="7"/>
  <c r="M63" i="7"/>
  <c r="N63" i="7"/>
  <c r="O63" i="7"/>
  <c r="E63" i="7"/>
  <c r="E65" i="7"/>
  <c r="E105" i="7"/>
  <c r="E68" i="7"/>
  <c r="E106" i="7"/>
  <c r="E107" i="7"/>
  <c r="E108" i="7"/>
  <c r="E109" i="7"/>
  <c r="D121" i="7"/>
  <c r="D124" i="7"/>
  <c r="D128" i="7"/>
  <c r="D133" i="7"/>
  <c r="E93" i="7"/>
  <c r="F93" i="7"/>
  <c r="G93" i="7"/>
  <c r="H93" i="7"/>
  <c r="I93" i="7"/>
  <c r="J93" i="7"/>
  <c r="K93" i="7"/>
  <c r="L93" i="7"/>
  <c r="M93" i="7"/>
  <c r="N93" i="7"/>
  <c r="O93" i="7"/>
  <c r="E67" i="7"/>
  <c r="E69" i="7"/>
  <c r="E71" i="7"/>
  <c r="E72" i="7"/>
  <c r="E73" i="7"/>
  <c r="E96" i="7"/>
  <c r="F6" i="7"/>
  <c r="F8" i="7"/>
  <c r="F12" i="7"/>
  <c r="F10" i="7"/>
  <c r="F9" i="7"/>
  <c r="F52" i="7"/>
  <c r="F15" i="7"/>
  <c r="F17" i="7"/>
  <c r="F21" i="7"/>
  <c r="F19" i="7"/>
  <c r="F18" i="7"/>
  <c r="F53" i="7"/>
  <c r="F24" i="7"/>
  <c r="F26" i="7"/>
  <c r="F30" i="7"/>
  <c r="F28" i="7"/>
  <c r="F27" i="7"/>
  <c r="F54" i="7"/>
  <c r="F29" i="7"/>
  <c r="F20" i="7"/>
  <c r="F11" i="7"/>
  <c r="F55" i="7"/>
  <c r="F56" i="7"/>
  <c r="F61" i="7"/>
  <c r="F45" i="7"/>
  <c r="F62" i="7"/>
  <c r="F65" i="7"/>
  <c r="F67" i="7"/>
  <c r="F7" i="7"/>
  <c r="F16" i="7"/>
  <c r="F25" i="7"/>
  <c r="F58" i="7"/>
  <c r="F68" i="7"/>
  <c r="F69" i="7"/>
  <c r="F71" i="7"/>
  <c r="F72" i="7"/>
  <c r="F73" i="7"/>
  <c r="F96" i="7"/>
  <c r="G6" i="7"/>
  <c r="G8" i="7"/>
  <c r="G12" i="7"/>
  <c r="G10" i="7"/>
  <c r="G9" i="7"/>
  <c r="G52" i="7"/>
  <c r="G15" i="7"/>
  <c r="G17" i="7"/>
  <c r="G21" i="7"/>
  <c r="G19" i="7"/>
  <c r="G18" i="7"/>
  <c r="G53" i="7"/>
  <c r="G24" i="7"/>
  <c r="G26" i="7"/>
  <c r="G30" i="7"/>
  <c r="G28" i="7"/>
  <c r="G27" i="7"/>
  <c r="G54" i="7"/>
  <c r="G29" i="7"/>
  <c r="G20" i="7"/>
  <c r="G11" i="7"/>
  <c r="G55" i="7"/>
  <c r="G56" i="7"/>
  <c r="G61" i="7"/>
  <c r="G45" i="7"/>
  <c r="G62" i="7"/>
  <c r="G65" i="7"/>
  <c r="G67" i="7"/>
  <c r="G7" i="7"/>
  <c r="G16" i="7"/>
  <c r="G25" i="7"/>
  <c r="G58" i="7"/>
  <c r="G68" i="7"/>
  <c r="G69" i="7"/>
  <c r="G71" i="7"/>
  <c r="G72" i="7"/>
  <c r="G73" i="7"/>
  <c r="G96" i="7"/>
  <c r="H6" i="7"/>
  <c r="H8" i="7"/>
  <c r="H12" i="7"/>
  <c r="H10" i="7"/>
  <c r="H9" i="7"/>
  <c r="H52" i="7"/>
  <c r="H15" i="7"/>
  <c r="H17" i="7"/>
  <c r="H21" i="7"/>
  <c r="H19" i="7"/>
  <c r="H18" i="7"/>
  <c r="H53" i="7"/>
  <c r="H24" i="7"/>
  <c r="H26" i="7"/>
  <c r="H30" i="7"/>
  <c r="H28" i="7"/>
  <c r="H27" i="7"/>
  <c r="H54" i="7"/>
  <c r="H29" i="7"/>
  <c r="H20" i="7"/>
  <c r="H11" i="7"/>
  <c r="H55" i="7"/>
  <c r="H56" i="7"/>
  <c r="H61" i="7"/>
  <c r="H45" i="7"/>
  <c r="H62" i="7"/>
  <c r="H65" i="7"/>
  <c r="H67" i="7"/>
  <c r="H7" i="7"/>
  <c r="H16" i="7"/>
  <c r="H25" i="7"/>
  <c r="H58" i="7"/>
  <c r="H68" i="7"/>
  <c r="H69" i="7"/>
  <c r="H71" i="7"/>
  <c r="H72" i="7"/>
  <c r="H73" i="7"/>
  <c r="H96" i="7"/>
  <c r="I6" i="7"/>
  <c r="I8" i="7"/>
  <c r="I12" i="7"/>
  <c r="I10" i="7"/>
  <c r="I9" i="7"/>
  <c r="I52" i="7"/>
  <c r="I15" i="7"/>
  <c r="I17" i="7"/>
  <c r="I21" i="7"/>
  <c r="I19" i="7"/>
  <c r="I18" i="7"/>
  <c r="I53" i="7"/>
  <c r="I24" i="7"/>
  <c r="I26" i="7"/>
  <c r="I30" i="7"/>
  <c r="I28" i="7"/>
  <c r="I27" i="7"/>
  <c r="I54" i="7"/>
  <c r="I29" i="7"/>
  <c r="I20" i="7"/>
  <c r="I11" i="7"/>
  <c r="I55" i="7"/>
  <c r="I56" i="7"/>
  <c r="I61" i="7"/>
  <c r="I45" i="7"/>
  <c r="I62" i="7"/>
  <c r="I65" i="7"/>
  <c r="I67" i="7"/>
  <c r="I7" i="7"/>
  <c r="I16" i="7"/>
  <c r="I25" i="7"/>
  <c r="I58" i="7"/>
  <c r="I68" i="7"/>
  <c r="I69" i="7"/>
  <c r="I71" i="7"/>
  <c r="I72" i="7"/>
  <c r="I73" i="7"/>
  <c r="I96" i="7"/>
  <c r="J6" i="7"/>
  <c r="J8" i="7"/>
  <c r="J12" i="7"/>
  <c r="J10" i="7"/>
  <c r="J9" i="7"/>
  <c r="J52" i="7"/>
  <c r="J15" i="7"/>
  <c r="J17" i="7"/>
  <c r="J21" i="7"/>
  <c r="J19" i="7"/>
  <c r="J18" i="7"/>
  <c r="J53" i="7"/>
  <c r="J24" i="7"/>
  <c r="J26" i="7"/>
  <c r="J30" i="7"/>
  <c r="J28" i="7"/>
  <c r="J27" i="7"/>
  <c r="J54" i="7"/>
  <c r="J29" i="7"/>
  <c r="J20" i="7"/>
  <c r="J11" i="7"/>
  <c r="J55" i="7"/>
  <c r="J56" i="7"/>
  <c r="J61" i="7"/>
  <c r="J45" i="7"/>
  <c r="J62" i="7"/>
  <c r="J65" i="7"/>
  <c r="J67" i="7"/>
  <c r="J7" i="7"/>
  <c r="J16" i="7"/>
  <c r="J25" i="7"/>
  <c r="J58" i="7"/>
  <c r="J68" i="7"/>
  <c r="J69" i="7"/>
  <c r="J71" i="7"/>
  <c r="J72" i="7"/>
  <c r="J73" i="7"/>
  <c r="J96" i="7"/>
  <c r="K6" i="7"/>
  <c r="K8" i="7"/>
  <c r="K12" i="7"/>
  <c r="K10" i="7"/>
  <c r="K9" i="7"/>
  <c r="K52" i="7"/>
  <c r="K15" i="7"/>
  <c r="K17" i="7"/>
  <c r="K21" i="7"/>
  <c r="K19" i="7"/>
  <c r="K18" i="7"/>
  <c r="K53" i="7"/>
  <c r="K24" i="7"/>
  <c r="K26" i="7"/>
  <c r="K30" i="7"/>
  <c r="K28" i="7"/>
  <c r="K27" i="7"/>
  <c r="K54" i="7"/>
  <c r="K29" i="7"/>
  <c r="K20" i="7"/>
  <c r="K11" i="7"/>
  <c r="K55" i="7"/>
  <c r="K56" i="7"/>
  <c r="K61" i="7"/>
  <c r="K45" i="7"/>
  <c r="K62" i="7"/>
  <c r="K65" i="7"/>
  <c r="K67" i="7"/>
  <c r="K7" i="7"/>
  <c r="K16" i="7"/>
  <c r="K25" i="7"/>
  <c r="K58" i="7"/>
  <c r="K68" i="7"/>
  <c r="K69" i="7"/>
  <c r="K71" i="7"/>
  <c r="K72" i="7"/>
  <c r="K73" i="7"/>
  <c r="K96" i="7"/>
  <c r="L6" i="7"/>
  <c r="L8" i="7"/>
  <c r="L12" i="7"/>
  <c r="L10" i="7"/>
  <c r="L9" i="7"/>
  <c r="L52" i="7"/>
  <c r="L15" i="7"/>
  <c r="L17" i="7"/>
  <c r="L21" i="7"/>
  <c r="L19" i="7"/>
  <c r="L18" i="7"/>
  <c r="L53" i="7"/>
  <c r="L24" i="7"/>
  <c r="L26" i="7"/>
  <c r="L30" i="7"/>
  <c r="L28" i="7"/>
  <c r="L27" i="7"/>
  <c r="L54" i="7"/>
  <c r="L29" i="7"/>
  <c r="L20" i="7"/>
  <c r="L11" i="7"/>
  <c r="L55" i="7"/>
  <c r="L56" i="7"/>
  <c r="L61" i="7"/>
  <c r="L45" i="7"/>
  <c r="L62" i="7"/>
  <c r="L65" i="7"/>
  <c r="L67" i="7"/>
  <c r="L7" i="7"/>
  <c r="L16" i="7"/>
  <c r="L25" i="7"/>
  <c r="L58" i="7"/>
  <c r="L68" i="7"/>
  <c r="L69" i="7"/>
  <c r="L71" i="7"/>
  <c r="L72" i="7"/>
  <c r="L73" i="7"/>
  <c r="L96" i="7"/>
  <c r="M6" i="7"/>
  <c r="M8" i="7"/>
  <c r="M12" i="7"/>
  <c r="M10" i="7"/>
  <c r="M9" i="7"/>
  <c r="M52" i="7"/>
  <c r="M15" i="7"/>
  <c r="M17" i="7"/>
  <c r="M21" i="7"/>
  <c r="M19" i="7"/>
  <c r="M18" i="7"/>
  <c r="M53" i="7"/>
  <c r="M24" i="7"/>
  <c r="M26" i="7"/>
  <c r="M30" i="7"/>
  <c r="M28" i="7"/>
  <c r="M27" i="7"/>
  <c r="M54" i="7"/>
  <c r="M29" i="7"/>
  <c r="M20" i="7"/>
  <c r="M11" i="7"/>
  <c r="M55" i="7"/>
  <c r="M56" i="7"/>
  <c r="M61" i="7"/>
  <c r="M45" i="7"/>
  <c r="M62" i="7"/>
  <c r="M65" i="7"/>
  <c r="M67" i="7"/>
  <c r="M7" i="7"/>
  <c r="M16" i="7"/>
  <c r="M25" i="7"/>
  <c r="M58" i="7"/>
  <c r="M68" i="7"/>
  <c r="M69" i="7"/>
  <c r="M71" i="7"/>
  <c r="M72" i="7"/>
  <c r="M73" i="7"/>
  <c r="M96" i="7"/>
  <c r="N6" i="7"/>
  <c r="N8" i="7"/>
  <c r="N12" i="7"/>
  <c r="N10" i="7"/>
  <c r="N9" i="7"/>
  <c r="N52" i="7"/>
  <c r="N15" i="7"/>
  <c r="N17" i="7"/>
  <c r="N21" i="7"/>
  <c r="N19" i="7"/>
  <c r="N18" i="7"/>
  <c r="N53" i="7"/>
  <c r="N24" i="7"/>
  <c r="N26" i="7"/>
  <c r="N30" i="7"/>
  <c r="N28" i="7"/>
  <c r="N27" i="7"/>
  <c r="N54" i="7"/>
  <c r="N29" i="7"/>
  <c r="N20" i="7"/>
  <c r="N11" i="7"/>
  <c r="N55" i="7"/>
  <c r="N56" i="7"/>
  <c r="N61" i="7"/>
  <c r="N45" i="7"/>
  <c r="N62" i="7"/>
  <c r="N65" i="7"/>
  <c r="N67" i="7"/>
  <c r="N7" i="7"/>
  <c r="N16" i="7"/>
  <c r="N25" i="7"/>
  <c r="N58" i="7"/>
  <c r="N68" i="7"/>
  <c r="N69" i="7"/>
  <c r="N71" i="7"/>
  <c r="N72" i="7"/>
  <c r="N73" i="7"/>
  <c r="N96" i="7"/>
  <c r="O6" i="7"/>
  <c r="O8" i="7"/>
  <c r="O12" i="7"/>
  <c r="O10" i="7"/>
  <c r="O9" i="7"/>
  <c r="O52" i="7"/>
  <c r="O15" i="7"/>
  <c r="O17" i="7"/>
  <c r="O21" i="7"/>
  <c r="O19" i="7"/>
  <c r="O18" i="7"/>
  <c r="O53" i="7"/>
  <c r="O24" i="7"/>
  <c r="O26" i="7"/>
  <c r="O30" i="7"/>
  <c r="O28" i="7"/>
  <c r="O27" i="7"/>
  <c r="O54" i="7"/>
  <c r="O29" i="7"/>
  <c r="O20" i="7"/>
  <c r="O11" i="7"/>
  <c r="O55" i="7"/>
  <c r="O56" i="7"/>
  <c r="O61" i="7"/>
  <c r="O45" i="7"/>
  <c r="O62" i="7"/>
  <c r="O65" i="7"/>
  <c r="O67" i="7"/>
  <c r="O7" i="7"/>
  <c r="O16" i="7"/>
  <c r="O25" i="7"/>
  <c r="O58" i="7"/>
  <c r="O68" i="7"/>
  <c r="O69" i="7"/>
  <c r="O71" i="7"/>
  <c r="O72" i="7"/>
  <c r="O73" i="7"/>
  <c r="O96" i="7"/>
  <c r="AB94" i="7"/>
  <c r="V94" i="7"/>
  <c r="V95" i="7"/>
  <c r="V99" i="7"/>
  <c r="V93" i="7"/>
  <c r="V96" i="7"/>
  <c r="D132" i="7"/>
  <c r="D131" i="7"/>
  <c r="E113" i="7"/>
  <c r="E114" i="7"/>
  <c r="F34" i="7"/>
  <c r="F79" i="7"/>
  <c r="E115" i="7"/>
  <c r="F32" i="7"/>
  <c r="F80" i="7"/>
  <c r="E116" i="7"/>
  <c r="F90" i="7"/>
  <c r="E117" i="7"/>
  <c r="F105" i="7"/>
  <c r="F106" i="7"/>
  <c r="F107" i="7"/>
  <c r="F108" i="7"/>
  <c r="F109" i="7"/>
  <c r="E118" i="7"/>
  <c r="E121" i="7"/>
  <c r="E124" i="7"/>
  <c r="E128" i="7"/>
  <c r="F113" i="7"/>
  <c r="F114" i="7"/>
  <c r="G34" i="7"/>
  <c r="G79" i="7"/>
  <c r="F115" i="7"/>
  <c r="G32" i="7"/>
  <c r="G80" i="7"/>
  <c r="F116" i="7"/>
  <c r="G90" i="7"/>
  <c r="F117" i="7"/>
  <c r="G105" i="7"/>
  <c r="G106" i="7"/>
  <c r="G107" i="7"/>
  <c r="G108" i="7"/>
  <c r="G109" i="7"/>
  <c r="F118" i="7"/>
  <c r="F121" i="7"/>
  <c r="F124" i="7"/>
  <c r="F128" i="7"/>
  <c r="G113" i="7"/>
  <c r="G114" i="7"/>
  <c r="H34" i="7"/>
  <c r="H79" i="7"/>
  <c r="G115" i="7"/>
  <c r="H32" i="7"/>
  <c r="H80" i="7"/>
  <c r="G116" i="7"/>
  <c r="H90" i="7"/>
  <c r="G117" i="7"/>
  <c r="H105" i="7"/>
  <c r="H106" i="7"/>
  <c r="H107" i="7"/>
  <c r="H108" i="7"/>
  <c r="H109" i="7"/>
  <c r="G118" i="7"/>
  <c r="G121" i="7"/>
  <c r="G124" i="7"/>
  <c r="G128" i="7"/>
  <c r="H113" i="7"/>
  <c r="H114" i="7"/>
  <c r="I34" i="7"/>
  <c r="I79" i="7"/>
  <c r="H115" i="7"/>
  <c r="I32" i="7"/>
  <c r="I80" i="7"/>
  <c r="H116" i="7"/>
  <c r="I90" i="7"/>
  <c r="H117" i="7"/>
  <c r="I105" i="7"/>
  <c r="I106" i="7"/>
  <c r="I107" i="7"/>
  <c r="I108" i="7"/>
  <c r="I109" i="7"/>
  <c r="H118" i="7"/>
  <c r="H121" i="7"/>
  <c r="H124" i="7"/>
  <c r="H128" i="7"/>
  <c r="I113" i="7"/>
  <c r="I114" i="7"/>
  <c r="J34" i="7"/>
  <c r="J79" i="7"/>
  <c r="I115" i="7"/>
  <c r="J32" i="7"/>
  <c r="J80" i="7"/>
  <c r="I116" i="7"/>
  <c r="J90" i="7"/>
  <c r="I117" i="7"/>
  <c r="J105" i="7"/>
  <c r="J106" i="7"/>
  <c r="J107" i="7"/>
  <c r="J108" i="7"/>
  <c r="J109" i="7"/>
  <c r="I118" i="7"/>
  <c r="I121" i="7"/>
  <c r="I124" i="7"/>
  <c r="I128" i="7"/>
  <c r="J113" i="7"/>
  <c r="J114" i="7"/>
  <c r="K34" i="7"/>
  <c r="K79" i="7"/>
  <c r="J115" i="7"/>
  <c r="K32" i="7"/>
  <c r="K80" i="7"/>
  <c r="J116" i="7"/>
  <c r="K90" i="7"/>
  <c r="J117" i="7"/>
  <c r="K105" i="7"/>
  <c r="K106" i="7"/>
  <c r="K107" i="7"/>
  <c r="K108" i="7"/>
  <c r="K109" i="7"/>
  <c r="J118" i="7"/>
  <c r="J121" i="7"/>
  <c r="J124" i="7"/>
  <c r="J128" i="7"/>
  <c r="K113" i="7"/>
  <c r="K114" i="7"/>
  <c r="L34" i="7"/>
  <c r="L79" i="7"/>
  <c r="K115" i="7"/>
  <c r="L32" i="7"/>
  <c r="L80" i="7"/>
  <c r="K116" i="7"/>
  <c r="L90" i="7"/>
  <c r="K117" i="7"/>
  <c r="L105" i="7"/>
  <c r="L106" i="7"/>
  <c r="L107" i="7"/>
  <c r="L108" i="7"/>
  <c r="L109" i="7"/>
  <c r="K118" i="7"/>
  <c r="K121" i="7"/>
  <c r="K124" i="7"/>
  <c r="K128" i="7"/>
  <c r="L113" i="7"/>
  <c r="L114" i="7"/>
  <c r="M34" i="7"/>
  <c r="M79" i="7"/>
  <c r="L115" i="7"/>
  <c r="M32" i="7"/>
  <c r="M80" i="7"/>
  <c r="L116" i="7"/>
  <c r="M90" i="7"/>
  <c r="L117" i="7"/>
  <c r="M105" i="7"/>
  <c r="M106" i="7"/>
  <c r="M107" i="7"/>
  <c r="M108" i="7"/>
  <c r="M109" i="7"/>
  <c r="L118" i="7"/>
  <c r="L121" i="7"/>
  <c r="L124" i="7"/>
  <c r="L128" i="7"/>
  <c r="M113" i="7"/>
  <c r="M114" i="7"/>
  <c r="N34" i="7"/>
  <c r="N79" i="7"/>
  <c r="M115" i="7"/>
  <c r="N32" i="7"/>
  <c r="N80" i="7"/>
  <c r="M116" i="7"/>
  <c r="N90" i="7"/>
  <c r="M117" i="7"/>
  <c r="N105" i="7"/>
  <c r="N106" i="7"/>
  <c r="N107" i="7"/>
  <c r="N108" i="7"/>
  <c r="N109" i="7"/>
  <c r="M118" i="7"/>
  <c r="M121" i="7"/>
  <c r="M124" i="7"/>
  <c r="M128" i="7"/>
  <c r="N113" i="7"/>
  <c r="N114" i="7"/>
  <c r="O34" i="7"/>
  <c r="O79" i="7"/>
  <c r="N115" i="7"/>
  <c r="O32" i="7"/>
  <c r="O80" i="7"/>
  <c r="N116" i="7"/>
  <c r="O90" i="7"/>
  <c r="N117" i="7"/>
  <c r="O105" i="7"/>
  <c r="O106" i="7"/>
  <c r="O107" i="7"/>
  <c r="O108" i="7"/>
  <c r="O109" i="7"/>
  <c r="N118" i="7"/>
  <c r="N121" i="7"/>
  <c r="N124" i="7"/>
  <c r="N128" i="7"/>
  <c r="O113" i="7"/>
  <c r="O114" i="7"/>
  <c r="O115" i="7"/>
  <c r="O116" i="7"/>
  <c r="O117" i="7"/>
  <c r="O118" i="7"/>
  <c r="O121" i="7"/>
  <c r="O122" i="7"/>
  <c r="P121" i="7"/>
  <c r="Q121" i="7"/>
  <c r="O123" i="7"/>
  <c r="O124" i="7"/>
  <c r="O125" i="7"/>
  <c r="E84" i="7"/>
  <c r="F84" i="7"/>
  <c r="G84" i="7"/>
  <c r="H84" i="7"/>
  <c r="I84" i="7"/>
  <c r="J84" i="7"/>
  <c r="K84" i="7"/>
  <c r="L84" i="7"/>
  <c r="M84" i="7"/>
  <c r="N84" i="7"/>
  <c r="O84" i="7"/>
  <c r="P124" i="7"/>
  <c r="Q124" i="7"/>
  <c r="O126" i="7"/>
  <c r="O128" i="7"/>
  <c r="D130" i="7"/>
  <c r="D129" i="7"/>
  <c r="O86" i="7"/>
  <c r="O89" i="7"/>
  <c r="O98" i="7"/>
  <c r="O100" i="7"/>
  <c r="N86" i="7"/>
  <c r="N89" i="7"/>
  <c r="N98" i="7"/>
  <c r="N100" i="7"/>
  <c r="M86" i="7"/>
  <c r="M89" i="7"/>
  <c r="M98" i="7"/>
  <c r="M100" i="7"/>
  <c r="L86" i="7"/>
  <c r="L89" i="7"/>
  <c r="L98" i="7"/>
  <c r="L100" i="7"/>
  <c r="K86" i="7"/>
  <c r="K89" i="7"/>
  <c r="K98" i="7"/>
  <c r="K100" i="7"/>
  <c r="J86" i="7"/>
  <c r="J89" i="7"/>
  <c r="J98" i="7"/>
  <c r="J100" i="7"/>
  <c r="I86" i="7"/>
  <c r="I89" i="7"/>
  <c r="I98" i="7"/>
  <c r="I100" i="7"/>
  <c r="H86" i="7"/>
  <c r="H89" i="7"/>
  <c r="H98" i="7"/>
  <c r="H100" i="7"/>
  <c r="G86" i="7"/>
  <c r="G89" i="7"/>
  <c r="G98" i="7"/>
  <c r="G100" i="7"/>
  <c r="F86" i="7"/>
  <c r="F89" i="7"/>
  <c r="F98" i="7"/>
  <c r="F100" i="7"/>
  <c r="E86" i="7"/>
  <c r="E89" i="7"/>
  <c r="E98" i="7"/>
  <c r="E100" i="7"/>
  <c r="F43" i="7"/>
  <c r="G43" i="7"/>
  <c r="H43" i="7"/>
  <c r="I43" i="7"/>
  <c r="J43" i="7"/>
  <c r="K43" i="7"/>
  <c r="L43" i="7"/>
  <c r="M43" i="7"/>
  <c r="N43" i="7"/>
  <c r="O43" i="7"/>
  <c r="F10" i="4"/>
  <c r="F9" i="4"/>
  <c r="F6" i="4"/>
  <c r="F52" i="4"/>
  <c r="F11" i="4"/>
  <c r="F17" i="4"/>
  <c r="F20" i="4"/>
  <c r="F24" i="4"/>
  <c r="F26" i="4"/>
  <c r="F29" i="4"/>
  <c r="F15" i="4"/>
  <c r="F55" i="4"/>
  <c r="F18" i="4"/>
  <c r="F53" i="4"/>
  <c r="F27" i="4"/>
  <c r="F54" i="4"/>
  <c r="F56" i="4"/>
  <c r="F7" i="4"/>
  <c r="F25" i="4"/>
  <c r="F58" i="4"/>
  <c r="F71" i="4"/>
  <c r="F72" i="4"/>
  <c r="F73" i="4"/>
  <c r="E63" i="4"/>
  <c r="E65" i="4"/>
  <c r="E71" i="4"/>
  <c r="E72" i="4"/>
  <c r="E73" i="4"/>
  <c r="E96" i="4"/>
  <c r="F96" i="4"/>
  <c r="G10" i="4"/>
  <c r="G9" i="4"/>
  <c r="G6" i="4"/>
  <c r="G52" i="4"/>
  <c r="G11" i="4"/>
  <c r="G17" i="4"/>
  <c r="G20" i="4"/>
  <c r="G24" i="4"/>
  <c r="G26" i="4"/>
  <c r="G29" i="4"/>
  <c r="G15" i="4"/>
  <c r="G55" i="4"/>
  <c r="G18" i="4"/>
  <c r="G53" i="4"/>
  <c r="G27" i="4"/>
  <c r="G54" i="4"/>
  <c r="G56" i="4"/>
  <c r="G7" i="4"/>
  <c r="G25" i="4"/>
  <c r="G58" i="4"/>
  <c r="G71" i="4"/>
  <c r="G72" i="4"/>
  <c r="G73" i="4"/>
  <c r="G96" i="4"/>
  <c r="H10" i="4"/>
  <c r="H9" i="4"/>
  <c r="H6" i="4"/>
  <c r="H52" i="4"/>
  <c r="H11" i="4"/>
  <c r="H17" i="4"/>
  <c r="H20" i="4"/>
  <c r="H24" i="4"/>
  <c r="H26" i="4"/>
  <c r="H29" i="4"/>
  <c r="H15" i="4"/>
  <c r="H55" i="4"/>
  <c r="H18" i="4"/>
  <c r="H53" i="4"/>
  <c r="H27" i="4"/>
  <c r="H54" i="4"/>
  <c r="H56" i="4"/>
  <c r="H7" i="4"/>
  <c r="H25" i="4"/>
  <c r="H58" i="4"/>
  <c r="H71" i="4"/>
  <c r="H72" i="4"/>
  <c r="H73" i="4"/>
  <c r="H96" i="4"/>
  <c r="AB94" i="4"/>
  <c r="V95" i="4"/>
  <c r="V94" i="4"/>
  <c r="V99" i="4"/>
  <c r="V93" i="4"/>
  <c r="E67" i="4"/>
  <c r="F65" i="4"/>
  <c r="G65" i="4"/>
  <c r="H65" i="4"/>
  <c r="E105" i="4"/>
  <c r="E107" i="4"/>
  <c r="E108" i="4"/>
  <c r="E109" i="4"/>
  <c r="F105" i="4"/>
  <c r="F107" i="4"/>
  <c r="F108" i="4"/>
  <c r="F109" i="4"/>
  <c r="E118" i="4"/>
  <c r="G105" i="4"/>
  <c r="G107" i="4"/>
  <c r="G108" i="4"/>
  <c r="G109" i="4"/>
  <c r="F118" i="4"/>
  <c r="H105" i="4"/>
  <c r="H107" i="4"/>
  <c r="H108" i="4"/>
  <c r="H109" i="4"/>
  <c r="G118" i="4"/>
  <c r="H118" i="4"/>
  <c r="D118" i="4"/>
  <c r="D121" i="4"/>
  <c r="E68" i="4"/>
  <c r="B2" i="2"/>
  <c r="I9" i="2"/>
  <c r="E2" i="2"/>
  <c r="D2" i="2"/>
  <c r="C2" i="2"/>
  <c r="F2" i="2"/>
  <c r="B3" i="2"/>
  <c r="E3" i="2"/>
  <c r="D3" i="2"/>
  <c r="C3" i="2"/>
  <c r="F3" i="2"/>
  <c r="B4" i="2"/>
  <c r="E4" i="2"/>
  <c r="D4" i="2"/>
  <c r="C4" i="2"/>
  <c r="F4" i="2"/>
  <c r="B5" i="2"/>
  <c r="E5" i="2"/>
  <c r="D5" i="2"/>
  <c r="C5" i="2"/>
  <c r="F5" i="2"/>
  <c r="B6" i="2"/>
  <c r="E6" i="2"/>
  <c r="D6" i="2"/>
  <c r="C6" i="2"/>
  <c r="F6" i="2"/>
  <c r="B7" i="2"/>
  <c r="E7" i="2"/>
  <c r="D7" i="2"/>
  <c r="C7" i="2"/>
  <c r="F7" i="2"/>
  <c r="B8" i="2"/>
  <c r="E8" i="2"/>
  <c r="D8" i="2"/>
  <c r="C8" i="2"/>
  <c r="F8" i="2"/>
  <c r="B9" i="2"/>
  <c r="E9" i="2"/>
  <c r="D9" i="2"/>
  <c r="C9" i="2"/>
  <c r="F9" i="2"/>
  <c r="B10" i="2"/>
  <c r="E10" i="2"/>
  <c r="D10" i="2"/>
  <c r="C10" i="2"/>
  <c r="F10" i="2"/>
  <c r="B11" i="2"/>
  <c r="E11" i="2"/>
  <c r="D11" i="2"/>
  <c r="C11" i="2"/>
  <c r="F11" i="2"/>
  <c r="B12" i="2"/>
  <c r="E12" i="2"/>
  <c r="D12" i="2"/>
  <c r="C12" i="2"/>
  <c r="F12" i="2"/>
  <c r="B13" i="2"/>
  <c r="E13" i="2"/>
  <c r="D13" i="2"/>
  <c r="C13" i="2"/>
  <c r="F13" i="2"/>
  <c r="B16" i="2"/>
  <c r="D16" i="2"/>
  <c r="E16" i="2"/>
  <c r="C16" i="2"/>
  <c r="F16" i="2"/>
  <c r="B17" i="2"/>
  <c r="D17" i="2"/>
  <c r="E17" i="2"/>
  <c r="C17" i="2"/>
  <c r="F17" i="2"/>
  <c r="B18" i="2"/>
  <c r="D18" i="2"/>
  <c r="E18" i="2"/>
  <c r="C18" i="2"/>
  <c r="F18" i="2"/>
  <c r="B19" i="2"/>
  <c r="D19" i="2"/>
  <c r="E19" i="2"/>
  <c r="C19" i="2"/>
  <c r="F19" i="2"/>
  <c r="B20" i="2"/>
  <c r="D20" i="2"/>
  <c r="E20" i="2"/>
  <c r="C20" i="2"/>
  <c r="F20" i="2"/>
  <c r="B21" i="2"/>
  <c r="D21" i="2"/>
  <c r="E21" i="2"/>
  <c r="C21" i="2"/>
  <c r="F21" i="2"/>
  <c r="B22" i="2"/>
  <c r="D22" i="2"/>
  <c r="E22" i="2"/>
  <c r="C22" i="2"/>
  <c r="F22" i="2"/>
  <c r="B23" i="2"/>
  <c r="D23" i="2"/>
  <c r="E23" i="2"/>
  <c r="C23" i="2"/>
  <c r="F23" i="2"/>
  <c r="B24" i="2"/>
  <c r="D24" i="2"/>
  <c r="E24" i="2"/>
  <c r="C24" i="2"/>
  <c r="F24" i="2"/>
  <c r="B25" i="2"/>
  <c r="D25" i="2"/>
  <c r="E25" i="2"/>
  <c r="C25" i="2"/>
  <c r="F25" i="2"/>
  <c r="B26" i="2"/>
  <c r="D26" i="2"/>
  <c r="E26" i="2"/>
  <c r="C26" i="2"/>
  <c r="F26" i="2"/>
  <c r="B27" i="2"/>
  <c r="D27" i="2"/>
  <c r="D28" i="2"/>
  <c r="E69" i="4"/>
  <c r="E89" i="4"/>
  <c r="D124" i="4"/>
  <c r="D114" i="4"/>
  <c r="D113" i="4"/>
  <c r="D128" i="4"/>
  <c r="E27" i="2"/>
  <c r="C27" i="2"/>
  <c r="F27" i="2"/>
  <c r="E93" i="4"/>
  <c r="E98" i="4"/>
  <c r="F68" i="4"/>
  <c r="B30" i="2"/>
  <c r="D30" i="2"/>
  <c r="E30" i="2"/>
  <c r="C30" i="2"/>
  <c r="F30" i="2"/>
  <c r="B31" i="2"/>
  <c r="D31" i="2"/>
  <c r="E31" i="2"/>
  <c r="C31" i="2"/>
  <c r="F31" i="2"/>
  <c r="B32" i="2"/>
  <c r="D32" i="2"/>
  <c r="E32" i="2"/>
  <c r="C32" i="2"/>
  <c r="F32" i="2"/>
  <c r="B33" i="2"/>
  <c r="D33" i="2"/>
  <c r="E33" i="2"/>
  <c r="C33" i="2"/>
  <c r="F33" i="2"/>
  <c r="B34" i="2"/>
  <c r="D34" i="2"/>
  <c r="E34" i="2"/>
  <c r="C34" i="2"/>
  <c r="F34" i="2"/>
  <c r="B35" i="2"/>
  <c r="D35" i="2"/>
  <c r="E35" i="2"/>
  <c r="C35" i="2"/>
  <c r="F35" i="2"/>
  <c r="B36" i="2"/>
  <c r="D36" i="2"/>
  <c r="E36" i="2"/>
  <c r="C36" i="2"/>
  <c r="F36" i="2"/>
  <c r="B37" i="2"/>
  <c r="D37" i="2"/>
  <c r="E37" i="2"/>
  <c r="C37" i="2"/>
  <c r="F37" i="2"/>
  <c r="B38" i="2"/>
  <c r="D38" i="2"/>
  <c r="E38" i="2"/>
  <c r="C38" i="2"/>
  <c r="F38" i="2"/>
  <c r="B39" i="2"/>
  <c r="D39" i="2"/>
  <c r="E39" i="2"/>
  <c r="C39" i="2"/>
  <c r="F39" i="2"/>
  <c r="B40" i="2"/>
  <c r="D40" i="2"/>
  <c r="E40" i="2"/>
  <c r="C40" i="2"/>
  <c r="F40" i="2"/>
  <c r="B41" i="2"/>
  <c r="D41" i="2"/>
  <c r="D42" i="2"/>
  <c r="F69" i="4"/>
  <c r="F89" i="4"/>
  <c r="E41" i="2"/>
  <c r="C41" i="2"/>
  <c r="F41" i="2"/>
  <c r="F93" i="4"/>
  <c r="F90" i="4"/>
  <c r="F98" i="4"/>
  <c r="G68" i="4"/>
  <c r="B44" i="2"/>
  <c r="D44" i="2"/>
  <c r="E44" i="2"/>
  <c r="C44" i="2"/>
  <c r="F44" i="2"/>
  <c r="B45" i="2"/>
  <c r="D45" i="2"/>
  <c r="E45" i="2"/>
  <c r="C45" i="2"/>
  <c r="F45" i="2"/>
  <c r="B46" i="2"/>
  <c r="D46" i="2"/>
  <c r="E46" i="2"/>
  <c r="C46" i="2"/>
  <c r="F46" i="2"/>
  <c r="B47" i="2"/>
  <c r="D47" i="2"/>
  <c r="E47" i="2"/>
  <c r="C47" i="2"/>
  <c r="F47" i="2"/>
  <c r="B48" i="2"/>
  <c r="D48" i="2"/>
  <c r="E48" i="2"/>
  <c r="C48" i="2"/>
  <c r="F48" i="2"/>
  <c r="B49" i="2"/>
  <c r="D49" i="2"/>
  <c r="E49" i="2"/>
  <c r="C49" i="2"/>
  <c r="F49" i="2"/>
  <c r="B50" i="2"/>
  <c r="D50" i="2"/>
  <c r="E50" i="2"/>
  <c r="C50" i="2"/>
  <c r="F50" i="2"/>
  <c r="B51" i="2"/>
  <c r="D51" i="2"/>
  <c r="E51" i="2"/>
  <c r="C51" i="2"/>
  <c r="F51" i="2"/>
  <c r="B52" i="2"/>
  <c r="D52" i="2"/>
  <c r="E52" i="2"/>
  <c r="C52" i="2"/>
  <c r="F52" i="2"/>
  <c r="B53" i="2"/>
  <c r="D53" i="2"/>
  <c r="E53" i="2"/>
  <c r="C53" i="2"/>
  <c r="F53" i="2"/>
  <c r="B54" i="2"/>
  <c r="D54" i="2"/>
  <c r="E54" i="2"/>
  <c r="C54" i="2"/>
  <c r="F54" i="2"/>
  <c r="B55" i="2"/>
  <c r="D55" i="2"/>
  <c r="D56" i="2"/>
  <c r="G69" i="4"/>
  <c r="G89" i="4"/>
  <c r="E55" i="2"/>
  <c r="C55" i="2"/>
  <c r="F55" i="2"/>
  <c r="G93" i="4"/>
  <c r="G90" i="4"/>
  <c r="G98" i="4"/>
  <c r="H68" i="4"/>
  <c r="B58" i="2"/>
  <c r="D58" i="2"/>
  <c r="E58" i="2"/>
  <c r="C58" i="2"/>
  <c r="F58" i="2"/>
  <c r="B59" i="2"/>
  <c r="D59" i="2"/>
  <c r="E59" i="2"/>
  <c r="C59" i="2"/>
  <c r="F59" i="2"/>
  <c r="B60" i="2"/>
  <c r="D60" i="2"/>
  <c r="E60" i="2"/>
  <c r="C60" i="2"/>
  <c r="F60" i="2"/>
  <c r="B61" i="2"/>
  <c r="D61" i="2"/>
  <c r="E61" i="2"/>
  <c r="C61" i="2"/>
  <c r="F61" i="2"/>
  <c r="B62" i="2"/>
  <c r="D62" i="2"/>
  <c r="E62" i="2"/>
  <c r="C62" i="2"/>
  <c r="F62" i="2"/>
  <c r="B63" i="2"/>
  <c r="D63" i="2"/>
  <c r="E63" i="2"/>
  <c r="C63" i="2"/>
  <c r="F63" i="2"/>
  <c r="B64" i="2"/>
  <c r="D64" i="2"/>
  <c r="E64" i="2"/>
  <c r="C64" i="2"/>
  <c r="F64" i="2"/>
  <c r="B65" i="2"/>
  <c r="D65" i="2"/>
  <c r="E65" i="2"/>
  <c r="C65" i="2"/>
  <c r="F65" i="2"/>
  <c r="B66" i="2"/>
  <c r="D66" i="2"/>
  <c r="E66" i="2"/>
  <c r="C66" i="2"/>
  <c r="F66" i="2"/>
  <c r="B67" i="2"/>
  <c r="D67" i="2"/>
  <c r="E67" i="2"/>
  <c r="C67" i="2"/>
  <c r="F67" i="2"/>
  <c r="B68" i="2"/>
  <c r="D68" i="2"/>
  <c r="E68" i="2"/>
  <c r="C68" i="2"/>
  <c r="F68" i="2"/>
  <c r="B69" i="2"/>
  <c r="D69" i="2"/>
  <c r="D70" i="2"/>
  <c r="H69" i="4"/>
  <c r="H89" i="4"/>
  <c r="E69" i="2"/>
  <c r="C69" i="2"/>
  <c r="F69" i="2"/>
  <c r="H93" i="4"/>
  <c r="H90" i="4"/>
  <c r="H98" i="4"/>
  <c r="B72" i="2"/>
  <c r="D72" i="2"/>
  <c r="E72" i="2"/>
  <c r="C72" i="2"/>
  <c r="F72" i="2"/>
  <c r="B73" i="2"/>
  <c r="D73" i="2"/>
  <c r="E73" i="2"/>
  <c r="C73" i="2"/>
  <c r="F73" i="2"/>
  <c r="B74" i="2"/>
  <c r="D74" i="2"/>
  <c r="E74" i="2"/>
  <c r="C74" i="2"/>
  <c r="F74" i="2"/>
  <c r="B75" i="2"/>
  <c r="D75" i="2"/>
  <c r="E75" i="2"/>
  <c r="C75" i="2"/>
  <c r="F75" i="2"/>
  <c r="B76" i="2"/>
  <c r="D76" i="2"/>
  <c r="E76" i="2"/>
  <c r="C76" i="2"/>
  <c r="F76" i="2"/>
  <c r="B77" i="2"/>
  <c r="D77" i="2"/>
  <c r="E77" i="2"/>
  <c r="C77" i="2"/>
  <c r="F77" i="2"/>
  <c r="B78" i="2"/>
  <c r="D78" i="2"/>
  <c r="E78" i="2"/>
  <c r="C78" i="2"/>
  <c r="F78" i="2"/>
  <c r="B79" i="2"/>
  <c r="D79" i="2"/>
  <c r="E79" i="2"/>
  <c r="C79" i="2"/>
  <c r="F79" i="2"/>
  <c r="B80" i="2"/>
  <c r="D80" i="2"/>
  <c r="E80" i="2"/>
  <c r="C80" i="2"/>
  <c r="F80" i="2"/>
  <c r="B81" i="2"/>
  <c r="D81" i="2"/>
  <c r="E81" i="2"/>
  <c r="C81" i="2"/>
  <c r="F81" i="2"/>
  <c r="B82" i="2"/>
  <c r="D82" i="2"/>
  <c r="E82" i="2"/>
  <c r="C82" i="2"/>
  <c r="F82" i="2"/>
  <c r="B83" i="2"/>
  <c r="D83" i="2"/>
  <c r="D84" i="2"/>
  <c r="E83" i="2"/>
  <c r="C83" i="2"/>
  <c r="F83" i="2"/>
  <c r="B86" i="2"/>
  <c r="D86" i="2"/>
  <c r="E86" i="2"/>
  <c r="C86" i="2"/>
  <c r="F86" i="2"/>
  <c r="B87" i="2"/>
  <c r="D87" i="2"/>
  <c r="E87" i="2"/>
  <c r="C87" i="2"/>
  <c r="F87" i="2"/>
  <c r="B88" i="2"/>
  <c r="D88" i="2"/>
  <c r="E88" i="2"/>
  <c r="C88" i="2"/>
  <c r="F88" i="2"/>
  <c r="B89" i="2"/>
  <c r="D89" i="2"/>
  <c r="E89" i="2"/>
  <c r="C89" i="2"/>
  <c r="F89" i="2"/>
  <c r="B90" i="2"/>
  <c r="D90" i="2"/>
  <c r="E90" i="2"/>
  <c r="C90" i="2"/>
  <c r="F90" i="2"/>
  <c r="B91" i="2"/>
  <c r="D91" i="2"/>
  <c r="E91" i="2"/>
  <c r="C91" i="2"/>
  <c r="F91" i="2"/>
  <c r="B92" i="2"/>
  <c r="D92" i="2"/>
  <c r="E92" i="2"/>
  <c r="C92" i="2"/>
  <c r="F92" i="2"/>
  <c r="B93" i="2"/>
  <c r="D93" i="2"/>
  <c r="E93" i="2"/>
  <c r="C93" i="2"/>
  <c r="F93" i="2"/>
  <c r="B94" i="2"/>
  <c r="D94" i="2"/>
  <c r="E94" i="2"/>
  <c r="C94" i="2"/>
  <c r="F94" i="2"/>
  <c r="B95" i="2"/>
  <c r="D95" i="2"/>
  <c r="E95" i="2"/>
  <c r="C95" i="2"/>
  <c r="F95" i="2"/>
  <c r="B96" i="2"/>
  <c r="D96" i="2"/>
  <c r="E96" i="2"/>
  <c r="C96" i="2"/>
  <c r="F96" i="2"/>
  <c r="B97" i="2"/>
  <c r="D97" i="2"/>
  <c r="D98" i="2"/>
  <c r="E97" i="2"/>
  <c r="C97" i="2"/>
  <c r="F97" i="2"/>
  <c r="B100" i="2"/>
  <c r="D100" i="2"/>
  <c r="E100" i="2"/>
  <c r="C100" i="2"/>
  <c r="F100" i="2"/>
  <c r="B101" i="2"/>
  <c r="D101" i="2"/>
  <c r="E101" i="2"/>
  <c r="C101" i="2"/>
  <c r="F101" i="2"/>
  <c r="B102" i="2"/>
  <c r="D102" i="2"/>
  <c r="E102" i="2"/>
  <c r="C102" i="2"/>
  <c r="F102" i="2"/>
  <c r="B103" i="2"/>
  <c r="D103" i="2"/>
  <c r="E103" i="2"/>
  <c r="C103" i="2"/>
  <c r="F103" i="2"/>
  <c r="B104" i="2"/>
  <c r="D104" i="2"/>
  <c r="E104" i="2"/>
  <c r="C104" i="2"/>
  <c r="F104" i="2"/>
  <c r="B105" i="2"/>
  <c r="D105" i="2"/>
  <c r="E105" i="2"/>
  <c r="C105" i="2"/>
  <c r="F105" i="2"/>
  <c r="B106" i="2"/>
  <c r="D106" i="2"/>
  <c r="E106" i="2"/>
  <c r="C106" i="2"/>
  <c r="F106" i="2"/>
  <c r="B107" i="2"/>
  <c r="D107" i="2"/>
  <c r="E107" i="2"/>
  <c r="C107" i="2"/>
  <c r="F107" i="2"/>
  <c r="B108" i="2"/>
  <c r="D108" i="2"/>
  <c r="E108" i="2"/>
  <c r="C108" i="2"/>
  <c r="F108" i="2"/>
  <c r="B109" i="2"/>
  <c r="D109" i="2"/>
  <c r="E109" i="2"/>
  <c r="C109" i="2"/>
  <c r="F109" i="2"/>
  <c r="B110" i="2"/>
  <c r="D110" i="2"/>
  <c r="E110" i="2"/>
  <c r="C110" i="2"/>
  <c r="F110" i="2"/>
  <c r="B111" i="2"/>
  <c r="D111" i="2"/>
  <c r="D112" i="2"/>
  <c r="E111" i="2"/>
  <c r="C111" i="2"/>
  <c r="F111" i="2"/>
  <c r="B114" i="2"/>
  <c r="D114" i="2"/>
  <c r="E114" i="2"/>
  <c r="C114" i="2"/>
  <c r="F114" i="2"/>
  <c r="B115" i="2"/>
  <c r="D115" i="2"/>
  <c r="E115" i="2"/>
  <c r="C115" i="2"/>
  <c r="F115" i="2"/>
  <c r="B116" i="2"/>
  <c r="D116" i="2"/>
  <c r="E116" i="2"/>
  <c r="C116" i="2"/>
  <c r="F116" i="2"/>
  <c r="B117" i="2"/>
  <c r="D117" i="2"/>
  <c r="E117" i="2"/>
  <c r="C117" i="2"/>
  <c r="F117" i="2"/>
  <c r="B118" i="2"/>
  <c r="D118" i="2"/>
  <c r="E118" i="2"/>
  <c r="C118" i="2"/>
  <c r="F118" i="2"/>
  <c r="B119" i="2"/>
  <c r="D119" i="2"/>
  <c r="E119" i="2"/>
  <c r="C119" i="2"/>
  <c r="F119" i="2"/>
  <c r="B120" i="2"/>
  <c r="D120" i="2"/>
  <c r="E120" i="2"/>
  <c r="C120" i="2"/>
  <c r="F120" i="2"/>
  <c r="B121" i="2"/>
  <c r="D121" i="2"/>
  <c r="E121" i="2"/>
  <c r="C121" i="2"/>
  <c r="F121" i="2"/>
  <c r="B122" i="2"/>
  <c r="D122" i="2"/>
  <c r="E122" i="2"/>
  <c r="C122" i="2"/>
  <c r="F122" i="2"/>
  <c r="B123" i="2"/>
  <c r="D123" i="2"/>
  <c r="E123" i="2"/>
  <c r="C123" i="2"/>
  <c r="F123" i="2"/>
  <c r="B124" i="2"/>
  <c r="D124" i="2"/>
  <c r="E124" i="2"/>
  <c r="C124" i="2"/>
  <c r="F124" i="2"/>
  <c r="B125" i="2"/>
  <c r="D125" i="2"/>
  <c r="D126" i="2"/>
  <c r="E125" i="2"/>
  <c r="C125" i="2"/>
  <c r="F125" i="2"/>
  <c r="B128" i="2"/>
  <c r="D128" i="2"/>
  <c r="E128" i="2"/>
  <c r="C128" i="2"/>
  <c r="F128" i="2"/>
  <c r="B129" i="2"/>
  <c r="D129" i="2"/>
  <c r="E129" i="2"/>
  <c r="C129" i="2"/>
  <c r="F129" i="2"/>
  <c r="B130" i="2"/>
  <c r="D130" i="2"/>
  <c r="E130" i="2"/>
  <c r="C130" i="2"/>
  <c r="F130" i="2"/>
  <c r="B131" i="2"/>
  <c r="D131" i="2"/>
  <c r="E131" i="2"/>
  <c r="C131" i="2"/>
  <c r="F131" i="2"/>
  <c r="B132" i="2"/>
  <c r="D132" i="2"/>
  <c r="E132" i="2"/>
  <c r="C132" i="2"/>
  <c r="F132" i="2"/>
  <c r="B133" i="2"/>
  <c r="D133" i="2"/>
  <c r="E133" i="2"/>
  <c r="C133" i="2"/>
  <c r="F133" i="2"/>
  <c r="B134" i="2"/>
  <c r="D134" i="2"/>
  <c r="E134" i="2"/>
  <c r="C134" i="2"/>
  <c r="F134" i="2"/>
  <c r="B135" i="2"/>
  <c r="D135" i="2"/>
  <c r="E135" i="2"/>
  <c r="C135" i="2"/>
  <c r="F135" i="2"/>
  <c r="B136" i="2"/>
  <c r="D136" i="2"/>
  <c r="E136" i="2"/>
  <c r="C136" i="2"/>
  <c r="F136" i="2"/>
  <c r="B137" i="2"/>
  <c r="D137" i="2"/>
  <c r="E137" i="2"/>
  <c r="C137" i="2"/>
  <c r="F137" i="2"/>
  <c r="B138" i="2"/>
  <c r="D138" i="2"/>
  <c r="E138" i="2"/>
  <c r="C138" i="2"/>
  <c r="F138" i="2"/>
  <c r="B139" i="2"/>
  <c r="D139" i="2"/>
  <c r="D140" i="2"/>
  <c r="E139" i="2"/>
  <c r="C139" i="2"/>
  <c r="F139" i="2"/>
  <c r="B142" i="2"/>
  <c r="D142" i="2"/>
  <c r="E142" i="2"/>
  <c r="C142" i="2"/>
  <c r="F142" i="2"/>
  <c r="B143" i="2"/>
  <c r="D143" i="2"/>
  <c r="E143" i="2"/>
  <c r="C143" i="2"/>
  <c r="F143" i="2"/>
  <c r="B144" i="2"/>
  <c r="D144" i="2"/>
  <c r="E144" i="2"/>
  <c r="C144" i="2"/>
  <c r="F144" i="2"/>
  <c r="B145" i="2"/>
  <c r="D145" i="2"/>
  <c r="E145" i="2"/>
  <c r="C145" i="2"/>
  <c r="F145" i="2"/>
  <c r="B146" i="2"/>
  <c r="D146" i="2"/>
  <c r="E146" i="2"/>
  <c r="C146" i="2"/>
  <c r="F146" i="2"/>
  <c r="B147" i="2"/>
  <c r="D147" i="2"/>
  <c r="E147" i="2"/>
  <c r="C147" i="2"/>
  <c r="F147" i="2"/>
  <c r="B148" i="2"/>
  <c r="D148" i="2"/>
  <c r="E148" i="2"/>
  <c r="C148" i="2"/>
  <c r="F148" i="2"/>
  <c r="B149" i="2"/>
  <c r="D149" i="2"/>
  <c r="E149" i="2"/>
  <c r="C149" i="2"/>
  <c r="F149" i="2"/>
  <c r="B150" i="2"/>
  <c r="D150" i="2"/>
  <c r="E150" i="2"/>
  <c r="C150" i="2"/>
  <c r="F150" i="2"/>
  <c r="B151" i="2"/>
  <c r="D151" i="2"/>
  <c r="E151" i="2"/>
  <c r="C151" i="2"/>
  <c r="F151" i="2"/>
  <c r="B152" i="2"/>
  <c r="D152" i="2"/>
  <c r="E152" i="2"/>
  <c r="C152" i="2"/>
  <c r="F152" i="2"/>
  <c r="B153" i="2"/>
  <c r="D153" i="2"/>
  <c r="D154" i="2"/>
  <c r="E153" i="2"/>
  <c r="C153" i="2"/>
  <c r="F153" i="2"/>
  <c r="B156" i="2"/>
  <c r="D156" i="2"/>
  <c r="E156" i="2"/>
  <c r="C156" i="2"/>
  <c r="F156" i="2"/>
  <c r="B157" i="2"/>
  <c r="D157" i="2"/>
  <c r="E157" i="2"/>
  <c r="C157" i="2"/>
  <c r="F157" i="2"/>
  <c r="B158" i="2"/>
  <c r="D158" i="2"/>
  <c r="E158" i="2"/>
  <c r="C158" i="2"/>
  <c r="F158" i="2"/>
  <c r="B159" i="2"/>
  <c r="D159" i="2"/>
  <c r="E159" i="2"/>
  <c r="C159" i="2"/>
  <c r="F159" i="2"/>
  <c r="B160" i="2"/>
  <c r="D160" i="2"/>
  <c r="E160" i="2"/>
  <c r="C160" i="2"/>
  <c r="F160" i="2"/>
  <c r="B161" i="2"/>
  <c r="D161" i="2"/>
  <c r="E161" i="2"/>
  <c r="C161" i="2"/>
  <c r="F161" i="2"/>
  <c r="B162" i="2"/>
  <c r="D162" i="2"/>
  <c r="E162" i="2"/>
  <c r="C162" i="2"/>
  <c r="F162" i="2"/>
  <c r="B163" i="2"/>
  <c r="D163" i="2"/>
  <c r="E163" i="2"/>
  <c r="C163" i="2"/>
  <c r="F163" i="2"/>
  <c r="B164" i="2"/>
  <c r="D164" i="2"/>
  <c r="E164" i="2"/>
  <c r="C164" i="2"/>
  <c r="F164" i="2"/>
  <c r="B165" i="2"/>
  <c r="D165" i="2"/>
  <c r="E165" i="2"/>
  <c r="C165" i="2"/>
  <c r="F165" i="2"/>
  <c r="B166" i="2"/>
  <c r="D166" i="2"/>
  <c r="E166" i="2"/>
  <c r="C166" i="2"/>
  <c r="F166" i="2"/>
  <c r="B167" i="2"/>
  <c r="D167" i="2"/>
  <c r="D168" i="2"/>
  <c r="E167" i="2"/>
  <c r="C167" i="2"/>
  <c r="F167" i="2"/>
  <c r="D132" i="4"/>
  <c r="D131" i="4"/>
  <c r="E121" i="4"/>
  <c r="E106" i="4"/>
  <c r="E124" i="4"/>
  <c r="E114" i="4"/>
  <c r="F79" i="4"/>
  <c r="E115" i="4"/>
  <c r="F80" i="4"/>
  <c r="E116" i="4"/>
  <c r="E117" i="4"/>
  <c r="E113" i="4"/>
  <c r="E128" i="4"/>
  <c r="F121" i="4"/>
  <c r="F106" i="4"/>
  <c r="F124" i="4"/>
  <c r="F114" i="4"/>
  <c r="G79" i="4"/>
  <c r="F115" i="4"/>
  <c r="G80" i="4"/>
  <c r="F116" i="4"/>
  <c r="F117" i="4"/>
  <c r="F113" i="4"/>
  <c r="F128" i="4"/>
  <c r="G121" i="4"/>
  <c r="G106" i="4"/>
  <c r="G124" i="4"/>
  <c r="G114" i="4"/>
  <c r="H79" i="4"/>
  <c r="G115" i="4"/>
  <c r="H80" i="4"/>
  <c r="G116" i="4"/>
  <c r="G117" i="4"/>
  <c r="G113" i="4"/>
  <c r="G128" i="4"/>
  <c r="H121" i="4"/>
  <c r="H106" i="4"/>
  <c r="H124" i="4"/>
  <c r="H114" i="4"/>
  <c r="H115" i="4"/>
  <c r="H116" i="4"/>
  <c r="H117" i="4"/>
  <c r="H113" i="4"/>
  <c r="H128" i="4"/>
  <c r="D129" i="4"/>
  <c r="D133" i="4"/>
  <c r="D130" i="4"/>
  <c r="D117" i="4"/>
  <c r="D116" i="4"/>
  <c r="D115" i="4"/>
  <c r="F16" i="4"/>
  <c r="F86" i="4"/>
  <c r="F61" i="4"/>
  <c r="G63" i="4"/>
  <c r="H63" i="4"/>
  <c r="F100" i="4"/>
  <c r="G30" i="4"/>
  <c r="G21" i="4"/>
  <c r="G34" i="4"/>
  <c r="G16" i="4"/>
  <c r="G32" i="4"/>
  <c r="G86" i="4"/>
  <c r="G19" i="4"/>
  <c r="G28" i="4"/>
  <c r="G61" i="4"/>
  <c r="G45" i="4"/>
  <c r="G62" i="4"/>
  <c r="G100" i="4"/>
  <c r="H30" i="4"/>
  <c r="H21" i="4"/>
  <c r="H34" i="4"/>
  <c r="H16" i="4"/>
  <c r="H32" i="4"/>
  <c r="H86" i="4"/>
  <c r="H19" i="4"/>
  <c r="H28" i="4"/>
  <c r="H61" i="4"/>
  <c r="H45" i="4"/>
  <c r="H62" i="4"/>
  <c r="H100" i="4"/>
  <c r="E86" i="4"/>
  <c r="E100" i="4"/>
  <c r="C168" i="2"/>
  <c r="C154" i="2"/>
  <c r="C140" i="2"/>
  <c r="C126" i="2"/>
  <c r="C112" i="2"/>
  <c r="C98" i="2"/>
  <c r="C84" i="2"/>
  <c r="E62" i="4"/>
  <c r="F45" i="4"/>
  <c r="F62" i="4"/>
  <c r="E23" i="4"/>
  <c r="E26" i="4"/>
  <c r="E29" i="4"/>
  <c r="B14" i="4"/>
  <c r="E14" i="4"/>
  <c r="E17" i="4"/>
  <c r="E20" i="4"/>
  <c r="E5" i="4"/>
  <c r="E8" i="4"/>
  <c r="E11" i="4"/>
  <c r="E55" i="4"/>
  <c r="E79" i="4"/>
  <c r="E58" i="4"/>
  <c r="E80" i="4"/>
  <c r="E61" i="4"/>
  <c r="F63" i="4"/>
  <c r="E9" i="4"/>
  <c r="E52" i="4"/>
  <c r="E18" i="4"/>
  <c r="E53" i="4"/>
  <c r="E27" i="4"/>
  <c r="E54" i="4"/>
  <c r="E56" i="4"/>
  <c r="E90" i="4"/>
  <c r="F30" i="4"/>
  <c r="F21" i="4"/>
  <c r="F34" i="4"/>
  <c r="F32" i="4"/>
  <c r="F19" i="4"/>
  <c r="F28" i="4"/>
  <c r="F43" i="4"/>
  <c r="G43" i="4"/>
  <c r="H43" i="4"/>
  <c r="I5" i="2"/>
  <c r="I2" i="2"/>
  <c r="D14" i="2"/>
  <c r="C14" i="2"/>
  <c r="C28" i="2"/>
  <c r="C42" i="2"/>
  <c r="C56" i="2"/>
  <c r="C70" i="2"/>
</calcChain>
</file>

<file path=xl/sharedStrings.xml><?xml version="1.0" encoding="utf-8"?>
<sst xmlns="http://schemas.openxmlformats.org/spreadsheetml/2006/main" count="512" uniqueCount="182">
  <si>
    <t>Beg Balance</t>
  </si>
  <si>
    <t>Principal</t>
  </si>
  <si>
    <t xml:space="preserve">Interest </t>
  </si>
  <si>
    <t>Payment</t>
  </si>
  <si>
    <t>End Balance</t>
  </si>
  <si>
    <t>Rate</t>
  </si>
  <si>
    <t>Per Rate</t>
  </si>
  <si>
    <t>FV</t>
  </si>
  <si>
    <t>Per</t>
  </si>
  <si>
    <t>Type</t>
  </si>
  <si>
    <t>PV</t>
  </si>
  <si>
    <t>TOTALS</t>
  </si>
  <si>
    <t>Feb</t>
  </si>
  <si>
    <t>Jan 2012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</si>
  <si>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</si>
  <si>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</si>
  <si>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</si>
  <si>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</si>
  <si>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</si>
  <si>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</si>
  <si>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</si>
  <si>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</si>
  <si>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</si>
  <si>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</si>
  <si>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 2016</t>
  </si>
  <si>
    <t>Jan 2013</t>
  </si>
  <si>
    <t>Jan 2014</t>
  </si>
  <si>
    <t>Jan 2015</t>
  </si>
  <si>
    <t>Years</t>
  </si>
  <si>
    <t>Utilities</t>
  </si>
  <si>
    <t>INCOME STATEMENT</t>
  </si>
  <si>
    <t>Operating Expenses</t>
  </si>
  <si>
    <t>Showroom Labor</t>
  </si>
  <si>
    <t>Marketing</t>
  </si>
  <si>
    <t>Taxable Income</t>
  </si>
  <si>
    <t>Taxes</t>
  </si>
  <si>
    <t>Net Income</t>
  </si>
  <si>
    <t>BALANCE SHEET</t>
  </si>
  <si>
    <t>Assets</t>
  </si>
  <si>
    <t>Accounts Receivable</t>
  </si>
  <si>
    <t>Inventory</t>
  </si>
  <si>
    <t>Liabilities and Equity</t>
  </si>
  <si>
    <t>Total Assets</t>
  </si>
  <si>
    <t>Taxes Payable</t>
  </si>
  <si>
    <t>Accounts Payable</t>
  </si>
  <si>
    <t>Retained Earnings</t>
  </si>
  <si>
    <t>Total Liabilities and Equity</t>
  </si>
  <si>
    <t>DFN</t>
  </si>
  <si>
    <t>Tax Rate</t>
  </si>
  <si>
    <t>Inventory Days</t>
  </si>
  <si>
    <t>Extra Cash</t>
  </si>
  <si>
    <t>Minimum Cash Inventory</t>
  </si>
  <si>
    <t>Extra Bank Loan</t>
  </si>
  <si>
    <t>Common Stock</t>
  </si>
  <si>
    <t>General and Admin</t>
  </si>
  <si>
    <t>Bank Loan Interest  Expense</t>
  </si>
  <si>
    <t>Cost of Goods Sold</t>
  </si>
  <si>
    <t>Prima Bodywear</t>
  </si>
  <si>
    <t>Shoe Price</t>
  </si>
  <si>
    <t>Shoe Cost</t>
  </si>
  <si>
    <t>Dancewear Price</t>
  </si>
  <si>
    <t>Assumptions</t>
  </si>
  <si>
    <t>Dancewear Cost</t>
  </si>
  <si>
    <t>Fitness and Yoga items Price</t>
  </si>
  <si>
    <t>Fitness and Yoga items Cost</t>
  </si>
  <si>
    <t>Days of Receivables</t>
  </si>
  <si>
    <t>Days of Payables (COGS)</t>
  </si>
  <si>
    <t>1261 square feet times $1.55 per foot</t>
  </si>
  <si>
    <t>2013 gross revenue</t>
  </si>
  <si>
    <t>Goes up 3% per year</t>
  </si>
  <si>
    <t>Goes up .5% per year</t>
  </si>
  <si>
    <t>Shoe Revenue</t>
  </si>
  <si>
    <t>Dancewear Revenue</t>
  </si>
  <si>
    <t>Fitness &amp;Yoga Revenue</t>
  </si>
  <si>
    <t>Amount Sold in Store</t>
  </si>
  <si>
    <t>Amount Sold In Store</t>
  </si>
  <si>
    <t>Amount Sold Online</t>
  </si>
  <si>
    <t xml:space="preserve">Amount Sold Online </t>
  </si>
  <si>
    <t>Online Revenue</t>
  </si>
  <si>
    <t>Amount Sold</t>
  </si>
  <si>
    <t>Percent sold per year</t>
  </si>
  <si>
    <t>Increase online sales 2% each year until 2017, after 2017 4% per year</t>
  </si>
  <si>
    <t>Goes up 2% each year until 2017, then 4% per year</t>
  </si>
  <si>
    <t>Employees</t>
  </si>
  <si>
    <t>Hours worked</t>
  </si>
  <si>
    <t>Number of employees increases from 5 to 6 after 2017</t>
  </si>
  <si>
    <t>Minimum Wage</t>
  </si>
  <si>
    <t>Mimimum Wage Increases from $8.25 to $10 in 2016 and to $11.50 in 2021</t>
  </si>
  <si>
    <t>Weeks in a year</t>
  </si>
  <si>
    <t>Hours worked is always 25 (in college town, hard to imagine people working full time)</t>
  </si>
  <si>
    <t>Lease Expense per month</t>
  </si>
  <si>
    <t>Owner Salary</t>
  </si>
  <si>
    <t>Salary is $68,000 until 2020 when increased to $70,000</t>
  </si>
  <si>
    <t>General Office work</t>
  </si>
  <si>
    <t>Increases 3% per year</t>
  </si>
  <si>
    <t>Increases 1% per year</t>
  </si>
  <si>
    <t>Owner salary and General office work</t>
  </si>
  <si>
    <t>Marketing Costs</t>
  </si>
  <si>
    <t>$10,000 until 2016 when increased to $20,000 due to increase in production, then back down to $10,000 in 2019</t>
  </si>
  <si>
    <t>Increase online sales 1% each year until 2017, after 2017 3% per year</t>
  </si>
  <si>
    <t>Increase online sales .5% each year until 2017, after 2017 2% per year</t>
  </si>
  <si>
    <t>Total Revenue</t>
  </si>
  <si>
    <t>Total operating expenses</t>
  </si>
  <si>
    <t>Minimum of $10,000 on hand at all times</t>
  </si>
  <si>
    <t>Goes Down 1% per year until 2017, then 2% per year</t>
  </si>
  <si>
    <t>Goes Down .5% per year until 2017, then 1% per year</t>
  </si>
  <si>
    <t>Payable days stay the same</t>
  </si>
  <si>
    <t>Taxes not paid until April of the next year</t>
  </si>
  <si>
    <t>$50,000 of equity</t>
  </si>
  <si>
    <t>Borrowed money at 8% interest</t>
  </si>
  <si>
    <t>Assumptions Cont</t>
  </si>
  <si>
    <t xml:space="preserve"> Increase percentage per year</t>
  </si>
  <si>
    <t>Increase percentage per year</t>
  </si>
  <si>
    <t>Free Cash Flows</t>
  </si>
  <si>
    <t>Operating Profit</t>
  </si>
  <si>
    <t>Less Depreciation</t>
  </si>
  <si>
    <t>taxable Operating Profit</t>
  </si>
  <si>
    <t>Taxes on Operations</t>
  </si>
  <si>
    <t>Total Cash from opperations</t>
  </si>
  <si>
    <t>Cash From Operations</t>
  </si>
  <si>
    <t>Land</t>
  </si>
  <si>
    <t>Building</t>
  </si>
  <si>
    <t>Accumulated Depreciation</t>
  </si>
  <si>
    <t>Unlevered Beta</t>
  </si>
  <si>
    <t xml:space="preserve">Mortgage </t>
  </si>
  <si>
    <t>Depreciaiton Expense</t>
  </si>
  <si>
    <t>Straight line</t>
  </si>
  <si>
    <t>Mortgage Interest Expense</t>
  </si>
  <si>
    <t>Jan 2017</t>
  </si>
  <si>
    <t>Jan 2018</t>
  </si>
  <si>
    <t>Jan 2019</t>
  </si>
  <si>
    <t>Jan 2020</t>
  </si>
  <si>
    <t>Jan 2021</t>
  </si>
  <si>
    <t>Jan 2022</t>
  </si>
  <si>
    <t>Jan 2023</t>
  </si>
  <si>
    <t>Cash from Changes in Balance Sheet</t>
  </si>
  <si>
    <t>Working Capital</t>
  </si>
  <si>
    <t>(-)</t>
  </si>
  <si>
    <t xml:space="preserve">Min Cash </t>
  </si>
  <si>
    <t xml:space="preserve">Accounts Receivable </t>
  </si>
  <si>
    <t>(+)</t>
  </si>
  <si>
    <t>Accounts Pay</t>
  </si>
  <si>
    <t>Income Taxes Pay</t>
  </si>
  <si>
    <t>Fixed Assets</t>
  </si>
  <si>
    <t>Adjustment on Sale</t>
  </si>
  <si>
    <t>Taxes on Sale</t>
  </si>
  <si>
    <t>Book Value</t>
  </si>
  <si>
    <t>Gain or Loss</t>
  </si>
  <si>
    <t>TOTAL FREE CASH FLOWS</t>
  </si>
  <si>
    <t>IRR</t>
  </si>
  <si>
    <t>WACC</t>
  </si>
  <si>
    <t>NPV</t>
  </si>
  <si>
    <t>Earnings Multiple</t>
  </si>
  <si>
    <t>Relevered Beta</t>
  </si>
  <si>
    <t>Debt Ratio</t>
  </si>
  <si>
    <t>Equity Ratio</t>
  </si>
  <si>
    <t>CAPM</t>
  </si>
  <si>
    <t>T-Bills</t>
  </si>
  <si>
    <t>10 year</t>
  </si>
  <si>
    <t>S&amp;P 500</t>
  </si>
  <si>
    <t>Cost of Debt</t>
  </si>
  <si>
    <t>Equity and total debt</t>
  </si>
  <si>
    <t>% Sale</t>
  </si>
  <si>
    <t>Secured</t>
  </si>
  <si>
    <t>Unsecured</t>
  </si>
  <si>
    <t>Total</t>
  </si>
  <si>
    <t>Extra</t>
  </si>
  <si>
    <t>Admin</t>
  </si>
  <si>
    <t>Remaining</t>
  </si>
  <si>
    <t>Prop</t>
  </si>
  <si>
    <t>TOTAL</t>
  </si>
  <si>
    <t>On the $</t>
  </si>
  <si>
    <t>Mortgage on Buildings</t>
  </si>
  <si>
    <t>Principal Loans (Balance Sheet)</t>
  </si>
  <si>
    <t>Bankruptcy Payout</t>
  </si>
  <si>
    <t>Interest Paid (Income Statement)</t>
  </si>
  <si>
    <t>Prob</t>
  </si>
  <si>
    <t>IRR if not Bankruptcy</t>
  </si>
  <si>
    <t>Expected IRR</t>
  </si>
  <si>
    <t>Mortgage</t>
  </si>
  <si>
    <t>Bank</t>
  </si>
  <si>
    <t xml:space="preserve">Equal stated Gross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</si>
</sst>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3" formatCode="_(* #,##0.00_);_(* \(#,##0.00\);_(* &quot;-&quot;??_);_(@_)"/>
    <numFmt numFmtId="164" formatCode="_(\$* #,##0.00_);_(\$* \(#,##0.00\);_(\$* \-??_);_(@_)"/>
    <numFmt numFmtId="165" formatCode="_(\$* #,##0_);_(\$* \(#,##0\);_(\$* \-??_);_(@_)"/>
    <numFmt numFmtId="166" formatCode="_(* #,##0.00_);_(* \(#,##0.00\);_(* \-??_);_(@_)"/>
    <numFmt numFmtId="167" formatCode="0.0%"/>
    <numFmt numFmtId="168" formatCode="[$$-409]#,##0.00;[Red]\-[$$-409]#,##0.00"/>
    <numFmt numFmtId="169" formatCode="_(* #,##0.0000_);_(* \(#,##0.0000\);_(* \-??_);_(@_)"/>
    <numFmt numFmtId="170" formatCode="_(* #,##0_);_(* \(#,##0\);_(* &quot;-&quot;??_);_(@_)"/>
    <numFmt numFmtId="171" formatCode="_(* #,##0.0000_);_(* \(#,##0.0000\);_(* &quot;-&quot;????_);_(@_)"/>
  </numFmts>
  <fonts count="20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color indexed="8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  <scheme val="minor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3">
    <xf numFmtId="0" fontId="0" fillId="0" borderId="0"/>
    <xf numFmtId="166" fontId="1" fillId="0" borderId="0"/>
    <xf numFmtId="164" fontId="1" fillId="0" borderId="0"/>
    <xf numFmtId="0" fontId="1" fillId="0" borderId="0"/>
    <xf numFmtId="9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1">
    <xf numFmtId="0" fontId="0" fillId="0" borderId="0" xfId="0"/>
    <xf numFmtId="0" fontId="6" fillId="0" borderId="0" xfId="0" applyFont="1"/>
    <xf numFmtId="169" fontId="7" fillId="0" borderId="0" xfId="1" applyNumberFormat="1" applyFont="1"/>
    <xf numFmtId="165" fontId="7" fillId="0" borderId="0" xfId="2" applyNumberFormat="1" applyFont="1"/>
    <xf numFmtId="10" fontId="2" fillId="0" borderId="0" xfId="4" applyNumberFormat="1" applyFont="1"/>
    <xf numFmtId="164" fontId="1" fillId="0" borderId="0" xfId="2"/>
    <xf numFmtId="0" fontId="0" fillId="0" borderId="0" xfId="0" applyFont="1"/>
    <xf numFmtId="164" fontId="3" fillId="0" borderId="0" xfId="2" applyFont="1"/>
    <xf numFmtId="0" fontId="4" fillId="0" borderId="0" xfId="0" applyFont="1"/>
    <xf numFmtId="0" fontId="4" fillId="0" borderId="0" xfId="0" applyFont="1" applyFill="1"/>
    <xf numFmtId="10" fontId="4" fillId="0" borderId="0" xfId="0" applyNumberFormat="1" applyFont="1" applyFill="1"/>
    <xf numFmtId="17" fontId="4" fillId="0" borderId="0" xfId="0" quotePrefix="1" applyNumberFormat="1" applyFont="1" applyAlignment="1">
      <alignment wrapText="1"/>
    </xf>
    <xf numFmtId="0" fontId="4" fillId="0" borderId="0" xfId="0" applyFont="1" applyAlignment="1">
      <alignment wrapText="1"/>
    </xf>
    <xf numFmtId="168" fontId="4" fillId="0" borderId="0" xfId="0" applyNumberFormat="1" applyFont="1" applyFill="1"/>
    <xf numFmtId="0" fontId="5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168" fontId="4" fillId="0" borderId="0" xfId="0" applyNumberFormat="1" applyFont="1" applyAlignment="1">
      <alignment wrapText="1"/>
    </xf>
    <xf numFmtId="0" fontId="8" fillId="0" borderId="0" xfId="0" applyFont="1"/>
    <xf numFmtId="9" fontId="6" fillId="0" borderId="0" xfId="0" applyNumberFormat="1" applyFont="1"/>
    <xf numFmtId="0" fontId="11" fillId="0" borderId="0" xfId="0" applyFont="1"/>
    <xf numFmtId="0" fontId="12" fillId="0" borderId="0" xfId="0" applyFont="1"/>
    <xf numFmtId="169" fontId="2" fillId="0" borderId="0" xfId="1" applyNumberFormat="1" applyFont="1"/>
    <xf numFmtId="164" fontId="2" fillId="0" borderId="0" xfId="2" applyFont="1"/>
    <xf numFmtId="9" fontId="12" fillId="0" borderId="0" xfId="0" applyNumberFormat="1" applyFont="1"/>
    <xf numFmtId="43" fontId="12" fillId="0" borderId="0" xfId="0" applyNumberFormat="1" applyFont="1"/>
    <xf numFmtId="1" fontId="12" fillId="0" borderId="0" xfId="0" applyNumberFormat="1" applyFont="1"/>
    <xf numFmtId="10" fontId="12" fillId="0" borderId="0" xfId="0" applyNumberFormat="1" applyFont="1"/>
    <xf numFmtId="9" fontId="2" fillId="0" borderId="0" xfId="4" applyFont="1"/>
    <xf numFmtId="167" fontId="12" fillId="0" borderId="0" xfId="0" applyNumberFormat="1" applyFont="1"/>
    <xf numFmtId="1" fontId="2" fillId="0" borderId="0" xfId="1" applyNumberFormat="1" applyFont="1"/>
    <xf numFmtId="0" fontId="2" fillId="0" borderId="0" xfId="1" applyNumberFormat="1" applyFont="1"/>
    <xf numFmtId="0" fontId="2" fillId="0" borderId="0" xfId="2" applyNumberFormat="1" applyFont="1"/>
    <xf numFmtId="165" fontId="2" fillId="0" borderId="0" xfId="2" applyNumberFormat="1" applyFont="1"/>
    <xf numFmtId="165" fontId="12" fillId="0" borderId="0" xfId="0" applyNumberFormat="1" applyFont="1"/>
    <xf numFmtId="0" fontId="13" fillId="0" borderId="0" xfId="0" applyFont="1"/>
    <xf numFmtId="165" fontId="2" fillId="0" borderId="0" xfId="1" applyNumberFormat="1" applyFont="1"/>
    <xf numFmtId="165" fontId="1" fillId="0" borderId="0" xfId="2" applyNumberFormat="1"/>
    <xf numFmtId="1" fontId="1" fillId="0" borderId="0" xfId="2" applyNumberFormat="1"/>
    <xf numFmtId="0" fontId="11" fillId="0" borderId="0" xfId="0" applyFont="1" applyAlignment="1">
      <alignment horizontal="left" indent="1"/>
    </xf>
    <xf numFmtId="170" fontId="1" fillId="0" borderId="0" xfId="2" applyNumberFormat="1"/>
    <xf numFmtId="0" fontId="14" fillId="0" borderId="0" xfId="0" applyFont="1"/>
    <xf numFmtId="0" fontId="15" fillId="0" borderId="0" xfId="0" applyFont="1"/>
    <xf numFmtId="0" fontId="16" fillId="0" borderId="0" xfId="0" applyFont="1"/>
    <xf numFmtId="164" fontId="12" fillId="0" borderId="0" xfId="0" applyNumberFormat="1" applyFont="1"/>
    <xf numFmtId="0" fontId="12" fillId="0" borderId="0" xfId="0" applyFont="1" applyBorder="1"/>
    <xf numFmtId="165" fontId="1" fillId="0" borderId="0" xfId="2" applyNumberFormat="1" applyBorder="1"/>
    <xf numFmtId="0" fontId="12" fillId="0" borderId="0" xfId="0" applyNumberFormat="1" applyFont="1"/>
    <xf numFmtId="165" fontId="6" fillId="0" borderId="0" xfId="0" applyNumberFormat="1" applyFont="1"/>
    <xf numFmtId="164" fontId="6" fillId="0" borderId="0" xfId="0" applyNumberFormat="1" applyFont="1"/>
    <xf numFmtId="43" fontId="6" fillId="0" borderId="0" xfId="0" applyNumberFormat="1" applyFont="1"/>
    <xf numFmtId="2" fontId="1" fillId="0" borderId="0" xfId="2" applyNumberFormat="1"/>
    <xf numFmtId="2" fontId="12" fillId="0" borderId="0" xfId="0" applyNumberFormat="1" applyFont="1"/>
    <xf numFmtId="9" fontId="1" fillId="0" borderId="0" xfId="4"/>
    <xf numFmtId="10" fontId="1" fillId="0" borderId="0" xfId="4" applyNumberFormat="1"/>
    <xf numFmtId="10" fontId="6" fillId="0" borderId="0" xfId="0" applyNumberFormat="1" applyFont="1"/>
    <xf numFmtId="8" fontId="6" fillId="0" borderId="0" xfId="0" applyNumberFormat="1" applyFont="1"/>
    <xf numFmtId="0" fontId="11" fillId="0" borderId="0" xfId="0" applyFont="1" applyBorder="1"/>
    <xf numFmtId="0" fontId="12" fillId="0" borderId="1" xfId="0" applyFont="1" applyBorder="1"/>
    <xf numFmtId="165" fontId="1" fillId="0" borderId="1" xfId="2" applyNumberFormat="1" applyBorder="1"/>
    <xf numFmtId="43" fontId="1" fillId="0" borderId="0" xfId="2" applyNumberFormat="1"/>
    <xf numFmtId="164" fontId="1" fillId="0" borderId="0" xfId="2" applyBorder="1"/>
    <xf numFmtId="164" fontId="1" fillId="0" borderId="1" xfId="2" applyBorder="1"/>
    <xf numFmtId="171" fontId="6" fillId="0" borderId="0" xfId="0" applyNumberFormat="1" applyFont="1"/>
    <xf numFmtId="165" fontId="1" fillId="0" borderId="3" xfId="2" applyNumberFormat="1" applyBorder="1"/>
    <xf numFmtId="164" fontId="1" fillId="0" borderId="3" xfId="2" applyBorder="1"/>
    <xf numFmtId="165" fontId="6" fillId="0" borderId="3" xfId="0" applyNumberFormat="1" applyFont="1" applyBorder="1"/>
    <xf numFmtId="0" fontId="6" fillId="0" borderId="3" xfId="0" applyFont="1" applyBorder="1"/>
    <xf numFmtId="165" fontId="1" fillId="0" borderId="2" xfId="2" applyNumberFormat="1" applyBorder="1"/>
    <xf numFmtId="164" fontId="1" fillId="0" borderId="3" xfId="2" applyNumberFormat="1" applyBorder="1"/>
    <xf numFmtId="43" fontId="1" fillId="0" borderId="0" xfId="2" applyNumberFormat="1" applyBorder="1"/>
    <xf numFmtId="164" fontId="11" fillId="0" borderId="0" xfId="0" applyNumberFormat="1" applyFont="1"/>
    <xf numFmtId="165" fontId="15" fillId="0" borderId="0" xfId="0" applyNumberFormat="1" applyFont="1"/>
    <xf numFmtId="165" fontId="18" fillId="0" borderId="0" xfId="2" applyNumberFormat="1" applyFont="1"/>
    <xf numFmtId="164" fontId="15" fillId="0" borderId="0" xfId="0" applyNumberFormat="1" applyFont="1"/>
    <xf numFmtId="165" fontId="11" fillId="0" borderId="0" xfId="0" applyNumberFormat="1" applyFont="1"/>
    <xf numFmtId="165" fontId="19" fillId="0" borderId="0" xfId="2" applyNumberFormat="1" applyFont="1"/>
    <xf numFmtId="165" fontId="17" fillId="0" borderId="0" xfId="2" applyNumberFormat="1" applyFont="1"/>
    <xf numFmtId="165" fontId="17" fillId="0" borderId="3" xfId="2" applyNumberFormat="1" applyFont="1" applyBorder="1"/>
    <xf numFmtId="165" fontId="17" fillId="0" borderId="0" xfId="2" applyNumberFormat="1" applyFont="1" applyBorder="1"/>
    <xf numFmtId="0" fontId="11" fillId="0" borderId="0" xfId="0" applyNumberFormat="1" applyFont="1"/>
    <xf numFmtId="164" fontId="19" fillId="0" borderId="0" xfId="2" applyFont="1"/>
  </cellXfs>
  <cellStyles count="53">
    <cellStyle name="Comma" xfId="1" builtinId="3"/>
    <cellStyle name="Currency" xfId="2" builtinId="4"/>
    <cellStyle name="Excel Built-in Normal" xfId="3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5"/>
  <sheetViews>
    <sheetView tabSelected="1" zoomScaleNormal="100" zoomScalePageLayoutView="80" workbookViewId="0">
      <selection activeCell="A131" sqref="A131"/>
    </sheetView>
  </sheetViews>
  <sheetFormatPr defaultColWidth="8.85546875" defaultRowHeight="15.75" x14ac:dyDescent="0.25"/>
  <cols>
    <col min="1" max="1" width="5" style="1" customWidth="1"/>
    <col min="2" max="2" width="8.140625" style="1" customWidth="1"/>
    <col min="3" max="3" width="45.28515625" style="1" bestFit="1" customWidth="1"/>
    <col min="4" max="4" width="26.42578125" style="1" customWidth="1"/>
    <col min="5" max="9" width="14.7109375" style="1" customWidth="1"/>
    <col min="10" max="10" width="15.140625" style="2" customWidth="1"/>
    <col min="11" max="14" width="15.140625" style="1" customWidth="1"/>
    <col min="15" max="15" width="16.85546875" style="1" customWidth="1"/>
    <col min="16" max="16" width="15" style="1" bestFit="1" customWidth="1"/>
    <col min="17" max="17" width="13.42578125" style="1" customWidth="1"/>
    <col min="18" max="24" width="8.85546875" style="1"/>
    <col min="25" max="25" width="11.7109375" style="1" bestFit="1" customWidth="1"/>
    <col min="26" max="26" width="8.85546875" style="1"/>
    <col min="27" max="27" width="11.7109375" style="1" bestFit="1" customWidth="1"/>
    <col min="28" max="28" width="11" style="1" bestFit="1" customWidth="1"/>
    <col min="29" max="16384" width="8.85546875" style="1"/>
  </cols>
  <sheetData>
    <row r="1" spans="1:30" ht="23.25" x14ac:dyDescent="0.35">
      <c r="A1" s="17" t="s">
        <v>57</v>
      </c>
      <c r="D1" s="42">
        <v>0</v>
      </c>
      <c r="E1" s="42">
        <v>2013</v>
      </c>
      <c r="F1" s="34">
        <v>2014</v>
      </c>
      <c r="G1" s="34">
        <v>2015</v>
      </c>
      <c r="H1" s="34">
        <v>2016</v>
      </c>
      <c r="I1" s="34">
        <v>2017</v>
      </c>
      <c r="J1" s="34">
        <v>2018</v>
      </c>
      <c r="K1" s="34">
        <v>2019</v>
      </c>
      <c r="L1" s="34">
        <v>2020</v>
      </c>
      <c r="M1" s="34">
        <v>2021</v>
      </c>
      <c r="N1" s="34">
        <v>2022</v>
      </c>
      <c r="O1" s="34">
        <v>2023</v>
      </c>
      <c r="P1" s="34"/>
    </row>
    <row r="2" spans="1:30" x14ac:dyDescent="0.25">
      <c r="A2" s="19" t="s">
        <v>61</v>
      </c>
      <c r="B2" s="20"/>
      <c r="C2" s="20"/>
      <c r="D2" s="20"/>
      <c r="E2" s="20"/>
      <c r="F2" s="20"/>
      <c r="G2" s="20"/>
      <c r="H2" s="20"/>
      <c r="I2" s="20"/>
      <c r="J2" s="21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x14ac:dyDescent="0.25">
      <c r="A3" s="19"/>
      <c r="B3" s="20" t="s">
        <v>68</v>
      </c>
      <c r="C3" s="20"/>
      <c r="D3" s="20"/>
      <c r="E3" s="22">
        <v>286000</v>
      </c>
      <c r="F3" s="20"/>
      <c r="G3" s="20"/>
      <c r="H3" s="20"/>
      <c r="I3" s="20"/>
      <c r="J3" s="21"/>
      <c r="K3" s="20"/>
      <c r="L3" s="20"/>
      <c r="M3" s="20"/>
      <c r="N3" s="20"/>
      <c r="O3" s="20"/>
      <c r="P3" s="20"/>
      <c r="Q3" s="20"/>
      <c r="R3" s="19" t="s">
        <v>110</v>
      </c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0" x14ac:dyDescent="0.25">
      <c r="A4" s="19"/>
      <c r="B4" s="20"/>
      <c r="C4" s="20"/>
      <c r="D4" s="20"/>
      <c r="E4" s="22"/>
      <c r="F4" s="20"/>
      <c r="G4" s="20"/>
      <c r="H4" s="20"/>
      <c r="I4" s="20"/>
      <c r="J4" s="21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x14ac:dyDescent="0.25">
      <c r="A5" s="19"/>
      <c r="B5" s="23">
        <v>0.33</v>
      </c>
      <c r="C5" s="20"/>
      <c r="D5" s="20"/>
      <c r="E5" s="24">
        <f>E3*B5</f>
        <v>94380</v>
      </c>
      <c r="F5" s="20"/>
      <c r="G5" s="20"/>
      <c r="H5" s="20"/>
      <c r="I5" s="20"/>
      <c r="J5" s="2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0" x14ac:dyDescent="0.25">
      <c r="A6" s="20"/>
      <c r="B6" s="20" t="s">
        <v>58</v>
      </c>
      <c r="C6" s="20"/>
      <c r="D6" s="20"/>
      <c r="E6" s="5">
        <v>55</v>
      </c>
      <c r="F6" s="5">
        <f t="shared" ref="F6:O6" si="0">E6*$Q$6+E6</f>
        <v>57.2</v>
      </c>
      <c r="G6" s="5">
        <f t="shared" si="0"/>
        <v>59.488</v>
      </c>
      <c r="H6" s="5">
        <f t="shared" si="0"/>
        <v>61.867519999999999</v>
      </c>
      <c r="I6" s="5">
        <f t="shared" si="0"/>
        <v>64.342220799999993</v>
      </c>
      <c r="J6" s="5">
        <f t="shared" si="0"/>
        <v>66.915909631999995</v>
      </c>
      <c r="K6" s="5">
        <f t="shared" si="0"/>
        <v>69.59254601728</v>
      </c>
      <c r="L6" s="5">
        <f t="shared" si="0"/>
        <v>72.376247857971194</v>
      </c>
      <c r="M6" s="5">
        <f t="shared" si="0"/>
        <v>75.27129777229004</v>
      </c>
      <c r="N6" s="5">
        <f t="shared" si="0"/>
        <v>78.282149683181643</v>
      </c>
      <c r="O6" s="5">
        <f t="shared" si="0"/>
        <v>81.413435670508903</v>
      </c>
      <c r="P6" s="5"/>
      <c r="Q6" s="23">
        <v>0.04</v>
      </c>
      <c r="R6" s="20" t="s">
        <v>111</v>
      </c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x14ac:dyDescent="0.25">
      <c r="A7" s="20"/>
      <c r="B7" s="20" t="s">
        <v>59</v>
      </c>
      <c r="C7" s="20"/>
      <c r="D7" s="20"/>
      <c r="E7" s="5">
        <v>15</v>
      </c>
      <c r="F7" s="5">
        <f t="shared" ref="F7:O7" si="1">E7*$Q$7+E7</f>
        <v>15.15</v>
      </c>
      <c r="G7" s="5">
        <f t="shared" si="1"/>
        <v>15.301500000000001</v>
      </c>
      <c r="H7" s="5">
        <f t="shared" si="1"/>
        <v>15.454515000000001</v>
      </c>
      <c r="I7" s="5">
        <f t="shared" si="1"/>
        <v>15.609060150000001</v>
      </c>
      <c r="J7" s="5">
        <f t="shared" si="1"/>
        <v>15.765150751500002</v>
      </c>
      <c r="K7" s="5">
        <f t="shared" si="1"/>
        <v>15.922802259015002</v>
      </c>
      <c r="L7" s="5">
        <f t="shared" si="1"/>
        <v>16.082030281605153</v>
      </c>
      <c r="M7" s="5">
        <f t="shared" si="1"/>
        <v>16.242850584421205</v>
      </c>
      <c r="N7" s="5">
        <f t="shared" si="1"/>
        <v>16.405279090265417</v>
      </c>
      <c r="O7" s="5">
        <f t="shared" si="1"/>
        <v>16.569331881168072</v>
      </c>
      <c r="P7" s="5"/>
      <c r="Q7" s="23">
        <v>0.01</v>
      </c>
      <c r="R7" s="20" t="s">
        <v>112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x14ac:dyDescent="0.25">
      <c r="A8" s="20"/>
      <c r="B8" s="20" t="s">
        <v>79</v>
      </c>
      <c r="C8" s="20"/>
      <c r="D8" s="20"/>
      <c r="E8" s="25">
        <f>E5/(E6-E7)</f>
        <v>2359.5</v>
      </c>
      <c r="F8" s="29">
        <f t="shared" ref="F8:O8" si="2">E8*$Q$8+E8</f>
        <v>2394.8924999999999</v>
      </c>
      <c r="G8" s="29">
        <f t="shared" si="2"/>
        <v>2430.8158874999999</v>
      </c>
      <c r="H8" s="29">
        <f t="shared" si="2"/>
        <v>2467.2781258125001</v>
      </c>
      <c r="I8" s="29">
        <f t="shared" si="2"/>
        <v>2504.2872976996878</v>
      </c>
      <c r="J8" s="29">
        <f t="shared" si="2"/>
        <v>2541.8516071651829</v>
      </c>
      <c r="K8" s="29">
        <f t="shared" si="2"/>
        <v>2579.9793812726607</v>
      </c>
      <c r="L8" s="29">
        <f t="shared" si="2"/>
        <v>2618.6790719917508</v>
      </c>
      <c r="M8" s="29">
        <f t="shared" si="2"/>
        <v>2657.9592580716271</v>
      </c>
      <c r="N8" s="29">
        <f t="shared" si="2"/>
        <v>2697.8286469427017</v>
      </c>
      <c r="O8" s="29">
        <f t="shared" si="2"/>
        <v>2738.2960766468423</v>
      </c>
      <c r="P8" s="29"/>
      <c r="Q8" s="26">
        <v>1.4999999999999999E-2</v>
      </c>
      <c r="R8" s="20" t="s">
        <v>112</v>
      </c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x14ac:dyDescent="0.25">
      <c r="A9" s="20"/>
      <c r="B9" s="20" t="s">
        <v>74</v>
      </c>
      <c r="C9" s="20"/>
      <c r="D9" s="20"/>
      <c r="E9" s="29">
        <f>E8*E10</f>
        <v>1415.7</v>
      </c>
      <c r="F9" s="29">
        <f>F8*F10</f>
        <v>1412.9865749999999</v>
      </c>
      <c r="G9" s="29">
        <f t="shared" ref="G9:O9" si="3">G8*G10</f>
        <v>1409.8732147499998</v>
      </c>
      <c r="H9" s="29">
        <f t="shared" si="3"/>
        <v>1406.3485317131249</v>
      </c>
      <c r="I9" s="29">
        <f t="shared" si="3"/>
        <v>1402.400886711825</v>
      </c>
      <c r="J9" s="29">
        <f t="shared" si="3"/>
        <v>1347.1813517975468</v>
      </c>
      <c r="K9" s="29">
        <f t="shared" si="3"/>
        <v>1289.9896906363301</v>
      </c>
      <c r="L9" s="29">
        <f t="shared" si="3"/>
        <v>1230.7791638361225</v>
      </c>
      <c r="M9" s="29">
        <f t="shared" si="3"/>
        <v>1169.5020735515154</v>
      </c>
      <c r="N9" s="29">
        <f t="shared" si="3"/>
        <v>1106.1097452465071</v>
      </c>
      <c r="O9" s="29">
        <f t="shared" si="3"/>
        <v>1040.5525091257994</v>
      </c>
      <c r="P9" s="29"/>
      <c r="Q9" s="26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5">
      <c r="A10" s="20"/>
      <c r="B10" s="20" t="s">
        <v>80</v>
      </c>
      <c r="C10" s="20"/>
      <c r="D10" s="20"/>
      <c r="E10" s="27">
        <v>0.6</v>
      </c>
      <c r="F10" s="27">
        <f>1-F12</f>
        <v>0.59</v>
      </c>
      <c r="G10" s="27">
        <f t="shared" ref="G10:O10" si="4">1-G12</f>
        <v>0.57999999999999996</v>
      </c>
      <c r="H10" s="27">
        <f t="shared" si="4"/>
        <v>0.56999999999999995</v>
      </c>
      <c r="I10" s="27">
        <f t="shared" si="4"/>
        <v>0.55999999999999994</v>
      </c>
      <c r="J10" s="27">
        <f t="shared" si="4"/>
        <v>0.52999999999999992</v>
      </c>
      <c r="K10" s="27">
        <f t="shared" si="4"/>
        <v>0.49999999999999989</v>
      </c>
      <c r="L10" s="27">
        <f t="shared" si="4"/>
        <v>0.46999999999999986</v>
      </c>
      <c r="M10" s="27">
        <f t="shared" si="4"/>
        <v>0.43999999999999984</v>
      </c>
      <c r="N10" s="27">
        <f t="shared" si="4"/>
        <v>0.40999999999999981</v>
      </c>
      <c r="O10" s="27">
        <f t="shared" si="4"/>
        <v>0.37999999999999978</v>
      </c>
      <c r="P10" s="27"/>
      <c r="Q10" s="26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x14ac:dyDescent="0.25">
      <c r="A11" s="20"/>
      <c r="B11" s="20" t="s">
        <v>77</v>
      </c>
      <c r="C11" s="20"/>
      <c r="D11" s="20"/>
      <c r="E11" s="37">
        <f>E12*E8</f>
        <v>943.80000000000007</v>
      </c>
      <c r="F11" s="37">
        <f>F12*F8</f>
        <v>981.90592500000002</v>
      </c>
      <c r="G11" s="37">
        <f t="shared" ref="G11:N11" si="5">G12*G8</f>
        <v>1020.94267275</v>
      </c>
      <c r="H11" s="37">
        <f t="shared" si="5"/>
        <v>1060.9295940993752</v>
      </c>
      <c r="I11" s="37">
        <f t="shared" si="5"/>
        <v>1101.8864109878627</v>
      </c>
      <c r="J11" s="37">
        <f t="shared" si="5"/>
        <v>1194.6702553676362</v>
      </c>
      <c r="K11" s="37">
        <f t="shared" si="5"/>
        <v>1289.9896906363306</v>
      </c>
      <c r="L11" s="37">
        <f t="shared" si="5"/>
        <v>1387.8999081556283</v>
      </c>
      <c r="M11" s="37">
        <f t="shared" si="5"/>
        <v>1488.4571845201117</v>
      </c>
      <c r="N11" s="37">
        <f t="shared" si="5"/>
        <v>1591.7189016961945</v>
      </c>
      <c r="O11" s="37">
        <f>O12*O8</f>
        <v>1697.7435675210429</v>
      </c>
      <c r="P11" s="37"/>
      <c r="Q11" s="26">
        <v>0.01</v>
      </c>
      <c r="R11" s="23">
        <v>0.03</v>
      </c>
      <c r="S11" s="20" t="s">
        <v>99</v>
      </c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x14ac:dyDescent="0.25">
      <c r="A12" s="20"/>
      <c r="B12" s="20" t="s">
        <v>80</v>
      </c>
      <c r="C12" s="20"/>
      <c r="D12" s="20"/>
      <c r="E12" s="27">
        <v>0.4</v>
      </c>
      <c r="F12" s="27">
        <f>E12+$Q$11</f>
        <v>0.41000000000000003</v>
      </c>
      <c r="G12" s="27">
        <f>F12+$Q$11</f>
        <v>0.42000000000000004</v>
      </c>
      <c r="H12" s="27">
        <f>G12+$Q$11</f>
        <v>0.43000000000000005</v>
      </c>
      <c r="I12" s="27">
        <f>H12+$Q$11</f>
        <v>0.44000000000000006</v>
      </c>
      <c r="J12" s="27">
        <f t="shared" ref="J12:O12" si="6">I12+$R$11</f>
        <v>0.47000000000000008</v>
      </c>
      <c r="K12" s="27">
        <f t="shared" si="6"/>
        <v>0.50000000000000011</v>
      </c>
      <c r="L12" s="27">
        <f t="shared" si="6"/>
        <v>0.53000000000000014</v>
      </c>
      <c r="M12" s="27">
        <f t="shared" si="6"/>
        <v>0.56000000000000016</v>
      </c>
      <c r="N12" s="27">
        <f t="shared" si="6"/>
        <v>0.59000000000000019</v>
      </c>
      <c r="O12" s="27">
        <f t="shared" si="6"/>
        <v>0.62000000000000022</v>
      </c>
      <c r="P12" s="27"/>
      <c r="Q12" s="26"/>
      <c r="R12" s="23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x14ac:dyDescent="0.25">
      <c r="A14" s="20"/>
      <c r="B14" s="26">
        <f>1-B23-B5</f>
        <v>0.49800000000000005</v>
      </c>
      <c r="C14" s="20"/>
      <c r="D14" s="20"/>
      <c r="E14" s="24">
        <f>E3*B14</f>
        <v>142428.00000000003</v>
      </c>
      <c r="F14" s="20"/>
      <c r="G14" s="20"/>
      <c r="H14" s="20"/>
      <c r="I14" s="20"/>
      <c r="J14" s="21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x14ac:dyDescent="0.25">
      <c r="A15" s="20"/>
      <c r="B15" s="20" t="s">
        <v>60</v>
      </c>
      <c r="C15" s="20"/>
      <c r="D15" s="20"/>
      <c r="E15" s="5">
        <v>45</v>
      </c>
      <c r="F15" s="5">
        <f t="shared" ref="F15:O15" si="7">E15*$Q$15+E15</f>
        <v>46.35</v>
      </c>
      <c r="G15" s="5">
        <f t="shared" si="7"/>
        <v>47.740500000000004</v>
      </c>
      <c r="H15" s="5">
        <f t="shared" si="7"/>
        <v>49.172715000000004</v>
      </c>
      <c r="I15" s="5">
        <f t="shared" si="7"/>
        <v>50.647896450000005</v>
      </c>
      <c r="J15" s="5">
        <f t="shared" si="7"/>
        <v>52.167333343500005</v>
      </c>
      <c r="K15" s="5">
        <f t="shared" si="7"/>
        <v>53.732353343805002</v>
      </c>
      <c r="L15" s="5">
        <f t="shared" si="7"/>
        <v>55.344323944119154</v>
      </c>
      <c r="M15" s="5">
        <f t="shared" si="7"/>
        <v>57.004653662442728</v>
      </c>
      <c r="N15" s="5">
        <f t="shared" si="7"/>
        <v>58.714793272316008</v>
      </c>
      <c r="O15" s="5">
        <f t="shared" si="7"/>
        <v>60.476237070485489</v>
      </c>
      <c r="P15" s="5"/>
      <c r="Q15" s="23">
        <v>0.03</v>
      </c>
      <c r="R15" s="20" t="s">
        <v>112</v>
      </c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x14ac:dyDescent="0.25">
      <c r="A16" s="20"/>
      <c r="B16" s="20" t="s">
        <v>62</v>
      </c>
      <c r="C16" s="20"/>
      <c r="D16" s="20"/>
      <c r="E16" s="5">
        <v>10</v>
      </c>
      <c r="F16" s="5">
        <f t="shared" ref="F16:O16" si="8">E16*$Q$16+E16</f>
        <v>10.050000000000001</v>
      </c>
      <c r="G16" s="5">
        <f t="shared" si="8"/>
        <v>10.100250000000001</v>
      </c>
      <c r="H16" s="5">
        <f t="shared" si="8"/>
        <v>10.150751250000001</v>
      </c>
      <c r="I16" s="5">
        <f t="shared" si="8"/>
        <v>10.201505006250001</v>
      </c>
      <c r="J16" s="5">
        <f t="shared" si="8"/>
        <v>10.252512531281251</v>
      </c>
      <c r="K16" s="5">
        <f t="shared" si="8"/>
        <v>10.303775093937658</v>
      </c>
      <c r="L16" s="5">
        <f t="shared" si="8"/>
        <v>10.355293969407345</v>
      </c>
      <c r="M16" s="5">
        <f t="shared" si="8"/>
        <v>10.407070439254381</v>
      </c>
      <c r="N16" s="5">
        <f t="shared" si="8"/>
        <v>10.459105791450654</v>
      </c>
      <c r="O16" s="5">
        <f t="shared" si="8"/>
        <v>10.511401320407908</v>
      </c>
      <c r="P16" s="5"/>
      <c r="Q16" s="26">
        <v>5.0000000000000001E-3</v>
      </c>
      <c r="R16" s="20" t="s">
        <v>111</v>
      </c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1:30" x14ac:dyDescent="0.25">
      <c r="A17" s="20"/>
      <c r="B17" s="20" t="s">
        <v>79</v>
      </c>
      <c r="C17" s="20"/>
      <c r="D17" s="20"/>
      <c r="E17" s="25">
        <f>E14/(E15-E16)</f>
        <v>4069.3714285714295</v>
      </c>
      <c r="F17" s="25">
        <f t="shared" ref="F17:O17" si="9">E17*$Q$17+E17</f>
        <v>4150.7588571428578</v>
      </c>
      <c r="G17" s="25">
        <f t="shared" si="9"/>
        <v>4233.7740342857151</v>
      </c>
      <c r="H17" s="25">
        <f t="shared" si="9"/>
        <v>4318.4495149714294</v>
      </c>
      <c r="I17" s="25">
        <f t="shared" si="9"/>
        <v>4404.8185052708577</v>
      </c>
      <c r="J17" s="25">
        <f t="shared" si="9"/>
        <v>4492.9148753762747</v>
      </c>
      <c r="K17" s="25">
        <f t="shared" si="9"/>
        <v>4582.7731728837998</v>
      </c>
      <c r="L17" s="25">
        <f t="shared" si="9"/>
        <v>4674.4286363414758</v>
      </c>
      <c r="M17" s="25">
        <f t="shared" si="9"/>
        <v>4767.9172090683051</v>
      </c>
      <c r="N17" s="25">
        <f t="shared" si="9"/>
        <v>4863.2755532496712</v>
      </c>
      <c r="O17" s="25">
        <f t="shared" si="9"/>
        <v>4960.5410643146643</v>
      </c>
      <c r="P17" s="25"/>
      <c r="Q17" s="28">
        <v>0.02</v>
      </c>
      <c r="R17" s="20" t="s">
        <v>112</v>
      </c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x14ac:dyDescent="0.25">
      <c r="A18" s="20"/>
      <c r="B18" s="20" t="s">
        <v>75</v>
      </c>
      <c r="C18" s="20"/>
      <c r="D18" s="20"/>
      <c r="E18" s="29">
        <f>E17*E19</f>
        <v>2441.6228571428578</v>
      </c>
      <c r="F18" s="29">
        <f>F17*F19</f>
        <v>2469.7015200000001</v>
      </c>
      <c r="G18" s="29">
        <f t="shared" ref="G18:O18" si="10">G17*G19</f>
        <v>2497.926680228572</v>
      </c>
      <c r="H18" s="29">
        <f t="shared" si="10"/>
        <v>2526.292966258286</v>
      </c>
      <c r="I18" s="29">
        <f t="shared" si="10"/>
        <v>2554.7947330570973</v>
      </c>
      <c r="J18" s="29">
        <f t="shared" si="10"/>
        <v>2516.0323302107136</v>
      </c>
      <c r="K18" s="29">
        <f t="shared" si="10"/>
        <v>2474.6975133572514</v>
      </c>
      <c r="L18" s="29">
        <f t="shared" si="10"/>
        <v>2430.7028908975672</v>
      </c>
      <c r="M18" s="29">
        <f t="shared" si="10"/>
        <v>2383.9586045341521</v>
      </c>
      <c r="N18" s="29">
        <f t="shared" si="10"/>
        <v>2334.3722655598417</v>
      </c>
      <c r="O18" s="29">
        <f t="shared" si="10"/>
        <v>2281.8488895847449</v>
      </c>
      <c r="P18" s="29"/>
      <c r="Q18" s="28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1:30" x14ac:dyDescent="0.25">
      <c r="A19" s="20"/>
      <c r="B19" s="20" t="s">
        <v>80</v>
      </c>
      <c r="C19" s="20"/>
      <c r="D19" s="20"/>
      <c r="E19" s="27">
        <v>0.6</v>
      </c>
      <c r="F19" s="27">
        <f>1-F21</f>
        <v>0.59499999999999997</v>
      </c>
      <c r="G19" s="27">
        <f t="shared" ref="G19:O19" si="11">1-G21</f>
        <v>0.59</v>
      </c>
      <c r="H19" s="27">
        <f t="shared" si="11"/>
        <v>0.58499999999999996</v>
      </c>
      <c r="I19" s="27">
        <f t="shared" si="11"/>
        <v>0.57999999999999996</v>
      </c>
      <c r="J19" s="27">
        <f t="shared" si="11"/>
        <v>0.55999999999999994</v>
      </c>
      <c r="K19" s="27">
        <f t="shared" si="11"/>
        <v>0.53999999999999992</v>
      </c>
      <c r="L19" s="27">
        <f t="shared" si="11"/>
        <v>0.51999999999999991</v>
      </c>
      <c r="M19" s="27">
        <f t="shared" si="11"/>
        <v>0.49999999999999989</v>
      </c>
      <c r="N19" s="27">
        <f t="shared" si="11"/>
        <v>0.47999999999999987</v>
      </c>
      <c r="O19" s="27">
        <f t="shared" si="11"/>
        <v>0.45999999999999985</v>
      </c>
      <c r="P19" s="27"/>
      <c r="Q19" s="28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1:30" x14ac:dyDescent="0.25">
      <c r="A20" s="20"/>
      <c r="B20" s="20" t="s">
        <v>77</v>
      </c>
      <c r="C20" s="20"/>
      <c r="D20" s="20"/>
      <c r="E20" s="29">
        <f>E21*E17</f>
        <v>1627.7485714285719</v>
      </c>
      <c r="F20" s="29">
        <f>F21*F17</f>
        <v>1681.0573371428575</v>
      </c>
      <c r="G20" s="29">
        <f t="shared" ref="G20:O20" si="12">G21*G17</f>
        <v>1735.8473540571433</v>
      </c>
      <c r="H20" s="29">
        <f t="shared" si="12"/>
        <v>1792.1565487131434</v>
      </c>
      <c r="I20" s="29">
        <f t="shared" si="12"/>
        <v>1850.0237722137604</v>
      </c>
      <c r="J20" s="29">
        <f t="shared" si="12"/>
        <v>1976.8825451655612</v>
      </c>
      <c r="K20" s="29">
        <f t="shared" si="12"/>
        <v>2108.0756595265484</v>
      </c>
      <c r="L20" s="29">
        <f t="shared" si="12"/>
        <v>2243.7257454439086</v>
      </c>
      <c r="M20" s="29">
        <f t="shared" si="12"/>
        <v>2383.958604534153</v>
      </c>
      <c r="N20" s="29">
        <f t="shared" si="12"/>
        <v>2528.9032876898295</v>
      </c>
      <c r="O20" s="29">
        <f t="shared" si="12"/>
        <v>2678.6921747299193</v>
      </c>
      <c r="P20" s="29"/>
      <c r="Q20" s="26">
        <v>5.0000000000000001E-3</v>
      </c>
      <c r="R20" s="23">
        <v>0.02</v>
      </c>
      <c r="S20" s="20" t="s">
        <v>100</v>
      </c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1:30" x14ac:dyDescent="0.25">
      <c r="A21" s="20"/>
      <c r="B21" s="20" t="s">
        <v>80</v>
      </c>
      <c r="C21" s="20"/>
      <c r="D21" s="20"/>
      <c r="E21" s="27">
        <v>0.4</v>
      </c>
      <c r="F21" s="27">
        <f>E21+$Q$20</f>
        <v>0.40500000000000003</v>
      </c>
      <c r="G21" s="27">
        <f>F21+$Q$20</f>
        <v>0.41000000000000003</v>
      </c>
      <c r="H21" s="27">
        <f>G21+$Q$20</f>
        <v>0.41500000000000004</v>
      </c>
      <c r="I21" s="27">
        <f>H21+$Q$20</f>
        <v>0.42000000000000004</v>
      </c>
      <c r="J21" s="27">
        <f t="shared" ref="J21:O21" si="13">I21+$R$20</f>
        <v>0.44000000000000006</v>
      </c>
      <c r="K21" s="27">
        <f t="shared" si="13"/>
        <v>0.46000000000000008</v>
      </c>
      <c r="L21" s="27">
        <f t="shared" si="13"/>
        <v>0.48000000000000009</v>
      </c>
      <c r="M21" s="27">
        <f t="shared" si="13"/>
        <v>0.50000000000000011</v>
      </c>
      <c r="N21" s="27">
        <f t="shared" si="13"/>
        <v>0.52000000000000013</v>
      </c>
      <c r="O21" s="27">
        <f t="shared" si="13"/>
        <v>0.54000000000000015</v>
      </c>
      <c r="P21" s="27"/>
      <c r="Q21" s="28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1:30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1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1:30" x14ac:dyDescent="0.25">
      <c r="A23" s="20"/>
      <c r="B23" s="26">
        <v>0.17199999999999999</v>
      </c>
      <c r="C23" s="20"/>
      <c r="D23" s="20"/>
      <c r="E23" s="24">
        <f>B23*E3</f>
        <v>49191.999999999993</v>
      </c>
      <c r="F23" s="20"/>
      <c r="G23" s="20"/>
      <c r="H23" s="20"/>
      <c r="I23" s="20"/>
      <c r="J23" s="21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1:30" x14ac:dyDescent="0.25">
      <c r="A24" s="20"/>
      <c r="B24" s="20" t="s">
        <v>63</v>
      </c>
      <c r="C24" s="20"/>
      <c r="D24" s="20"/>
      <c r="E24" s="20">
        <v>50</v>
      </c>
      <c r="F24" s="22">
        <f t="shared" ref="F24:O25" si="14">E24*$Q$26+E24</f>
        <v>51</v>
      </c>
      <c r="G24" s="22">
        <f t="shared" si="14"/>
        <v>52.02</v>
      </c>
      <c r="H24" s="22">
        <f t="shared" si="14"/>
        <v>53.060400000000001</v>
      </c>
      <c r="I24" s="22">
        <f t="shared" si="14"/>
        <v>54.121608000000002</v>
      </c>
      <c r="J24" s="22">
        <f t="shared" si="14"/>
        <v>55.204040160000005</v>
      </c>
      <c r="K24" s="22">
        <f t="shared" si="14"/>
        <v>56.308120963200004</v>
      </c>
      <c r="L24" s="22">
        <f t="shared" si="14"/>
        <v>57.434283382464002</v>
      </c>
      <c r="M24" s="22">
        <f t="shared" si="14"/>
        <v>58.582969050113284</v>
      </c>
      <c r="N24" s="22">
        <f t="shared" si="14"/>
        <v>59.754628431115549</v>
      </c>
      <c r="O24" s="22">
        <f t="shared" si="14"/>
        <v>60.949720999737863</v>
      </c>
      <c r="P24" s="22"/>
      <c r="Q24" s="23">
        <v>0.03</v>
      </c>
      <c r="R24" s="20" t="s">
        <v>69</v>
      </c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1:30" x14ac:dyDescent="0.25">
      <c r="A25" s="20"/>
      <c r="B25" s="20" t="s">
        <v>64</v>
      </c>
      <c r="C25" s="20"/>
      <c r="D25" s="20"/>
      <c r="E25" s="20">
        <v>15</v>
      </c>
      <c r="F25" s="22">
        <f t="shared" si="14"/>
        <v>15.3</v>
      </c>
      <c r="G25" s="22">
        <f t="shared" si="14"/>
        <v>15.606</v>
      </c>
      <c r="H25" s="22">
        <f t="shared" si="14"/>
        <v>15.91812</v>
      </c>
      <c r="I25" s="22">
        <f t="shared" si="14"/>
        <v>16.2364824</v>
      </c>
      <c r="J25" s="22">
        <f t="shared" si="14"/>
        <v>16.561212048000002</v>
      </c>
      <c r="K25" s="22">
        <f t="shared" si="14"/>
        <v>16.892436288960003</v>
      </c>
      <c r="L25" s="22">
        <f t="shared" si="14"/>
        <v>17.230285014739202</v>
      </c>
      <c r="M25" s="22">
        <f t="shared" si="14"/>
        <v>17.574890715033987</v>
      </c>
      <c r="N25" s="22">
        <f t="shared" si="14"/>
        <v>17.926388529334666</v>
      </c>
      <c r="O25" s="22">
        <f t="shared" si="14"/>
        <v>18.28491629992136</v>
      </c>
      <c r="P25" s="22"/>
      <c r="Q25" s="26">
        <v>5.0000000000000001E-3</v>
      </c>
      <c r="R25" s="20" t="s">
        <v>70</v>
      </c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x14ac:dyDescent="0.25">
      <c r="A26" s="20"/>
      <c r="B26" s="20" t="s">
        <v>79</v>
      </c>
      <c r="C26" s="20"/>
      <c r="D26" s="20"/>
      <c r="E26" s="25">
        <f>E23/(E24-E25)</f>
        <v>1405.485714285714</v>
      </c>
      <c r="F26" s="29">
        <f>E26*$Q$26+E26</f>
        <v>1433.5954285714283</v>
      </c>
      <c r="G26" s="29">
        <f>F26*$Q$26+F26</f>
        <v>1462.2673371428568</v>
      </c>
      <c r="H26" s="29">
        <f>G26*$Q$26+G26</f>
        <v>1491.5126838857141</v>
      </c>
      <c r="I26" s="29">
        <f>H26*$Q$26+H26</f>
        <v>1521.3429375634284</v>
      </c>
      <c r="J26" s="29">
        <f t="shared" ref="J26:O26" si="15">I26*$R$26+I26</f>
        <v>1582.1966550659656</v>
      </c>
      <c r="K26" s="29">
        <f t="shared" si="15"/>
        <v>1645.4845212686043</v>
      </c>
      <c r="L26" s="29">
        <f t="shared" si="15"/>
        <v>1711.3039021193485</v>
      </c>
      <c r="M26" s="29">
        <f t="shared" si="15"/>
        <v>1779.7560582041224</v>
      </c>
      <c r="N26" s="29">
        <f t="shared" si="15"/>
        <v>1850.9463005322873</v>
      </c>
      <c r="O26" s="29">
        <f t="shared" si="15"/>
        <v>1924.9841525535787</v>
      </c>
      <c r="P26" s="29"/>
      <c r="Q26" s="23">
        <v>0.02</v>
      </c>
      <c r="R26" s="23">
        <v>0.04</v>
      </c>
      <c r="S26" s="20" t="s">
        <v>82</v>
      </c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1:30" x14ac:dyDescent="0.25">
      <c r="A27" s="20"/>
      <c r="B27" s="20" t="s">
        <v>74</v>
      </c>
      <c r="C27" s="20"/>
      <c r="D27" s="20"/>
      <c r="E27" s="29">
        <f>E26*E28</f>
        <v>843.29142857142836</v>
      </c>
      <c r="F27" s="29">
        <f>F26*F28</f>
        <v>831.4853485714284</v>
      </c>
      <c r="G27" s="29">
        <f t="shared" ref="G27:O27" si="16">G26*G28</f>
        <v>818.86970879999978</v>
      </c>
      <c r="H27" s="29">
        <f t="shared" si="16"/>
        <v>805.41684929828546</v>
      </c>
      <c r="I27" s="29">
        <f t="shared" si="16"/>
        <v>791.09832753298269</v>
      </c>
      <c r="J27" s="29">
        <f t="shared" si="16"/>
        <v>791.09832753298258</v>
      </c>
      <c r="K27" s="29">
        <f t="shared" si="16"/>
        <v>789.83257020892984</v>
      </c>
      <c r="L27" s="29">
        <f t="shared" si="16"/>
        <v>787.1997949749001</v>
      </c>
      <c r="M27" s="29">
        <f t="shared" si="16"/>
        <v>783.09266560981359</v>
      </c>
      <c r="N27" s="29">
        <f t="shared" si="16"/>
        <v>777.39744622356034</v>
      </c>
      <c r="O27" s="29">
        <f t="shared" si="16"/>
        <v>769.99366102143108</v>
      </c>
      <c r="P27" s="29"/>
      <c r="Q27" s="23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x14ac:dyDescent="0.25">
      <c r="A28" s="20"/>
      <c r="B28" s="20" t="s">
        <v>80</v>
      </c>
      <c r="C28" s="20"/>
      <c r="D28" s="20"/>
      <c r="E28" s="27">
        <v>0.6</v>
      </c>
      <c r="F28" s="27">
        <f>1-F30</f>
        <v>0.57999999999999996</v>
      </c>
      <c r="G28" s="27">
        <f t="shared" ref="G28:N28" si="17">1-G30</f>
        <v>0.55999999999999994</v>
      </c>
      <c r="H28" s="27">
        <f t="shared" si="17"/>
        <v>0.53999999999999992</v>
      </c>
      <c r="I28" s="27">
        <f t="shared" si="17"/>
        <v>0.51999999999999991</v>
      </c>
      <c r="J28" s="27">
        <f t="shared" si="17"/>
        <v>0.49999999999999989</v>
      </c>
      <c r="K28" s="27">
        <f t="shared" si="17"/>
        <v>0.47999999999999987</v>
      </c>
      <c r="L28" s="27">
        <f t="shared" si="17"/>
        <v>0.45999999999999985</v>
      </c>
      <c r="M28" s="27">
        <f t="shared" si="17"/>
        <v>0.43999999999999984</v>
      </c>
      <c r="N28" s="27">
        <f t="shared" si="17"/>
        <v>0.41999999999999982</v>
      </c>
      <c r="O28" s="27">
        <f>1-O30</f>
        <v>0.3999999999999998</v>
      </c>
      <c r="P28" s="27"/>
      <c r="Q28" s="23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1:30" x14ac:dyDescent="0.25">
      <c r="A29" s="20"/>
      <c r="B29" s="20" t="s">
        <v>76</v>
      </c>
      <c r="C29" s="20"/>
      <c r="D29" s="20"/>
      <c r="E29" s="29">
        <f>E30*E26</f>
        <v>562.19428571428568</v>
      </c>
      <c r="F29" s="29">
        <f>F30*F26</f>
        <v>602.11007999999993</v>
      </c>
      <c r="G29" s="29">
        <f t="shared" ref="G29:O29" si="18">G30*G26</f>
        <v>643.39762834285705</v>
      </c>
      <c r="H29" s="29">
        <f t="shared" si="18"/>
        <v>686.09583458742861</v>
      </c>
      <c r="I29" s="29">
        <f t="shared" si="18"/>
        <v>730.24461003044576</v>
      </c>
      <c r="J29" s="29">
        <f t="shared" si="18"/>
        <v>791.09832753298303</v>
      </c>
      <c r="K29" s="29">
        <f t="shared" si="18"/>
        <v>855.6519510596745</v>
      </c>
      <c r="L29" s="29">
        <f t="shared" si="18"/>
        <v>924.10410714444845</v>
      </c>
      <c r="M29" s="29">
        <f t="shared" si="18"/>
        <v>996.66339259430879</v>
      </c>
      <c r="N29" s="29">
        <f t="shared" si="18"/>
        <v>1073.548854308727</v>
      </c>
      <c r="O29" s="29">
        <f t="shared" si="18"/>
        <v>1154.9904915321476</v>
      </c>
      <c r="P29" s="29"/>
      <c r="Q29" s="26">
        <v>0.02</v>
      </c>
      <c r="R29" s="23">
        <v>0.04</v>
      </c>
      <c r="S29" s="20" t="s">
        <v>81</v>
      </c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1:30" x14ac:dyDescent="0.25">
      <c r="A30" s="20"/>
      <c r="B30" s="20" t="s">
        <v>80</v>
      </c>
      <c r="C30" s="20"/>
      <c r="D30" s="20"/>
      <c r="E30" s="27">
        <v>0.4</v>
      </c>
      <c r="F30" s="27">
        <f t="shared" ref="F30:O30" si="19">E30+$Q$29</f>
        <v>0.42000000000000004</v>
      </c>
      <c r="G30" s="27">
        <f t="shared" si="19"/>
        <v>0.44000000000000006</v>
      </c>
      <c r="H30" s="27">
        <f t="shared" si="19"/>
        <v>0.46000000000000008</v>
      </c>
      <c r="I30" s="27">
        <f t="shared" si="19"/>
        <v>0.48000000000000009</v>
      </c>
      <c r="J30" s="27">
        <f t="shared" si="19"/>
        <v>0.50000000000000011</v>
      </c>
      <c r="K30" s="27">
        <f t="shared" si="19"/>
        <v>0.52000000000000013</v>
      </c>
      <c r="L30" s="27">
        <f t="shared" si="19"/>
        <v>0.54000000000000015</v>
      </c>
      <c r="M30" s="27">
        <f t="shared" si="19"/>
        <v>0.56000000000000016</v>
      </c>
      <c r="N30" s="27">
        <f t="shared" si="19"/>
        <v>0.58000000000000018</v>
      </c>
      <c r="O30" s="27">
        <f t="shared" si="19"/>
        <v>0.6000000000000002</v>
      </c>
      <c r="P30" s="27"/>
      <c r="Q30" s="28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1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5">
      <c r="A32" s="20"/>
      <c r="B32" s="20" t="s">
        <v>49</v>
      </c>
      <c r="C32" s="20"/>
      <c r="D32" s="20"/>
      <c r="E32" s="25">
        <v>50</v>
      </c>
      <c r="F32" s="25">
        <f>E32-E32*$Q$32</f>
        <v>49.5</v>
      </c>
      <c r="G32" s="25">
        <f>F32-F32*$Q$32</f>
        <v>49.005000000000003</v>
      </c>
      <c r="H32" s="25">
        <f>G32-G32*$Q$32</f>
        <v>48.514950000000006</v>
      </c>
      <c r="I32" s="25">
        <f t="shared" ref="I32:O32" si="20">H32-H32*$R$32</f>
        <v>47.544651000000009</v>
      </c>
      <c r="J32" s="25">
        <f t="shared" si="20"/>
        <v>46.593757980000007</v>
      </c>
      <c r="K32" s="25">
        <f t="shared" si="20"/>
        <v>45.66188282040001</v>
      </c>
      <c r="L32" s="25">
        <f t="shared" si="20"/>
        <v>44.748645163992009</v>
      </c>
      <c r="M32" s="25">
        <f t="shared" si="20"/>
        <v>43.853672260712166</v>
      </c>
      <c r="N32" s="25">
        <f t="shared" si="20"/>
        <v>42.976598815497923</v>
      </c>
      <c r="O32" s="25">
        <f t="shared" si="20"/>
        <v>42.117066839187963</v>
      </c>
      <c r="P32" s="25"/>
      <c r="Q32" s="23">
        <v>0.01</v>
      </c>
      <c r="R32" s="18">
        <v>0.02</v>
      </c>
      <c r="S32" s="20" t="s">
        <v>104</v>
      </c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1:30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1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1:30" x14ac:dyDescent="0.25">
      <c r="A34" s="20"/>
      <c r="B34" s="20" t="s">
        <v>65</v>
      </c>
      <c r="C34" s="20"/>
      <c r="D34" s="20"/>
      <c r="E34" s="25">
        <v>45</v>
      </c>
      <c r="F34" s="25">
        <f>E34-E34*$Q$32</f>
        <v>44.55</v>
      </c>
      <c r="G34" s="25">
        <f>F34-F34*$Q$32</f>
        <v>44.104499999999994</v>
      </c>
      <c r="H34" s="25">
        <f>G34-G34*$Q$32</f>
        <v>43.663454999999992</v>
      </c>
      <c r="I34" s="25">
        <f t="shared" ref="I34:O34" si="21">H34-H34*$R$32</f>
        <v>42.79018589999999</v>
      </c>
      <c r="J34" s="25">
        <f t="shared" si="21"/>
        <v>41.934382181999993</v>
      </c>
      <c r="K34" s="25">
        <f t="shared" si="21"/>
        <v>41.095694538359993</v>
      </c>
      <c r="L34" s="25">
        <f t="shared" si="21"/>
        <v>40.273780647592794</v>
      </c>
      <c r="M34" s="25">
        <f t="shared" si="21"/>
        <v>39.468305034640935</v>
      </c>
      <c r="N34" s="25">
        <f t="shared" si="21"/>
        <v>38.678938933948118</v>
      </c>
      <c r="O34" s="25">
        <f t="shared" si="21"/>
        <v>37.905360155269157</v>
      </c>
      <c r="P34" s="25"/>
      <c r="Q34" s="26">
        <v>5.0000000000000001E-3</v>
      </c>
      <c r="R34" s="23">
        <v>0.01</v>
      </c>
      <c r="S34" s="20" t="s">
        <v>105</v>
      </c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1:30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1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1:30" x14ac:dyDescent="0.25">
      <c r="A36" s="20"/>
      <c r="B36" s="20" t="s">
        <v>66</v>
      </c>
      <c r="C36" s="20"/>
      <c r="D36" s="20"/>
      <c r="E36" s="20">
        <v>30</v>
      </c>
      <c r="F36" s="20">
        <v>30</v>
      </c>
      <c r="G36" s="20">
        <v>30</v>
      </c>
      <c r="H36" s="20">
        <v>30</v>
      </c>
      <c r="I36" s="20">
        <v>30</v>
      </c>
      <c r="J36" s="20">
        <v>30</v>
      </c>
      <c r="K36" s="20">
        <v>30</v>
      </c>
      <c r="L36" s="20">
        <v>30</v>
      </c>
      <c r="M36" s="20">
        <v>30</v>
      </c>
      <c r="N36" s="20">
        <v>30</v>
      </c>
      <c r="O36" s="20">
        <v>30</v>
      </c>
      <c r="P36" s="20"/>
      <c r="Q36" s="20" t="s">
        <v>106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1:30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1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1:30" x14ac:dyDescent="0.25">
      <c r="A38" s="20"/>
      <c r="B38" s="20" t="s">
        <v>83</v>
      </c>
      <c r="C38" s="20"/>
      <c r="D38" s="20"/>
      <c r="E38" s="20">
        <v>5</v>
      </c>
      <c r="F38" s="20">
        <v>5</v>
      </c>
      <c r="G38" s="20">
        <v>5</v>
      </c>
      <c r="H38" s="20">
        <v>5</v>
      </c>
      <c r="I38" s="20">
        <v>5</v>
      </c>
      <c r="J38" s="30">
        <v>6</v>
      </c>
      <c r="K38" s="30">
        <v>6</v>
      </c>
      <c r="L38" s="30">
        <v>6</v>
      </c>
      <c r="M38" s="30">
        <v>6</v>
      </c>
      <c r="N38" s="30">
        <v>6</v>
      </c>
      <c r="O38" s="30">
        <v>6</v>
      </c>
      <c r="P38" s="30"/>
      <c r="Q38" s="20" t="s">
        <v>85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1:30" x14ac:dyDescent="0.25">
      <c r="A39" s="20"/>
      <c r="B39" s="20" t="s">
        <v>84</v>
      </c>
      <c r="C39" s="20"/>
      <c r="D39" s="20"/>
      <c r="E39" s="20">
        <v>25</v>
      </c>
      <c r="F39" s="20">
        <v>25</v>
      </c>
      <c r="G39" s="20">
        <v>25</v>
      </c>
      <c r="H39" s="20">
        <v>25</v>
      </c>
      <c r="I39" s="20">
        <v>25</v>
      </c>
      <c r="J39" s="20">
        <v>25</v>
      </c>
      <c r="K39" s="20">
        <v>25</v>
      </c>
      <c r="L39" s="20">
        <v>25</v>
      </c>
      <c r="M39" s="20">
        <v>25</v>
      </c>
      <c r="N39" s="20">
        <v>25</v>
      </c>
      <c r="O39" s="20">
        <v>25</v>
      </c>
      <c r="P39" s="20"/>
      <c r="Q39" s="20" t="s">
        <v>89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1:30" x14ac:dyDescent="0.25">
      <c r="A40" s="20"/>
      <c r="B40" s="20" t="s">
        <v>86</v>
      </c>
      <c r="C40" s="20"/>
      <c r="D40" s="20"/>
      <c r="E40" s="22">
        <v>8.25</v>
      </c>
      <c r="F40" s="22">
        <v>8.25</v>
      </c>
      <c r="G40" s="22">
        <v>8.25</v>
      </c>
      <c r="H40" s="22">
        <v>10</v>
      </c>
      <c r="I40" s="22">
        <v>10</v>
      </c>
      <c r="J40" s="22">
        <v>10</v>
      </c>
      <c r="K40" s="22">
        <v>10</v>
      </c>
      <c r="L40" s="22">
        <v>10</v>
      </c>
      <c r="M40" s="22">
        <v>11.5</v>
      </c>
      <c r="N40" s="22">
        <v>11.5</v>
      </c>
      <c r="O40" s="22">
        <v>11.5</v>
      </c>
      <c r="P40" s="22"/>
      <c r="Q40" s="20" t="s">
        <v>87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1:30" x14ac:dyDescent="0.25">
      <c r="A41" s="20"/>
      <c r="B41" s="20" t="s">
        <v>88</v>
      </c>
      <c r="C41" s="20"/>
      <c r="D41" s="20"/>
      <c r="E41" s="31">
        <v>52</v>
      </c>
      <c r="F41" s="31">
        <v>52</v>
      </c>
      <c r="G41" s="31">
        <v>52</v>
      </c>
      <c r="H41" s="31">
        <v>52</v>
      </c>
      <c r="I41" s="31">
        <v>52</v>
      </c>
      <c r="J41" s="31">
        <v>52</v>
      </c>
      <c r="K41" s="31">
        <v>52</v>
      </c>
      <c r="L41" s="31">
        <v>52</v>
      </c>
      <c r="M41" s="31">
        <v>52</v>
      </c>
      <c r="N41" s="31">
        <v>52</v>
      </c>
      <c r="O41" s="31">
        <v>52</v>
      </c>
      <c r="P41" s="31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1:30" x14ac:dyDescent="0.25">
      <c r="A42" s="20"/>
      <c r="B42" s="20"/>
      <c r="C42" s="20"/>
      <c r="D42" s="20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1:30" x14ac:dyDescent="0.25">
      <c r="A43" s="20"/>
      <c r="B43" s="20" t="s">
        <v>90</v>
      </c>
      <c r="C43" s="20"/>
      <c r="D43" s="20"/>
      <c r="E43" s="32">
        <v>1500</v>
      </c>
      <c r="F43" s="32">
        <f t="shared" ref="F43:O43" si="22">E43*$Q$43+E43</f>
        <v>1545</v>
      </c>
      <c r="G43" s="32">
        <f t="shared" si="22"/>
        <v>1591.35</v>
      </c>
      <c r="H43" s="32">
        <f t="shared" si="22"/>
        <v>1639.0904999999998</v>
      </c>
      <c r="I43" s="32">
        <f t="shared" si="22"/>
        <v>1688.2632149999997</v>
      </c>
      <c r="J43" s="32">
        <f t="shared" si="22"/>
        <v>1738.9111114499997</v>
      </c>
      <c r="K43" s="32">
        <f t="shared" si="22"/>
        <v>1791.0784447934998</v>
      </c>
      <c r="L43" s="32">
        <f t="shared" si="22"/>
        <v>1844.8107981373048</v>
      </c>
      <c r="M43" s="32">
        <f t="shared" si="22"/>
        <v>1900.155122081424</v>
      </c>
      <c r="N43" s="32">
        <f t="shared" si="22"/>
        <v>1957.1597757438667</v>
      </c>
      <c r="O43" s="32">
        <f t="shared" si="22"/>
        <v>2015.8745690161827</v>
      </c>
      <c r="P43" s="32"/>
      <c r="Q43" s="23">
        <v>0.03</v>
      </c>
      <c r="R43" s="20" t="s">
        <v>94</v>
      </c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1:30" x14ac:dyDescent="0.25">
      <c r="A44" s="20"/>
      <c r="B44" s="20" t="s">
        <v>91</v>
      </c>
      <c r="C44" s="20"/>
      <c r="D44" s="20"/>
      <c r="E44" s="32">
        <v>68000</v>
      </c>
      <c r="F44" s="32">
        <v>68000</v>
      </c>
      <c r="G44" s="32">
        <v>68000</v>
      </c>
      <c r="H44" s="32">
        <v>68000</v>
      </c>
      <c r="I44" s="32">
        <v>68000</v>
      </c>
      <c r="J44" s="32">
        <v>68000</v>
      </c>
      <c r="K44" s="32">
        <v>68000</v>
      </c>
      <c r="L44" s="32">
        <v>70000</v>
      </c>
      <c r="M44" s="32">
        <v>70000</v>
      </c>
      <c r="N44" s="32">
        <v>70000</v>
      </c>
      <c r="O44" s="32">
        <v>70000</v>
      </c>
      <c r="P44" s="32"/>
      <c r="Q44" s="23" t="s">
        <v>92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1:30" x14ac:dyDescent="0.25">
      <c r="A45" s="20"/>
      <c r="B45" s="20" t="s">
        <v>93</v>
      </c>
      <c r="C45" s="20"/>
      <c r="D45" s="20"/>
      <c r="E45" s="32">
        <v>5000</v>
      </c>
      <c r="F45" s="32">
        <f t="shared" ref="F45:O45" si="23">E45*$Q$43+E45</f>
        <v>5150</v>
      </c>
      <c r="G45" s="32">
        <f t="shared" si="23"/>
        <v>5304.5</v>
      </c>
      <c r="H45" s="32">
        <f t="shared" si="23"/>
        <v>5463.6350000000002</v>
      </c>
      <c r="I45" s="32">
        <f t="shared" si="23"/>
        <v>5627.5440500000004</v>
      </c>
      <c r="J45" s="32">
        <f t="shared" si="23"/>
        <v>5796.3703715000001</v>
      </c>
      <c r="K45" s="32">
        <f t="shared" si="23"/>
        <v>5970.2614826449999</v>
      </c>
      <c r="L45" s="32">
        <f t="shared" si="23"/>
        <v>6149.3693271243501</v>
      </c>
      <c r="M45" s="32">
        <f t="shared" si="23"/>
        <v>6333.8504069380806</v>
      </c>
      <c r="N45" s="32">
        <f t="shared" si="23"/>
        <v>6523.865919146223</v>
      </c>
      <c r="O45" s="32">
        <f t="shared" si="23"/>
        <v>6719.5818967206096</v>
      </c>
      <c r="P45" s="32"/>
      <c r="Q45" s="23">
        <v>0.01</v>
      </c>
      <c r="R45" s="20" t="s">
        <v>95</v>
      </c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1:30" x14ac:dyDescent="0.25">
      <c r="A46" s="20"/>
      <c r="B46" s="20"/>
      <c r="C46" s="20"/>
      <c r="D46" s="20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23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1:30" x14ac:dyDescent="0.25">
      <c r="A47" s="20"/>
      <c r="B47" s="20" t="s">
        <v>97</v>
      </c>
      <c r="C47" s="20"/>
      <c r="D47" s="20"/>
      <c r="E47" s="32">
        <v>10000</v>
      </c>
      <c r="F47" s="32">
        <v>10000</v>
      </c>
      <c r="G47" s="32">
        <v>10000</v>
      </c>
      <c r="H47" s="32">
        <v>20000</v>
      </c>
      <c r="I47" s="32">
        <v>20000</v>
      </c>
      <c r="J47" s="32">
        <v>20000</v>
      </c>
      <c r="K47" s="32">
        <v>10000</v>
      </c>
      <c r="L47" s="32">
        <v>10000</v>
      </c>
      <c r="M47" s="32">
        <v>10000</v>
      </c>
      <c r="N47" s="32">
        <v>10000</v>
      </c>
      <c r="O47" s="32">
        <v>10000</v>
      </c>
      <c r="P47" s="32"/>
      <c r="Q47" s="23" t="s">
        <v>98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1:30" x14ac:dyDescent="0.25">
      <c r="A48" s="20"/>
      <c r="B48" s="20"/>
      <c r="C48" s="20"/>
      <c r="D48" s="20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23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1:30" x14ac:dyDescent="0.25">
      <c r="A49" s="20"/>
      <c r="B49" s="20"/>
      <c r="C49" s="20"/>
      <c r="D49" s="20"/>
      <c r="E49" s="33"/>
      <c r="F49" s="33"/>
      <c r="G49" s="33"/>
      <c r="H49" s="33"/>
      <c r="I49" s="33"/>
      <c r="J49" s="35"/>
      <c r="K49" s="33"/>
      <c r="L49" s="33"/>
      <c r="M49" s="33"/>
      <c r="N49" s="33"/>
      <c r="O49" s="33"/>
      <c r="P49" s="33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1:30" x14ac:dyDescent="0.25">
      <c r="A50" s="19" t="s">
        <v>30</v>
      </c>
      <c r="B50" s="20"/>
      <c r="C50" s="20"/>
      <c r="D50" s="20"/>
      <c r="E50" s="33"/>
      <c r="F50" s="33"/>
      <c r="G50" s="33"/>
      <c r="H50" s="33"/>
      <c r="I50" s="33"/>
      <c r="J50" s="35"/>
      <c r="K50" s="33"/>
      <c r="L50" s="33"/>
      <c r="M50" s="33"/>
      <c r="N50" s="33"/>
      <c r="O50" s="33"/>
      <c r="P50" s="33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1:30" x14ac:dyDescent="0.25">
      <c r="A51" s="19"/>
      <c r="B51" s="20"/>
      <c r="C51" s="20"/>
      <c r="D51" s="20"/>
      <c r="E51" s="33"/>
      <c r="F51" s="33"/>
      <c r="G51" s="33"/>
      <c r="H51" s="33"/>
      <c r="I51" s="33"/>
      <c r="J51" s="35"/>
      <c r="K51" s="33"/>
      <c r="L51" s="33"/>
      <c r="M51" s="33"/>
      <c r="N51" s="33"/>
      <c r="O51" s="33"/>
      <c r="P51" s="33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1:30" x14ac:dyDescent="0.25">
      <c r="A52" s="20" t="s">
        <v>71</v>
      </c>
      <c r="B52" s="20"/>
      <c r="C52" s="20"/>
      <c r="D52" s="20"/>
      <c r="E52" s="5">
        <f>E6*E9</f>
        <v>77863.5</v>
      </c>
      <c r="F52" s="36">
        <f>F6*F9</f>
        <v>80822.832089999996</v>
      </c>
      <c r="G52" s="36">
        <f t="shared" ref="G52:O52" si="24">G6*G9</f>
        <v>83870.53779904799</v>
      </c>
      <c r="H52" s="36">
        <f t="shared" si="24"/>
        <v>87007.295912732385</v>
      </c>
      <c r="I52" s="36">
        <f t="shared" si="24"/>
        <v>90233.587502928014</v>
      </c>
      <c r="J52" s="36">
        <f t="shared" si="24"/>
        <v>90147.865594800227</v>
      </c>
      <c r="K52" s="36">
        <f t="shared" si="24"/>
        <v>89773.666907425591</v>
      </c>
      <c r="L52" s="36">
        <f t="shared" si="24"/>
        <v>89079.177820229743</v>
      </c>
      <c r="M52" s="36">
        <f t="shared" si="24"/>
        <v>88029.938823606761</v>
      </c>
      <c r="N52" s="36">
        <f t="shared" si="24"/>
        <v>86588.648643412991</v>
      </c>
      <c r="O52" s="36">
        <f t="shared" si="24"/>
        <v>84714.954763499889</v>
      </c>
      <c r="P52" s="36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1:30" x14ac:dyDescent="0.25">
      <c r="A53" s="20" t="s">
        <v>72</v>
      </c>
      <c r="B53" s="20"/>
      <c r="C53" s="20"/>
      <c r="D53" s="20"/>
      <c r="E53" s="36">
        <f>E15*E18</f>
        <v>109873.0285714286</v>
      </c>
      <c r="F53" s="36">
        <f>F15*F18</f>
        <v>114470.665452</v>
      </c>
      <c r="G53" s="36">
        <f t="shared" ref="G53:O53" si="25">G15*G18</f>
        <v>119252.26867745216</v>
      </c>
      <c r="H53" s="36">
        <f t="shared" si="25"/>
        <v>124224.68403632332</v>
      </c>
      <c r="I53" s="36">
        <f t="shared" si="25"/>
        <v>129394.97909088127</v>
      </c>
      <c r="J53" s="36">
        <f t="shared" si="25"/>
        <v>131254.69727312538</v>
      </c>
      <c r="K53" s="36">
        <f t="shared" si="25"/>
        <v>132971.32120674744</v>
      </c>
      <c r="L53" s="36">
        <f t="shared" si="25"/>
        <v>134525.60820574188</v>
      </c>
      <c r="M53" s="36">
        <f t="shared" si="25"/>
        <v>135896.73459706962</v>
      </c>
      <c r="N53" s="36">
        <f t="shared" si="25"/>
        <v>137062.18499297407</v>
      </c>
      <c r="O53" s="36">
        <f t="shared" si="25"/>
        <v>137997.6344055511</v>
      </c>
      <c r="P53" s="36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1:30" x14ac:dyDescent="0.25">
      <c r="A54" s="20" t="s">
        <v>73</v>
      </c>
      <c r="B54" s="20"/>
      <c r="C54" s="20"/>
      <c r="D54" s="20"/>
      <c r="E54" s="5">
        <f>E24*E27</f>
        <v>42164.57142857142</v>
      </c>
      <c r="F54" s="36">
        <f t="shared" ref="F54:O54" si="26">F24*F27</f>
        <v>42405.75277714285</v>
      </c>
      <c r="G54" s="36">
        <f t="shared" si="26"/>
        <v>42597.602251775992</v>
      </c>
      <c r="H54" s="36">
        <f t="shared" si="26"/>
        <v>42735.740190506745</v>
      </c>
      <c r="I54" s="36">
        <f t="shared" si="26"/>
        <v>42815.513572195698</v>
      </c>
      <c r="J54" s="36">
        <f t="shared" si="26"/>
        <v>43671.823843639606</v>
      </c>
      <c r="K54" s="36">
        <f t="shared" si="26"/>
        <v>44473.987903999579</v>
      </c>
      <c r="L54" s="36">
        <f t="shared" si="26"/>
        <v>45212.256103205975</v>
      </c>
      <c r="M54" s="36">
        <f t="shared" si="26"/>
        <v>45875.893392790422</v>
      </c>
      <c r="N54" s="36">
        <f t="shared" si="26"/>
        <v>46453.095542386982</v>
      </c>
      <c r="O54" s="36">
        <f t="shared" si="26"/>
        <v>46930.898810822953</v>
      </c>
      <c r="P54" s="36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1:30" x14ac:dyDescent="0.25">
      <c r="A55" s="20" t="s">
        <v>78</v>
      </c>
      <c r="B55" s="20"/>
      <c r="C55" s="20"/>
      <c r="D55" s="20"/>
      <c r="E55" s="5">
        <f>(E24*E29)+(E15*E20)+(E6*E11)</f>
        <v>153267.40000000002</v>
      </c>
      <c r="F55" s="36">
        <f t="shared" ref="F55:O55" si="27">(F24*F29)+(F15*F20)+(F6*F11)</f>
        <v>164789.64056657144</v>
      </c>
      <c r="G55" s="36">
        <f t="shared" si="27"/>
        <v>177073.60294931248</v>
      </c>
      <c r="H55" s="36">
        <f t="shared" si="27"/>
        <v>190166.80550833279</v>
      </c>
      <c r="I55" s="36">
        <f t="shared" si="27"/>
        <v>204119.64372560219</v>
      </c>
      <c r="J55" s="36">
        <f t="shared" si="27"/>
        <v>226742.96140645724</v>
      </c>
      <c r="K55" s="36">
        <f t="shared" si="27"/>
        <v>251225.68668324713</v>
      </c>
      <c r="L55" s="36">
        <f t="shared" si="27"/>
        <v>277703.72941696824</v>
      </c>
      <c r="M55" s="36">
        <f t="shared" si="27"/>
        <v>306322.33923612075</v>
      </c>
      <c r="N55" s="36">
        <f t="shared" si="27"/>
        <v>337236.72395038744</v>
      </c>
      <c r="O55" s="36">
        <f t="shared" si="27"/>
        <v>370612.70793345012</v>
      </c>
      <c r="P55" s="36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1:30" x14ac:dyDescent="0.25">
      <c r="A56" s="20"/>
      <c r="B56" s="19" t="s">
        <v>101</v>
      </c>
      <c r="C56" s="19"/>
      <c r="D56" s="19"/>
      <c r="E56" s="5">
        <f>SUM(E52:E55)</f>
        <v>383168.50000000006</v>
      </c>
      <c r="F56" s="36">
        <f t="shared" ref="F56:O56" si="28">SUM(F52:F55)</f>
        <v>402488.89088571433</v>
      </c>
      <c r="G56" s="36">
        <f t="shared" si="28"/>
        <v>422794.01167758863</v>
      </c>
      <c r="H56" s="36">
        <f t="shared" si="28"/>
        <v>444134.52564789524</v>
      </c>
      <c r="I56" s="36">
        <f t="shared" si="28"/>
        <v>466563.72389160719</v>
      </c>
      <c r="J56" s="36">
        <f t="shared" si="28"/>
        <v>491817.34811802243</v>
      </c>
      <c r="K56" s="36">
        <f t="shared" si="28"/>
        <v>518444.66270141979</v>
      </c>
      <c r="L56" s="36">
        <f t="shared" si="28"/>
        <v>546520.7715461459</v>
      </c>
      <c r="M56" s="36">
        <f t="shared" si="28"/>
        <v>576124.90604958753</v>
      </c>
      <c r="N56" s="36">
        <f t="shared" si="28"/>
        <v>607340.65312916157</v>
      </c>
      <c r="O56" s="36">
        <f t="shared" si="28"/>
        <v>640256.19591332402</v>
      </c>
      <c r="P56" s="36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x14ac:dyDescent="0.25">
      <c r="A57" s="20"/>
      <c r="B57" s="20"/>
      <c r="C57" s="20"/>
      <c r="D57" s="19" t="s">
        <v>181</v>
      </c>
      <c r="E57" s="5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1:30" x14ac:dyDescent="0.25">
      <c r="A58" s="19" t="s">
        <v>56</v>
      </c>
      <c r="B58" s="19"/>
      <c r="C58" s="19"/>
      <c r="D58" s="70">
        <f>E56-E58</f>
        <v>286000.00000000006</v>
      </c>
      <c r="E58" s="36">
        <f>(E7*E8)+(E16*E17)+(E25*E26)</f>
        <v>97168.5</v>
      </c>
      <c r="F58" s="36">
        <f>(F7*F8)+(F16*F17)+(F25*F26)</f>
        <v>99931.757946428581</v>
      </c>
      <c r="G58" s="36">
        <f t="shared" ref="G58:O58" si="29">(G7*G8)+(G16*G17)+(G25*G26)</f>
        <v>102777.44955582696</v>
      </c>
      <c r="H58" s="36">
        <f t="shared" si="29"/>
        <v>105708.17150031417</v>
      </c>
      <c r="I58" s="36">
        <f t="shared" si="29"/>
        <v>108726.60692593158</v>
      </c>
      <c r="J58" s="36">
        <f t="shared" si="29"/>
        <v>112339.43414286064</v>
      </c>
      <c r="K58" s="36">
        <f t="shared" si="29"/>
        <v>116096.60804026596</v>
      </c>
      <c r="L58" s="36">
        <f t="shared" si="29"/>
        <v>120005.01278226063</v>
      </c>
      <c r="M58" s="36">
        <f t="shared" si="29"/>
        <v>124071.9035540006</v>
      </c>
      <c r="N58" s="36">
        <f t="shared" si="29"/>
        <v>128304.9279254986</v>
      </c>
      <c r="O58" s="36">
        <f t="shared" si="29"/>
        <v>132712.14848435402</v>
      </c>
      <c r="P58" s="36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1:30" x14ac:dyDescent="0.25">
      <c r="A59" s="20"/>
      <c r="B59" s="20"/>
      <c r="C59" s="20"/>
      <c r="D59" s="20"/>
      <c r="E59" s="5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1:30" x14ac:dyDescent="0.25">
      <c r="A60" s="20" t="s">
        <v>31</v>
      </c>
      <c r="B60" s="20"/>
      <c r="C60" s="20"/>
      <c r="D60" s="20"/>
      <c r="E60" s="5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1:30" x14ac:dyDescent="0.25">
      <c r="A61" s="20"/>
      <c r="B61" s="20" t="s">
        <v>32</v>
      </c>
      <c r="C61" s="20"/>
      <c r="D61" s="20"/>
      <c r="E61" s="36">
        <f t="shared" ref="E61:O61" si="30">E40*E39*E38*E41</f>
        <v>53625</v>
      </c>
      <c r="F61" s="36">
        <f t="shared" si="30"/>
        <v>53625</v>
      </c>
      <c r="G61" s="36">
        <f t="shared" si="30"/>
        <v>53625</v>
      </c>
      <c r="H61" s="36">
        <f t="shared" si="30"/>
        <v>65000</v>
      </c>
      <c r="I61" s="36">
        <f t="shared" si="30"/>
        <v>65000</v>
      </c>
      <c r="J61" s="36">
        <f t="shared" si="30"/>
        <v>78000</v>
      </c>
      <c r="K61" s="36">
        <f t="shared" si="30"/>
        <v>78000</v>
      </c>
      <c r="L61" s="36">
        <f t="shared" si="30"/>
        <v>78000</v>
      </c>
      <c r="M61" s="36">
        <f t="shared" si="30"/>
        <v>89700</v>
      </c>
      <c r="N61" s="36">
        <f t="shared" si="30"/>
        <v>89700</v>
      </c>
      <c r="O61" s="36">
        <f t="shared" si="30"/>
        <v>89700</v>
      </c>
      <c r="P61" s="36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1:30" x14ac:dyDescent="0.25">
      <c r="A62" s="20"/>
      <c r="B62" s="20" t="s">
        <v>54</v>
      </c>
      <c r="C62" s="20"/>
      <c r="D62" s="20"/>
      <c r="E62" s="36">
        <f t="shared" ref="E62:O62" si="31">E44+E45</f>
        <v>73000</v>
      </c>
      <c r="F62" s="36">
        <f t="shared" si="31"/>
        <v>73150</v>
      </c>
      <c r="G62" s="36">
        <f t="shared" si="31"/>
        <v>73304.5</v>
      </c>
      <c r="H62" s="36">
        <f t="shared" si="31"/>
        <v>73463.634999999995</v>
      </c>
      <c r="I62" s="36">
        <f t="shared" si="31"/>
        <v>73627.544049999997</v>
      </c>
      <c r="J62" s="36">
        <f t="shared" si="31"/>
        <v>73796.370371500001</v>
      </c>
      <c r="K62" s="36">
        <f t="shared" si="31"/>
        <v>73970.261482645001</v>
      </c>
      <c r="L62" s="36">
        <f t="shared" si="31"/>
        <v>76149.369327124354</v>
      </c>
      <c r="M62" s="36">
        <f t="shared" si="31"/>
        <v>76333.850406938087</v>
      </c>
      <c r="N62" s="36">
        <f t="shared" si="31"/>
        <v>76523.865919146221</v>
      </c>
      <c r="O62" s="36">
        <f t="shared" si="31"/>
        <v>76719.581896720614</v>
      </c>
      <c r="P62" s="36"/>
      <c r="Q62" s="20" t="s">
        <v>96</v>
      </c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1:30" x14ac:dyDescent="0.25">
      <c r="A63" s="20"/>
      <c r="B63" s="20" t="s">
        <v>29</v>
      </c>
      <c r="C63" s="20"/>
      <c r="D63" s="20"/>
      <c r="E63" s="36">
        <f>O63*1.55</f>
        <v>3313.3769520740875</v>
      </c>
      <c r="F63" s="36">
        <f>Q63*1.55</f>
        <v>1954.55</v>
      </c>
      <c r="G63" s="36">
        <f t="shared" ref="G63:O63" si="32">F63*$R$63+F63</f>
        <v>1974.0954999999999</v>
      </c>
      <c r="H63" s="36">
        <f t="shared" si="32"/>
        <v>1993.8364549999999</v>
      </c>
      <c r="I63" s="36">
        <f t="shared" si="32"/>
        <v>2013.7748195499998</v>
      </c>
      <c r="J63" s="36">
        <f t="shared" si="32"/>
        <v>2033.9125677454999</v>
      </c>
      <c r="K63" s="36">
        <f t="shared" si="32"/>
        <v>2054.2516934229548</v>
      </c>
      <c r="L63" s="36">
        <f t="shared" si="32"/>
        <v>2074.7942103571845</v>
      </c>
      <c r="M63" s="36">
        <f t="shared" si="32"/>
        <v>2095.5421524607564</v>
      </c>
      <c r="N63" s="36">
        <f t="shared" si="32"/>
        <v>2116.4975739853639</v>
      </c>
      <c r="O63" s="36">
        <f t="shared" si="32"/>
        <v>2137.6625497252176</v>
      </c>
      <c r="P63" s="36"/>
      <c r="Q63" s="1">
        <v>1261</v>
      </c>
      <c r="R63" s="23">
        <v>0.01</v>
      </c>
      <c r="S63" s="20" t="s">
        <v>67</v>
      </c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1:30" x14ac:dyDescent="0.25">
      <c r="A64" s="20"/>
      <c r="B64" s="20" t="s">
        <v>33</v>
      </c>
      <c r="C64" s="20"/>
      <c r="D64" s="20"/>
      <c r="E64" s="36">
        <v>100000</v>
      </c>
      <c r="F64" s="36">
        <v>100000</v>
      </c>
      <c r="G64" s="36">
        <v>100000</v>
      </c>
      <c r="H64" s="36">
        <v>100000</v>
      </c>
      <c r="I64" s="36">
        <v>100000</v>
      </c>
      <c r="J64" s="36">
        <v>100000</v>
      </c>
      <c r="K64" s="36">
        <v>100000</v>
      </c>
      <c r="L64" s="36">
        <v>100000</v>
      </c>
      <c r="M64" s="36">
        <v>100000</v>
      </c>
      <c r="N64" s="36">
        <v>100000</v>
      </c>
      <c r="O64" s="36">
        <v>100000</v>
      </c>
      <c r="P64" s="36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1:30" x14ac:dyDescent="0.25">
      <c r="A65" s="20"/>
      <c r="B65" s="38" t="s">
        <v>102</v>
      </c>
      <c r="C65" s="19"/>
      <c r="D65" s="19"/>
      <c r="E65" s="36">
        <f t="shared" ref="E65:O65" si="33">SUM(E61:E64)</f>
        <v>229938.37695207409</v>
      </c>
      <c r="F65" s="36">
        <f t="shared" si="33"/>
        <v>228729.55</v>
      </c>
      <c r="G65" s="36">
        <f t="shared" si="33"/>
        <v>228903.5955</v>
      </c>
      <c r="H65" s="36">
        <f t="shared" si="33"/>
        <v>240457.47145500002</v>
      </c>
      <c r="I65" s="36">
        <f t="shared" si="33"/>
        <v>240641.31886954998</v>
      </c>
      <c r="J65" s="36">
        <f t="shared" si="33"/>
        <v>253830.28293924549</v>
      </c>
      <c r="K65" s="36">
        <f t="shared" si="33"/>
        <v>254024.51317606797</v>
      </c>
      <c r="L65" s="36">
        <f t="shared" si="33"/>
        <v>256224.16353748154</v>
      </c>
      <c r="M65" s="36">
        <f t="shared" si="33"/>
        <v>268129.39255939884</v>
      </c>
      <c r="N65" s="36">
        <f t="shared" si="33"/>
        <v>268340.36349313159</v>
      </c>
      <c r="O65" s="36">
        <f t="shared" si="33"/>
        <v>268557.24444644584</v>
      </c>
      <c r="P65" s="36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1:30" x14ac:dyDescent="0.25">
      <c r="A66" s="20"/>
      <c r="B66" s="20"/>
      <c r="C66" s="20"/>
      <c r="D66" s="20"/>
      <c r="E66" s="5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1:30" x14ac:dyDescent="0.25">
      <c r="A67" s="20" t="s">
        <v>55</v>
      </c>
      <c r="B67" s="20"/>
      <c r="C67" s="20"/>
      <c r="D67" s="20"/>
      <c r="E67" s="5">
        <f>E92*$Q$67</f>
        <v>42627.339579066102</v>
      </c>
      <c r="F67" s="5">
        <f t="shared" ref="F67:O67" si="34">F92*$Q$67</f>
        <v>40885.628861683908</v>
      </c>
      <c r="G67" s="5">
        <f t="shared" si="34"/>
        <v>37938.97344594587</v>
      </c>
      <c r="H67" s="5">
        <f t="shared" si="34"/>
        <v>34676.847918731946</v>
      </c>
      <c r="I67" s="5">
        <f t="shared" si="34"/>
        <v>29698.909358983012</v>
      </c>
      <c r="J67" s="5">
        <f t="shared" si="34"/>
        <v>24271.448322862208</v>
      </c>
      <c r="K67" s="5">
        <f t="shared" si="34"/>
        <v>16775.563801401189</v>
      </c>
      <c r="L67" s="5">
        <f t="shared" si="34"/>
        <v>7518.6093469307434</v>
      </c>
      <c r="M67" s="5">
        <f t="shared" si="34"/>
        <v>0</v>
      </c>
      <c r="N67" s="5">
        <f t="shared" si="34"/>
        <v>0</v>
      </c>
      <c r="O67" s="5">
        <f t="shared" si="34"/>
        <v>0</v>
      </c>
      <c r="P67" s="36"/>
      <c r="Q67" s="23">
        <v>0.08</v>
      </c>
      <c r="R67" s="20" t="s">
        <v>109</v>
      </c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1:30" x14ac:dyDescent="0.25">
      <c r="A68" s="20" t="s">
        <v>125</v>
      </c>
      <c r="B68" s="20"/>
      <c r="C68" s="20"/>
      <c r="D68" s="20"/>
      <c r="E68" s="36">
        <f>E83/$Q$68</f>
        <v>8333.3333333333339</v>
      </c>
      <c r="F68" s="36">
        <f t="shared" ref="F68:O68" si="35">F83/$Q$68</f>
        <v>8333.3333333333339</v>
      </c>
      <c r="G68" s="36">
        <f t="shared" si="35"/>
        <v>8333.3333333333339</v>
      </c>
      <c r="H68" s="36">
        <f t="shared" si="35"/>
        <v>8333.3333333333339</v>
      </c>
      <c r="I68" s="36">
        <f t="shared" si="35"/>
        <v>8333.3333333333339</v>
      </c>
      <c r="J68" s="36">
        <f t="shared" si="35"/>
        <v>8333.3333333333339</v>
      </c>
      <c r="K68" s="36">
        <f t="shared" si="35"/>
        <v>8333.3333333333339</v>
      </c>
      <c r="L68" s="36">
        <f t="shared" si="35"/>
        <v>8333.3333333333339</v>
      </c>
      <c r="M68" s="36">
        <f t="shared" si="35"/>
        <v>8333.3333333333339</v>
      </c>
      <c r="N68" s="36">
        <f t="shared" si="35"/>
        <v>8333.3333333333339</v>
      </c>
      <c r="O68" s="36">
        <f t="shared" si="35"/>
        <v>8333.3333333333339</v>
      </c>
      <c r="P68" s="36"/>
      <c r="Q68" s="46">
        <v>30</v>
      </c>
      <c r="R68" s="20" t="s">
        <v>126</v>
      </c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1:30" x14ac:dyDescent="0.25">
      <c r="A69" s="20" t="s">
        <v>127</v>
      </c>
      <c r="B69" s="20"/>
      <c r="C69" s="20"/>
      <c r="D69" s="20"/>
      <c r="E69" s="36">
        <f>Mortgage!D28</f>
        <v>7710.8343022375684</v>
      </c>
      <c r="F69" s="36">
        <f>Mortgage!D42</f>
        <v>7590.9634939912848</v>
      </c>
      <c r="G69" s="36">
        <f>Mortgage!D56</f>
        <v>7464.6458075139708</v>
      </c>
      <c r="H69" s="36">
        <f>Mortgage!D70</f>
        <v>7331.5345175308603</v>
      </c>
      <c r="I69" s="36">
        <f>Mortgage!D84</f>
        <v>7191.2642512277325</v>
      </c>
      <c r="J69" s="36">
        <f>Mortgage!D98</f>
        <v>7043.4499853510588</v>
      </c>
      <c r="K69" s="36">
        <f>Mortgage!D112</f>
        <v>6887.6859893703031</v>
      </c>
      <c r="L69" s="36">
        <f>Mortgage!D126</f>
        <v>6723.5447118014918</v>
      </c>
      <c r="M69" s="36">
        <f>Mortgage!D140</f>
        <v>6550.5756066351778</v>
      </c>
      <c r="N69" s="36">
        <f>Mortgage!D154</f>
        <v>6368.3038966474578</v>
      </c>
      <c r="O69" s="36">
        <f>Mortgage!D168</f>
        <v>6176.2292701995548</v>
      </c>
      <c r="P69" s="36"/>
      <c r="Q69" s="46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1:30" x14ac:dyDescent="0.25">
      <c r="A70" s="20"/>
      <c r="B70" s="20"/>
      <c r="C70" s="20"/>
      <c r="D70" s="20"/>
      <c r="E70" s="5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1:30" x14ac:dyDescent="0.25">
      <c r="A71" s="20" t="s">
        <v>34</v>
      </c>
      <c r="B71" s="20"/>
      <c r="C71" s="20"/>
      <c r="D71" s="20"/>
      <c r="E71" s="36">
        <f>E56-SUM(E65,E67,E58,E68,E69)</f>
        <v>-2609.88416671101</v>
      </c>
      <c r="F71" s="36">
        <f t="shared" ref="F71:O71" si="36">F56-SUM(F65,F67,F58,F68,F69)</f>
        <v>17017.657250277291</v>
      </c>
      <c r="G71" s="36">
        <f t="shared" si="36"/>
        <v>37376.01403496851</v>
      </c>
      <c r="H71" s="36">
        <f t="shared" si="36"/>
        <v>47627.166922984936</v>
      </c>
      <c r="I71" s="36">
        <f t="shared" si="36"/>
        <v>71972.291152581573</v>
      </c>
      <c r="J71" s="36">
        <f t="shared" si="36"/>
        <v>85999.399394369742</v>
      </c>
      <c r="K71" s="36">
        <f t="shared" si="36"/>
        <v>116326.95836098108</v>
      </c>
      <c r="L71" s="36">
        <f t="shared" si="36"/>
        <v>147716.10783433821</v>
      </c>
      <c r="M71" s="36">
        <f t="shared" si="36"/>
        <v>169039.70099621959</v>
      </c>
      <c r="N71" s="36">
        <f t="shared" si="36"/>
        <v>195993.72448055062</v>
      </c>
      <c r="O71" s="36">
        <f t="shared" si="36"/>
        <v>224477.24037899129</v>
      </c>
      <c r="P71" s="36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5">
      <c r="A72" s="20" t="s">
        <v>35</v>
      </c>
      <c r="B72" s="20"/>
      <c r="C72" s="20"/>
      <c r="D72" s="20"/>
      <c r="E72" s="36">
        <f t="shared" ref="E72:O72" si="37">IF(E71&lt;0,0,E71*$Q$72)</f>
        <v>0</v>
      </c>
      <c r="F72" s="36">
        <f t="shared" si="37"/>
        <v>5105.2971750831866</v>
      </c>
      <c r="G72" s="36">
        <f t="shared" si="37"/>
        <v>11212.804210490553</v>
      </c>
      <c r="H72" s="36">
        <f t="shared" si="37"/>
        <v>14288.150076895481</v>
      </c>
      <c r="I72" s="36">
        <f t="shared" si="37"/>
        <v>21591.68734577447</v>
      </c>
      <c r="J72" s="36">
        <f t="shared" si="37"/>
        <v>25799.819818310923</v>
      </c>
      <c r="K72" s="36">
        <f t="shared" si="37"/>
        <v>34898.087508294324</v>
      </c>
      <c r="L72" s="36">
        <f t="shared" si="37"/>
        <v>44314.832350301462</v>
      </c>
      <c r="M72" s="36">
        <f t="shared" si="37"/>
        <v>50711.910298865878</v>
      </c>
      <c r="N72" s="36">
        <f t="shared" si="37"/>
        <v>58798.117344165184</v>
      </c>
      <c r="O72" s="36">
        <f t="shared" si="37"/>
        <v>67343.172113697379</v>
      </c>
      <c r="P72" s="36"/>
      <c r="Q72" s="4">
        <v>0.3</v>
      </c>
      <c r="R72" s="20"/>
      <c r="S72" s="20" t="s">
        <v>48</v>
      </c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1:30" x14ac:dyDescent="0.25">
      <c r="A73" s="19" t="s">
        <v>36</v>
      </c>
      <c r="B73" s="20"/>
      <c r="C73" s="20"/>
      <c r="D73" s="20"/>
      <c r="E73" s="36">
        <f>E71-E72</f>
        <v>-2609.88416671101</v>
      </c>
      <c r="F73" s="36">
        <f>F71-F72</f>
        <v>11912.360075194105</v>
      </c>
      <c r="G73" s="36">
        <f t="shared" ref="G73:O73" si="38">G71-G72</f>
        <v>26163.209824477955</v>
      </c>
      <c r="H73" s="36">
        <f t="shared" si="38"/>
        <v>33339.016846089457</v>
      </c>
      <c r="I73" s="36">
        <f t="shared" si="38"/>
        <v>50380.603806807107</v>
      </c>
      <c r="J73" s="36">
        <f t="shared" si="38"/>
        <v>60199.579576058823</v>
      </c>
      <c r="K73" s="36">
        <f t="shared" si="38"/>
        <v>81428.870852686756</v>
      </c>
      <c r="L73" s="36">
        <f t="shared" si="38"/>
        <v>103401.27548403674</v>
      </c>
      <c r="M73" s="36">
        <f t="shared" si="38"/>
        <v>118327.79069735372</v>
      </c>
      <c r="N73" s="36">
        <f t="shared" si="38"/>
        <v>137195.60713638543</v>
      </c>
      <c r="O73" s="36">
        <f t="shared" si="38"/>
        <v>157134.0682652939</v>
      </c>
      <c r="P73" s="36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spans="1:30" x14ac:dyDescent="0.25">
      <c r="A74" s="20"/>
      <c r="B74" s="20"/>
      <c r="C74" s="20"/>
      <c r="D74" s="20"/>
      <c r="E74" s="5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1:30" x14ac:dyDescent="0.25">
      <c r="A75" s="19" t="s">
        <v>37</v>
      </c>
      <c r="B75" s="20"/>
      <c r="C75" s="20"/>
      <c r="D75" s="20"/>
      <c r="E75" s="5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pans="1:30" x14ac:dyDescent="0.25">
      <c r="A76" s="19" t="s">
        <v>38</v>
      </c>
      <c r="B76" s="20"/>
      <c r="C76" s="20"/>
      <c r="D76" s="20"/>
      <c r="E76" s="5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</row>
    <row r="77" spans="1:30" x14ac:dyDescent="0.25">
      <c r="A77" s="20" t="s">
        <v>51</v>
      </c>
      <c r="B77" s="20"/>
      <c r="C77" s="20"/>
      <c r="D77" s="20"/>
      <c r="E77" s="36">
        <v>10000</v>
      </c>
      <c r="F77" s="36">
        <v>10000</v>
      </c>
      <c r="G77" s="36">
        <v>10000</v>
      </c>
      <c r="H77" s="36">
        <v>10000</v>
      </c>
      <c r="I77" s="36">
        <v>10000</v>
      </c>
      <c r="J77" s="36">
        <v>10000</v>
      </c>
      <c r="K77" s="36">
        <v>10000</v>
      </c>
      <c r="L77" s="36">
        <v>10000</v>
      </c>
      <c r="M77" s="36">
        <v>10000</v>
      </c>
      <c r="N77" s="36">
        <v>10000</v>
      </c>
      <c r="O77" s="36">
        <v>10000</v>
      </c>
      <c r="P77" s="36"/>
      <c r="Q77" s="20" t="s">
        <v>103</v>
      </c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pans="1:30" x14ac:dyDescent="0.25">
      <c r="A78" s="20" t="s">
        <v>50</v>
      </c>
      <c r="B78" s="20"/>
      <c r="C78" s="20"/>
      <c r="D78" s="20"/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33345</v>
      </c>
      <c r="N78" s="36">
        <v>180923</v>
      </c>
      <c r="O78" s="36">
        <v>348576</v>
      </c>
      <c r="P78" s="36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5">
      <c r="A79" s="20" t="s">
        <v>39</v>
      </c>
      <c r="B79" s="20"/>
      <c r="C79" s="20"/>
      <c r="D79" s="20"/>
      <c r="E79" s="36">
        <f t="shared" ref="E79:O79" si="39">E55/365*E34</f>
        <v>18895.980821917812</v>
      </c>
      <c r="F79" s="36">
        <f t="shared" si="39"/>
        <v>20113.365718467827</v>
      </c>
      <c r="G79" s="36">
        <f t="shared" si="39"/>
        <v>21396.55540076151</v>
      </c>
      <c r="H79" s="36">
        <f t="shared" si="39"/>
        <v>22748.876040566684</v>
      </c>
      <c r="I79" s="36">
        <f t="shared" si="39"/>
        <v>23929.636988658312</v>
      </c>
      <c r="J79" s="36">
        <f t="shared" si="39"/>
        <v>26050.208221087269</v>
      </c>
      <c r="K79" s="36">
        <f t="shared" si="39"/>
        <v>28285.737205820435</v>
      </c>
      <c r="L79" s="36">
        <f t="shared" si="39"/>
        <v>30641.586530294357</v>
      </c>
      <c r="M79" s="36">
        <f t="shared" si="39"/>
        <v>33123.352120262942</v>
      </c>
      <c r="N79" s="36">
        <f t="shared" si="39"/>
        <v>35736.873019073304</v>
      </c>
      <c r="O79" s="36">
        <f t="shared" si="39"/>
        <v>38488.241568046593</v>
      </c>
      <c r="P79" s="36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</row>
    <row r="80" spans="1:30" x14ac:dyDescent="0.25">
      <c r="A80" s="20" t="s">
        <v>40</v>
      </c>
      <c r="B80" s="20"/>
      <c r="C80" s="20"/>
      <c r="D80" s="20"/>
      <c r="E80" s="39">
        <f t="shared" ref="E80:O80" si="40">E58/365*E32</f>
        <v>13310.753424657534</v>
      </c>
      <c r="F80" s="36">
        <f t="shared" si="40"/>
        <v>13552.389091364972</v>
      </c>
      <c r="G80" s="36">
        <f t="shared" si="40"/>
        <v>13798.928535570687</v>
      </c>
      <c r="H80" s="36">
        <f t="shared" si="40"/>
        <v>14050.483986107309</v>
      </c>
      <c r="I80" s="36">
        <f t="shared" si="40"/>
        <v>14162.653645774248</v>
      </c>
      <c r="J80" s="36">
        <f t="shared" si="40"/>
        <v>14340.592893322188</v>
      </c>
      <c r="K80" s="36">
        <f t="shared" si="40"/>
        <v>14523.807430631599</v>
      </c>
      <c r="L80" s="36">
        <f t="shared" si="40"/>
        <v>14712.497903818374</v>
      </c>
      <c r="M80" s="36">
        <f t="shared" si="40"/>
        <v>14906.872863615976</v>
      </c>
      <c r="N80" s="36">
        <f t="shared" si="40"/>
        <v>15107.149078097342</v>
      </c>
      <c r="O80" s="36">
        <f t="shared" si="40"/>
        <v>15313.55185777473</v>
      </c>
      <c r="P80" s="36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</row>
    <row r="81" spans="1:30" x14ac:dyDescent="0.25">
      <c r="A81" s="20"/>
      <c r="B81" s="20"/>
      <c r="C81" s="20"/>
      <c r="D81" s="20"/>
      <c r="E81" s="39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1:30" x14ac:dyDescent="0.25">
      <c r="A82" s="20" t="s">
        <v>120</v>
      </c>
      <c r="B82" s="20"/>
      <c r="C82" s="20"/>
      <c r="D82" s="20"/>
      <c r="E82" s="5">
        <v>450000</v>
      </c>
      <c r="F82" s="5">
        <v>450000</v>
      </c>
      <c r="G82" s="5">
        <v>450000</v>
      </c>
      <c r="H82" s="5">
        <v>450000</v>
      </c>
      <c r="I82" s="5">
        <v>450000</v>
      </c>
      <c r="J82" s="5">
        <v>450000</v>
      </c>
      <c r="K82" s="5">
        <v>450000</v>
      </c>
      <c r="L82" s="5">
        <v>450000</v>
      </c>
      <c r="M82" s="5">
        <v>450000</v>
      </c>
      <c r="N82" s="5">
        <v>450000</v>
      </c>
      <c r="O82" s="5">
        <v>450000</v>
      </c>
      <c r="P82" s="5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1:30" x14ac:dyDescent="0.25">
      <c r="A83" s="20" t="s">
        <v>121</v>
      </c>
      <c r="B83" s="20"/>
      <c r="C83" s="20"/>
      <c r="D83" s="20"/>
      <c r="E83" s="5">
        <v>250000</v>
      </c>
      <c r="F83" s="5">
        <v>250000</v>
      </c>
      <c r="G83" s="5">
        <v>250000</v>
      </c>
      <c r="H83" s="5">
        <v>250000</v>
      </c>
      <c r="I83" s="5">
        <v>250000</v>
      </c>
      <c r="J83" s="5">
        <v>250000</v>
      </c>
      <c r="K83" s="5">
        <v>250000</v>
      </c>
      <c r="L83" s="5">
        <v>250000</v>
      </c>
      <c r="M83" s="5">
        <v>250000</v>
      </c>
      <c r="N83" s="5">
        <v>250000</v>
      </c>
      <c r="O83" s="5">
        <v>250000</v>
      </c>
      <c r="P83" s="5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1:30" x14ac:dyDescent="0.25">
      <c r="A84" s="20" t="s">
        <v>122</v>
      </c>
      <c r="B84" s="20"/>
      <c r="C84" s="20"/>
      <c r="D84" s="20"/>
      <c r="E84" s="47">
        <f>D84+E68</f>
        <v>8333.3333333333339</v>
      </c>
      <c r="F84" s="47">
        <f t="shared" ref="F84:O84" si="41">E84+F68</f>
        <v>16666.666666666668</v>
      </c>
      <c r="G84" s="47">
        <f t="shared" si="41"/>
        <v>25000</v>
      </c>
      <c r="H84" s="47">
        <f t="shared" si="41"/>
        <v>33333.333333333336</v>
      </c>
      <c r="I84" s="47">
        <f t="shared" si="41"/>
        <v>41666.666666666672</v>
      </c>
      <c r="J84" s="47">
        <f t="shared" si="41"/>
        <v>50000.000000000007</v>
      </c>
      <c r="K84" s="47">
        <f t="shared" si="41"/>
        <v>58333.333333333343</v>
      </c>
      <c r="L84" s="47">
        <f t="shared" si="41"/>
        <v>66666.666666666672</v>
      </c>
      <c r="M84" s="47">
        <f>L84+M68</f>
        <v>75000</v>
      </c>
      <c r="N84" s="47">
        <f t="shared" si="41"/>
        <v>83333.333333333328</v>
      </c>
      <c r="O84" s="47">
        <f t="shared" si="41"/>
        <v>91666.666666666657</v>
      </c>
      <c r="P84" s="47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1:30" x14ac:dyDescent="0.25">
      <c r="A85" s="20"/>
      <c r="B85" s="20"/>
      <c r="C85" s="20"/>
      <c r="D85" s="20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x14ac:dyDescent="0.25">
      <c r="A86" s="19" t="s">
        <v>42</v>
      </c>
      <c r="B86" s="20"/>
      <c r="C86" s="20"/>
      <c r="D86" s="20"/>
      <c r="E86" s="36">
        <f>SUM(E77:E83)-E84</f>
        <v>733873.4009132419</v>
      </c>
      <c r="F86" s="36">
        <f t="shared" ref="F86:O86" si="42">SUM(F77:F83)-F84</f>
        <v>726999.08814316615</v>
      </c>
      <c r="G86" s="36">
        <f t="shared" si="42"/>
        <v>720195.48393633217</v>
      </c>
      <c r="H86" s="36">
        <f t="shared" si="42"/>
        <v>713466.02669334062</v>
      </c>
      <c r="I86" s="36">
        <f t="shared" si="42"/>
        <v>706425.62396776595</v>
      </c>
      <c r="J86" s="36">
        <f t="shared" si="42"/>
        <v>700390.80111440946</v>
      </c>
      <c r="K86" s="36">
        <f t="shared" si="42"/>
        <v>694476.21130311873</v>
      </c>
      <c r="L86" s="36">
        <f t="shared" si="42"/>
        <v>688687.41776744614</v>
      </c>
      <c r="M86" s="36">
        <f>SUM(M77:M83)-M84</f>
        <v>716375.2249838789</v>
      </c>
      <c r="N86" s="36">
        <f t="shared" si="42"/>
        <v>858433.68876383721</v>
      </c>
      <c r="O86" s="36">
        <f t="shared" si="42"/>
        <v>1020711.1267591546</v>
      </c>
      <c r="P86" s="36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1:30" x14ac:dyDescent="0.25">
      <c r="A87" s="20"/>
      <c r="B87" s="20"/>
      <c r="C87" s="20"/>
      <c r="D87" s="20"/>
      <c r="E87" s="5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pans="1:30" x14ac:dyDescent="0.25">
      <c r="A88" s="19" t="s">
        <v>41</v>
      </c>
      <c r="B88" s="20"/>
      <c r="C88" s="20"/>
      <c r="D88" s="20"/>
      <c r="Q88" s="20" t="s">
        <v>107</v>
      </c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1:30" x14ac:dyDescent="0.25">
      <c r="A89" s="20" t="s">
        <v>43</v>
      </c>
      <c r="B89" s="20"/>
      <c r="C89" s="20"/>
      <c r="D89" s="20"/>
      <c r="E89" s="36">
        <f t="shared" ref="E89:O89" si="43">E72</f>
        <v>0</v>
      </c>
      <c r="F89" s="36">
        <f t="shared" si="43"/>
        <v>5105.2971750831866</v>
      </c>
      <c r="G89" s="36">
        <f t="shared" si="43"/>
        <v>11212.804210490553</v>
      </c>
      <c r="H89" s="36">
        <f t="shared" si="43"/>
        <v>14288.150076895481</v>
      </c>
      <c r="I89" s="36">
        <f t="shared" si="43"/>
        <v>21591.68734577447</v>
      </c>
      <c r="J89" s="36">
        <f t="shared" si="43"/>
        <v>25799.819818310923</v>
      </c>
      <c r="K89" s="36">
        <f t="shared" si="43"/>
        <v>34898.087508294324</v>
      </c>
      <c r="L89" s="36">
        <f t="shared" si="43"/>
        <v>44314.832350301462</v>
      </c>
      <c r="M89" s="36">
        <f t="shared" si="43"/>
        <v>50711.910298865878</v>
      </c>
      <c r="N89" s="36">
        <f t="shared" si="43"/>
        <v>58798.117344165184</v>
      </c>
      <c r="O89" s="36">
        <f t="shared" si="43"/>
        <v>67343.172113697379</v>
      </c>
      <c r="P89" s="36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pans="1:30" x14ac:dyDescent="0.25">
      <c r="A90" s="20" t="s">
        <v>44</v>
      </c>
      <c r="B90" s="20"/>
      <c r="C90" s="20"/>
      <c r="D90" s="20"/>
      <c r="E90" s="36">
        <f t="shared" ref="E90:O90" si="44">E58/365*E36</f>
        <v>7986.4520547945203</v>
      </c>
      <c r="F90" s="36">
        <f t="shared" si="44"/>
        <v>8213.5691462818013</v>
      </c>
      <c r="G90" s="36">
        <f t="shared" si="44"/>
        <v>8447.4616073282432</v>
      </c>
      <c r="H90" s="36">
        <f t="shared" si="44"/>
        <v>8688.342863039521</v>
      </c>
      <c r="I90" s="36">
        <f t="shared" si="44"/>
        <v>8936.433445966979</v>
      </c>
      <c r="J90" s="36">
        <f t="shared" si="44"/>
        <v>9233.3781487282722</v>
      </c>
      <c r="K90" s="36">
        <f t="shared" si="44"/>
        <v>9542.1869622136401</v>
      </c>
      <c r="L90" s="36">
        <f t="shared" si="44"/>
        <v>9863.4257081310116</v>
      </c>
      <c r="M90" s="36">
        <f t="shared" si="44"/>
        <v>10197.690703068542</v>
      </c>
      <c r="N90" s="36">
        <f t="shared" si="44"/>
        <v>10545.610514424543</v>
      </c>
      <c r="O90" s="36">
        <f t="shared" si="44"/>
        <v>10907.847820631838</v>
      </c>
      <c r="P90" s="36"/>
      <c r="Q90" s="20"/>
      <c r="R90" s="20"/>
      <c r="S90" s="20"/>
      <c r="T90" s="19" t="s">
        <v>157</v>
      </c>
      <c r="U90" s="20" t="s">
        <v>158</v>
      </c>
      <c r="V90" s="53">
        <v>2.6200000000000001E-2</v>
      </c>
      <c r="W90" s="20"/>
      <c r="X90" s="20"/>
      <c r="Y90" s="20"/>
      <c r="Z90" s="20"/>
      <c r="AA90" s="20"/>
      <c r="AB90" s="20"/>
      <c r="AD90" s="20"/>
    </row>
    <row r="91" spans="1:30" x14ac:dyDescent="0.25">
      <c r="A91" s="20"/>
      <c r="B91" s="20"/>
      <c r="C91" s="20"/>
      <c r="D91" s="20"/>
      <c r="R91" s="20"/>
      <c r="S91" s="20"/>
      <c r="T91" s="19" t="s">
        <v>159</v>
      </c>
      <c r="U91" s="20"/>
      <c r="V91" s="53">
        <v>9.5000000000000001E-2</v>
      </c>
      <c r="W91" s="20"/>
      <c r="X91" s="20"/>
      <c r="Y91" s="20"/>
      <c r="Z91" s="20"/>
      <c r="AA91" s="20"/>
      <c r="AB91" s="20"/>
      <c r="AD91" s="20"/>
    </row>
    <row r="92" spans="1:30" x14ac:dyDescent="0.25">
      <c r="A92" s="20" t="s">
        <v>52</v>
      </c>
      <c r="B92" s="20"/>
      <c r="C92" s="20"/>
      <c r="D92" s="20"/>
      <c r="E92" s="36">
        <v>532841.74473832629</v>
      </c>
      <c r="F92" s="36">
        <v>511070.36077104887</v>
      </c>
      <c r="G92" s="36">
        <v>474237.16807432333</v>
      </c>
      <c r="H92" s="36">
        <v>433460.59898414928</v>
      </c>
      <c r="I92" s="36">
        <v>371236.36698728765</v>
      </c>
      <c r="J92" s="36">
        <v>303393.10403577762</v>
      </c>
      <c r="K92" s="36">
        <v>209694.54751751485</v>
      </c>
      <c r="L92" s="36">
        <v>93982.61683663429</v>
      </c>
      <c r="M92" s="36"/>
      <c r="N92" s="36"/>
      <c r="O92" s="36"/>
      <c r="P92" s="36"/>
      <c r="Q92" s="20"/>
      <c r="R92" s="20"/>
      <c r="S92" s="20"/>
      <c r="T92" s="56"/>
      <c r="U92" s="44"/>
      <c r="V92" s="44"/>
      <c r="W92" s="44"/>
      <c r="X92" s="44"/>
      <c r="Y92" s="20"/>
      <c r="Z92" s="20"/>
      <c r="AA92" s="20"/>
      <c r="AB92" s="20"/>
      <c r="AD92" s="20"/>
    </row>
    <row r="93" spans="1:30" x14ac:dyDescent="0.25">
      <c r="A93" s="20" t="s">
        <v>124</v>
      </c>
      <c r="B93" s="20"/>
      <c r="C93" s="20"/>
      <c r="D93" s="20"/>
      <c r="E93" s="36">
        <f>Mortgage!F27</f>
        <v>145656.08828683221</v>
      </c>
      <c r="F93" s="36">
        <f>Mortgage!F41</f>
        <v>143307.38514226928</v>
      </c>
      <c r="G93" s="36">
        <f>Mortgage!F55</f>
        <v>140832.36431122906</v>
      </c>
      <c r="H93" s="36">
        <f>Mortgage!F69</f>
        <v>138224.23219020577</v>
      </c>
      <c r="I93" s="36">
        <f>Mortgage!F83</f>
        <v>135475.82980287934</v>
      </c>
      <c r="J93" s="36">
        <f>Mortgage!F97</f>
        <v>132579.61314967624</v>
      </c>
      <c r="K93" s="36">
        <f>Mortgage!F111</f>
        <v>129527.63250049236</v>
      </c>
      <c r="L93" s="36">
        <f>Mortgage!F125</f>
        <v>126311.5105737397</v>
      </c>
      <c r="M93" s="36">
        <f>Mortgage!F139</f>
        <v>122922.41954182072</v>
      </c>
      <c r="N93" s="36">
        <f>Mortgage!F153</f>
        <v>119351.05679991402</v>
      </c>
      <c r="O93" s="36">
        <f>Mortgage!F167</f>
        <v>115587.61943155939</v>
      </c>
      <c r="P93" s="36"/>
      <c r="Q93" s="20"/>
      <c r="R93" s="20"/>
      <c r="S93" s="20"/>
      <c r="T93" s="56" t="s">
        <v>156</v>
      </c>
      <c r="U93" s="44"/>
      <c r="V93" s="53">
        <f>V90+V99*(V91-V90)</f>
        <v>0.1653737281529187</v>
      </c>
      <c r="W93" s="44"/>
      <c r="X93" s="44"/>
      <c r="Y93" s="20"/>
      <c r="Z93" s="20"/>
      <c r="AA93" s="20"/>
      <c r="AB93" s="20"/>
      <c r="AD93" s="20"/>
    </row>
    <row r="94" spans="1:30" x14ac:dyDescent="0.25">
      <c r="A94" s="20"/>
      <c r="B94" s="20"/>
      <c r="C94" s="20"/>
      <c r="D94" s="20"/>
      <c r="E94" s="5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20"/>
      <c r="R94" s="20"/>
      <c r="S94" s="20"/>
      <c r="T94" s="19" t="s">
        <v>154</v>
      </c>
      <c r="U94" s="20"/>
      <c r="V94" s="52">
        <f>SUM(AVERAGE(E92:O92),AVERAGE(E93:O93))/AB94</f>
        <v>0.61265197521246739</v>
      </c>
      <c r="W94" s="20"/>
      <c r="X94" s="20"/>
      <c r="Y94" s="19" t="s">
        <v>161</v>
      </c>
      <c r="Z94" s="20"/>
      <c r="AA94" s="20"/>
      <c r="AB94" s="33">
        <f>SUM(AVERAGE(E92:O92),AVERAGE(E93:O93))+SUM(AVERAGE(E95:O95),AVERAGE(E96:O96))</f>
        <v>812920.51483599318</v>
      </c>
      <c r="AD94" s="20"/>
    </row>
    <row r="95" spans="1:30" x14ac:dyDescent="0.25">
      <c r="A95" s="20" t="s">
        <v>53</v>
      </c>
      <c r="B95" s="20"/>
      <c r="C95" s="20"/>
      <c r="D95" s="20"/>
      <c r="E95" s="36">
        <v>49999</v>
      </c>
      <c r="F95" s="36">
        <v>50000</v>
      </c>
      <c r="G95" s="36">
        <v>50000</v>
      </c>
      <c r="H95" s="36">
        <v>50000</v>
      </c>
      <c r="I95" s="36">
        <v>50000</v>
      </c>
      <c r="J95" s="36">
        <v>50000</v>
      </c>
      <c r="K95" s="36">
        <v>50000</v>
      </c>
      <c r="L95" s="36">
        <v>50000</v>
      </c>
      <c r="M95" s="36">
        <v>50000</v>
      </c>
      <c r="N95" s="36">
        <v>50000</v>
      </c>
      <c r="O95" s="36">
        <v>50000</v>
      </c>
      <c r="P95" s="36"/>
      <c r="Q95" s="20" t="s">
        <v>108</v>
      </c>
      <c r="R95" s="20"/>
      <c r="S95" s="20"/>
      <c r="T95" s="19" t="s">
        <v>155</v>
      </c>
      <c r="U95" s="20"/>
      <c r="V95" s="52">
        <f>SUM(AVERAGE(E95:O95),AVERAGE(E96:O96))/AB94</f>
        <v>0.38734802478753261</v>
      </c>
      <c r="W95" s="20"/>
      <c r="X95" s="20"/>
      <c r="Y95" s="20"/>
      <c r="Z95" s="20"/>
      <c r="AA95" s="20"/>
      <c r="AB95" s="20"/>
      <c r="AD95" s="20"/>
    </row>
    <row r="96" spans="1:30" x14ac:dyDescent="0.25">
      <c r="A96" s="20" t="s">
        <v>45</v>
      </c>
      <c r="B96" s="20"/>
      <c r="C96" s="20"/>
      <c r="D96" s="20"/>
      <c r="E96" s="36">
        <f>E73</f>
        <v>-2609.88416671101</v>
      </c>
      <c r="F96" s="36">
        <f>F73+E96</f>
        <v>9302.4759084830948</v>
      </c>
      <c r="G96" s="36">
        <f t="shared" ref="G96:O96" si="45">F96+G73</f>
        <v>35465.68573296105</v>
      </c>
      <c r="H96" s="36">
        <f t="shared" si="45"/>
        <v>68804.702579050499</v>
      </c>
      <c r="I96" s="36">
        <f t="shared" si="45"/>
        <v>119185.30638585761</v>
      </c>
      <c r="J96" s="36">
        <f t="shared" si="45"/>
        <v>179384.88596191641</v>
      </c>
      <c r="K96" s="36">
        <f t="shared" si="45"/>
        <v>260813.75681460317</v>
      </c>
      <c r="L96" s="36">
        <f t="shared" si="45"/>
        <v>364215.03229863988</v>
      </c>
      <c r="M96" s="36">
        <f t="shared" si="45"/>
        <v>482542.8229959936</v>
      </c>
      <c r="N96" s="36">
        <f t="shared" si="45"/>
        <v>619738.43013237906</v>
      </c>
      <c r="O96" s="36">
        <f t="shared" si="45"/>
        <v>776872.49839767301</v>
      </c>
      <c r="P96" s="36"/>
      <c r="Q96" s="20"/>
      <c r="R96" s="20"/>
      <c r="S96" s="20"/>
      <c r="T96" s="19" t="s">
        <v>160</v>
      </c>
      <c r="U96" s="20"/>
      <c r="V96" s="53">
        <f>SUM(Q67,Mortgage!I1)*(1-Bankruptcy!Q72)</f>
        <v>9.2749999999999999E-2</v>
      </c>
      <c r="W96" s="20"/>
      <c r="X96" s="20"/>
      <c r="Y96" s="20"/>
      <c r="Z96" s="20"/>
      <c r="AA96" s="20"/>
      <c r="AB96" s="20"/>
      <c r="AD96" s="20"/>
    </row>
    <row r="97" spans="1:30" x14ac:dyDescent="0.25">
      <c r="A97" s="20"/>
      <c r="B97" s="20"/>
      <c r="C97" s="20"/>
      <c r="D97" s="20"/>
      <c r="E97" s="5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T97" s="19"/>
      <c r="U97" s="20"/>
      <c r="V97" s="20"/>
      <c r="W97" s="20"/>
      <c r="X97" s="20"/>
      <c r="Y97" s="20"/>
      <c r="Z97" s="20"/>
      <c r="AA97" s="20"/>
      <c r="AB97" s="20"/>
      <c r="AD97" s="20"/>
    </row>
    <row r="98" spans="1:30" x14ac:dyDescent="0.25">
      <c r="A98" s="19" t="s">
        <v>46</v>
      </c>
      <c r="B98" s="20"/>
      <c r="C98" s="20"/>
      <c r="D98" s="20"/>
      <c r="E98" s="36">
        <f t="shared" ref="E98:O98" si="46">SUM(E89:E96)</f>
        <v>733873.40091324202</v>
      </c>
      <c r="F98" s="36">
        <f t="shared" si="46"/>
        <v>726999.08814316627</v>
      </c>
      <c r="G98" s="36">
        <f t="shared" si="46"/>
        <v>720195.48393633228</v>
      </c>
      <c r="H98" s="36">
        <f t="shared" si="46"/>
        <v>713466.02669334062</v>
      </c>
      <c r="I98" s="36">
        <f t="shared" si="46"/>
        <v>706425.62396776606</v>
      </c>
      <c r="J98" s="36">
        <f t="shared" si="46"/>
        <v>700390.80111440946</v>
      </c>
      <c r="K98" s="36">
        <f t="shared" si="46"/>
        <v>694476.21130311838</v>
      </c>
      <c r="L98" s="36">
        <f t="shared" si="46"/>
        <v>688687.41776744637</v>
      </c>
      <c r="M98" s="36">
        <f t="shared" si="46"/>
        <v>716374.84353974881</v>
      </c>
      <c r="N98" s="36">
        <f t="shared" si="46"/>
        <v>858433.21479088278</v>
      </c>
      <c r="O98" s="36">
        <f t="shared" si="46"/>
        <v>1020711.1377635617</v>
      </c>
      <c r="P98" s="36"/>
      <c r="T98" s="19" t="s">
        <v>123</v>
      </c>
      <c r="U98" s="20"/>
      <c r="V98" s="20">
        <v>0.96</v>
      </c>
      <c r="W98" s="20"/>
      <c r="X98" s="20"/>
      <c r="Y98" s="20"/>
      <c r="Z98" s="20"/>
      <c r="AA98" s="20"/>
      <c r="AB98" s="20"/>
      <c r="AD98" s="20"/>
    </row>
    <row r="99" spans="1:30" x14ac:dyDescent="0.25">
      <c r="A99" s="44"/>
      <c r="B99" s="44"/>
      <c r="C99" s="44"/>
      <c r="D99" s="44"/>
      <c r="E99" s="5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T99" s="19" t="s">
        <v>153</v>
      </c>
      <c r="U99" s="20"/>
      <c r="V99" s="51">
        <f>V98*(1+(1-Q72)*V94/V95)</f>
        <v>2.0228739557110278</v>
      </c>
      <c r="W99" s="20"/>
      <c r="X99" s="20"/>
      <c r="Y99" s="20"/>
      <c r="Z99" s="20"/>
      <c r="AA99" s="20"/>
      <c r="AB99" s="20"/>
      <c r="AD99" s="20"/>
    </row>
    <row r="100" spans="1:30" x14ac:dyDescent="0.25">
      <c r="A100" s="57" t="s">
        <v>47</v>
      </c>
      <c r="B100" s="57"/>
      <c r="C100" s="57"/>
      <c r="D100" s="57"/>
      <c r="E100" s="58">
        <f>E86-E98</f>
        <v>0</v>
      </c>
      <c r="F100" s="58">
        <f t="shared" ref="F100:O100" si="47">F86-F98</f>
        <v>0</v>
      </c>
      <c r="G100" s="58">
        <f t="shared" si="47"/>
        <v>0</v>
      </c>
      <c r="H100" s="58">
        <f t="shared" si="47"/>
        <v>0</v>
      </c>
      <c r="I100" s="58">
        <f t="shared" si="47"/>
        <v>0</v>
      </c>
      <c r="J100" s="58">
        <f t="shared" si="47"/>
        <v>0</v>
      </c>
      <c r="K100" s="58">
        <f t="shared" si="47"/>
        <v>0</v>
      </c>
      <c r="L100" s="58">
        <f t="shared" si="47"/>
        <v>0</v>
      </c>
      <c r="M100" s="58">
        <f t="shared" si="47"/>
        <v>0.38144413009285927</v>
      </c>
      <c r="N100" s="58">
        <f t="shared" si="47"/>
        <v>0.47397295443806797</v>
      </c>
      <c r="O100" s="58">
        <f t="shared" si="47"/>
        <v>-1.1004407075233757E-2</v>
      </c>
      <c r="P100" s="45"/>
      <c r="AB100" s="20"/>
      <c r="AC100" s="20"/>
      <c r="AD100" s="20"/>
    </row>
    <row r="101" spans="1:30" x14ac:dyDescent="0.25">
      <c r="A101" s="44"/>
      <c r="B101" s="20"/>
      <c r="C101" s="20"/>
      <c r="D101" s="20"/>
      <c r="E101" s="5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AB101" s="20"/>
      <c r="AC101" s="20"/>
      <c r="AD101" s="20"/>
    </row>
    <row r="102" spans="1:30" x14ac:dyDescent="0.25">
      <c r="A102" s="20"/>
      <c r="B102" s="20"/>
      <c r="C102" s="19" t="s">
        <v>113</v>
      </c>
      <c r="D102" s="19"/>
      <c r="E102" s="20"/>
      <c r="F102" s="32"/>
      <c r="G102" s="32"/>
      <c r="H102" s="32"/>
      <c r="I102" s="32"/>
      <c r="J102" s="32"/>
      <c r="K102" s="32"/>
      <c r="L102" s="32"/>
      <c r="M102" s="32"/>
      <c r="N102" s="20"/>
      <c r="O102" s="20"/>
      <c r="P102" s="20"/>
      <c r="AB102" s="20"/>
      <c r="AC102" s="20"/>
      <c r="AD102" s="20"/>
    </row>
    <row r="103" spans="1:30" x14ac:dyDescent="0.25">
      <c r="A103" s="20"/>
      <c r="B103" s="20"/>
      <c r="C103" s="20"/>
      <c r="D103" s="20"/>
      <c r="E103" s="20"/>
      <c r="F103" s="32"/>
      <c r="G103" s="32"/>
      <c r="H103" s="32"/>
      <c r="I103" s="32"/>
      <c r="J103" s="32"/>
      <c r="K103" s="32"/>
      <c r="L103" s="32"/>
      <c r="M103" s="32"/>
      <c r="N103" s="20"/>
      <c r="O103" s="20"/>
      <c r="P103" s="20"/>
      <c r="AB103" s="20"/>
      <c r="AC103" s="20"/>
      <c r="AD103" s="20"/>
    </row>
    <row r="104" spans="1:30" x14ac:dyDescent="0.25">
      <c r="A104" s="20"/>
      <c r="B104" s="20"/>
      <c r="C104" s="41" t="s">
        <v>119</v>
      </c>
      <c r="D104" s="41"/>
      <c r="E104" s="20"/>
      <c r="F104" s="32"/>
      <c r="G104" s="32"/>
      <c r="H104" s="32"/>
      <c r="I104" s="32"/>
      <c r="J104" s="32"/>
      <c r="K104" s="32"/>
      <c r="L104" s="32"/>
      <c r="M104" s="32"/>
      <c r="N104" s="20"/>
      <c r="O104" s="20"/>
      <c r="P104" s="20"/>
      <c r="AB104" s="20"/>
      <c r="AC104" s="20"/>
      <c r="AD104" s="20"/>
    </row>
    <row r="105" spans="1:30" x14ac:dyDescent="0.25">
      <c r="A105" s="20"/>
      <c r="B105" s="20"/>
      <c r="C105" t="s">
        <v>114</v>
      </c>
      <c r="D105"/>
      <c r="E105" s="43">
        <f t="shared" ref="E105:O105" si="48">E56-E58-E65</f>
        <v>56061.623047925968</v>
      </c>
      <c r="F105" s="43">
        <f t="shared" si="48"/>
        <v>73827.582939285727</v>
      </c>
      <c r="G105" s="43">
        <f t="shared" si="48"/>
        <v>91112.966621761676</v>
      </c>
      <c r="H105" s="43">
        <f t="shared" si="48"/>
        <v>97968.882692581014</v>
      </c>
      <c r="I105" s="43">
        <f t="shared" si="48"/>
        <v>117195.79809612563</v>
      </c>
      <c r="J105" s="43">
        <f t="shared" si="48"/>
        <v>125647.6310359163</v>
      </c>
      <c r="K105" s="43">
        <f t="shared" si="48"/>
        <v>148323.54148508585</v>
      </c>
      <c r="L105" s="43">
        <f t="shared" si="48"/>
        <v>170291.5952264037</v>
      </c>
      <c r="M105" s="43">
        <f t="shared" si="48"/>
        <v>183923.60993618809</v>
      </c>
      <c r="N105" s="43">
        <f t="shared" si="48"/>
        <v>210695.3617105314</v>
      </c>
      <c r="O105" s="43">
        <f t="shared" si="48"/>
        <v>238986.80298252415</v>
      </c>
      <c r="P105" s="43"/>
      <c r="AB105" s="20"/>
      <c r="AC105" s="20"/>
      <c r="AD105" s="20"/>
    </row>
    <row r="106" spans="1:30" x14ac:dyDescent="0.25">
      <c r="A106" s="20"/>
      <c r="B106" s="20"/>
      <c r="C106" t="s">
        <v>115</v>
      </c>
      <c r="D106"/>
      <c r="E106" s="33">
        <f>E68</f>
        <v>8333.3333333333339</v>
      </c>
      <c r="F106" s="33">
        <f t="shared" ref="F106:O106" si="49">F68</f>
        <v>8333.3333333333339</v>
      </c>
      <c r="G106" s="33">
        <f t="shared" si="49"/>
        <v>8333.3333333333339</v>
      </c>
      <c r="H106" s="33">
        <f t="shared" si="49"/>
        <v>8333.3333333333339</v>
      </c>
      <c r="I106" s="33">
        <f t="shared" si="49"/>
        <v>8333.3333333333339</v>
      </c>
      <c r="J106" s="33">
        <f t="shared" si="49"/>
        <v>8333.3333333333339</v>
      </c>
      <c r="K106" s="33">
        <f t="shared" si="49"/>
        <v>8333.3333333333339</v>
      </c>
      <c r="L106" s="33">
        <f t="shared" si="49"/>
        <v>8333.3333333333339</v>
      </c>
      <c r="M106" s="33">
        <f t="shared" si="49"/>
        <v>8333.3333333333339</v>
      </c>
      <c r="N106" s="33">
        <f t="shared" si="49"/>
        <v>8333.3333333333339</v>
      </c>
      <c r="O106" s="33">
        <f t="shared" si="49"/>
        <v>8333.3333333333339</v>
      </c>
      <c r="P106" s="33"/>
      <c r="AB106" s="20"/>
      <c r="AC106" s="20"/>
      <c r="AD106" s="20"/>
    </row>
    <row r="107" spans="1:30" x14ac:dyDescent="0.25">
      <c r="A107" s="20"/>
      <c r="B107" s="20"/>
      <c r="C107" t="s">
        <v>116</v>
      </c>
      <c r="D107"/>
      <c r="E107" s="43">
        <f>E105-E106</f>
        <v>47728.289714592633</v>
      </c>
      <c r="F107" s="43">
        <f t="shared" ref="F107:O107" si="50">F105-F106</f>
        <v>65494.249605952391</v>
      </c>
      <c r="G107" s="43">
        <f t="shared" si="50"/>
        <v>82779.633288428347</v>
      </c>
      <c r="H107" s="43">
        <f t="shared" si="50"/>
        <v>89635.549359247685</v>
      </c>
      <c r="I107" s="43">
        <f t="shared" si="50"/>
        <v>108862.4647627923</v>
      </c>
      <c r="J107" s="43">
        <f t="shared" si="50"/>
        <v>117314.29770258298</v>
      </c>
      <c r="K107" s="43">
        <f t="shared" si="50"/>
        <v>139990.20815175251</v>
      </c>
      <c r="L107" s="43">
        <f t="shared" si="50"/>
        <v>161958.26189307036</v>
      </c>
      <c r="M107" s="43">
        <f t="shared" si="50"/>
        <v>175590.27660285475</v>
      </c>
      <c r="N107" s="43">
        <f t="shared" si="50"/>
        <v>202362.02837719806</v>
      </c>
      <c r="O107" s="43">
        <f t="shared" si="50"/>
        <v>230653.46964919081</v>
      </c>
      <c r="P107" s="43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1:30" x14ac:dyDescent="0.25">
      <c r="A108" s="20"/>
      <c r="B108" s="20"/>
      <c r="C108" t="s">
        <v>117</v>
      </c>
      <c r="D108"/>
      <c r="E108" s="5">
        <f>$Q$72*E107</f>
        <v>14318.486914377789</v>
      </c>
      <c r="F108" s="5">
        <f t="shared" ref="F108:O108" si="51">$Q$72*F107</f>
        <v>19648.274881785717</v>
      </c>
      <c r="G108" s="5">
        <f t="shared" si="51"/>
        <v>24833.889986528502</v>
      </c>
      <c r="H108" s="5">
        <f t="shared" si="51"/>
        <v>26890.664807774305</v>
      </c>
      <c r="I108" s="5">
        <f t="shared" si="51"/>
        <v>32658.739428837689</v>
      </c>
      <c r="J108" s="5">
        <f t="shared" si="51"/>
        <v>35194.28931077489</v>
      </c>
      <c r="K108" s="5">
        <f t="shared" si="51"/>
        <v>41997.062445525749</v>
      </c>
      <c r="L108" s="5">
        <f t="shared" si="51"/>
        <v>48587.478567921105</v>
      </c>
      <c r="M108" s="5">
        <f t="shared" si="51"/>
        <v>52677.082980856423</v>
      </c>
      <c r="N108" s="5">
        <f t="shared" si="51"/>
        <v>60708.608513159415</v>
      </c>
      <c r="O108" s="5">
        <f t="shared" si="51"/>
        <v>69196.040894757243</v>
      </c>
      <c r="P108" s="5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1:30" x14ac:dyDescent="0.25">
      <c r="A109" s="20"/>
      <c r="B109" s="20"/>
      <c r="C109" s="40" t="s">
        <v>118</v>
      </c>
      <c r="D109" s="40"/>
      <c r="E109" s="5">
        <f>E105-E108</f>
        <v>41743.136133548178</v>
      </c>
      <c r="F109" s="5">
        <f t="shared" ref="F109:O109" si="52">F105-F108</f>
        <v>54179.308057500006</v>
      </c>
      <c r="G109" s="5">
        <f t="shared" si="52"/>
        <v>66279.07663523317</v>
      </c>
      <c r="H109" s="5">
        <f t="shared" si="52"/>
        <v>71078.217884806712</v>
      </c>
      <c r="I109" s="5">
        <f t="shared" si="52"/>
        <v>84537.058667287929</v>
      </c>
      <c r="J109" s="5">
        <f t="shared" si="52"/>
        <v>90453.341725141421</v>
      </c>
      <c r="K109" s="5">
        <f t="shared" si="52"/>
        <v>106326.4790395601</v>
      </c>
      <c r="L109" s="5">
        <f t="shared" si="52"/>
        <v>121704.1166584826</v>
      </c>
      <c r="M109" s="5">
        <f t="shared" si="52"/>
        <v>131246.52695533168</v>
      </c>
      <c r="N109" s="5">
        <f t="shared" si="52"/>
        <v>149986.75319737199</v>
      </c>
      <c r="O109" s="5">
        <f t="shared" si="52"/>
        <v>169790.7620877669</v>
      </c>
      <c r="P109" s="5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1:30" x14ac:dyDescent="0.25">
      <c r="A110" s="20"/>
      <c r="B110" s="20"/>
      <c r="C110" s="20"/>
      <c r="D110" s="20"/>
      <c r="E110" s="20"/>
      <c r="F110" s="32"/>
      <c r="G110" s="32"/>
      <c r="H110" s="32"/>
      <c r="I110" s="32"/>
      <c r="J110" s="32"/>
      <c r="K110" s="32"/>
      <c r="L110" s="32"/>
      <c r="M110" s="32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1:30" x14ac:dyDescent="0.25">
      <c r="A111" s="20"/>
      <c r="C111" s="40" t="s">
        <v>135</v>
      </c>
      <c r="D111"/>
      <c r="F111" s="3"/>
      <c r="G111" s="3"/>
      <c r="H111" s="3"/>
      <c r="I111" s="3"/>
      <c r="J111" s="3"/>
      <c r="K111" s="3"/>
      <c r="L111" s="3"/>
      <c r="M111" s="3"/>
    </row>
    <row r="112" spans="1:30" x14ac:dyDescent="0.25">
      <c r="C112" s="40" t="s">
        <v>136</v>
      </c>
      <c r="D112"/>
      <c r="F112" s="3"/>
      <c r="G112" s="3"/>
      <c r="H112" s="3"/>
      <c r="I112" s="3"/>
      <c r="J112" s="3"/>
      <c r="K112" s="3"/>
      <c r="L112" s="3"/>
      <c r="M112" s="3"/>
    </row>
    <row r="113" spans="2:17" x14ac:dyDescent="0.25">
      <c r="B113" t="s">
        <v>137</v>
      </c>
      <c r="C113" t="s">
        <v>138</v>
      </c>
      <c r="D113" s="5">
        <f>-(E77-D77)</f>
        <v>-10000</v>
      </c>
      <c r="E113" s="5">
        <f t="shared" ref="E113:O116" si="53">-(F77-E77)</f>
        <v>0</v>
      </c>
      <c r="F113" s="5">
        <f t="shared" si="53"/>
        <v>0</v>
      </c>
      <c r="G113" s="5">
        <f t="shared" si="53"/>
        <v>0</v>
      </c>
      <c r="H113" s="5">
        <f t="shared" si="53"/>
        <v>0</v>
      </c>
      <c r="I113" s="5">
        <f t="shared" si="53"/>
        <v>0</v>
      </c>
      <c r="J113" s="5">
        <f t="shared" si="53"/>
        <v>0</v>
      </c>
      <c r="K113" s="5">
        <f t="shared" si="53"/>
        <v>0</v>
      </c>
      <c r="L113" s="5">
        <f t="shared" si="53"/>
        <v>0</v>
      </c>
      <c r="M113" s="5">
        <f t="shared" si="53"/>
        <v>0</v>
      </c>
      <c r="N113" s="5">
        <f t="shared" si="53"/>
        <v>0</v>
      </c>
      <c r="O113" s="5">
        <f t="shared" si="53"/>
        <v>10000</v>
      </c>
    </row>
    <row r="114" spans="2:17" x14ac:dyDescent="0.25">
      <c r="B114" t="s">
        <v>137</v>
      </c>
      <c r="C114" t="s">
        <v>50</v>
      </c>
      <c r="D114" s="47">
        <f>-(E78-D78)</f>
        <v>0</v>
      </c>
      <c r="E114" s="47">
        <f t="shared" si="53"/>
        <v>0</v>
      </c>
      <c r="F114" s="47">
        <f t="shared" si="53"/>
        <v>0</v>
      </c>
      <c r="G114" s="47">
        <f t="shared" si="53"/>
        <v>0</v>
      </c>
      <c r="H114" s="47">
        <f t="shared" si="53"/>
        <v>0</v>
      </c>
      <c r="I114" s="47">
        <f t="shared" si="53"/>
        <v>0</v>
      </c>
      <c r="J114" s="47">
        <f t="shared" si="53"/>
        <v>0</v>
      </c>
      <c r="K114" s="47">
        <f t="shared" si="53"/>
        <v>0</v>
      </c>
      <c r="L114" s="47">
        <f t="shared" si="53"/>
        <v>-33345</v>
      </c>
      <c r="M114" s="47">
        <f t="shared" si="53"/>
        <v>-147578</v>
      </c>
      <c r="N114" s="47">
        <f t="shared" si="53"/>
        <v>-167653</v>
      </c>
      <c r="O114" s="47">
        <f t="shared" si="53"/>
        <v>348576</v>
      </c>
    </row>
    <row r="115" spans="2:17" x14ac:dyDescent="0.25">
      <c r="B115" t="s">
        <v>137</v>
      </c>
      <c r="C115" t="s">
        <v>139</v>
      </c>
      <c r="D115" s="47">
        <f>-(E79-D79)</f>
        <v>-18895.980821917812</v>
      </c>
      <c r="E115" s="47">
        <f t="shared" si="53"/>
        <v>-1217.3848965500147</v>
      </c>
      <c r="F115" s="47">
        <f t="shared" si="53"/>
        <v>-1283.1896822936833</v>
      </c>
      <c r="G115" s="47">
        <f t="shared" si="53"/>
        <v>-1352.3206398051734</v>
      </c>
      <c r="H115" s="47">
        <f t="shared" si="53"/>
        <v>-1180.760948091629</v>
      </c>
      <c r="I115" s="47">
        <f t="shared" si="53"/>
        <v>-2120.5712324289561</v>
      </c>
      <c r="J115" s="47">
        <f t="shared" si="53"/>
        <v>-2235.528984733166</v>
      </c>
      <c r="K115" s="47">
        <f t="shared" si="53"/>
        <v>-2355.849324473922</v>
      </c>
      <c r="L115" s="47">
        <f t="shared" si="53"/>
        <v>-2481.7655899685851</v>
      </c>
      <c r="M115" s="47">
        <f t="shared" si="53"/>
        <v>-2613.5208988103623</v>
      </c>
      <c r="N115" s="47">
        <f t="shared" si="53"/>
        <v>-2751.3685489732889</v>
      </c>
      <c r="O115" s="47">
        <f t="shared" si="53"/>
        <v>38488.241568046593</v>
      </c>
    </row>
    <row r="116" spans="2:17" x14ac:dyDescent="0.25">
      <c r="B116" t="s">
        <v>137</v>
      </c>
      <c r="C116" t="s">
        <v>40</v>
      </c>
      <c r="D116" s="47">
        <f>-(E80-D80)</f>
        <v>-13310.753424657534</v>
      </c>
      <c r="E116" s="47">
        <f t="shared" si="53"/>
        <v>-241.63566670743785</v>
      </c>
      <c r="F116" s="47">
        <f t="shared" si="53"/>
        <v>-246.53944420571497</v>
      </c>
      <c r="G116" s="47">
        <f t="shared" si="53"/>
        <v>-251.55545053662172</v>
      </c>
      <c r="H116" s="47">
        <f t="shared" si="53"/>
        <v>-112.16965966693897</v>
      </c>
      <c r="I116" s="47">
        <f t="shared" si="53"/>
        <v>-177.93924754793989</v>
      </c>
      <c r="J116" s="47">
        <f t="shared" si="53"/>
        <v>-183.21453730941175</v>
      </c>
      <c r="K116" s="47">
        <f t="shared" si="53"/>
        <v>-188.6904731867744</v>
      </c>
      <c r="L116" s="47">
        <f t="shared" si="53"/>
        <v>-194.37495979760206</v>
      </c>
      <c r="M116" s="47">
        <f t="shared" si="53"/>
        <v>-200.27621448136597</v>
      </c>
      <c r="N116" s="47">
        <f t="shared" si="53"/>
        <v>-206.40277967738803</v>
      </c>
      <c r="O116" s="47">
        <f t="shared" si="53"/>
        <v>15313.55185777473</v>
      </c>
    </row>
    <row r="117" spans="2:17" x14ac:dyDescent="0.25">
      <c r="B117" t="s">
        <v>140</v>
      </c>
      <c r="C117" t="s">
        <v>141</v>
      </c>
      <c r="D117" s="47">
        <f>(E90-D90)</f>
        <v>7986.4520547945203</v>
      </c>
      <c r="E117" s="47">
        <f t="shared" ref="E117:O117" si="54">(F90-E90)</f>
        <v>227.11709148728096</v>
      </c>
      <c r="F117" s="47">
        <f t="shared" si="54"/>
        <v>233.89246104644189</v>
      </c>
      <c r="G117" s="47">
        <f t="shared" si="54"/>
        <v>240.88125571127784</v>
      </c>
      <c r="H117" s="47">
        <f t="shared" si="54"/>
        <v>248.09058292745794</v>
      </c>
      <c r="I117" s="47">
        <f t="shared" si="54"/>
        <v>296.94470276129323</v>
      </c>
      <c r="J117" s="47">
        <f t="shared" si="54"/>
        <v>308.80881348536786</v>
      </c>
      <c r="K117" s="47">
        <f t="shared" si="54"/>
        <v>321.23874591737149</v>
      </c>
      <c r="L117" s="47">
        <f t="shared" si="54"/>
        <v>334.26499493752999</v>
      </c>
      <c r="M117" s="47">
        <f t="shared" si="54"/>
        <v>347.91981135600145</v>
      </c>
      <c r="N117" s="47">
        <f t="shared" si="54"/>
        <v>362.23730620729475</v>
      </c>
      <c r="O117" s="47">
        <f t="shared" si="54"/>
        <v>-10907.847820631838</v>
      </c>
    </row>
    <row r="118" spans="2:17" x14ac:dyDescent="0.25">
      <c r="B118" t="s">
        <v>140</v>
      </c>
      <c r="C118" s="6" t="s">
        <v>142</v>
      </c>
      <c r="D118" s="47">
        <f>(E109-D109)</f>
        <v>41743.136133548178</v>
      </c>
      <c r="E118" s="47">
        <f t="shared" ref="E118:O118" si="55">(F109-E109)</f>
        <v>12436.171923951828</v>
      </c>
      <c r="F118" s="47">
        <f t="shared" si="55"/>
        <v>12099.768577733164</v>
      </c>
      <c r="G118" s="47">
        <f t="shared" si="55"/>
        <v>4799.1412495735422</v>
      </c>
      <c r="H118" s="47">
        <f t="shared" si="55"/>
        <v>13458.840782481217</v>
      </c>
      <c r="I118" s="47">
        <f t="shared" si="55"/>
        <v>5916.2830578534922</v>
      </c>
      <c r="J118" s="47">
        <f t="shared" si="55"/>
        <v>15873.13731441868</v>
      </c>
      <c r="K118" s="47">
        <f t="shared" si="55"/>
        <v>15377.637618922497</v>
      </c>
      <c r="L118" s="47">
        <f t="shared" si="55"/>
        <v>9542.410296849077</v>
      </c>
      <c r="M118" s="47">
        <f t="shared" si="55"/>
        <v>18740.226242040313</v>
      </c>
      <c r="N118" s="47">
        <f t="shared" si="55"/>
        <v>19804.008890394907</v>
      </c>
      <c r="O118" s="47">
        <f t="shared" si="55"/>
        <v>-169790.7620877669</v>
      </c>
      <c r="P118" s="47"/>
      <c r="Q118" s="47"/>
    </row>
    <row r="119" spans="2:17" x14ac:dyDescent="0.25">
      <c r="F119" s="3"/>
      <c r="G119" s="3"/>
      <c r="H119" s="3"/>
      <c r="I119" s="3"/>
      <c r="J119" s="3"/>
      <c r="K119" s="3"/>
      <c r="L119" s="3"/>
      <c r="M119" s="3"/>
    </row>
    <row r="120" spans="2:17" x14ac:dyDescent="0.25">
      <c r="C120" s="40" t="s">
        <v>143</v>
      </c>
      <c r="D120"/>
      <c r="F120" s="3"/>
      <c r="G120" s="3"/>
      <c r="H120" s="3"/>
      <c r="I120" s="3"/>
      <c r="J120" s="3"/>
      <c r="K120" s="3"/>
      <c r="L120" s="3"/>
      <c r="M120" s="3"/>
      <c r="P120" s="41" t="s">
        <v>146</v>
      </c>
      <c r="Q120" s="41" t="s">
        <v>147</v>
      </c>
    </row>
    <row r="121" spans="2:17" x14ac:dyDescent="0.25">
      <c r="B121" t="s">
        <v>137</v>
      </c>
      <c r="C121" t="s">
        <v>120</v>
      </c>
      <c r="D121" s="48">
        <f>-(E82-D82)</f>
        <v>-450000</v>
      </c>
      <c r="E121" s="48">
        <f t="shared" ref="E121:O121" si="56">-(F82-E82)</f>
        <v>0</v>
      </c>
      <c r="F121" s="48">
        <f t="shared" si="56"/>
        <v>0</v>
      </c>
      <c r="G121" s="48">
        <f t="shared" si="56"/>
        <v>0</v>
      </c>
      <c r="H121" s="48">
        <f t="shared" si="56"/>
        <v>0</v>
      </c>
      <c r="I121" s="48">
        <f t="shared" si="56"/>
        <v>0</v>
      </c>
      <c r="J121" s="48">
        <f t="shared" si="56"/>
        <v>0</v>
      </c>
      <c r="K121" s="48">
        <f t="shared" si="56"/>
        <v>0</v>
      </c>
      <c r="L121" s="48">
        <f t="shared" si="56"/>
        <v>0</v>
      </c>
      <c r="M121" s="48">
        <f t="shared" si="56"/>
        <v>0</v>
      </c>
      <c r="N121" s="48">
        <f t="shared" si="56"/>
        <v>0</v>
      </c>
      <c r="O121" s="48">
        <f t="shared" si="56"/>
        <v>450000</v>
      </c>
      <c r="P121" s="48">
        <f>O82</f>
        <v>450000</v>
      </c>
      <c r="Q121" s="49">
        <f>SUM(O121:O122)-P121</f>
        <v>90000</v>
      </c>
    </row>
    <row r="122" spans="2:17" x14ac:dyDescent="0.25">
      <c r="B122"/>
      <c r="C122" t="s">
        <v>144</v>
      </c>
      <c r="F122" s="3"/>
      <c r="G122" s="3"/>
      <c r="H122" s="3"/>
      <c r="I122" s="3"/>
      <c r="J122" s="3"/>
      <c r="K122" s="3"/>
      <c r="L122" s="3"/>
      <c r="M122" s="3"/>
      <c r="O122" s="49">
        <f>O121*0.2</f>
        <v>90000</v>
      </c>
    </row>
    <row r="123" spans="2:17" x14ac:dyDescent="0.25">
      <c r="B123"/>
      <c r="C123" t="s">
        <v>145</v>
      </c>
      <c r="F123" s="3"/>
      <c r="G123" s="3"/>
      <c r="H123" s="3"/>
      <c r="I123" s="3"/>
      <c r="J123" s="3"/>
      <c r="K123" s="3"/>
      <c r="L123" s="3"/>
      <c r="M123" s="3"/>
      <c r="O123" s="49">
        <f>-Q72*Q121</f>
        <v>-27000</v>
      </c>
    </row>
    <row r="124" spans="2:17" x14ac:dyDescent="0.25">
      <c r="B124" s="1" t="s">
        <v>137</v>
      </c>
      <c r="C124" s="1" t="s">
        <v>121</v>
      </c>
      <c r="D124" s="48">
        <f>-(E83-D83)</f>
        <v>-250000</v>
      </c>
      <c r="E124" s="48">
        <f t="shared" ref="E124:O124" si="57">-(F83-E83)</f>
        <v>0</v>
      </c>
      <c r="F124" s="48">
        <f t="shared" si="57"/>
        <v>0</v>
      </c>
      <c r="G124" s="48">
        <f t="shared" si="57"/>
        <v>0</v>
      </c>
      <c r="H124" s="48">
        <f t="shared" si="57"/>
        <v>0</v>
      </c>
      <c r="I124" s="48">
        <f t="shared" si="57"/>
        <v>0</v>
      </c>
      <c r="J124" s="48">
        <f t="shared" si="57"/>
        <v>0</v>
      </c>
      <c r="K124" s="48">
        <f t="shared" si="57"/>
        <v>0</v>
      </c>
      <c r="L124" s="48">
        <f t="shared" si="57"/>
        <v>0</v>
      </c>
      <c r="M124" s="48">
        <f t="shared" si="57"/>
        <v>0</v>
      </c>
      <c r="N124" s="48">
        <f t="shared" si="57"/>
        <v>0</v>
      </c>
      <c r="O124" s="48">
        <f t="shared" si="57"/>
        <v>250000</v>
      </c>
      <c r="P124" s="48">
        <f>O83-O84</f>
        <v>158333.33333333334</v>
      </c>
      <c r="Q124" s="49">
        <f>SUM(O124:O125)-P124</f>
        <v>4166.666666666657</v>
      </c>
    </row>
    <row r="125" spans="2:17" x14ac:dyDescent="0.25">
      <c r="C125" s="1" t="s">
        <v>144</v>
      </c>
      <c r="F125" s="3"/>
      <c r="G125" s="3"/>
      <c r="H125" s="3"/>
      <c r="I125" s="3"/>
      <c r="J125" s="3"/>
      <c r="K125" s="3"/>
      <c r="L125" s="3"/>
      <c r="M125" s="3"/>
      <c r="O125" s="49">
        <f>-0.35*O124</f>
        <v>-87500</v>
      </c>
    </row>
    <row r="126" spans="2:17" x14ac:dyDescent="0.25">
      <c r="C126" s="1" t="s">
        <v>145</v>
      </c>
      <c r="F126" s="3"/>
      <c r="G126" s="3"/>
      <c r="H126" s="3"/>
      <c r="I126" s="3"/>
      <c r="J126" s="3"/>
      <c r="K126" s="3"/>
      <c r="L126" s="3"/>
      <c r="M126" s="3"/>
      <c r="O126" s="49">
        <f>-Q72*Q124</f>
        <v>-1249.999999999997</v>
      </c>
    </row>
    <row r="127" spans="2:17" x14ac:dyDescent="0.25">
      <c r="F127" s="3"/>
      <c r="G127" s="3"/>
      <c r="H127" s="3"/>
      <c r="I127" s="3"/>
      <c r="J127" s="3"/>
      <c r="K127" s="3"/>
      <c r="L127" s="3"/>
      <c r="M127" s="3"/>
    </row>
    <row r="128" spans="2:17" x14ac:dyDescent="0.25">
      <c r="C128" s="40" t="s">
        <v>148</v>
      </c>
      <c r="D128" s="5">
        <f>SUM(D109:D126)</f>
        <v>-692477.14605823264</v>
      </c>
      <c r="E128" s="5">
        <f t="shared" ref="E128:O128" si="58">SUM(E109:E126)</f>
        <v>52947.404585729833</v>
      </c>
      <c r="F128" s="5">
        <f t="shared" si="58"/>
        <v>64983.239969780218</v>
      </c>
      <c r="G128" s="5">
        <f t="shared" si="58"/>
        <v>69715.223050176195</v>
      </c>
      <c r="H128" s="5">
        <f t="shared" si="58"/>
        <v>83492.218642456821</v>
      </c>
      <c r="I128" s="5">
        <f t="shared" si="58"/>
        <v>88451.775947925824</v>
      </c>
      <c r="J128" s="5">
        <f t="shared" si="58"/>
        <v>104216.54433100289</v>
      </c>
      <c r="K128" s="5">
        <f t="shared" si="58"/>
        <v>119480.81560673928</v>
      </c>
      <c r="L128" s="5">
        <f t="shared" si="58"/>
        <v>95559.651400503033</v>
      </c>
      <c r="M128" s="5">
        <f t="shared" si="58"/>
        <v>-57.12410456373982</v>
      </c>
      <c r="N128" s="5">
        <f t="shared" si="58"/>
        <v>-457.77193467648613</v>
      </c>
      <c r="O128" s="5">
        <f t="shared" si="58"/>
        <v>1075719.9456051895</v>
      </c>
    </row>
    <row r="129" spans="3:13" x14ac:dyDescent="0.25">
      <c r="C129" s="41" t="s">
        <v>149</v>
      </c>
      <c r="D129" s="54">
        <f>IRR(D128:O128)</f>
        <v>0.12307520110578163</v>
      </c>
      <c r="F129" s="3"/>
      <c r="G129" s="3"/>
      <c r="H129" s="3"/>
      <c r="I129" s="3"/>
      <c r="J129" s="3"/>
      <c r="K129" s="3"/>
      <c r="L129" s="3"/>
      <c r="M129" s="3"/>
    </row>
    <row r="130" spans="3:13" x14ac:dyDescent="0.25">
      <c r="C130" s="41" t="s">
        <v>151</v>
      </c>
      <c r="D130" s="48">
        <f>SUM(D128:O128)</f>
        <v>1061574.7770420306</v>
      </c>
      <c r="F130" s="3"/>
      <c r="G130" s="3"/>
      <c r="H130" s="3"/>
      <c r="I130" s="3"/>
      <c r="J130" s="3"/>
      <c r="K130" s="3"/>
      <c r="L130" s="3"/>
      <c r="M130" s="3"/>
    </row>
    <row r="131" spans="3:13" x14ac:dyDescent="0.25">
      <c r="C131" s="41" t="s">
        <v>10</v>
      </c>
      <c r="D131" s="55">
        <f>PV(D132,D1,,D128)</f>
        <v>692477.14605823264</v>
      </c>
      <c r="F131" s="3"/>
      <c r="G131" s="3"/>
      <c r="H131" s="3"/>
      <c r="I131" s="3"/>
      <c r="J131" s="3"/>
      <c r="K131" s="3"/>
      <c r="L131" s="3"/>
      <c r="M131" s="3"/>
    </row>
    <row r="132" spans="3:13" x14ac:dyDescent="0.25">
      <c r="C132" s="41" t="s">
        <v>150</v>
      </c>
      <c r="D132" s="54">
        <f>(V93*V95)+(V96*V94)</f>
        <v>0.12088065765273978</v>
      </c>
      <c r="F132" s="3"/>
      <c r="G132" s="3"/>
      <c r="H132" s="3"/>
      <c r="I132" s="3"/>
      <c r="J132" s="3"/>
      <c r="K132" s="3"/>
      <c r="L132" s="3"/>
      <c r="M132" s="3"/>
    </row>
    <row r="133" spans="3:13" x14ac:dyDescent="0.25">
      <c r="C133" s="41" t="s">
        <v>152</v>
      </c>
      <c r="D133" s="50">
        <f>ABS(D128/E56)</f>
        <v>1.8072392330221105</v>
      </c>
      <c r="F133" s="3"/>
      <c r="G133" s="3"/>
      <c r="H133" s="3"/>
      <c r="I133" s="3"/>
      <c r="J133" s="3"/>
      <c r="K133" s="3"/>
      <c r="L133" s="3"/>
      <c r="M133" s="3"/>
    </row>
    <row r="134" spans="3:13" x14ac:dyDescent="0.25">
      <c r="F134" s="3"/>
      <c r="G134" s="3"/>
      <c r="H134" s="3"/>
      <c r="I134" s="3"/>
      <c r="J134" s="3"/>
      <c r="K134" s="3"/>
      <c r="L134" s="3"/>
      <c r="M134" s="3"/>
    </row>
    <row r="135" spans="3:13" x14ac:dyDescent="0.25">
      <c r="F135" s="3"/>
      <c r="G135" s="3"/>
      <c r="H135" s="3"/>
      <c r="I135" s="3"/>
      <c r="J135" s="3"/>
      <c r="K135" s="3"/>
      <c r="L135" s="3"/>
      <c r="M135" s="3"/>
    </row>
    <row r="136" spans="3:13" x14ac:dyDescent="0.25">
      <c r="F136" s="3"/>
      <c r="G136" s="3"/>
      <c r="H136" s="3"/>
      <c r="I136" s="3"/>
      <c r="J136" s="3"/>
      <c r="K136" s="3"/>
      <c r="L136" s="3"/>
      <c r="M136" s="3"/>
    </row>
    <row r="137" spans="3:13" x14ac:dyDescent="0.25">
      <c r="F137" s="3"/>
      <c r="G137" s="3"/>
      <c r="H137" s="3"/>
      <c r="I137" s="3"/>
      <c r="J137" s="3"/>
      <c r="K137" s="3"/>
      <c r="L137" s="3"/>
      <c r="M137" s="3"/>
    </row>
    <row r="138" spans="3:13" x14ac:dyDescent="0.25">
      <c r="F138" s="3"/>
      <c r="G138" s="3"/>
      <c r="H138" s="3"/>
      <c r="I138" s="3"/>
      <c r="J138" s="3"/>
      <c r="K138" s="3"/>
      <c r="L138" s="3"/>
      <c r="M138" s="3"/>
    </row>
    <row r="139" spans="3:13" x14ac:dyDescent="0.25">
      <c r="F139" s="3"/>
      <c r="G139" s="3"/>
      <c r="H139" s="3"/>
      <c r="I139" s="3"/>
      <c r="J139" s="3"/>
      <c r="K139" s="3"/>
      <c r="L139" s="3"/>
      <c r="M139" s="3"/>
    </row>
    <row r="140" spans="3:13" x14ac:dyDescent="0.25">
      <c r="F140" s="3"/>
      <c r="G140" s="3"/>
      <c r="H140" s="3"/>
      <c r="I140" s="3"/>
      <c r="J140" s="3"/>
      <c r="K140" s="3"/>
      <c r="L140" s="3"/>
      <c r="M140" s="3"/>
    </row>
    <row r="141" spans="3:13" x14ac:dyDescent="0.25">
      <c r="F141" s="3"/>
      <c r="G141" s="3"/>
      <c r="H141" s="3"/>
      <c r="I141" s="3"/>
      <c r="J141" s="3"/>
      <c r="K141" s="3"/>
      <c r="L141" s="3"/>
      <c r="M141" s="3"/>
    </row>
    <row r="142" spans="3:13" x14ac:dyDescent="0.25">
      <c r="F142" s="3"/>
      <c r="G142" s="3"/>
      <c r="H142" s="3"/>
      <c r="I142" s="3"/>
      <c r="J142" s="3"/>
      <c r="K142" s="3"/>
      <c r="L142" s="3"/>
      <c r="M142" s="3"/>
    </row>
    <row r="143" spans="3:13" x14ac:dyDescent="0.25">
      <c r="F143" s="3"/>
      <c r="G143" s="3"/>
      <c r="H143" s="3"/>
      <c r="I143" s="3"/>
      <c r="J143" s="3"/>
      <c r="K143" s="3"/>
      <c r="L143" s="3"/>
      <c r="M143" s="3"/>
    </row>
    <row r="144" spans="3:13" x14ac:dyDescent="0.25"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</row>
    <row r="161" spans="5:12" x14ac:dyDescent="0.25">
      <c r="E161" s="3"/>
      <c r="F161" s="3"/>
      <c r="G161" s="3"/>
      <c r="H161" s="3"/>
      <c r="I161" s="3"/>
      <c r="J161" s="3"/>
      <c r="K161" s="3"/>
      <c r="L161" s="3"/>
    </row>
    <row r="162" spans="5:12" x14ac:dyDescent="0.25">
      <c r="E162" s="3"/>
      <c r="F162" s="3"/>
      <c r="G162" s="3"/>
      <c r="H162" s="3"/>
      <c r="I162" s="3"/>
      <c r="J162" s="3"/>
      <c r="K162" s="3"/>
      <c r="L162" s="3"/>
    </row>
    <row r="163" spans="5:12" x14ac:dyDescent="0.25">
      <c r="E163" s="3"/>
      <c r="F163" s="3"/>
      <c r="G163" s="3"/>
      <c r="H163" s="3"/>
      <c r="I163" s="3"/>
      <c r="J163" s="3"/>
      <c r="K163" s="3"/>
      <c r="L163" s="3"/>
    </row>
    <row r="164" spans="5:12" x14ac:dyDescent="0.25">
      <c r="E164" s="3"/>
      <c r="F164" s="3"/>
      <c r="G164" s="3"/>
      <c r="H164" s="3"/>
      <c r="I164" s="3"/>
      <c r="J164" s="3"/>
      <c r="K164" s="3"/>
      <c r="L164" s="3"/>
    </row>
    <row r="165" spans="5:12" x14ac:dyDescent="0.25">
      <c r="E165" s="3"/>
      <c r="F165" s="3"/>
      <c r="G165" s="3"/>
      <c r="H165" s="3"/>
      <c r="I165" s="3"/>
      <c r="J165" s="3"/>
      <c r="K165" s="3"/>
      <c r="L165" s="3"/>
    </row>
    <row r="166" spans="5:12" x14ac:dyDescent="0.25">
      <c r="E166" s="3"/>
      <c r="F166" s="3"/>
      <c r="G166" s="3"/>
      <c r="H166" s="3"/>
      <c r="I166" s="3"/>
      <c r="J166" s="3"/>
      <c r="K166" s="3"/>
      <c r="L166" s="3"/>
    </row>
    <row r="167" spans="5:12" x14ac:dyDescent="0.25">
      <c r="E167" s="3"/>
      <c r="F167" s="3"/>
      <c r="G167" s="3"/>
      <c r="H167" s="3"/>
      <c r="I167" s="3"/>
      <c r="J167" s="3"/>
      <c r="K167" s="3"/>
      <c r="L167" s="3"/>
    </row>
    <row r="168" spans="5:12" x14ac:dyDescent="0.25">
      <c r="E168" s="3"/>
      <c r="F168" s="3"/>
      <c r="G168" s="3"/>
      <c r="H168" s="3"/>
      <c r="I168" s="3"/>
      <c r="J168" s="3"/>
      <c r="K168" s="3"/>
      <c r="L168" s="3"/>
    </row>
    <row r="169" spans="5:12" x14ac:dyDescent="0.25">
      <c r="E169" s="3"/>
      <c r="F169" s="3"/>
      <c r="G169" s="3"/>
      <c r="H169" s="3"/>
      <c r="I169" s="3"/>
      <c r="J169" s="3"/>
      <c r="K169" s="3"/>
      <c r="L169" s="3"/>
    </row>
    <row r="170" spans="5:12" x14ac:dyDescent="0.25">
      <c r="E170" s="3"/>
      <c r="F170" s="3"/>
      <c r="G170" s="3"/>
      <c r="H170" s="3"/>
      <c r="I170" s="3"/>
      <c r="J170" s="3"/>
      <c r="K170" s="3"/>
      <c r="L170" s="3"/>
    </row>
    <row r="171" spans="5:12" x14ac:dyDescent="0.25">
      <c r="E171" s="3"/>
      <c r="F171" s="3"/>
      <c r="G171" s="3"/>
      <c r="H171" s="3"/>
      <c r="I171" s="3"/>
      <c r="J171" s="3"/>
      <c r="K171" s="3"/>
      <c r="L171" s="3"/>
    </row>
    <row r="172" spans="5:12" x14ac:dyDescent="0.25">
      <c r="E172" s="3"/>
      <c r="F172" s="3"/>
      <c r="G172" s="3"/>
      <c r="H172" s="3"/>
      <c r="I172" s="3"/>
      <c r="J172" s="3"/>
      <c r="K172" s="3"/>
      <c r="L172" s="3"/>
    </row>
    <row r="173" spans="5:12" x14ac:dyDescent="0.25">
      <c r="E173" s="3"/>
      <c r="F173" s="3"/>
      <c r="G173" s="3"/>
      <c r="H173" s="3"/>
      <c r="I173" s="3"/>
      <c r="J173" s="3"/>
      <c r="K173" s="3"/>
      <c r="L173" s="3"/>
    </row>
    <row r="174" spans="5:12" x14ac:dyDescent="0.25">
      <c r="E174" s="3"/>
      <c r="F174" s="3"/>
      <c r="G174" s="3"/>
      <c r="H174" s="3"/>
      <c r="I174" s="3"/>
      <c r="J174" s="3"/>
      <c r="K174" s="3"/>
      <c r="L174" s="3"/>
    </row>
    <row r="175" spans="5:12" x14ac:dyDescent="0.25">
      <c r="E175" s="3"/>
      <c r="F175" s="3"/>
      <c r="G175" s="3"/>
      <c r="H175" s="3"/>
      <c r="I175" s="3"/>
      <c r="J175" s="3"/>
      <c r="K175" s="3"/>
      <c r="L175" s="3"/>
    </row>
    <row r="176" spans="5:12" x14ac:dyDescent="0.25">
      <c r="E176" s="3"/>
      <c r="F176" s="3"/>
      <c r="G176" s="3"/>
      <c r="H176" s="3"/>
      <c r="I176" s="3"/>
      <c r="J176" s="3"/>
      <c r="K176" s="3"/>
      <c r="L176" s="3"/>
    </row>
    <row r="177" spans="5:12" x14ac:dyDescent="0.25">
      <c r="E177" s="3"/>
      <c r="F177" s="3"/>
      <c r="G177" s="3"/>
      <c r="H177" s="3"/>
      <c r="I177" s="3"/>
      <c r="J177" s="3"/>
      <c r="K177" s="3"/>
      <c r="L177" s="3"/>
    </row>
    <row r="178" spans="5:12" x14ac:dyDescent="0.25">
      <c r="E178" s="3"/>
      <c r="F178" s="3"/>
      <c r="G178" s="3"/>
      <c r="H178" s="3"/>
      <c r="I178" s="3"/>
      <c r="J178" s="3"/>
      <c r="K178" s="3"/>
      <c r="L178" s="3"/>
    </row>
    <row r="179" spans="5:12" x14ac:dyDescent="0.25">
      <c r="E179" s="3"/>
      <c r="F179" s="3"/>
      <c r="G179" s="3"/>
      <c r="H179" s="3"/>
      <c r="I179" s="3"/>
      <c r="J179" s="3"/>
      <c r="K179" s="3"/>
      <c r="L179" s="3"/>
    </row>
    <row r="180" spans="5:12" x14ac:dyDescent="0.25">
      <c r="E180" s="3"/>
      <c r="F180" s="3"/>
      <c r="G180" s="3"/>
      <c r="H180" s="3"/>
      <c r="I180" s="3"/>
      <c r="J180" s="3"/>
      <c r="K180" s="3"/>
      <c r="L180" s="3"/>
    </row>
    <row r="181" spans="5:12" x14ac:dyDescent="0.25">
      <c r="E181" s="3"/>
      <c r="F181" s="3"/>
      <c r="G181" s="3"/>
      <c r="H181" s="3"/>
      <c r="I181" s="3"/>
      <c r="J181" s="3"/>
      <c r="K181" s="3"/>
      <c r="L181" s="3"/>
    </row>
    <row r="182" spans="5:12" x14ac:dyDescent="0.25">
      <c r="E182" s="3"/>
      <c r="F182" s="3"/>
      <c r="G182" s="3"/>
      <c r="H182" s="3"/>
      <c r="I182" s="3"/>
      <c r="J182" s="3"/>
      <c r="K182" s="3"/>
      <c r="L182" s="3"/>
    </row>
    <row r="183" spans="5:12" x14ac:dyDescent="0.25">
      <c r="E183" s="3"/>
      <c r="F183" s="3"/>
      <c r="G183" s="3"/>
      <c r="H183" s="3"/>
      <c r="I183" s="3"/>
      <c r="J183" s="3"/>
      <c r="K183" s="3"/>
      <c r="L183" s="3"/>
    </row>
    <row r="184" spans="5:12" x14ac:dyDescent="0.25">
      <c r="E184" s="3"/>
      <c r="F184" s="3"/>
      <c r="G184" s="3"/>
      <c r="H184" s="3"/>
      <c r="I184" s="3"/>
      <c r="J184" s="3"/>
      <c r="K184" s="3"/>
      <c r="L184" s="3"/>
    </row>
    <row r="185" spans="5:12" x14ac:dyDescent="0.25">
      <c r="E185" s="3"/>
      <c r="F185" s="3"/>
      <c r="G185" s="3"/>
      <c r="H185" s="3"/>
      <c r="I185" s="3"/>
      <c r="J185" s="3"/>
      <c r="K185" s="3"/>
      <c r="L185" s="3"/>
    </row>
    <row r="186" spans="5:12" x14ac:dyDescent="0.25">
      <c r="E186" s="3"/>
      <c r="F186" s="3"/>
      <c r="G186" s="3"/>
      <c r="H186" s="3"/>
      <c r="I186" s="3"/>
      <c r="J186" s="3"/>
      <c r="K186" s="3"/>
      <c r="L186" s="3"/>
    </row>
    <row r="187" spans="5:12" x14ac:dyDescent="0.25">
      <c r="E187" s="3"/>
      <c r="F187" s="3"/>
      <c r="G187" s="3"/>
      <c r="H187" s="3"/>
      <c r="I187" s="3"/>
      <c r="J187" s="3"/>
      <c r="K187" s="3"/>
      <c r="L187" s="3"/>
    </row>
    <row r="188" spans="5:12" x14ac:dyDescent="0.25">
      <c r="E188" s="3"/>
      <c r="F188" s="3"/>
      <c r="G188" s="3"/>
      <c r="H188" s="3"/>
      <c r="I188" s="3"/>
      <c r="J188" s="3"/>
      <c r="K188" s="3"/>
      <c r="L188" s="3"/>
    </row>
    <row r="189" spans="5:12" x14ac:dyDescent="0.25">
      <c r="E189" s="3"/>
      <c r="F189" s="3"/>
      <c r="G189" s="3"/>
      <c r="H189" s="3"/>
      <c r="I189" s="3"/>
      <c r="J189" s="3"/>
      <c r="K189" s="3"/>
      <c r="L189" s="3"/>
    </row>
    <row r="190" spans="5:12" x14ac:dyDescent="0.25">
      <c r="E190" s="3"/>
      <c r="F190" s="3"/>
      <c r="G190" s="3"/>
      <c r="H190" s="3"/>
      <c r="I190" s="3"/>
      <c r="J190" s="3"/>
      <c r="K190" s="3"/>
      <c r="L190" s="3"/>
    </row>
    <row r="191" spans="5:12" x14ac:dyDescent="0.25">
      <c r="E191" s="3"/>
      <c r="F191" s="3"/>
      <c r="G191" s="3"/>
      <c r="H191" s="3"/>
      <c r="I191" s="3"/>
      <c r="J191" s="3"/>
      <c r="K191" s="3"/>
      <c r="L191" s="3"/>
    </row>
    <row r="192" spans="5:12" x14ac:dyDescent="0.25">
      <c r="E192" s="3"/>
      <c r="F192" s="3"/>
      <c r="G192" s="3"/>
      <c r="H192" s="3"/>
      <c r="I192" s="3"/>
      <c r="J192" s="3"/>
      <c r="K192" s="3"/>
      <c r="L192" s="3"/>
    </row>
    <row r="193" spans="5:12" x14ac:dyDescent="0.25">
      <c r="E193" s="3"/>
      <c r="F193" s="3"/>
      <c r="G193" s="3"/>
      <c r="H193" s="3"/>
      <c r="I193" s="3"/>
      <c r="J193" s="3"/>
      <c r="K193" s="3"/>
      <c r="L193" s="3"/>
    </row>
    <row r="194" spans="5:12" x14ac:dyDescent="0.25">
      <c r="E194" s="3"/>
      <c r="F194" s="3"/>
      <c r="G194" s="3"/>
      <c r="H194" s="3"/>
      <c r="I194" s="3"/>
      <c r="J194" s="3"/>
      <c r="K194" s="3"/>
      <c r="L194" s="3"/>
    </row>
    <row r="195" spans="5:12" x14ac:dyDescent="0.25">
      <c r="E195" s="3"/>
      <c r="F195" s="3"/>
      <c r="G195" s="3"/>
      <c r="H195" s="3"/>
      <c r="I195" s="3"/>
      <c r="J195" s="3"/>
      <c r="K195" s="3"/>
      <c r="L195" s="3"/>
    </row>
    <row r="196" spans="5:12" x14ac:dyDescent="0.25">
      <c r="E196" s="3"/>
      <c r="F196" s="3"/>
      <c r="G196" s="3"/>
      <c r="H196" s="3"/>
      <c r="I196" s="3"/>
      <c r="J196" s="3"/>
      <c r="K196" s="3"/>
      <c r="L196" s="3"/>
    </row>
    <row r="197" spans="5:12" x14ac:dyDescent="0.25">
      <c r="E197" s="3"/>
      <c r="F197" s="3"/>
      <c r="G197" s="3"/>
      <c r="H197" s="3"/>
      <c r="I197" s="3"/>
      <c r="J197" s="3"/>
      <c r="K197" s="3"/>
      <c r="L197" s="3"/>
    </row>
    <row r="198" spans="5:12" x14ac:dyDescent="0.25">
      <c r="E198" s="3"/>
      <c r="F198" s="3"/>
      <c r="G198" s="3"/>
      <c r="H198" s="3"/>
      <c r="I198" s="3"/>
      <c r="J198" s="3"/>
      <c r="K198" s="3"/>
      <c r="L198" s="3"/>
    </row>
    <row r="199" spans="5:12" x14ac:dyDescent="0.25">
      <c r="E199" s="3"/>
      <c r="F199" s="3"/>
      <c r="G199" s="3"/>
      <c r="H199" s="3"/>
      <c r="I199" s="3"/>
      <c r="J199" s="3"/>
      <c r="K199" s="3"/>
      <c r="L199" s="3"/>
    </row>
    <row r="200" spans="5:12" x14ac:dyDescent="0.25">
      <c r="E200" s="3"/>
      <c r="F200" s="3"/>
      <c r="G200" s="3"/>
      <c r="H200" s="3"/>
      <c r="I200" s="3"/>
      <c r="J200" s="3"/>
      <c r="K200" s="3"/>
      <c r="L200" s="3"/>
    </row>
    <row r="201" spans="5:12" x14ac:dyDescent="0.25">
      <c r="E201" s="3"/>
      <c r="F201" s="3"/>
      <c r="G201" s="3"/>
      <c r="H201" s="3"/>
      <c r="I201" s="3"/>
      <c r="J201" s="3"/>
      <c r="K201" s="3"/>
      <c r="L201" s="3"/>
    </row>
    <row r="202" spans="5:12" x14ac:dyDescent="0.25">
      <c r="E202" s="3"/>
      <c r="F202" s="3"/>
      <c r="G202" s="3"/>
      <c r="H202" s="3"/>
      <c r="I202" s="3"/>
      <c r="J202" s="3"/>
      <c r="K202" s="3"/>
      <c r="L202" s="3"/>
    </row>
    <row r="203" spans="5:12" x14ac:dyDescent="0.25">
      <c r="E203" s="3"/>
      <c r="F203" s="3"/>
      <c r="G203" s="3"/>
      <c r="H203" s="3"/>
      <c r="I203" s="3"/>
      <c r="J203" s="3"/>
      <c r="K203" s="3"/>
      <c r="L203" s="3"/>
    </row>
    <row r="204" spans="5:12" x14ac:dyDescent="0.25">
      <c r="E204" s="3"/>
      <c r="F204" s="3"/>
      <c r="G204" s="3"/>
      <c r="H204" s="3"/>
      <c r="I204" s="3"/>
      <c r="J204" s="3"/>
      <c r="K204" s="3"/>
      <c r="L204" s="3"/>
    </row>
    <row r="205" spans="5:12" x14ac:dyDescent="0.25">
      <c r="E205" s="3"/>
      <c r="F205" s="3"/>
      <c r="G205" s="3"/>
      <c r="H205" s="3"/>
      <c r="I205" s="3"/>
      <c r="J205" s="3"/>
      <c r="K205" s="3"/>
      <c r="L205" s="3"/>
    </row>
    <row r="206" spans="5:12" x14ac:dyDescent="0.25">
      <c r="E206" s="3"/>
      <c r="F206" s="3"/>
      <c r="G206" s="3"/>
      <c r="H206" s="3"/>
      <c r="I206" s="3"/>
      <c r="J206" s="3"/>
      <c r="K206" s="3"/>
      <c r="L206" s="3"/>
    </row>
    <row r="207" spans="5:12" x14ac:dyDescent="0.25">
      <c r="E207" s="3"/>
      <c r="F207" s="3"/>
      <c r="G207" s="3"/>
      <c r="H207" s="3"/>
      <c r="I207" s="3"/>
      <c r="J207" s="3"/>
      <c r="K207" s="3"/>
      <c r="L207" s="3"/>
    </row>
    <row r="208" spans="5:12" x14ac:dyDescent="0.25">
      <c r="E208" s="3"/>
      <c r="F208" s="3"/>
      <c r="G208" s="3"/>
      <c r="H208" s="3"/>
      <c r="I208" s="3"/>
      <c r="J208" s="3"/>
      <c r="K208" s="3"/>
      <c r="L208" s="3"/>
    </row>
    <row r="209" spans="5:12" x14ac:dyDescent="0.25">
      <c r="E209" s="3"/>
      <c r="F209" s="3"/>
      <c r="G209" s="3"/>
      <c r="H209" s="3"/>
      <c r="I209" s="3"/>
      <c r="J209" s="3"/>
      <c r="K209" s="3"/>
      <c r="L209" s="3"/>
    </row>
    <row r="210" spans="5:12" x14ac:dyDescent="0.25">
      <c r="E210" s="3"/>
      <c r="F210" s="3"/>
      <c r="G210" s="3"/>
      <c r="H210" s="3"/>
      <c r="I210" s="3"/>
      <c r="J210" s="3"/>
      <c r="K210" s="3"/>
      <c r="L210" s="3"/>
    </row>
    <row r="211" spans="5:12" x14ac:dyDescent="0.25">
      <c r="E211" s="3"/>
      <c r="F211" s="3"/>
      <c r="G211" s="3"/>
      <c r="H211" s="3"/>
      <c r="I211" s="3"/>
      <c r="J211" s="3"/>
      <c r="K211" s="3"/>
      <c r="L211" s="3"/>
    </row>
    <row r="212" spans="5:12" x14ac:dyDescent="0.25">
      <c r="E212" s="3"/>
      <c r="F212" s="3"/>
      <c r="G212" s="3"/>
      <c r="H212" s="3"/>
      <c r="I212" s="3"/>
      <c r="J212" s="3"/>
      <c r="K212" s="3"/>
      <c r="L212" s="3"/>
    </row>
    <row r="213" spans="5:12" x14ac:dyDescent="0.25">
      <c r="E213" s="3"/>
      <c r="F213" s="3"/>
      <c r="G213" s="3"/>
      <c r="H213" s="3"/>
      <c r="I213" s="3"/>
      <c r="J213" s="3"/>
      <c r="K213" s="3"/>
      <c r="L213" s="3"/>
    </row>
    <row r="214" spans="5:12" x14ac:dyDescent="0.25">
      <c r="E214" s="3"/>
      <c r="F214" s="3"/>
      <c r="G214" s="3"/>
      <c r="H214" s="3"/>
      <c r="I214" s="3"/>
      <c r="J214" s="3"/>
      <c r="K214" s="3"/>
      <c r="L214" s="3"/>
    </row>
    <row r="215" spans="5:12" x14ac:dyDescent="0.25">
      <c r="E215" s="3"/>
      <c r="F215" s="3"/>
      <c r="G215" s="3"/>
      <c r="H215" s="3"/>
      <c r="I215" s="3"/>
      <c r="J215" s="3"/>
      <c r="K215" s="3"/>
      <c r="L215" s="3"/>
    </row>
    <row r="216" spans="5:12" x14ac:dyDescent="0.25">
      <c r="E216" s="3"/>
      <c r="F216" s="3"/>
      <c r="G216" s="3"/>
      <c r="H216" s="3"/>
      <c r="I216" s="3"/>
      <c r="J216" s="3"/>
      <c r="K216" s="3"/>
      <c r="L216" s="3"/>
    </row>
    <row r="217" spans="5:12" x14ac:dyDescent="0.25">
      <c r="E217" s="3"/>
      <c r="F217" s="3"/>
      <c r="G217" s="3"/>
      <c r="H217" s="3"/>
      <c r="I217" s="3"/>
      <c r="J217" s="3"/>
      <c r="K217" s="3"/>
      <c r="L217" s="3"/>
    </row>
    <row r="218" spans="5:12" x14ac:dyDescent="0.25">
      <c r="E218" s="3"/>
      <c r="F218" s="3"/>
      <c r="G218" s="3"/>
      <c r="H218" s="3"/>
      <c r="I218" s="3"/>
      <c r="J218" s="3"/>
      <c r="K218" s="3"/>
      <c r="L218" s="3"/>
    </row>
    <row r="219" spans="5:12" x14ac:dyDescent="0.25">
      <c r="E219" s="3"/>
      <c r="F219" s="3"/>
      <c r="G219" s="3"/>
      <c r="H219" s="3"/>
      <c r="I219" s="3"/>
      <c r="J219" s="3"/>
      <c r="K219" s="3"/>
      <c r="L219" s="3"/>
    </row>
    <row r="220" spans="5:12" x14ac:dyDescent="0.25">
      <c r="E220" s="3"/>
      <c r="F220" s="3"/>
      <c r="G220" s="3"/>
      <c r="H220" s="3"/>
      <c r="I220" s="3"/>
      <c r="J220" s="3"/>
      <c r="K220" s="3"/>
      <c r="L220" s="3"/>
    </row>
    <row r="221" spans="5:12" x14ac:dyDescent="0.25">
      <c r="E221" s="3"/>
      <c r="F221" s="3"/>
      <c r="G221" s="3"/>
      <c r="H221" s="3"/>
      <c r="I221" s="3"/>
      <c r="J221" s="3"/>
      <c r="K221" s="3"/>
      <c r="L221" s="3"/>
    </row>
    <row r="222" spans="5:12" x14ac:dyDescent="0.25">
      <c r="E222" s="3"/>
      <c r="F222" s="3"/>
      <c r="G222" s="3"/>
      <c r="H222" s="3"/>
      <c r="I222" s="3"/>
      <c r="J222" s="3"/>
      <c r="K222" s="3"/>
      <c r="L222" s="3"/>
    </row>
    <row r="223" spans="5:12" x14ac:dyDescent="0.25">
      <c r="E223" s="3"/>
      <c r="F223" s="3"/>
      <c r="G223" s="3"/>
      <c r="H223" s="3"/>
      <c r="I223" s="3"/>
      <c r="J223" s="3"/>
      <c r="K223" s="3"/>
      <c r="L223" s="3"/>
    </row>
    <row r="224" spans="5:12" x14ac:dyDescent="0.25">
      <c r="E224" s="3"/>
      <c r="F224" s="3"/>
      <c r="G224" s="3"/>
      <c r="H224" s="3"/>
      <c r="I224" s="3"/>
      <c r="J224" s="3"/>
      <c r="K224" s="3"/>
      <c r="L224" s="3"/>
    </row>
    <row r="225" spans="5:12" x14ac:dyDescent="0.25">
      <c r="E225" s="3"/>
      <c r="F225" s="3"/>
      <c r="G225" s="3"/>
      <c r="H225" s="3"/>
      <c r="I225" s="3"/>
      <c r="J225" s="3"/>
      <c r="K225" s="3"/>
      <c r="L225" s="3"/>
    </row>
    <row r="226" spans="5:12" x14ac:dyDescent="0.25">
      <c r="E226" s="3"/>
      <c r="F226" s="3"/>
      <c r="G226" s="3"/>
      <c r="H226" s="3"/>
      <c r="I226" s="3"/>
      <c r="J226" s="3"/>
      <c r="K226" s="3"/>
      <c r="L226" s="3"/>
    </row>
    <row r="227" spans="5:12" x14ac:dyDescent="0.25">
      <c r="E227" s="3"/>
      <c r="F227" s="3"/>
      <c r="G227" s="3"/>
      <c r="H227" s="3"/>
      <c r="I227" s="3"/>
      <c r="J227" s="3"/>
      <c r="K227" s="3"/>
      <c r="L227" s="3"/>
    </row>
    <row r="228" spans="5:12" x14ac:dyDescent="0.25">
      <c r="E228" s="3"/>
      <c r="F228" s="3"/>
      <c r="G228" s="3"/>
      <c r="H228" s="3"/>
      <c r="I228" s="3"/>
      <c r="J228" s="3"/>
      <c r="K228" s="3"/>
      <c r="L228" s="3"/>
    </row>
    <row r="229" spans="5:12" x14ac:dyDescent="0.25">
      <c r="E229" s="3"/>
      <c r="F229" s="3"/>
      <c r="G229" s="3"/>
      <c r="H229" s="3"/>
      <c r="I229" s="3"/>
      <c r="J229" s="3"/>
      <c r="K229" s="3"/>
      <c r="L229" s="3"/>
    </row>
    <row r="230" spans="5:12" x14ac:dyDescent="0.25">
      <c r="E230" s="3"/>
      <c r="F230" s="3"/>
      <c r="G230" s="3"/>
      <c r="H230" s="3"/>
      <c r="I230" s="3"/>
      <c r="J230" s="3"/>
      <c r="K230" s="3"/>
      <c r="L230" s="3"/>
    </row>
    <row r="231" spans="5:12" x14ac:dyDescent="0.25">
      <c r="E231" s="3"/>
      <c r="F231" s="3"/>
      <c r="G231" s="3"/>
      <c r="H231" s="3"/>
      <c r="I231" s="3"/>
      <c r="J231" s="3"/>
      <c r="K231" s="3"/>
      <c r="L231" s="3"/>
    </row>
    <row r="232" spans="5:12" x14ac:dyDescent="0.25">
      <c r="E232" s="3"/>
      <c r="F232" s="3"/>
      <c r="G232" s="3"/>
      <c r="H232" s="3"/>
      <c r="I232" s="3"/>
      <c r="J232" s="3"/>
      <c r="K232" s="3"/>
      <c r="L232" s="3"/>
    </row>
    <row r="233" spans="5:12" x14ac:dyDescent="0.25">
      <c r="E233" s="3"/>
      <c r="F233" s="3"/>
      <c r="G233" s="3"/>
      <c r="H233" s="3"/>
      <c r="I233" s="3"/>
      <c r="J233" s="3"/>
      <c r="K233" s="3"/>
      <c r="L233" s="3"/>
    </row>
    <row r="234" spans="5:12" x14ac:dyDescent="0.25">
      <c r="E234" s="3"/>
      <c r="F234" s="3"/>
      <c r="G234" s="3"/>
      <c r="H234" s="3"/>
      <c r="I234" s="3"/>
      <c r="J234" s="3"/>
      <c r="K234" s="3"/>
      <c r="L234" s="3"/>
    </row>
    <row r="235" spans="5:12" x14ac:dyDescent="0.25">
      <c r="E235" s="3"/>
      <c r="F235" s="3"/>
      <c r="G235" s="3"/>
      <c r="H235" s="3"/>
      <c r="I235" s="3"/>
      <c r="J235" s="3"/>
      <c r="K235" s="3"/>
      <c r="L235" s="3"/>
    </row>
    <row r="236" spans="5:12" x14ac:dyDescent="0.25">
      <c r="E236" s="3"/>
      <c r="F236" s="3"/>
      <c r="G236" s="3"/>
      <c r="H236" s="3"/>
      <c r="I236" s="3"/>
      <c r="J236" s="3"/>
      <c r="K236" s="3"/>
      <c r="L236" s="3"/>
    </row>
    <row r="237" spans="5:12" x14ac:dyDescent="0.25">
      <c r="E237" s="3"/>
      <c r="F237" s="3"/>
      <c r="G237" s="3"/>
      <c r="H237" s="3"/>
      <c r="I237" s="3"/>
      <c r="J237" s="3"/>
      <c r="K237" s="3"/>
      <c r="L237" s="3"/>
    </row>
    <row r="238" spans="5:12" x14ac:dyDescent="0.25">
      <c r="E238" s="3"/>
      <c r="F238" s="3"/>
      <c r="G238" s="3"/>
      <c r="H238" s="3"/>
      <c r="I238" s="3"/>
      <c r="J238" s="3"/>
      <c r="K238" s="3"/>
      <c r="L238" s="3"/>
    </row>
    <row r="239" spans="5:12" x14ac:dyDescent="0.25">
      <c r="E239" s="3"/>
      <c r="F239" s="3"/>
      <c r="G239" s="3"/>
      <c r="H239" s="3"/>
      <c r="I239" s="3"/>
      <c r="J239" s="3"/>
      <c r="K239" s="3"/>
      <c r="L239" s="3"/>
    </row>
    <row r="240" spans="5:12" x14ac:dyDescent="0.25">
      <c r="E240" s="3"/>
      <c r="F240" s="3"/>
      <c r="G240" s="3"/>
      <c r="H240" s="3"/>
      <c r="I240" s="3"/>
      <c r="J240" s="3"/>
      <c r="K240" s="3"/>
      <c r="L240" s="3"/>
    </row>
    <row r="241" spans="5:12" x14ac:dyDescent="0.25">
      <c r="E241" s="3"/>
      <c r="F241" s="3"/>
      <c r="G241" s="3"/>
      <c r="H241" s="3"/>
      <c r="I241" s="3"/>
      <c r="J241" s="3"/>
      <c r="K241" s="3"/>
      <c r="L241" s="3"/>
    </row>
    <row r="242" spans="5:12" x14ac:dyDescent="0.25">
      <c r="E242" s="3"/>
      <c r="F242" s="3"/>
      <c r="G242" s="3"/>
      <c r="H242" s="3"/>
      <c r="I242" s="3"/>
      <c r="J242" s="3"/>
      <c r="K242" s="3"/>
      <c r="L242" s="3"/>
    </row>
    <row r="243" spans="5:12" x14ac:dyDescent="0.25">
      <c r="E243" s="3"/>
      <c r="F243" s="3"/>
      <c r="G243" s="3"/>
      <c r="H243" s="3"/>
      <c r="I243" s="3"/>
      <c r="J243" s="3"/>
      <c r="K243" s="3"/>
      <c r="L243" s="3"/>
    </row>
    <row r="244" spans="5:12" x14ac:dyDescent="0.25">
      <c r="E244" s="3"/>
      <c r="F244" s="3"/>
      <c r="G244" s="3"/>
      <c r="H244" s="3"/>
      <c r="I244" s="3"/>
      <c r="J244" s="3"/>
      <c r="K244" s="3"/>
      <c r="L244" s="3"/>
    </row>
    <row r="245" spans="5:12" x14ac:dyDescent="0.25">
      <c r="E245" s="3"/>
      <c r="F245" s="3"/>
      <c r="G245" s="3"/>
      <c r="H245" s="3"/>
      <c r="I245" s="3"/>
      <c r="J245" s="3"/>
      <c r="K245" s="3"/>
      <c r="L245" s="3"/>
    </row>
    <row r="246" spans="5:12" x14ac:dyDescent="0.25">
      <c r="E246" s="3"/>
      <c r="F246" s="3"/>
      <c r="G246" s="3"/>
      <c r="H246" s="3"/>
      <c r="I246" s="3"/>
      <c r="J246" s="3"/>
      <c r="K246" s="3"/>
      <c r="L246" s="3"/>
    </row>
    <row r="247" spans="5:12" x14ac:dyDescent="0.25">
      <c r="E247" s="3"/>
      <c r="F247" s="3"/>
      <c r="G247" s="3"/>
      <c r="H247" s="3"/>
      <c r="I247" s="3"/>
      <c r="J247" s="3"/>
      <c r="K247" s="3"/>
      <c r="L247" s="3"/>
    </row>
    <row r="248" spans="5:12" x14ac:dyDescent="0.25">
      <c r="E248" s="3"/>
      <c r="F248" s="3"/>
      <c r="G248" s="3"/>
      <c r="H248" s="3"/>
      <c r="I248" s="3"/>
      <c r="J248" s="3"/>
      <c r="K248" s="3"/>
      <c r="L248" s="3"/>
    </row>
    <row r="249" spans="5:12" x14ac:dyDescent="0.25">
      <c r="E249" s="3"/>
      <c r="F249" s="3"/>
      <c r="G249" s="3"/>
      <c r="H249" s="3"/>
      <c r="I249" s="3"/>
      <c r="J249" s="3"/>
      <c r="K249" s="3"/>
      <c r="L249" s="3"/>
    </row>
    <row r="250" spans="5:12" x14ac:dyDescent="0.25">
      <c r="E250" s="3"/>
      <c r="F250" s="3"/>
      <c r="G250" s="3"/>
      <c r="H250" s="3"/>
      <c r="I250" s="3"/>
      <c r="J250" s="3"/>
      <c r="K250" s="3"/>
      <c r="L250" s="3"/>
    </row>
    <row r="251" spans="5:12" x14ac:dyDescent="0.25">
      <c r="E251" s="3"/>
      <c r="F251" s="3"/>
      <c r="G251" s="3"/>
      <c r="H251" s="3"/>
      <c r="I251" s="3"/>
      <c r="J251" s="3"/>
      <c r="K251" s="3"/>
      <c r="L251" s="3"/>
    </row>
    <row r="252" spans="5:12" x14ac:dyDescent="0.25">
      <c r="E252" s="3"/>
      <c r="F252" s="3"/>
      <c r="G252" s="3"/>
      <c r="H252" s="3"/>
      <c r="I252" s="3"/>
      <c r="J252" s="3"/>
      <c r="K252" s="3"/>
      <c r="L252" s="3"/>
    </row>
    <row r="253" spans="5:12" x14ac:dyDescent="0.25">
      <c r="E253" s="3"/>
      <c r="F253" s="3"/>
      <c r="G253" s="3"/>
      <c r="H253" s="3"/>
      <c r="I253" s="3"/>
      <c r="J253" s="3"/>
      <c r="K253" s="3"/>
      <c r="L253" s="3"/>
    </row>
    <row r="254" spans="5:12" x14ac:dyDescent="0.25">
      <c r="E254" s="3"/>
      <c r="F254" s="3"/>
      <c r="G254" s="3"/>
      <c r="H254" s="3"/>
      <c r="I254" s="3"/>
      <c r="J254" s="3"/>
      <c r="K254" s="3"/>
      <c r="L254" s="3"/>
    </row>
    <row r="255" spans="5:12" x14ac:dyDescent="0.25">
      <c r="E255" s="3"/>
      <c r="F255" s="3"/>
      <c r="G255" s="3"/>
      <c r="H255" s="3"/>
      <c r="I255" s="3"/>
      <c r="J255" s="3"/>
      <c r="K255" s="3"/>
      <c r="L255" s="3"/>
    </row>
    <row r="256" spans="5:12" x14ac:dyDescent="0.25">
      <c r="E256" s="3"/>
      <c r="F256" s="3"/>
      <c r="G256" s="3"/>
      <c r="H256" s="3"/>
      <c r="I256" s="3"/>
      <c r="J256" s="3"/>
      <c r="K256" s="3"/>
      <c r="L256" s="3"/>
    </row>
    <row r="257" spans="5:12" x14ac:dyDescent="0.25">
      <c r="E257" s="3"/>
      <c r="F257" s="3"/>
      <c r="G257" s="3"/>
      <c r="H257" s="3"/>
      <c r="I257" s="3"/>
      <c r="J257" s="3"/>
      <c r="K257" s="3"/>
      <c r="L257" s="3"/>
    </row>
    <row r="258" spans="5:12" x14ac:dyDescent="0.25">
      <c r="E258" s="3"/>
      <c r="F258" s="3"/>
      <c r="G258" s="3"/>
      <c r="H258" s="3"/>
      <c r="I258" s="3"/>
      <c r="J258" s="3"/>
      <c r="K258" s="3"/>
      <c r="L258" s="3"/>
    </row>
    <row r="259" spans="5:12" x14ac:dyDescent="0.25">
      <c r="E259" s="3"/>
      <c r="F259" s="3"/>
      <c r="G259" s="3"/>
      <c r="H259" s="3"/>
      <c r="I259" s="3"/>
      <c r="J259" s="3"/>
      <c r="K259" s="3"/>
      <c r="L259" s="3"/>
    </row>
    <row r="260" spans="5:12" x14ac:dyDescent="0.25">
      <c r="E260" s="3"/>
      <c r="F260" s="3"/>
      <c r="G260" s="3"/>
      <c r="H260" s="3"/>
      <c r="I260" s="3"/>
      <c r="J260" s="3"/>
      <c r="K260" s="3"/>
      <c r="L260" s="3"/>
    </row>
    <row r="261" spans="5:12" x14ac:dyDescent="0.25">
      <c r="E261" s="3"/>
      <c r="F261" s="3"/>
      <c r="G261" s="3"/>
      <c r="H261" s="3"/>
      <c r="I261" s="3"/>
      <c r="J261" s="3"/>
      <c r="K261" s="3"/>
      <c r="L261" s="3"/>
    </row>
    <row r="262" spans="5:12" x14ac:dyDescent="0.25">
      <c r="E262" s="3"/>
      <c r="F262" s="3"/>
      <c r="G262" s="3"/>
      <c r="H262" s="3"/>
      <c r="I262" s="3"/>
      <c r="J262" s="3"/>
      <c r="K262" s="3"/>
      <c r="L262" s="3"/>
    </row>
    <row r="263" spans="5:12" x14ac:dyDescent="0.25">
      <c r="E263" s="3"/>
      <c r="F263" s="3"/>
      <c r="G263" s="3"/>
      <c r="H263" s="3"/>
      <c r="I263" s="3"/>
      <c r="J263" s="3"/>
      <c r="K263" s="3"/>
      <c r="L263" s="3"/>
    </row>
    <row r="264" spans="5:12" x14ac:dyDescent="0.25">
      <c r="E264" s="3"/>
      <c r="F264" s="3"/>
      <c r="G264" s="3"/>
      <c r="H264" s="3"/>
      <c r="I264" s="3"/>
      <c r="J264" s="3"/>
      <c r="K264" s="3"/>
      <c r="L264" s="3"/>
    </row>
    <row r="265" spans="5:12" x14ac:dyDescent="0.25">
      <c r="E265" s="3"/>
      <c r="F265" s="3"/>
      <c r="G265" s="3"/>
      <c r="H265" s="3"/>
      <c r="I265" s="3"/>
      <c r="J265" s="3"/>
      <c r="K265" s="3"/>
      <c r="L265" s="3"/>
    </row>
    <row r="266" spans="5:12" x14ac:dyDescent="0.25">
      <c r="E266" s="3"/>
      <c r="F266" s="3"/>
      <c r="G266" s="3"/>
      <c r="H266" s="3"/>
      <c r="I266" s="3"/>
      <c r="J266" s="3"/>
      <c r="K266" s="3"/>
      <c r="L266" s="3"/>
    </row>
    <row r="267" spans="5:12" x14ac:dyDescent="0.25">
      <c r="E267" s="3"/>
      <c r="F267" s="3"/>
      <c r="G267" s="3"/>
      <c r="H267" s="3"/>
      <c r="I267" s="3"/>
      <c r="J267" s="3"/>
      <c r="K267" s="3"/>
      <c r="L267" s="3"/>
    </row>
    <row r="268" spans="5:12" x14ac:dyDescent="0.25">
      <c r="E268" s="3"/>
      <c r="F268" s="3"/>
      <c r="G268" s="3"/>
      <c r="H268" s="3"/>
      <c r="I268" s="3"/>
      <c r="J268" s="3"/>
      <c r="K268" s="3"/>
      <c r="L268" s="3"/>
    </row>
    <row r="269" spans="5:12" x14ac:dyDescent="0.25">
      <c r="E269" s="3"/>
      <c r="F269" s="3"/>
      <c r="G269" s="3"/>
      <c r="H269" s="3"/>
      <c r="I269" s="3"/>
      <c r="J269" s="3"/>
      <c r="K269" s="3"/>
      <c r="L269" s="3"/>
    </row>
    <row r="270" spans="5:12" x14ac:dyDescent="0.25">
      <c r="E270" s="3"/>
      <c r="F270" s="3"/>
      <c r="G270" s="3"/>
      <c r="H270" s="3"/>
      <c r="I270" s="3"/>
      <c r="J270" s="3"/>
      <c r="K270" s="3"/>
      <c r="L270" s="3"/>
    </row>
    <row r="271" spans="5:12" x14ac:dyDescent="0.25">
      <c r="E271" s="3"/>
      <c r="F271" s="3"/>
      <c r="G271" s="3"/>
      <c r="H271" s="3"/>
      <c r="I271" s="3"/>
      <c r="J271" s="3"/>
      <c r="K271" s="3"/>
      <c r="L271" s="3"/>
    </row>
    <row r="272" spans="5:12" x14ac:dyDescent="0.25">
      <c r="E272" s="3"/>
      <c r="F272" s="3"/>
      <c r="G272" s="3"/>
      <c r="H272" s="3"/>
      <c r="I272" s="3"/>
      <c r="J272" s="3"/>
      <c r="K272" s="3"/>
      <c r="L272" s="3"/>
    </row>
    <row r="273" spans="5:12" x14ac:dyDescent="0.25">
      <c r="E273" s="3"/>
      <c r="F273" s="3"/>
      <c r="G273" s="3"/>
      <c r="H273" s="3"/>
      <c r="I273" s="3"/>
      <c r="J273" s="3"/>
      <c r="K273" s="3"/>
      <c r="L273" s="3"/>
    </row>
    <row r="274" spans="5:12" x14ac:dyDescent="0.25">
      <c r="E274" s="3"/>
      <c r="F274" s="3"/>
      <c r="G274" s="3"/>
      <c r="H274" s="3"/>
      <c r="I274" s="3"/>
      <c r="J274" s="3"/>
      <c r="K274" s="3"/>
      <c r="L274" s="3"/>
    </row>
    <row r="275" spans="5:12" x14ac:dyDescent="0.25">
      <c r="E275" s="3"/>
      <c r="F275" s="3"/>
      <c r="G275" s="3"/>
      <c r="H275" s="3"/>
      <c r="I275" s="3"/>
      <c r="J275" s="3"/>
      <c r="K275" s="3"/>
      <c r="L275" s="3"/>
    </row>
  </sheetData>
  <pageMargins left="0.7" right="0.7" top="0.75" bottom="0.75" header="0.3" footer="0.3"/>
  <pageSetup scale="80" orientation="portrait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275"/>
  <sheetViews>
    <sheetView zoomScale="70" zoomScaleNormal="70" zoomScalePageLayoutView="90" workbookViewId="0">
      <pane ySplit="1" topLeftCell="A53" activePane="bottomLeft" state="frozen"/>
      <selection pane="bottomLeft" activeCell="K19" sqref="K19"/>
    </sheetView>
  </sheetViews>
  <sheetFormatPr defaultColWidth="8.85546875" defaultRowHeight="15.75" x14ac:dyDescent="0.25"/>
  <cols>
    <col min="1" max="1" width="5" style="1" customWidth="1"/>
    <col min="2" max="2" width="8.140625" style="1" customWidth="1"/>
    <col min="3" max="3" width="45.28515625" style="1" bestFit="1" customWidth="1"/>
    <col min="4" max="4" width="26.42578125" style="1" customWidth="1"/>
    <col min="5" max="8" width="14.7109375" style="1" customWidth="1"/>
    <col min="9" max="9" width="15.28515625" style="1" customWidth="1"/>
    <col min="10" max="10" width="15.140625" style="2" bestFit="1" customWidth="1"/>
    <col min="11" max="11" width="15.140625" style="1" bestFit="1" customWidth="1"/>
    <col min="12" max="12" width="31.5703125" style="1" customWidth="1"/>
    <col min="13" max="14" width="15.140625" style="1" bestFit="1" customWidth="1"/>
    <col min="15" max="15" width="16.85546875" style="1" customWidth="1"/>
    <col min="16" max="16" width="15" style="1" bestFit="1" customWidth="1"/>
    <col min="17" max="17" width="14.7109375" style="1" customWidth="1"/>
    <col min="18" max="19" width="8.85546875" style="1"/>
    <col min="20" max="22" width="8.85546875" style="1" customWidth="1"/>
    <col min="23" max="24" width="8.85546875" style="1"/>
    <col min="25" max="25" width="13.85546875" style="1" bestFit="1" customWidth="1"/>
    <col min="26" max="26" width="8.85546875" style="1"/>
    <col min="27" max="27" width="11.7109375" style="1" bestFit="1" customWidth="1"/>
    <col min="28" max="28" width="13.85546875" style="1" bestFit="1" customWidth="1"/>
    <col min="29" max="16384" width="8.85546875" style="1"/>
  </cols>
  <sheetData>
    <row r="1" spans="1:30" ht="23.25" x14ac:dyDescent="0.35">
      <c r="A1" s="17" t="s">
        <v>57</v>
      </c>
      <c r="D1" s="42">
        <v>0</v>
      </c>
      <c r="E1" s="42">
        <v>2013</v>
      </c>
      <c r="F1" s="34">
        <v>2014</v>
      </c>
      <c r="G1" s="34">
        <v>2015</v>
      </c>
      <c r="H1" s="34">
        <v>2016</v>
      </c>
      <c r="I1" s="34"/>
      <c r="J1" s="34"/>
      <c r="K1" s="34"/>
      <c r="L1" s="34"/>
      <c r="M1" s="34"/>
      <c r="N1" s="34"/>
      <c r="O1" s="34"/>
      <c r="P1" s="34"/>
    </row>
    <row r="2" spans="1:30" x14ac:dyDescent="0.25">
      <c r="A2" s="19" t="s">
        <v>61</v>
      </c>
      <c r="B2" s="20"/>
      <c r="C2" s="20"/>
      <c r="D2" s="20"/>
      <c r="E2" s="20"/>
      <c r="F2" s="20"/>
      <c r="G2" s="20"/>
      <c r="H2" s="20"/>
      <c r="I2" s="20"/>
      <c r="J2" s="21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x14ac:dyDescent="0.25">
      <c r="A3" s="19"/>
      <c r="B3" s="20" t="s">
        <v>68</v>
      </c>
      <c r="C3" s="20"/>
      <c r="D3" s="20"/>
      <c r="E3" s="22">
        <v>286000</v>
      </c>
      <c r="F3" s="20"/>
      <c r="G3" s="20"/>
      <c r="H3" s="20"/>
      <c r="I3" s="20"/>
      <c r="J3" s="21"/>
      <c r="K3" s="20"/>
      <c r="L3" s="20"/>
      <c r="M3" s="20"/>
      <c r="N3" s="20"/>
      <c r="O3" s="20"/>
      <c r="P3" s="20"/>
      <c r="Q3" s="20"/>
      <c r="R3" s="19" t="s">
        <v>110</v>
      </c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0" x14ac:dyDescent="0.25">
      <c r="A4" s="19"/>
      <c r="B4" s="20"/>
      <c r="C4" s="20"/>
      <c r="D4" s="20"/>
      <c r="E4" s="22"/>
      <c r="F4" s="20"/>
      <c r="G4" s="20"/>
      <c r="H4" s="20"/>
      <c r="I4" s="20"/>
      <c r="J4" s="21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x14ac:dyDescent="0.25">
      <c r="A5" s="19"/>
      <c r="B5" s="23">
        <v>0.33</v>
      </c>
      <c r="C5" s="20"/>
      <c r="D5" s="20"/>
      <c r="E5" s="24">
        <f>E3*B5</f>
        <v>94380</v>
      </c>
      <c r="F5" s="20"/>
      <c r="G5" s="20"/>
      <c r="H5" s="20"/>
      <c r="I5" s="20"/>
      <c r="J5" s="2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0" x14ac:dyDescent="0.25">
      <c r="A6" s="20"/>
      <c r="B6" s="20" t="s">
        <v>58</v>
      </c>
      <c r="C6" s="20"/>
      <c r="D6" s="20"/>
      <c r="E6" s="5">
        <v>55</v>
      </c>
      <c r="F6" s="5">
        <f t="shared" ref="F6:H6" si="0">E6*$Q$6+E6</f>
        <v>54.45</v>
      </c>
      <c r="G6" s="5">
        <f t="shared" si="0"/>
        <v>53.905500000000004</v>
      </c>
      <c r="H6" s="5">
        <f t="shared" si="0"/>
        <v>53.366445000000006</v>
      </c>
      <c r="I6" s="5"/>
      <c r="J6" s="5"/>
      <c r="K6" s="5"/>
      <c r="L6" s="5"/>
      <c r="M6" s="5"/>
      <c r="N6" s="5"/>
      <c r="O6" s="5"/>
      <c r="P6" s="5"/>
      <c r="Q6" s="23">
        <v>-0.01</v>
      </c>
      <c r="R6" s="20" t="s">
        <v>111</v>
      </c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x14ac:dyDescent="0.25">
      <c r="A7" s="20"/>
      <c r="B7" s="20" t="s">
        <v>59</v>
      </c>
      <c r="C7" s="20"/>
      <c r="D7" s="20"/>
      <c r="E7" s="5">
        <v>15</v>
      </c>
      <c r="F7" s="5">
        <f t="shared" ref="F7:H7" si="1">E7*$Q$7+E7</f>
        <v>16.5</v>
      </c>
      <c r="G7" s="5">
        <f t="shared" si="1"/>
        <v>18.149999999999999</v>
      </c>
      <c r="H7" s="5">
        <f t="shared" si="1"/>
        <v>19.965</v>
      </c>
      <c r="I7" s="5"/>
      <c r="J7" s="5"/>
      <c r="K7" s="5"/>
      <c r="L7" s="5"/>
      <c r="M7" s="5"/>
      <c r="N7" s="5"/>
      <c r="O7" s="5"/>
      <c r="P7" s="5"/>
      <c r="Q7" s="23">
        <v>0.1</v>
      </c>
      <c r="R7" s="20" t="s">
        <v>112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x14ac:dyDescent="0.25">
      <c r="A8" s="20"/>
      <c r="B8" s="20" t="s">
        <v>79</v>
      </c>
      <c r="C8" s="20"/>
      <c r="D8" s="20"/>
      <c r="E8" s="25">
        <f>E5/(E6-E7)</f>
        <v>2359.5</v>
      </c>
      <c r="F8" s="29">
        <f t="shared" ref="F8:H8" si="2">E8*$Q$8+E8</f>
        <v>2361.8595</v>
      </c>
      <c r="G8" s="29">
        <f t="shared" si="2"/>
        <v>2364.2213594999998</v>
      </c>
      <c r="H8" s="29">
        <f t="shared" si="2"/>
        <v>2366.5855808594997</v>
      </c>
      <c r="I8" s="29"/>
      <c r="J8" s="29"/>
      <c r="K8" s="29"/>
      <c r="L8" s="29"/>
      <c r="M8" s="29"/>
      <c r="N8" s="29"/>
      <c r="O8" s="29"/>
      <c r="P8" s="29"/>
      <c r="Q8" s="26">
        <v>1E-3</v>
      </c>
      <c r="R8" s="20" t="s">
        <v>112</v>
      </c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x14ac:dyDescent="0.25">
      <c r="A9" s="20"/>
      <c r="B9" s="20" t="s">
        <v>74</v>
      </c>
      <c r="C9" s="20"/>
      <c r="D9" s="20"/>
      <c r="E9" s="29">
        <f>E8*E10</f>
        <v>1415.7</v>
      </c>
      <c r="F9" s="29">
        <f>F8*F10</f>
        <v>1405.3064024999999</v>
      </c>
      <c r="G9" s="29">
        <f t="shared" ref="G9:H9" si="3">G8*G10</f>
        <v>1394.8906021049997</v>
      </c>
      <c r="H9" s="29">
        <f t="shared" si="3"/>
        <v>1384.4525648028073</v>
      </c>
      <c r="I9" s="29"/>
      <c r="J9" s="29"/>
      <c r="K9" s="29"/>
      <c r="L9" s="29"/>
      <c r="M9" s="29"/>
      <c r="N9" s="29"/>
      <c r="O9" s="29"/>
      <c r="P9" s="29"/>
      <c r="Q9" s="26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5">
      <c r="A10" s="20"/>
      <c r="B10" s="20" t="s">
        <v>80</v>
      </c>
      <c r="C10" s="20"/>
      <c r="D10" s="20"/>
      <c r="E10" s="27">
        <v>0.6</v>
      </c>
      <c r="F10" s="27">
        <f>1-F12</f>
        <v>0.59499999999999997</v>
      </c>
      <c r="G10" s="27">
        <f t="shared" ref="G10:H10" si="4">1-G12</f>
        <v>0.59</v>
      </c>
      <c r="H10" s="27">
        <f t="shared" si="4"/>
        <v>0.58499999999999996</v>
      </c>
      <c r="I10" s="27"/>
      <c r="J10" s="27"/>
      <c r="K10" s="27"/>
      <c r="L10" s="27"/>
      <c r="M10" s="27"/>
      <c r="N10" s="27"/>
      <c r="O10" s="27"/>
      <c r="P10" s="27"/>
      <c r="Q10" s="26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x14ac:dyDescent="0.25">
      <c r="A11" s="20"/>
      <c r="B11" s="20" t="s">
        <v>77</v>
      </c>
      <c r="C11" s="20"/>
      <c r="D11" s="20"/>
      <c r="E11" s="37">
        <f>E12*E8</f>
        <v>943.80000000000007</v>
      </c>
      <c r="F11" s="37">
        <f>F12*F8</f>
        <v>956.55309750000004</v>
      </c>
      <c r="G11" s="37">
        <f t="shared" ref="G11:H11" si="5">G12*G8</f>
        <v>969.33075739499998</v>
      </c>
      <c r="H11" s="37">
        <f t="shared" si="5"/>
        <v>982.13301605669244</v>
      </c>
      <c r="I11" s="37"/>
      <c r="J11" s="37"/>
      <c r="K11" s="37"/>
      <c r="L11" s="37"/>
      <c r="M11" s="37"/>
      <c r="N11" s="37"/>
      <c r="O11" s="37"/>
      <c r="P11" s="37"/>
      <c r="Q11" s="26">
        <v>5.0000000000000001E-3</v>
      </c>
      <c r="R11" s="23">
        <v>0.03</v>
      </c>
      <c r="S11" s="20" t="s">
        <v>99</v>
      </c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x14ac:dyDescent="0.25">
      <c r="A12" s="20"/>
      <c r="B12" s="20" t="s">
        <v>80</v>
      </c>
      <c r="C12" s="20"/>
      <c r="D12" s="20"/>
      <c r="E12" s="27">
        <v>0.4</v>
      </c>
      <c r="F12" s="27">
        <f>E12+$Q$11</f>
        <v>0.40500000000000003</v>
      </c>
      <c r="G12" s="27">
        <f>F12+$Q$11</f>
        <v>0.41000000000000003</v>
      </c>
      <c r="H12" s="27">
        <f>G12+$Q$11</f>
        <v>0.41500000000000004</v>
      </c>
      <c r="I12" s="27"/>
      <c r="J12" s="27"/>
      <c r="K12" s="27"/>
      <c r="L12" s="27"/>
      <c r="M12" s="27"/>
      <c r="N12" s="27"/>
      <c r="O12" s="27"/>
      <c r="P12" s="27"/>
      <c r="Q12" s="26"/>
      <c r="R12" s="23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x14ac:dyDescent="0.25">
      <c r="A14" s="20"/>
      <c r="B14" s="26">
        <f>1-B23-B5</f>
        <v>0.49800000000000005</v>
      </c>
      <c r="C14" s="20"/>
      <c r="D14" s="20"/>
      <c r="E14" s="24">
        <f>E3*B14</f>
        <v>142428.00000000003</v>
      </c>
      <c r="F14" s="20"/>
      <c r="G14" s="20"/>
      <c r="H14" s="20"/>
      <c r="I14" s="20"/>
      <c r="J14" s="21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x14ac:dyDescent="0.25">
      <c r="A15" s="20"/>
      <c r="B15" s="20" t="s">
        <v>60</v>
      </c>
      <c r="C15" s="20"/>
      <c r="D15" s="20"/>
      <c r="E15" s="5">
        <v>45</v>
      </c>
      <c r="F15" s="5">
        <f t="shared" ref="F15:H15" si="6">E15*$Q$15+E15</f>
        <v>44.1</v>
      </c>
      <c r="G15" s="5">
        <f t="shared" si="6"/>
        <v>43.218000000000004</v>
      </c>
      <c r="H15" s="5">
        <f t="shared" si="6"/>
        <v>42.353640000000006</v>
      </c>
      <c r="I15" s="5"/>
      <c r="J15" s="5"/>
      <c r="K15" s="5"/>
      <c r="L15" s="5"/>
      <c r="M15" s="5"/>
      <c r="N15" s="5"/>
      <c r="O15" s="5"/>
      <c r="P15" s="5"/>
      <c r="Q15" s="23">
        <v>-0.02</v>
      </c>
      <c r="R15" s="20" t="s">
        <v>112</v>
      </c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x14ac:dyDescent="0.25">
      <c r="A16" s="20"/>
      <c r="B16" s="20" t="s">
        <v>62</v>
      </c>
      <c r="C16" s="20"/>
      <c r="D16" s="20"/>
      <c r="E16" s="5">
        <v>10</v>
      </c>
      <c r="F16" s="5">
        <f t="shared" ref="F16:H16" si="7">E16*$Q$16+E16</f>
        <v>10.050000000000001</v>
      </c>
      <c r="G16" s="5">
        <f t="shared" si="7"/>
        <v>10.100250000000001</v>
      </c>
      <c r="H16" s="5">
        <f t="shared" si="7"/>
        <v>10.150751250000001</v>
      </c>
      <c r="I16" s="5"/>
      <c r="J16" s="5"/>
      <c r="K16" s="5"/>
      <c r="L16" s="5"/>
      <c r="M16" s="5"/>
      <c r="N16" s="5"/>
      <c r="O16" s="5"/>
      <c r="P16" s="5"/>
      <c r="Q16" s="26">
        <v>5.0000000000000001E-3</v>
      </c>
      <c r="R16" s="20" t="s">
        <v>111</v>
      </c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1:30" x14ac:dyDescent="0.25">
      <c r="A17" s="20"/>
      <c r="B17" s="20" t="s">
        <v>79</v>
      </c>
      <c r="C17" s="20"/>
      <c r="D17" s="20"/>
      <c r="E17" s="25">
        <f>E14/(E15-E16)</f>
        <v>4069.3714285714295</v>
      </c>
      <c r="F17" s="25">
        <f t="shared" ref="F17:H17" si="8">E17*$Q$17+E17</f>
        <v>4110.0651428571437</v>
      </c>
      <c r="G17" s="25">
        <f t="shared" si="8"/>
        <v>4151.1657942857155</v>
      </c>
      <c r="H17" s="25">
        <f t="shared" si="8"/>
        <v>4192.6774522285723</v>
      </c>
      <c r="I17" s="25"/>
      <c r="J17" s="25"/>
      <c r="K17" s="25"/>
      <c r="L17" s="25"/>
      <c r="M17" s="25"/>
      <c r="N17" s="25"/>
      <c r="O17" s="25"/>
      <c r="P17" s="25"/>
      <c r="Q17" s="28">
        <v>0.01</v>
      </c>
      <c r="R17" s="20" t="s">
        <v>112</v>
      </c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x14ac:dyDescent="0.25">
      <c r="A18" s="20"/>
      <c r="B18" s="20" t="s">
        <v>75</v>
      </c>
      <c r="C18" s="20"/>
      <c r="D18" s="20"/>
      <c r="E18" s="29">
        <f>E17*E19</f>
        <v>2441.6228571428578</v>
      </c>
      <c r="F18" s="29">
        <f>F17*F19</f>
        <v>2445.4887600000002</v>
      </c>
      <c r="G18" s="29">
        <f t="shared" ref="G18:H18" si="9">G17*G19</f>
        <v>2449.1878186285721</v>
      </c>
      <c r="H18" s="29">
        <f t="shared" si="9"/>
        <v>2452.7163095537148</v>
      </c>
      <c r="I18" s="29"/>
      <c r="J18" s="29"/>
      <c r="K18" s="29"/>
      <c r="L18" s="29"/>
      <c r="M18" s="29"/>
      <c r="N18" s="29"/>
      <c r="O18" s="29"/>
      <c r="P18" s="29"/>
      <c r="Q18" s="28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1:30" x14ac:dyDescent="0.25">
      <c r="A19" s="20"/>
      <c r="B19" s="20" t="s">
        <v>80</v>
      </c>
      <c r="C19" s="20"/>
      <c r="D19" s="20"/>
      <c r="E19" s="27">
        <v>0.6</v>
      </c>
      <c r="F19" s="27">
        <f>1-F21</f>
        <v>0.59499999999999997</v>
      </c>
      <c r="G19" s="27">
        <f t="shared" ref="G19:H19" si="10">1-G21</f>
        <v>0.59</v>
      </c>
      <c r="H19" s="27">
        <f t="shared" si="10"/>
        <v>0.58499999999999996</v>
      </c>
      <c r="I19" s="27"/>
      <c r="J19" s="27"/>
      <c r="K19" s="27"/>
      <c r="L19" s="27"/>
      <c r="M19" s="27"/>
      <c r="N19" s="27"/>
      <c r="O19" s="27"/>
      <c r="P19" s="27"/>
      <c r="Q19" s="28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1:30" x14ac:dyDescent="0.25">
      <c r="A20" s="20"/>
      <c r="B20" s="20" t="s">
        <v>77</v>
      </c>
      <c r="C20" s="20"/>
      <c r="D20" s="20"/>
      <c r="E20" s="29">
        <f>E21*E17</f>
        <v>1627.7485714285719</v>
      </c>
      <c r="F20" s="29">
        <f>F21*F17</f>
        <v>1664.5763828571432</v>
      </c>
      <c r="G20" s="29">
        <f t="shared" ref="G20:H20" si="11">G21*G17</f>
        <v>1701.9779756571436</v>
      </c>
      <c r="H20" s="29">
        <f t="shared" si="11"/>
        <v>1739.9611426748577</v>
      </c>
      <c r="I20" s="29"/>
      <c r="J20" s="29"/>
      <c r="K20" s="29"/>
      <c r="L20" s="29"/>
      <c r="M20" s="29"/>
      <c r="N20" s="29"/>
      <c r="O20" s="29"/>
      <c r="P20" s="29"/>
      <c r="Q20" s="26">
        <v>5.0000000000000001E-3</v>
      </c>
      <c r="R20" s="23">
        <v>0.02</v>
      </c>
      <c r="S20" s="20" t="s">
        <v>100</v>
      </c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1:30" x14ac:dyDescent="0.25">
      <c r="A21" s="20"/>
      <c r="B21" s="20" t="s">
        <v>80</v>
      </c>
      <c r="C21" s="20"/>
      <c r="D21" s="20"/>
      <c r="E21" s="27">
        <v>0.4</v>
      </c>
      <c r="F21" s="27">
        <f>E21+$Q$20</f>
        <v>0.40500000000000003</v>
      </c>
      <c r="G21" s="27">
        <f>F21+$Q$20</f>
        <v>0.41000000000000003</v>
      </c>
      <c r="H21" s="27">
        <f>G21+$Q$20</f>
        <v>0.41500000000000004</v>
      </c>
      <c r="I21" s="27"/>
      <c r="J21" s="27"/>
      <c r="K21" s="27"/>
      <c r="L21" s="27"/>
      <c r="M21" s="27"/>
      <c r="N21" s="27"/>
      <c r="O21" s="27"/>
      <c r="P21" s="27"/>
      <c r="Q21" s="28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1:30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1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1:30" x14ac:dyDescent="0.25">
      <c r="A23" s="20"/>
      <c r="B23" s="26">
        <v>0.17199999999999999</v>
      </c>
      <c r="C23" s="20"/>
      <c r="D23" s="20"/>
      <c r="E23" s="24">
        <f>B23*E3</f>
        <v>49191.999999999993</v>
      </c>
      <c r="F23" s="20"/>
      <c r="G23" s="20"/>
      <c r="H23" s="20"/>
      <c r="I23" s="20"/>
      <c r="J23" s="21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1:30" x14ac:dyDescent="0.25">
      <c r="A24" s="20"/>
      <c r="B24" s="20" t="s">
        <v>63</v>
      </c>
      <c r="C24" s="20"/>
      <c r="D24" s="20"/>
      <c r="E24" s="20">
        <v>50</v>
      </c>
      <c r="F24" s="22">
        <f t="shared" ref="F24:H24" si="12">E24*$Q$26+E24</f>
        <v>50.1</v>
      </c>
      <c r="G24" s="22">
        <f t="shared" si="12"/>
        <v>50.200200000000002</v>
      </c>
      <c r="H24" s="22">
        <f t="shared" si="12"/>
        <v>50.3006004</v>
      </c>
      <c r="I24" s="22"/>
      <c r="J24" s="22"/>
      <c r="K24" s="22"/>
      <c r="L24" s="22"/>
      <c r="M24" s="22"/>
      <c r="N24" s="22"/>
      <c r="O24" s="22"/>
      <c r="P24" s="22"/>
      <c r="Q24" s="23">
        <v>-0.05</v>
      </c>
      <c r="R24" s="20" t="s">
        <v>69</v>
      </c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1:30" x14ac:dyDescent="0.25">
      <c r="A25" s="20"/>
      <c r="B25" s="20" t="s">
        <v>64</v>
      </c>
      <c r="C25" s="20"/>
      <c r="D25" s="20"/>
      <c r="E25" s="20">
        <v>15</v>
      </c>
      <c r="F25" s="22">
        <f t="shared" ref="F25:H25" si="13">E25*$Q$26+E25</f>
        <v>15.03</v>
      </c>
      <c r="G25" s="22">
        <f t="shared" si="13"/>
        <v>15.06006</v>
      </c>
      <c r="H25" s="22">
        <f t="shared" si="13"/>
        <v>15.090180119999999</v>
      </c>
      <c r="I25" s="22"/>
      <c r="J25" s="22"/>
      <c r="K25" s="22"/>
      <c r="L25" s="22"/>
      <c r="M25" s="22"/>
      <c r="N25" s="22"/>
      <c r="O25" s="22"/>
      <c r="P25" s="22"/>
      <c r="Q25" s="26">
        <v>1E-3</v>
      </c>
      <c r="R25" s="20" t="s">
        <v>70</v>
      </c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x14ac:dyDescent="0.25">
      <c r="A26" s="20"/>
      <c r="B26" s="20" t="s">
        <v>79</v>
      </c>
      <c r="C26" s="20"/>
      <c r="D26" s="20"/>
      <c r="E26" s="25">
        <f>E23/(E24-E25)</f>
        <v>1405.485714285714</v>
      </c>
      <c r="F26" s="29">
        <f>E26*$Q$26+E26</f>
        <v>1408.2966857142856</v>
      </c>
      <c r="G26" s="29">
        <f>F26*$Q$26+F26</f>
        <v>1411.1132790857141</v>
      </c>
      <c r="H26" s="29">
        <f>G26*$Q$26+G26</f>
        <v>1413.9355056438856</v>
      </c>
      <c r="I26" s="29"/>
      <c r="J26" s="29"/>
      <c r="K26" s="29"/>
      <c r="L26" s="29"/>
      <c r="M26" s="29"/>
      <c r="N26" s="29"/>
      <c r="O26" s="29"/>
      <c r="P26" s="29"/>
      <c r="Q26" s="26">
        <v>2E-3</v>
      </c>
      <c r="R26" s="23">
        <v>0.04</v>
      </c>
      <c r="S26" s="20" t="s">
        <v>82</v>
      </c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1:30" x14ac:dyDescent="0.25">
      <c r="A27" s="20"/>
      <c r="B27" s="20" t="s">
        <v>74</v>
      </c>
      <c r="C27" s="20"/>
      <c r="D27" s="20"/>
      <c r="E27" s="29">
        <f>E26*E28</f>
        <v>843.29142857142836</v>
      </c>
      <c r="F27" s="29">
        <f>F26*F28</f>
        <v>816.81207771428558</v>
      </c>
      <c r="G27" s="29">
        <f t="shared" ref="G27:H27" si="14">G26*G28</f>
        <v>790.22343628799979</v>
      </c>
      <c r="H27" s="29">
        <f t="shared" si="14"/>
        <v>763.5251730476981</v>
      </c>
      <c r="I27" s="29"/>
      <c r="J27" s="29"/>
      <c r="K27" s="29"/>
      <c r="L27" s="29"/>
      <c r="M27" s="29"/>
      <c r="N27" s="29"/>
      <c r="O27" s="29"/>
      <c r="P27" s="29"/>
      <c r="Q27" s="23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x14ac:dyDescent="0.25">
      <c r="A28" s="20"/>
      <c r="B28" s="20" t="s">
        <v>80</v>
      </c>
      <c r="C28" s="20"/>
      <c r="D28" s="20"/>
      <c r="E28" s="27">
        <v>0.6</v>
      </c>
      <c r="F28" s="27">
        <f>1-F30</f>
        <v>0.57999999999999996</v>
      </c>
      <c r="G28" s="27">
        <f t="shared" ref="G28:H28" si="15">1-G30</f>
        <v>0.55999999999999994</v>
      </c>
      <c r="H28" s="27">
        <f t="shared" si="15"/>
        <v>0.53999999999999992</v>
      </c>
      <c r="I28" s="27"/>
      <c r="J28" s="27"/>
      <c r="K28" s="27"/>
      <c r="L28" s="27"/>
      <c r="M28" s="27"/>
      <c r="N28" s="27"/>
      <c r="O28" s="27"/>
      <c r="P28" s="27"/>
      <c r="Q28" s="23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1:30" x14ac:dyDescent="0.25">
      <c r="A29" s="20"/>
      <c r="B29" s="20" t="s">
        <v>76</v>
      </c>
      <c r="C29" s="20"/>
      <c r="D29" s="20"/>
      <c r="E29" s="29">
        <f>E30*E26</f>
        <v>562.19428571428568</v>
      </c>
      <c r="F29" s="29">
        <f>F30*F26</f>
        <v>591.48460799999998</v>
      </c>
      <c r="G29" s="29">
        <f t="shared" ref="G29:H29" si="16">G30*G26</f>
        <v>620.88984279771432</v>
      </c>
      <c r="H29" s="29">
        <f t="shared" si="16"/>
        <v>650.41033259618746</v>
      </c>
      <c r="I29" s="29"/>
      <c r="J29" s="29"/>
      <c r="K29" s="29"/>
      <c r="L29" s="29"/>
      <c r="M29" s="29"/>
      <c r="N29" s="29"/>
      <c r="O29" s="29"/>
      <c r="P29" s="29"/>
      <c r="Q29" s="26">
        <v>0.02</v>
      </c>
      <c r="R29" s="23">
        <v>0.04</v>
      </c>
      <c r="S29" s="20" t="s">
        <v>81</v>
      </c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1:30" x14ac:dyDescent="0.25">
      <c r="A30" s="20"/>
      <c r="B30" s="20" t="s">
        <v>80</v>
      </c>
      <c r="C30" s="20"/>
      <c r="D30" s="20"/>
      <c r="E30" s="27">
        <v>0.4</v>
      </c>
      <c r="F30" s="27">
        <f t="shared" ref="F30:H30" si="17">E30+$Q$29</f>
        <v>0.42000000000000004</v>
      </c>
      <c r="G30" s="27">
        <f t="shared" si="17"/>
        <v>0.44000000000000006</v>
      </c>
      <c r="H30" s="27">
        <f t="shared" si="17"/>
        <v>0.46000000000000008</v>
      </c>
      <c r="I30" s="27"/>
      <c r="J30" s="27"/>
      <c r="K30" s="27"/>
      <c r="L30" s="27"/>
      <c r="M30" s="27"/>
      <c r="N30" s="27"/>
      <c r="O30" s="27"/>
      <c r="P30" s="27"/>
      <c r="Q30" s="28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1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5">
      <c r="A32" s="20"/>
      <c r="B32" s="20" t="s">
        <v>49</v>
      </c>
      <c r="C32" s="20"/>
      <c r="D32" s="20"/>
      <c r="E32" s="25">
        <v>50</v>
      </c>
      <c r="F32" s="25">
        <f>E32-E32*$Q$32</f>
        <v>49.5</v>
      </c>
      <c r="G32" s="25">
        <f>F32-F32*$Q$32</f>
        <v>49.005000000000003</v>
      </c>
      <c r="H32" s="25">
        <f>G32-G32*$Q$32</f>
        <v>48.514950000000006</v>
      </c>
      <c r="I32" s="25"/>
      <c r="J32" s="25"/>
      <c r="K32" s="25"/>
      <c r="L32" s="25"/>
      <c r="M32" s="25"/>
      <c r="N32" s="25"/>
      <c r="O32" s="25"/>
      <c r="P32" s="25"/>
      <c r="Q32" s="23">
        <v>0.01</v>
      </c>
      <c r="R32" s="18">
        <v>0.02</v>
      </c>
      <c r="S32" s="20" t="s">
        <v>104</v>
      </c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1:30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1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1:30" x14ac:dyDescent="0.25">
      <c r="A34" s="20"/>
      <c r="B34" s="20" t="s">
        <v>65</v>
      </c>
      <c r="C34" s="20"/>
      <c r="D34" s="20"/>
      <c r="E34" s="25">
        <v>45</v>
      </c>
      <c r="F34" s="25">
        <f>E34-E34*$Q$32</f>
        <v>44.55</v>
      </c>
      <c r="G34" s="25">
        <f>F34-F34*$Q$32</f>
        <v>44.104499999999994</v>
      </c>
      <c r="H34" s="25">
        <f>G34-G34*$Q$32</f>
        <v>43.663454999999992</v>
      </c>
      <c r="I34" s="25"/>
      <c r="J34" s="25"/>
      <c r="K34" s="25"/>
      <c r="L34" s="25"/>
      <c r="M34" s="25"/>
      <c r="N34" s="25"/>
      <c r="O34" s="25"/>
      <c r="P34" s="25"/>
      <c r="Q34" s="26">
        <v>5.0000000000000001E-3</v>
      </c>
      <c r="R34" s="23">
        <v>0.01</v>
      </c>
      <c r="S34" s="20" t="s">
        <v>105</v>
      </c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1:30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1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1:30" x14ac:dyDescent="0.25">
      <c r="A36" s="20"/>
      <c r="B36" s="20" t="s">
        <v>66</v>
      </c>
      <c r="C36" s="20"/>
      <c r="D36" s="20"/>
      <c r="E36" s="20">
        <v>30</v>
      </c>
      <c r="F36" s="20">
        <v>30</v>
      </c>
      <c r="G36" s="20">
        <v>30</v>
      </c>
      <c r="H36" s="20">
        <v>30</v>
      </c>
      <c r="I36" s="20"/>
      <c r="J36" s="20"/>
      <c r="K36" s="20"/>
      <c r="L36" s="20"/>
      <c r="M36" s="20"/>
      <c r="N36" s="20"/>
      <c r="O36" s="20"/>
      <c r="P36" s="20"/>
      <c r="Q36" s="20" t="s">
        <v>106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1:30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1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1:30" x14ac:dyDescent="0.25">
      <c r="A38" s="20"/>
      <c r="B38" s="20" t="s">
        <v>83</v>
      </c>
      <c r="C38" s="20"/>
      <c r="D38" s="20"/>
      <c r="E38" s="20">
        <v>5</v>
      </c>
      <c r="F38" s="20">
        <v>5</v>
      </c>
      <c r="G38" s="20">
        <v>5</v>
      </c>
      <c r="H38" s="20">
        <v>5</v>
      </c>
      <c r="I38" s="20"/>
      <c r="J38" s="30"/>
      <c r="K38" s="30"/>
      <c r="L38" s="30"/>
      <c r="M38" s="30"/>
      <c r="N38" s="30"/>
      <c r="O38" s="30"/>
      <c r="P38" s="30"/>
      <c r="Q38" s="20" t="s">
        <v>85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1:30" x14ac:dyDescent="0.25">
      <c r="A39" s="20"/>
      <c r="B39" s="20" t="s">
        <v>84</v>
      </c>
      <c r="C39" s="20"/>
      <c r="D39" s="20"/>
      <c r="E39" s="20">
        <v>25</v>
      </c>
      <c r="F39" s="20">
        <v>25</v>
      </c>
      <c r="G39" s="20">
        <v>25</v>
      </c>
      <c r="H39" s="20">
        <v>25</v>
      </c>
      <c r="I39" s="20"/>
      <c r="J39" s="20"/>
      <c r="K39" s="20"/>
      <c r="L39" s="20"/>
      <c r="M39" s="20"/>
      <c r="N39" s="20"/>
      <c r="O39" s="20"/>
      <c r="P39" s="20"/>
      <c r="Q39" s="20" t="s">
        <v>89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1:30" x14ac:dyDescent="0.25">
      <c r="A40" s="20"/>
      <c r="B40" s="20" t="s">
        <v>86</v>
      </c>
      <c r="C40" s="20"/>
      <c r="D40" s="20"/>
      <c r="E40" s="22">
        <v>8.25</v>
      </c>
      <c r="F40" s="22">
        <v>8.25</v>
      </c>
      <c r="G40" s="22">
        <v>8.25</v>
      </c>
      <c r="H40" s="22">
        <v>10</v>
      </c>
      <c r="I40" s="22"/>
      <c r="J40" s="22"/>
      <c r="K40" s="22"/>
      <c r="L40" s="22"/>
      <c r="M40" s="22"/>
      <c r="N40" s="22"/>
      <c r="O40" s="22"/>
      <c r="P40" s="22"/>
      <c r="Q40" s="20" t="s">
        <v>87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1:30" x14ac:dyDescent="0.25">
      <c r="A41" s="20"/>
      <c r="B41" s="20" t="s">
        <v>88</v>
      </c>
      <c r="C41" s="20"/>
      <c r="D41" s="20"/>
      <c r="E41" s="31">
        <v>52</v>
      </c>
      <c r="F41" s="31">
        <v>52</v>
      </c>
      <c r="G41" s="31">
        <v>52</v>
      </c>
      <c r="H41" s="31">
        <v>52</v>
      </c>
      <c r="I41" s="31"/>
      <c r="J41" s="31"/>
      <c r="K41" s="31"/>
      <c r="L41" s="31"/>
      <c r="M41" s="31"/>
      <c r="N41" s="31"/>
      <c r="O41" s="31"/>
      <c r="P41" s="31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1:30" x14ac:dyDescent="0.25">
      <c r="A42" s="20"/>
      <c r="B42" s="20"/>
      <c r="C42" s="20"/>
      <c r="D42" s="20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1:30" x14ac:dyDescent="0.25">
      <c r="A43" s="20"/>
      <c r="B43" s="20" t="s">
        <v>90</v>
      </c>
      <c r="C43" s="20"/>
      <c r="D43" s="20"/>
      <c r="E43" s="32">
        <v>1500</v>
      </c>
      <c r="F43" s="32">
        <f t="shared" ref="F43:H43" si="18">E43*$Q$43+E43</f>
        <v>1545</v>
      </c>
      <c r="G43" s="32">
        <f t="shared" si="18"/>
        <v>1591.35</v>
      </c>
      <c r="H43" s="32">
        <f t="shared" si="18"/>
        <v>1639.0904999999998</v>
      </c>
      <c r="I43" s="32"/>
      <c r="J43" s="32"/>
      <c r="K43" s="32"/>
      <c r="L43" s="32"/>
      <c r="M43" s="32"/>
      <c r="N43" s="32"/>
      <c r="O43" s="32"/>
      <c r="P43" s="32"/>
      <c r="Q43" s="23">
        <v>0.03</v>
      </c>
      <c r="R43" s="20" t="s">
        <v>94</v>
      </c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1:30" x14ac:dyDescent="0.25">
      <c r="A44" s="20"/>
      <c r="B44" s="20" t="s">
        <v>91</v>
      </c>
      <c r="C44" s="20"/>
      <c r="D44" s="20"/>
      <c r="E44" s="32">
        <v>68000</v>
      </c>
      <c r="F44" s="32">
        <v>68000</v>
      </c>
      <c r="G44" s="32">
        <v>68000</v>
      </c>
      <c r="H44" s="32">
        <v>68000</v>
      </c>
      <c r="I44" s="32"/>
      <c r="J44" s="32"/>
      <c r="K44" s="32"/>
      <c r="L44" s="32"/>
      <c r="M44" s="32"/>
      <c r="N44" s="32"/>
      <c r="O44" s="32"/>
      <c r="P44" s="32"/>
      <c r="Q44" s="23" t="s">
        <v>92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1:30" x14ac:dyDescent="0.25">
      <c r="A45" s="20"/>
      <c r="B45" s="20" t="s">
        <v>93</v>
      </c>
      <c r="C45" s="20"/>
      <c r="D45" s="20"/>
      <c r="E45" s="32">
        <v>5000</v>
      </c>
      <c r="F45" s="32">
        <f t="shared" ref="F45:H45" si="19">E45*$Q$43+E45</f>
        <v>5150</v>
      </c>
      <c r="G45" s="32">
        <f t="shared" si="19"/>
        <v>5304.5</v>
      </c>
      <c r="H45" s="32">
        <f t="shared" si="19"/>
        <v>5463.6350000000002</v>
      </c>
      <c r="I45" s="32"/>
      <c r="J45" s="32"/>
      <c r="K45" s="32"/>
      <c r="L45" s="32"/>
      <c r="M45" s="32"/>
      <c r="N45" s="32"/>
      <c r="O45" s="32"/>
      <c r="P45" s="32"/>
      <c r="Q45" s="23">
        <v>0.01</v>
      </c>
      <c r="R45" s="20" t="s">
        <v>95</v>
      </c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1:30" x14ac:dyDescent="0.25">
      <c r="A46" s="20"/>
      <c r="B46" s="20"/>
      <c r="C46" s="20"/>
      <c r="D46" s="20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23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1:30" x14ac:dyDescent="0.25">
      <c r="A47" s="20"/>
      <c r="B47" s="20" t="s">
        <v>97</v>
      </c>
      <c r="C47" s="20"/>
      <c r="D47" s="20"/>
      <c r="E47" s="32">
        <v>10000</v>
      </c>
      <c r="F47" s="32">
        <v>10000</v>
      </c>
      <c r="G47" s="32">
        <v>10000</v>
      </c>
      <c r="H47" s="32">
        <v>20000</v>
      </c>
      <c r="I47" s="32"/>
      <c r="J47" s="32"/>
      <c r="K47" s="32"/>
      <c r="L47" s="32"/>
      <c r="M47" s="32"/>
      <c r="N47" s="32"/>
      <c r="O47" s="32"/>
      <c r="P47" s="32"/>
      <c r="Q47" s="23" t="s">
        <v>98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1:30" x14ac:dyDescent="0.25">
      <c r="A48" s="20"/>
      <c r="B48" s="20"/>
      <c r="C48" s="20"/>
      <c r="D48" s="20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23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1:30" x14ac:dyDescent="0.25">
      <c r="A49" s="20"/>
      <c r="B49" s="20"/>
      <c r="C49" s="20"/>
      <c r="D49" s="20"/>
      <c r="E49" s="33"/>
      <c r="F49" s="33"/>
      <c r="G49" s="33"/>
      <c r="H49" s="33"/>
      <c r="I49" s="33"/>
      <c r="J49" s="35"/>
      <c r="K49" s="33"/>
      <c r="L49" s="33"/>
      <c r="M49" s="33"/>
      <c r="N49" s="33"/>
      <c r="O49" s="33"/>
      <c r="P49" s="33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1:30" x14ac:dyDescent="0.25">
      <c r="A50" s="19" t="s">
        <v>30</v>
      </c>
      <c r="B50" s="20"/>
      <c r="C50" s="20"/>
      <c r="D50" s="20"/>
      <c r="E50" s="33"/>
      <c r="F50" s="33"/>
      <c r="G50" s="33"/>
      <c r="H50" s="33"/>
      <c r="I50" s="33"/>
      <c r="J50" s="35"/>
      <c r="K50" s="33"/>
      <c r="L50" s="33"/>
      <c r="M50" s="33"/>
      <c r="N50" s="33"/>
      <c r="O50" s="33"/>
      <c r="P50" s="33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1:30" x14ac:dyDescent="0.25">
      <c r="A51" s="19"/>
      <c r="B51" s="20"/>
      <c r="C51" s="20"/>
      <c r="D51" s="20"/>
      <c r="E51" s="33"/>
      <c r="F51" s="33"/>
      <c r="G51" s="33"/>
      <c r="H51" s="33"/>
      <c r="I51" s="33"/>
      <c r="J51" s="35"/>
      <c r="K51" s="33"/>
      <c r="L51" s="33"/>
      <c r="M51" s="33"/>
      <c r="N51" s="33"/>
      <c r="O51" s="33"/>
      <c r="P51" s="33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1:30" x14ac:dyDescent="0.25">
      <c r="A52" s="20" t="s">
        <v>71</v>
      </c>
      <c r="B52" s="20"/>
      <c r="C52" s="20"/>
      <c r="D52" s="20"/>
      <c r="E52" s="5">
        <f>E6*E9</f>
        <v>77863.5</v>
      </c>
      <c r="F52" s="36">
        <f>F6*F9</f>
        <v>76518.933616124996</v>
      </c>
      <c r="G52" s="36">
        <f t="shared" ref="G52:H52" si="20">G6*G9</f>
        <v>75192.275351771066</v>
      </c>
      <c r="H52" s="36">
        <f t="shared" si="20"/>
        <v>73883.311654657955</v>
      </c>
      <c r="I52" s="36"/>
      <c r="J52" s="36"/>
      <c r="K52" s="36"/>
      <c r="L52" s="36"/>
      <c r="M52" s="36"/>
      <c r="N52" s="36"/>
      <c r="O52" s="36"/>
      <c r="P52" s="36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1:30" x14ac:dyDescent="0.25">
      <c r="A53" s="20" t="s">
        <v>72</v>
      </c>
      <c r="B53" s="20"/>
      <c r="C53" s="20"/>
      <c r="D53" s="20"/>
      <c r="E53" s="36">
        <f>E15*E18</f>
        <v>109873.0285714286</v>
      </c>
      <c r="F53" s="36">
        <f>F15*F18</f>
        <v>107846.05431600001</v>
      </c>
      <c r="G53" s="36">
        <f t="shared" ref="G53:H53" si="21">G15*G18</f>
        <v>105848.99914548964</v>
      </c>
      <c r="H53" s="36">
        <f t="shared" si="21"/>
        <v>103881.46359696661</v>
      </c>
      <c r="I53" s="36"/>
      <c r="J53" s="36"/>
      <c r="K53" s="36"/>
      <c r="L53" s="36"/>
      <c r="M53" s="36"/>
      <c r="N53" s="36"/>
      <c r="O53" s="36"/>
      <c r="P53" s="36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1:30" x14ac:dyDescent="0.25">
      <c r="A54" s="20" t="s">
        <v>73</v>
      </c>
      <c r="B54" s="20"/>
      <c r="C54" s="20"/>
      <c r="D54" s="20"/>
      <c r="E54" s="5">
        <f>E24*E27</f>
        <v>42164.57142857142</v>
      </c>
      <c r="F54" s="36">
        <f t="shared" ref="F54:H54" si="22">F24*F27</f>
        <v>40922.285093485705</v>
      </c>
      <c r="G54" s="36">
        <f t="shared" si="22"/>
        <v>39669.37454634485</v>
      </c>
      <c r="H54" s="36">
        <f t="shared" si="22"/>
        <v>38405.774624813115</v>
      </c>
      <c r="I54" s="36"/>
      <c r="J54" s="36"/>
      <c r="K54" s="36"/>
      <c r="L54" s="36"/>
      <c r="M54" s="36"/>
      <c r="N54" s="36"/>
      <c r="O54" s="36"/>
      <c r="P54" s="36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1:30" x14ac:dyDescent="0.25">
      <c r="A55" s="20" t="s">
        <v>78</v>
      </c>
      <c r="B55" s="20"/>
      <c r="C55" s="20"/>
      <c r="D55" s="20"/>
      <c r="E55" s="5">
        <f>(E24*E29)+(E15*E20)+(E6*E11)</f>
        <v>153267.40000000002</v>
      </c>
      <c r="F55" s="36">
        <f t="shared" ref="F55:H55" si="23">(F24*F29)+(F15*F20)+(F6*F11)</f>
        <v>155125.51350367503</v>
      </c>
      <c r="G55" s="36">
        <f t="shared" si="23"/>
        <v>156977.13758112042</v>
      </c>
      <c r="H55" s="36">
        <f t="shared" si="23"/>
        <v>158822.6656708651</v>
      </c>
      <c r="I55" s="36"/>
      <c r="J55" s="36"/>
      <c r="K55" s="36"/>
      <c r="L55" s="36"/>
      <c r="M55" s="36"/>
      <c r="N55" s="36"/>
      <c r="O55" s="36"/>
      <c r="P55" s="36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1:30" x14ac:dyDescent="0.25">
      <c r="A56" s="20"/>
      <c r="B56" s="19" t="s">
        <v>101</v>
      </c>
      <c r="C56" s="19"/>
      <c r="D56" s="19"/>
      <c r="E56" s="5">
        <f>SUM(E52:E55)</f>
        <v>383168.50000000006</v>
      </c>
      <c r="F56" s="36">
        <f t="shared" ref="F56:H56" si="24">SUM(F52:F55)</f>
        <v>380412.78652928572</v>
      </c>
      <c r="G56" s="36">
        <f t="shared" si="24"/>
        <v>377687.78662472597</v>
      </c>
      <c r="H56" s="36">
        <f t="shared" si="24"/>
        <v>374993.2155473028</v>
      </c>
      <c r="I56" s="36"/>
      <c r="J56" s="36"/>
      <c r="K56" s="36"/>
      <c r="L56" s="36"/>
      <c r="M56" s="36"/>
      <c r="N56" s="36"/>
      <c r="O56" s="36"/>
      <c r="P56" s="36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x14ac:dyDescent="0.25">
      <c r="A57" s="20"/>
      <c r="B57" s="20"/>
      <c r="C57" s="20"/>
      <c r="D57" s="20"/>
      <c r="E57" s="5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1:30" x14ac:dyDescent="0.25">
      <c r="A58" s="19" t="s">
        <v>56</v>
      </c>
      <c r="B58" s="19"/>
      <c r="C58" s="19"/>
      <c r="D58" s="19"/>
      <c r="E58" s="36">
        <f>(E7*E8)+(E16*E17)+(E25*E26)</f>
        <v>97168.5</v>
      </c>
      <c r="F58" s="36">
        <f>(F7*F8)+(F16*F17)+(F25*F26)</f>
        <v>101443.53562200001</v>
      </c>
      <c r="G58" s="36">
        <f t="shared" ref="G58:H58" si="25">(G7*G8)+(G16*G17)+(G25*G26)</f>
        <v>106089.88063848689</v>
      </c>
      <c r="H58" s="36">
        <f t="shared" si="25"/>
        <v>111144.24846914542</v>
      </c>
      <c r="I58" s="36"/>
      <c r="J58" s="36"/>
      <c r="K58" s="36"/>
      <c r="L58" s="36"/>
      <c r="M58" s="36"/>
      <c r="N58" s="36"/>
      <c r="O58" s="36"/>
      <c r="P58" s="36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1:30" x14ac:dyDescent="0.25">
      <c r="A59" s="20"/>
      <c r="B59" s="20"/>
      <c r="C59" s="20"/>
      <c r="D59" s="20"/>
      <c r="E59" s="5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1:30" x14ac:dyDescent="0.25">
      <c r="A60" s="20" t="s">
        <v>31</v>
      </c>
      <c r="B60" s="20"/>
      <c r="C60" s="20"/>
      <c r="D60" s="20"/>
      <c r="E60" s="5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1:30" x14ac:dyDescent="0.25">
      <c r="A61" s="20"/>
      <c r="B61" s="20" t="s">
        <v>32</v>
      </c>
      <c r="C61" s="20"/>
      <c r="D61" s="20"/>
      <c r="E61" s="36">
        <f t="shared" ref="E61" si="26">E40*E39*E38*E41</f>
        <v>53625</v>
      </c>
      <c r="F61" s="36">
        <f t="shared" ref="F61:H61" si="27">F40*F39*F38*F41</f>
        <v>53625</v>
      </c>
      <c r="G61" s="36">
        <f t="shared" si="27"/>
        <v>53625</v>
      </c>
      <c r="H61" s="36">
        <f t="shared" si="27"/>
        <v>65000</v>
      </c>
      <c r="I61" s="36"/>
      <c r="J61" s="36"/>
      <c r="K61" s="36"/>
      <c r="L61" s="36"/>
      <c r="M61" s="36"/>
      <c r="N61" s="36"/>
      <c r="O61" s="36"/>
      <c r="P61" s="36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1:30" x14ac:dyDescent="0.25">
      <c r="A62" s="20"/>
      <c r="B62" s="20" t="s">
        <v>54</v>
      </c>
      <c r="C62" s="20"/>
      <c r="D62" s="20"/>
      <c r="E62" s="36">
        <f t="shared" ref="E62" si="28">E44+E45</f>
        <v>73000</v>
      </c>
      <c r="F62" s="36">
        <f t="shared" ref="F62:H62" si="29">F44+F45</f>
        <v>73150</v>
      </c>
      <c r="G62" s="36">
        <f t="shared" si="29"/>
        <v>73304.5</v>
      </c>
      <c r="H62" s="36">
        <f t="shared" si="29"/>
        <v>73463.634999999995</v>
      </c>
      <c r="I62" s="36"/>
      <c r="J62" s="36"/>
      <c r="K62" s="36"/>
      <c r="L62" s="36"/>
      <c r="M62" s="36"/>
      <c r="N62" s="36"/>
      <c r="O62" s="36"/>
      <c r="P62" s="36"/>
      <c r="Q62" s="20" t="s">
        <v>96</v>
      </c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1:30" x14ac:dyDescent="0.25">
      <c r="A63" s="20"/>
      <c r="B63" s="20" t="s">
        <v>29</v>
      </c>
      <c r="C63" s="20"/>
      <c r="D63" s="20"/>
      <c r="E63" s="36">
        <f>O63*1.55</f>
        <v>0</v>
      </c>
      <c r="F63" s="36">
        <f>Q63*1.55</f>
        <v>1954.55</v>
      </c>
      <c r="G63" s="36">
        <f t="shared" ref="G63:H63" si="30">F63*$R$63+F63</f>
        <v>1974.0954999999999</v>
      </c>
      <c r="H63" s="36">
        <f t="shared" si="30"/>
        <v>1993.8364549999999</v>
      </c>
      <c r="I63" s="36"/>
      <c r="J63" s="36"/>
      <c r="K63" s="36"/>
      <c r="L63" s="36"/>
      <c r="M63" s="36"/>
      <c r="N63" s="36"/>
      <c r="O63" s="36"/>
      <c r="P63" s="36"/>
      <c r="Q63" s="1">
        <v>1261</v>
      </c>
      <c r="R63" s="23">
        <v>0.01</v>
      </c>
      <c r="S63" s="20" t="s">
        <v>67</v>
      </c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1:30" x14ac:dyDescent="0.25">
      <c r="A64" s="20"/>
      <c r="B64" s="20" t="s">
        <v>33</v>
      </c>
      <c r="C64" s="20"/>
      <c r="D64" s="20"/>
      <c r="E64" s="36">
        <v>100000</v>
      </c>
      <c r="F64" s="36">
        <v>100000</v>
      </c>
      <c r="G64" s="36">
        <v>100000</v>
      </c>
      <c r="H64" s="36">
        <v>100000</v>
      </c>
      <c r="I64" s="36"/>
      <c r="J64" s="36"/>
      <c r="K64" s="36"/>
      <c r="L64" s="36"/>
      <c r="M64" s="36"/>
      <c r="N64" s="36"/>
      <c r="O64" s="36"/>
      <c r="P64" s="36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1:30" x14ac:dyDescent="0.25">
      <c r="A65" s="20"/>
      <c r="B65" s="38" t="s">
        <v>102</v>
      </c>
      <c r="C65" s="19"/>
      <c r="D65" s="19"/>
      <c r="E65" s="36">
        <f t="shared" ref="E65:H65" si="31">SUM(E61:E64)</f>
        <v>226625</v>
      </c>
      <c r="F65" s="36">
        <f t="shared" si="31"/>
        <v>228729.55</v>
      </c>
      <c r="G65" s="36">
        <f t="shared" si="31"/>
        <v>228903.5955</v>
      </c>
      <c r="H65" s="36">
        <f t="shared" si="31"/>
        <v>240457.47145500002</v>
      </c>
      <c r="I65" s="36"/>
      <c r="J65" s="36"/>
      <c r="K65" s="36"/>
      <c r="L65" s="36"/>
      <c r="M65" s="36"/>
      <c r="N65" s="36"/>
      <c r="O65" s="36"/>
      <c r="P65" s="36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1:30" x14ac:dyDescent="0.25">
      <c r="A66" s="20"/>
      <c r="B66" s="20"/>
      <c r="C66" s="20"/>
      <c r="D66" s="20"/>
      <c r="E66" s="5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1:30" x14ac:dyDescent="0.25">
      <c r="A67" s="20" t="s">
        <v>55</v>
      </c>
      <c r="B67" s="20"/>
      <c r="C67" s="20"/>
      <c r="D67" s="20"/>
      <c r="E67" s="59">
        <f>E92*$Q$67</f>
        <v>42627.339579066102</v>
      </c>
      <c r="F67" s="36">
        <f t="shared" ref="F67:H67" si="32">F92*$Q$67</f>
        <v>42859.521564052411</v>
      </c>
      <c r="G67" s="36">
        <f t="shared" si="32"/>
        <v>43750.2722826319</v>
      </c>
      <c r="H67" s="36">
        <f t="shared" si="32"/>
        <v>46397.531836293172</v>
      </c>
      <c r="I67" s="36"/>
      <c r="J67" s="36"/>
      <c r="K67" s="36"/>
      <c r="L67" s="36"/>
      <c r="M67" s="36"/>
      <c r="N67" s="36"/>
      <c r="O67" s="36"/>
      <c r="P67" s="36"/>
      <c r="Q67" s="23">
        <v>0.08</v>
      </c>
      <c r="R67" s="20" t="s">
        <v>109</v>
      </c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1:30" x14ac:dyDescent="0.25">
      <c r="A68" s="20" t="s">
        <v>125</v>
      </c>
      <c r="B68" s="20"/>
      <c r="C68" s="20"/>
      <c r="D68" s="20"/>
      <c r="E68" s="36">
        <f>E83/$Q$68</f>
        <v>8333.3333333333339</v>
      </c>
      <c r="F68" s="36">
        <f t="shared" ref="F68:H68" si="33">F83/$Q$68</f>
        <v>8333.3333333333339</v>
      </c>
      <c r="G68" s="36">
        <f t="shared" si="33"/>
        <v>8333.3333333333339</v>
      </c>
      <c r="H68" s="36">
        <f t="shared" si="33"/>
        <v>8333.3333333333339</v>
      </c>
      <c r="I68" s="36"/>
      <c r="J68" s="36"/>
      <c r="K68" s="36"/>
      <c r="L68" s="36"/>
      <c r="M68" s="36"/>
      <c r="N68" s="36"/>
      <c r="O68" s="36"/>
      <c r="P68" s="36"/>
      <c r="Q68" s="46">
        <v>30</v>
      </c>
      <c r="R68" s="20" t="s">
        <v>126</v>
      </c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1:30" x14ac:dyDescent="0.25">
      <c r="A69" s="20" t="s">
        <v>127</v>
      </c>
      <c r="B69" s="20"/>
      <c r="C69" s="20"/>
      <c r="D69" s="20"/>
      <c r="E69" s="36">
        <f>Mortgage!D28</f>
        <v>7710.8343022375684</v>
      </c>
      <c r="F69" s="36">
        <f>Mortgage!D42</f>
        <v>7590.9634939912848</v>
      </c>
      <c r="G69" s="36">
        <f>Mortgage!D56</f>
        <v>7464.6458075139708</v>
      </c>
      <c r="H69" s="36">
        <f>Mortgage!D70</f>
        <v>7331.5345175308603</v>
      </c>
      <c r="I69" s="36"/>
      <c r="J69" s="36"/>
      <c r="K69" s="36"/>
      <c r="L69" s="36"/>
      <c r="M69" s="36"/>
      <c r="N69" s="36"/>
      <c r="O69" s="36"/>
      <c r="P69" s="36"/>
      <c r="Q69" s="46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1:30" x14ac:dyDescent="0.25">
      <c r="A70" s="20"/>
      <c r="B70" s="20"/>
      <c r="C70" s="20"/>
      <c r="D70" s="20"/>
      <c r="E70" s="5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1:30" x14ac:dyDescent="0.25">
      <c r="A71" s="20" t="s">
        <v>34</v>
      </c>
      <c r="B71" s="20"/>
      <c r="C71" s="20"/>
      <c r="D71" s="20"/>
      <c r="E71" s="36">
        <f>E56-SUM(E65,E67,E58,E68,E69)</f>
        <v>703.49278536310885</v>
      </c>
      <c r="F71" s="36">
        <f t="shared" ref="F71:H71" si="34">F56-SUM(F65,F67,F58,F68,F69)</f>
        <v>-8544.1174840912572</v>
      </c>
      <c r="G71" s="36">
        <f t="shared" si="34"/>
        <v>-16853.940937240084</v>
      </c>
      <c r="H71" s="36">
        <f t="shared" si="34"/>
        <v>-38670.904063999944</v>
      </c>
      <c r="I71" s="36"/>
      <c r="J71" s="36"/>
      <c r="K71" s="36"/>
      <c r="L71" s="36"/>
      <c r="M71" s="36"/>
      <c r="N71" s="36"/>
      <c r="O71" s="36"/>
      <c r="P71" s="36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5">
      <c r="A72" s="20" t="s">
        <v>35</v>
      </c>
      <c r="B72" s="20"/>
      <c r="C72" s="20"/>
      <c r="D72" s="20"/>
      <c r="E72" s="36">
        <f t="shared" ref="E72:H72" si="35">IF(E71&lt;0,0,E71*$Q$72)</f>
        <v>211.04783560893264</v>
      </c>
      <c r="F72" s="36">
        <f t="shared" si="35"/>
        <v>0</v>
      </c>
      <c r="G72" s="36">
        <f t="shared" si="35"/>
        <v>0</v>
      </c>
      <c r="H72" s="36">
        <f t="shared" si="35"/>
        <v>0</v>
      </c>
      <c r="I72" s="36"/>
      <c r="J72" s="36"/>
      <c r="K72" s="36"/>
      <c r="L72" s="36"/>
      <c r="M72" s="36"/>
      <c r="N72" s="36"/>
      <c r="O72" s="36"/>
      <c r="P72" s="36"/>
      <c r="Q72" s="4">
        <v>0.3</v>
      </c>
      <c r="R72" s="20"/>
      <c r="S72" s="20" t="s">
        <v>48</v>
      </c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1:30" x14ac:dyDescent="0.25">
      <c r="A73" s="19" t="s">
        <v>36</v>
      </c>
      <c r="B73" s="20"/>
      <c r="C73" s="20"/>
      <c r="D73" s="20"/>
      <c r="E73" s="36">
        <f>E71-E72</f>
        <v>492.44494975417621</v>
      </c>
      <c r="F73" s="36">
        <f>F71-F72</f>
        <v>-8544.1174840912572</v>
      </c>
      <c r="G73" s="36">
        <f t="shared" ref="G73:H73" si="36">G71-G72</f>
        <v>-16853.940937240084</v>
      </c>
      <c r="H73" s="36">
        <f t="shared" si="36"/>
        <v>-38670.904063999944</v>
      </c>
      <c r="I73" s="36"/>
      <c r="J73" s="36"/>
      <c r="K73" s="36"/>
      <c r="L73" s="36"/>
      <c r="M73" s="36"/>
      <c r="N73" s="36"/>
      <c r="O73" s="36"/>
      <c r="P73" s="36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spans="1:30" x14ac:dyDescent="0.25">
      <c r="A74" s="20"/>
      <c r="B74" s="20"/>
      <c r="C74" s="20"/>
      <c r="D74" s="20"/>
      <c r="E74" s="5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1:30" x14ac:dyDescent="0.25">
      <c r="A75" s="19" t="s">
        <v>37</v>
      </c>
      <c r="B75" s="20"/>
      <c r="C75" s="20"/>
      <c r="D75" s="20"/>
      <c r="E75" s="5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pans="1:30" x14ac:dyDescent="0.25">
      <c r="A76" s="19" t="s">
        <v>38</v>
      </c>
      <c r="B76" s="20"/>
      <c r="C76" s="20"/>
      <c r="D76" s="20"/>
      <c r="E76" s="5"/>
      <c r="F76" s="36"/>
      <c r="G76" s="36"/>
      <c r="H76" s="36"/>
      <c r="I76" s="36"/>
      <c r="J76" s="36" t="s">
        <v>162</v>
      </c>
      <c r="K76" s="36" t="s">
        <v>163</v>
      </c>
      <c r="L76" s="36" t="s">
        <v>164</v>
      </c>
      <c r="M76" s="36"/>
      <c r="N76" s="36"/>
      <c r="O76" s="36"/>
      <c r="P76" s="63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</row>
    <row r="77" spans="1:30" x14ac:dyDescent="0.25">
      <c r="A77" s="20" t="s">
        <v>51</v>
      </c>
      <c r="B77" s="20"/>
      <c r="C77" s="20"/>
      <c r="D77" s="20"/>
      <c r="E77" s="36">
        <v>13313</v>
      </c>
      <c r="F77" s="36">
        <v>13313</v>
      </c>
      <c r="G77" s="36">
        <v>13313</v>
      </c>
      <c r="H77" s="36">
        <v>13313</v>
      </c>
      <c r="I77" s="36"/>
      <c r="J77" s="52">
        <v>1</v>
      </c>
      <c r="K77" s="36"/>
      <c r="L77" s="36">
        <f>H77*J77</f>
        <v>13313</v>
      </c>
      <c r="M77" s="36"/>
      <c r="N77" s="36"/>
      <c r="O77" s="36"/>
      <c r="P77" s="63"/>
      <c r="Q77" s="20" t="s">
        <v>103</v>
      </c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pans="1:30" x14ac:dyDescent="0.25">
      <c r="A78" s="20" t="s">
        <v>50</v>
      </c>
      <c r="B78" s="20"/>
      <c r="C78" s="20"/>
      <c r="D78" s="20"/>
      <c r="E78" s="36"/>
      <c r="F78" s="36"/>
      <c r="G78" s="36"/>
      <c r="H78" s="36"/>
      <c r="I78" s="36"/>
      <c r="J78" s="52">
        <v>1</v>
      </c>
      <c r="K78" s="36"/>
      <c r="L78" s="36">
        <f>H78*J78</f>
        <v>0</v>
      </c>
      <c r="M78" s="36"/>
      <c r="N78" s="36"/>
      <c r="O78" s="36"/>
      <c r="P78" s="63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5">
      <c r="A79" s="20" t="s">
        <v>39</v>
      </c>
      <c r="B79" s="20"/>
      <c r="C79" s="20"/>
      <c r="D79" s="20"/>
      <c r="E79" s="36">
        <f t="shared" ref="E79:H79" si="37">E55/365*E34</f>
        <v>18895.980821917812</v>
      </c>
      <c r="F79" s="36">
        <f t="shared" si="37"/>
        <v>18933.812675585537</v>
      </c>
      <c r="G79" s="36">
        <f t="shared" si="37"/>
        <v>18968.214149168562</v>
      </c>
      <c r="H79" s="36">
        <f t="shared" si="37"/>
        <v>18999.304973972226</v>
      </c>
      <c r="I79" s="36"/>
      <c r="J79" s="52">
        <v>0.75</v>
      </c>
      <c r="K79" s="36"/>
      <c r="L79" s="36">
        <f t="shared" ref="L79:L80" si="38">H79*J79</f>
        <v>14249.47873047917</v>
      </c>
      <c r="M79" s="36"/>
      <c r="N79" s="36"/>
      <c r="O79" s="36"/>
      <c r="P79" s="63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</row>
    <row r="80" spans="1:30" x14ac:dyDescent="0.25">
      <c r="A80" s="20" t="s">
        <v>40</v>
      </c>
      <c r="B80" s="20"/>
      <c r="C80" s="20"/>
      <c r="D80" s="20"/>
      <c r="E80" s="39">
        <f t="shared" ref="E80:H80" si="39">E58/365*E32</f>
        <v>13310.753424657534</v>
      </c>
      <c r="F80" s="36">
        <f t="shared" si="39"/>
        <v>13757.41099531233</v>
      </c>
      <c r="G80" s="36">
        <f t="shared" si="39"/>
        <v>14243.656440243974</v>
      </c>
      <c r="H80" s="36">
        <f t="shared" si="39"/>
        <v>14773.034677447033</v>
      </c>
      <c r="I80" s="36"/>
      <c r="J80" s="52">
        <v>0.75</v>
      </c>
      <c r="K80" s="36"/>
      <c r="L80" s="36">
        <f t="shared" si="38"/>
        <v>11079.776008085275</v>
      </c>
      <c r="M80" s="36"/>
      <c r="N80" s="36"/>
      <c r="O80" s="36"/>
      <c r="P80" s="63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</row>
    <row r="81" spans="1:30" x14ac:dyDescent="0.25">
      <c r="A81" s="20"/>
      <c r="B81" s="20"/>
      <c r="C81" s="20"/>
      <c r="D81" s="20"/>
      <c r="E81" s="39"/>
      <c r="F81" s="36"/>
      <c r="G81" s="36"/>
      <c r="H81" s="36"/>
      <c r="I81" s="36"/>
      <c r="J81" s="52"/>
      <c r="K81" s="36"/>
      <c r="L81" s="36"/>
      <c r="M81" s="36"/>
      <c r="N81" s="36"/>
      <c r="O81" s="36"/>
      <c r="P81" s="63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1:30" x14ac:dyDescent="0.25">
      <c r="A82" s="20" t="s">
        <v>120</v>
      </c>
      <c r="B82" s="20"/>
      <c r="C82" s="20"/>
      <c r="D82" s="20"/>
      <c r="E82" s="5">
        <v>450000</v>
      </c>
      <c r="F82" s="5">
        <v>450000</v>
      </c>
      <c r="G82" s="5">
        <v>450000</v>
      </c>
      <c r="H82" s="5">
        <v>450000</v>
      </c>
      <c r="I82" s="5"/>
      <c r="J82" s="52">
        <v>0.85</v>
      </c>
      <c r="K82" s="5">
        <f>H82*J82</f>
        <v>382500</v>
      </c>
      <c r="L82" s="36"/>
      <c r="M82" s="5"/>
      <c r="N82" s="5"/>
      <c r="O82" s="5"/>
      <c r="P82" s="64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1:30" x14ac:dyDescent="0.25">
      <c r="A83" s="20" t="s">
        <v>121</v>
      </c>
      <c r="B83" s="20"/>
      <c r="C83" s="20"/>
      <c r="D83" s="20"/>
      <c r="E83" s="5">
        <v>250000</v>
      </c>
      <c r="F83" s="5">
        <v>250000</v>
      </c>
      <c r="G83" s="5">
        <v>250000</v>
      </c>
      <c r="H83" s="5">
        <v>250000</v>
      </c>
      <c r="I83" s="5"/>
      <c r="J83" s="52">
        <v>0.85</v>
      </c>
      <c r="K83" s="5">
        <f t="shared" ref="K83" si="40">H83*J83</f>
        <v>212500</v>
      </c>
      <c r="L83" s="36"/>
      <c r="M83" s="5"/>
      <c r="N83" s="5"/>
      <c r="O83" s="5"/>
      <c r="P83" s="64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1:30" x14ac:dyDescent="0.25">
      <c r="A84" s="20" t="s">
        <v>122</v>
      </c>
      <c r="B84" s="20"/>
      <c r="C84" s="20"/>
      <c r="D84" s="20"/>
      <c r="E84" s="47">
        <f>D84+E68</f>
        <v>8333.3333333333339</v>
      </c>
      <c r="F84" s="47">
        <f>E84+F68</f>
        <v>16666.666666666668</v>
      </c>
      <c r="G84" s="47">
        <f t="shared" ref="G84:H84" si="41">F84+G68</f>
        <v>25000</v>
      </c>
      <c r="H84" s="47">
        <f t="shared" si="41"/>
        <v>33333.333333333336</v>
      </c>
      <c r="I84" s="47"/>
      <c r="J84" s="52"/>
      <c r="K84" s="5"/>
      <c r="L84" s="5"/>
      <c r="M84" s="47"/>
      <c r="N84" s="47"/>
      <c r="O84" s="47"/>
      <c r="P84" s="65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1:30" x14ac:dyDescent="0.25">
      <c r="A85" s="20"/>
      <c r="B85" s="20"/>
      <c r="C85" s="20"/>
      <c r="D85" s="20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63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x14ac:dyDescent="0.25">
      <c r="A86" s="19" t="s">
        <v>42</v>
      </c>
      <c r="B86" s="20"/>
      <c r="C86" s="20"/>
      <c r="D86" s="20"/>
      <c r="E86" s="36">
        <f>SUM(E77:E83)-E84</f>
        <v>737186.4009132419</v>
      </c>
      <c r="F86" s="36">
        <f t="shared" ref="F86:H86" si="42">SUM(F77:F83)-F84</f>
        <v>729337.55700423126</v>
      </c>
      <c r="G86" s="36">
        <f t="shared" si="42"/>
        <v>721524.87058941252</v>
      </c>
      <c r="H86" s="36">
        <f t="shared" si="42"/>
        <v>713752.00631808594</v>
      </c>
      <c r="I86" s="36"/>
      <c r="J86" s="36"/>
      <c r="K86" s="36"/>
      <c r="L86" s="36"/>
      <c r="M86" s="36"/>
      <c r="N86" s="36"/>
      <c r="O86" s="36"/>
      <c r="P86" s="63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1:30" x14ac:dyDescent="0.25">
      <c r="A87" s="20"/>
      <c r="B87" s="20"/>
      <c r="C87" s="20"/>
      <c r="D87" s="20"/>
      <c r="E87" s="5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63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pans="1:30" x14ac:dyDescent="0.25">
      <c r="A88" s="19" t="s">
        <v>41</v>
      </c>
      <c r="B88" s="20"/>
      <c r="C88" s="20"/>
      <c r="D88" s="20"/>
      <c r="P88" s="66"/>
      <c r="Q88" s="20" t="s">
        <v>107</v>
      </c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1:30" x14ac:dyDescent="0.25">
      <c r="A89" s="20" t="s">
        <v>43</v>
      </c>
      <c r="B89" s="20"/>
      <c r="C89" s="20"/>
      <c r="D89" s="20"/>
      <c r="E89" s="36">
        <f t="shared" ref="E89:H89" si="43">E72</f>
        <v>211.04783560893264</v>
      </c>
      <c r="F89" s="36">
        <f t="shared" si="43"/>
        <v>0</v>
      </c>
      <c r="G89" s="36">
        <f t="shared" si="43"/>
        <v>0</v>
      </c>
      <c r="H89" s="36">
        <f t="shared" si="43"/>
        <v>0</v>
      </c>
      <c r="I89" s="36"/>
      <c r="J89" s="36"/>
      <c r="K89" s="36"/>
      <c r="L89" s="36"/>
      <c r="M89" s="36"/>
      <c r="N89" s="36"/>
      <c r="O89" s="36"/>
      <c r="P89" s="63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pans="1:30" x14ac:dyDescent="0.25">
      <c r="A90" s="20" t="s">
        <v>44</v>
      </c>
      <c r="B90" s="20"/>
      <c r="C90" s="20"/>
      <c r="D90" s="20"/>
      <c r="E90" s="36">
        <f t="shared" ref="E90:H90" si="44">E58/365*E36</f>
        <v>7986.4520547945203</v>
      </c>
      <c r="F90" s="36">
        <f t="shared" si="44"/>
        <v>8337.8248456438359</v>
      </c>
      <c r="G90" s="36">
        <f t="shared" si="44"/>
        <v>8719.7162168619379</v>
      </c>
      <c r="H90" s="36">
        <f t="shared" si="44"/>
        <v>9135.1437097927737</v>
      </c>
      <c r="I90" s="36"/>
      <c r="J90" s="36"/>
      <c r="K90" s="36"/>
      <c r="L90" s="36"/>
      <c r="M90" s="36"/>
      <c r="N90" s="36"/>
      <c r="O90" s="36"/>
      <c r="P90" s="63"/>
      <c r="Q90" s="20"/>
      <c r="R90" s="20"/>
      <c r="S90" s="20"/>
      <c r="T90" s="19" t="s">
        <v>157</v>
      </c>
      <c r="U90" s="20" t="s">
        <v>158</v>
      </c>
      <c r="V90" s="53">
        <v>2.6200000000000001E-2</v>
      </c>
      <c r="W90" s="20"/>
      <c r="X90" s="20"/>
      <c r="Y90" s="20"/>
      <c r="Z90" s="20"/>
      <c r="AA90" s="20"/>
      <c r="AB90" s="20"/>
    </row>
    <row r="91" spans="1:30" x14ac:dyDescent="0.25">
      <c r="A91" s="20"/>
      <c r="B91" s="20"/>
      <c r="C91" s="20"/>
      <c r="D91" s="20"/>
      <c r="J91" s="52">
        <v>-1</v>
      </c>
      <c r="L91" s="62">
        <f>H90*J91</f>
        <v>-9135.1437097927737</v>
      </c>
      <c r="N91" s="36"/>
      <c r="P91" s="66"/>
      <c r="R91" s="20"/>
      <c r="S91" s="20"/>
      <c r="T91" s="19" t="s">
        <v>159</v>
      </c>
      <c r="U91" s="20" t="s">
        <v>158</v>
      </c>
      <c r="V91" s="53">
        <v>7.3999999999999996E-2</v>
      </c>
      <c r="W91" s="20"/>
      <c r="X91" s="20"/>
      <c r="Y91" s="20"/>
      <c r="Z91" s="20"/>
      <c r="AA91" s="20"/>
      <c r="AB91" s="20"/>
    </row>
    <row r="92" spans="1:30" x14ac:dyDescent="0.25">
      <c r="A92" s="20" t="s">
        <v>52</v>
      </c>
      <c r="B92" s="20"/>
      <c r="C92" s="20"/>
      <c r="D92" s="20"/>
      <c r="E92" s="36">
        <v>532841.74473832629</v>
      </c>
      <c r="F92" s="36">
        <v>535744.01955065515</v>
      </c>
      <c r="G92" s="36">
        <v>546878.40353289875</v>
      </c>
      <c r="H92" s="36">
        <v>579969.14795366465</v>
      </c>
      <c r="I92" s="36"/>
      <c r="J92" s="36"/>
      <c r="K92" s="58"/>
      <c r="L92" s="58"/>
      <c r="M92" s="36"/>
      <c r="N92" s="36"/>
      <c r="O92" s="36"/>
      <c r="P92" s="63"/>
      <c r="Q92" s="20"/>
      <c r="R92" s="20"/>
      <c r="S92" s="20"/>
      <c r="T92" s="56"/>
      <c r="U92" s="44"/>
      <c r="V92" s="44"/>
      <c r="W92" s="44"/>
      <c r="X92" s="44"/>
      <c r="Y92" s="20"/>
      <c r="Z92" s="20"/>
      <c r="AA92" s="20"/>
      <c r="AB92" s="20"/>
    </row>
    <row r="93" spans="1:30" x14ac:dyDescent="0.25">
      <c r="A93" s="20" t="s">
        <v>124</v>
      </c>
      <c r="B93" s="20"/>
      <c r="C93" s="20"/>
      <c r="D93" s="20"/>
      <c r="E93" s="36">
        <f>Mortgage!F27</f>
        <v>145656.08828683221</v>
      </c>
      <c r="F93" s="36">
        <f>Mortgage!F41</f>
        <v>143307.38514226928</v>
      </c>
      <c r="G93" s="36">
        <f>Mortgage!F55</f>
        <v>140832.36431122906</v>
      </c>
      <c r="H93" s="36">
        <f>Mortgage!F69</f>
        <v>138224.23219020577</v>
      </c>
      <c r="I93" s="36"/>
      <c r="J93" s="75" t="s">
        <v>165</v>
      </c>
      <c r="K93" s="36">
        <f>SUM(K77:K92)</f>
        <v>595000</v>
      </c>
      <c r="L93" s="36">
        <f>SUM(L77:L92)</f>
        <v>29507.111028771669</v>
      </c>
      <c r="M93" s="36"/>
      <c r="N93" s="36"/>
      <c r="O93" s="36"/>
      <c r="P93" s="63"/>
      <c r="Q93" s="20"/>
      <c r="R93" s="20"/>
      <c r="S93" s="20"/>
      <c r="T93" s="56" t="s">
        <v>156</v>
      </c>
      <c r="U93" s="44"/>
      <c r="V93" s="53">
        <f>V90+V99*(V91-V90)</f>
        <v>0.27551796110251126</v>
      </c>
      <c r="W93" s="44"/>
      <c r="X93" s="44"/>
      <c r="Y93" s="20"/>
      <c r="Z93" s="20"/>
      <c r="AA93" s="20"/>
      <c r="AB93" s="20"/>
    </row>
    <row r="94" spans="1:30" x14ac:dyDescent="0.25">
      <c r="A94" s="20"/>
      <c r="B94" s="20"/>
      <c r="C94" s="20"/>
      <c r="D94" s="20"/>
      <c r="E94" s="5"/>
      <c r="F94" s="36"/>
      <c r="G94" s="36"/>
      <c r="H94" s="36"/>
      <c r="I94" s="36"/>
      <c r="J94" s="75" t="s">
        <v>166</v>
      </c>
      <c r="K94" s="36"/>
      <c r="L94" s="36">
        <f>K93-H93</f>
        <v>456775.76780979423</v>
      </c>
      <c r="M94" s="36"/>
      <c r="N94" s="36"/>
      <c r="O94" s="36"/>
      <c r="P94" s="63"/>
      <c r="Q94" s="20"/>
      <c r="R94" s="20"/>
      <c r="S94" s="20"/>
      <c r="T94" s="19" t="s">
        <v>154</v>
      </c>
      <c r="U94" s="20"/>
      <c r="V94" s="52">
        <f>SUM(AVERAGE(E92:O92),AVERAGE(E93:O93))/AB94</f>
        <v>0.8636324045162207</v>
      </c>
      <c r="W94" s="20"/>
      <c r="X94" s="20"/>
      <c r="Y94" s="19" t="s">
        <v>161</v>
      </c>
      <c r="Z94" s="20"/>
      <c r="AA94" s="20"/>
      <c r="AB94" s="33">
        <f>SUM(AVERAGE(E92:O92),AVERAGE(E93:O93))+SUM(AVERAGE(E95:O95),AVERAGE(E96:O96))</f>
        <v>865660.96315313666</v>
      </c>
    </row>
    <row r="95" spans="1:30" x14ac:dyDescent="0.25">
      <c r="A95" s="20" t="s">
        <v>53</v>
      </c>
      <c r="B95" s="20"/>
      <c r="C95" s="20"/>
      <c r="D95" s="20"/>
      <c r="E95" s="36">
        <v>49999</v>
      </c>
      <c r="F95" s="36">
        <v>50000</v>
      </c>
      <c r="G95" s="36">
        <v>50000</v>
      </c>
      <c r="H95" s="36">
        <v>50000</v>
      </c>
      <c r="I95" s="36"/>
      <c r="J95" s="75" t="s">
        <v>167</v>
      </c>
      <c r="K95" s="36"/>
      <c r="L95" s="36">
        <v>2000</v>
      </c>
      <c r="M95" s="36"/>
      <c r="N95" s="36"/>
      <c r="O95" s="36"/>
      <c r="P95" s="63"/>
      <c r="Q95" s="20" t="s">
        <v>108</v>
      </c>
      <c r="R95" s="20"/>
      <c r="S95" s="20"/>
      <c r="T95" s="19" t="s">
        <v>155</v>
      </c>
      <c r="U95" s="20"/>
      <c r="V95" s="52">
        <f>SUM(AVERAGE(E95:O95),AVERAGE(E96:O96))/AB94</f>
        <v>0.13636759548377933</v>
      </c>
      <c r="W95" s="20"/>
      <c r="X95" s="20"/>
      <c r="Y95" s="20"/>
      <c r="Z95" s="20"/>
      <c r="AA95" s="20"/>
      <c r="AB95" s="20"/>
    </row>
    <row r="96" spans="1:30" x14ac:dyDescent="0.25">
      <c r="A96" s="20" t="s">
        <v>45</v>
      </c>
      <c r="B96" s="20"/>
      <c r="C96" s="20"/>
      <c r="D96" s="20"/>
      <c r="E96" s="36">
        <f>E73</f>
        <v>492.44494975417621</v>
      </c>
      <c r="F96" s="36">
        <f>F73+E96</f>
        <v>-8051.6725343370808</v>
      </c>
      <c r="G96" s="36">
        <f t="shared" ref="G96:H96" si="45">F96+G73</f>
        <v>-24905.613471577166</v>
      </c>
      <c r="H96" s="36">
        <f t="shared" si="45"/>
        <v>-63576.517535577106</v>
      </c>
      <c r="I96" s="36"/>
      <c r="J96" s="75" t="s">
        <v>165</v>
      </c>
      <c r="K96" s="36"/>
      <c r="L96" s="36">
        <f>L93+L94-L95</f>
        <v>484282.8788385659</v>
      </c>
      <c r="M96" s="36"/>
      <c r="N96" s="36"/>
      <c r="O96" s="36"/>
      <c r="P96" s="63"/>
      <c r="Q96" s="20"/>
      <c r="R96" s="20"/>
      <c r="S96" s="20"/>
      <c r="T96" s="19" t="s">
        <v>160</v>
      </c>
      <c r="U96" s="20"/>
      <c r="V96" s="53">
        <f>SUM(Q67,Mortgage!I1)*(1-Bankruptcy!Q72)</f>
        <v>9.2749999999999999E-2</v>
      </c>
      <c r="W96" s="20"/>
      <c r="X96" s="20"/>
      <c r="Y96" s="20"/>
      <c r="Z96" s="20"/>
      <c r="AA96" s="20"/>
      <c r="AB96" s="20"/>
    </row>
    <row r="97" spans="1:30" x14ac:dyDescent="0.25">
      <c r="A97" s="20"/>
      <c r="B97" s="20"/>
      <c r="C97" s="20"/>
      <c r="D97" s="20"/>
      <c r="E97" s="5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63"/>
      <c r="T97" s="19"/>
      <c r="U97" s="20"/>
      <c r="V97" s="20"/>
      <c r="W97" s="20"/>
      <c r="X97" s="20"/>
      <c r="Y97" s="20"/>
      <c r="Z97" s="20"/>
      <c r="AA97" s="20"/>
      <c r="AB97" s="20"/>
    </row>
    <row r="98" spans="1:30" x14ac:dyDescent="0.25">
      <c r="A98" s="19" t="s">
        <v>46</v>
      </c>
      <c r="B98" s="20"/>
      <c r="C98" s="20"/>
      <c r="D98" s="20"/>
      <c r="E98" s="36">
        <f t="shared" ref="E98:H98" si="46">SUM(E89:E96)</f>
        <v>737186.77786531614</v>
      </c>
      <c r="F98" s="36">
        <f t="shared" si="46"/>
        <v>729337.55700423126</v>
      </c>
      <c r="G98" s="36">
        <f t="shared" si="46"/>
        <v>721524.87058941263</v>
      </c>
      <c r="H98" s="36">
        <f t="shared" si="46"/>
        <v>713752.00631808606</v>
      </c>
      <c r="I98" s="36"/>
      <c r="J98" s="36"/>
      <c r="K98" s="76" t="s">
        <v>163</v>
      </c>
      <c r="L98" s="76" t="s">
        <v>168</v>
      </c>
      <c r="M98" s="76" t="s">
        <v>169</v>
      </c>
      <c r="N98" s="76" t="s">
        <v>164</v>
      </c>
      <c r="O98" s="76" t="s">
        <v>170</v>
      </c>
      <c r="P98" s="77" t="s">
        <v>171</v>
      </c>
      <c r="T98" s="19" t="s">
        <v>123</v>
      </c>
      <c r="U98" s="20"/>
      <c r="V98" s="20">
        <v>0.96</v>
      </c>
      <c r="W98" s="20"/>
      <c r="X98" s="20"/>
      <c r="Y98" s="20"/>
      <c r="Z98" s="20"/>
      <c r="AA98" s="20"/>
      <c r="AB98" s="20"/>
    </row>
    <row r="99" spans="1:30" x14ac:dyDescent="0.25">
      <c r="A99" s="44"/>
      <c r="B99" s="44"/>
      <c r="C99" s="44"/>
      <c r="D99" s="44"/>
      <c r="E99" s="60"/>
      <c r="F99" s="45"/>
      <c r="G99" s="45"/>
      <c r="H99" s="45"/>
      <c r="I99" s="45"/>
      <c r="J99" s="78" t="s">
        <v>179</v>
      </c>
      <c r="K99" s="45">
        <f>H93</f>
        <v>138224.23219020577</v>
      </c>
      <c r="L99" s="45">
        <f>H93-K99</f>
        <v>0</v>
      </c>
      <c r="M99" s="52">
        <f>L99/L101</f>
        <v>0</v>
      </c>
      <c r="N99" s="45">
        <f>L96*M99</f>
        <v>0</v>
      </c>
      <c r="O99" s="45">
        <f>K99+N99</f>
        <v>138224.23219020577</v>
      </c>
      <c r="P99" s="68">
        <f>O99/H93</f>
        <v>1</v>
      </c>
      <c r="T99" s="19" t="s">
        <v>153</v>
      </c>
      <c r="U99" s="20"/>
      <c r="V99" s="51">
        <f>V98*(1+(1-Q72)*V94/V95)</f>
        <v>5.2158569268307806</v>
      </c>
      <c r="W99" s="20"/>
      <c r="X99" s="20"/>
      <c r="Y99" s="20"/>
      <c r="Z99" s="20"/>
      <c r="AA99" s="20"/>
      <c r="AB99" s="20"/>
    </row>
    <row r="100" spans="1:30" x14ac:dyDescent="0.25">
      <c r="A100" s="44" t="s">
        <v>47</v>
      </c>
      <c r="B100" s="44"/>
      <c r="C100" s="44"/>
      <c r="D100" s="44"/>
      <c r="E100" s="45">
        <f>E86-E98</f>
        <v>-0.37695207423530519</v>
      </c>
      <c r="F100" s="45">
        <f t="shared" ref="F100:H100" si="47">F86-F98</f>
        <v>0</v>
      </c>
      <c r="G100" s="45">
        <f t="shared" si="47"/>
        <v>0</v>
      </c>
      <c r="H100" s="45">
        <f t="shared" si="47"/>
        <v>0</v>
      </c>
      <c r="I100" s="45"/>
      <c r="J100" s="78" t="s">
        <v>180</v>
      </c>
      <c r="K100" s="45"/>
      <c r="L100" s="45">
        <f>H92-K100</f>
        <v>579969.14795366465</v>
      </c>
      <c r="M100" s="52">
        <f>L100/L101</f>
        <v>1</v>
      </c>
      <c r="N100" s="69">
        <f>L96*M100</f>
        <v>484282.8788385659</v>
      </c>
      <c r="O100" s="45">
        <f>K100+N100</f>
        <v>484282.8788385659</v>
      </c>
      <c r="P100" s="68">
        <f>O100/H92</f>
        <v>0.8350148978566988</v>
      </c>
      <c r="AB100" s="20"/>
      <c r="AC100" s="20"/>
      <c r="AD100" s="20"/>
    </row>
    <row r="101" spans="1:30" x14ac:dyDescent="0.25">
      <c r="A101" s="57"/>
      <c r="B101" s="57"/>
      <c r="C101" s="57"/>
      <c r="D101" s="57"/>
      <c r="E101" s="61"/>
      <c r="F101" s="58"/>
      <c r="G101" s="58"/>
      <c r="H101" s="58"/>
      <c r="I101" s="58"/>
      <c r="J101" s="58"/>
      <c r="K101" s="58"/>
      <c r="L101" s="58">
        <f>SUM(L99:L100)</f>
        <v>579969.14795366465</v>
      </c>
      <c r="M101" s="58"/>
      <c r="N101" s="58"/>
      <c r="O101" s="58"/>
      <c r="P101" s="67"/>
      <c r="AB101" s="20"/>
      <c r="AC101" s="20"/>
      <c r="AD101" s="20"/>
    </row>
    <row r="102" spans="1:30" x14ac:dyDescent="0.25">
      <c r="A102" s="20"/>
      <c r="B102" s="20"/>
      <c r="C102" s="19" t="s">
        <v>113</v>
      </c>
      <c r="D102" s="19"/>
      <c r="E102" s="20"/>
      <c r="F102" s="32"/>
      <c r="G102" s="32"/>
      <c r="H102" s="32"/>
      <c r="I102" s="32"/>
      <c r="J102" s="32"/>
      <c r="K102" s="32"/>
      <c r="L102" s="32"/>
      <c r="M102" s="32"/>
      <c r="N102" s="20"/>
      <c r="O102" s="20"/>
      <c r="P102" s="20"/>
      <c r="AB102" s="20"/>
      <c r="AC102" s="20"/>
      <c r="AD102" s="20"/>
    </row>
    <row r="103" spans="1:30" x14ac:dyDescent="0.25">
      <c r="A103" s="20"/>
      <c r="B103" s="20"/>
      <c r="C103" s="20"/>
      <c r="D103" s="20"/>
      <c r="E103" s="20"/>
      <c r="F103" s="32"/>
      <c r="G103" s="32"/>
      <c r="H103" s="32"/>
      <c r="I103" s="32"/>
      <c r="J103" s="32"/>
      <c r="K103" s="32"/>
      <c r="L103" s="32"/>
      <c r="M103" s="32"/>
      <c r="N103" s="20"/>
      <c r="O103" s="20"/>
      <c r="P103" s="20"/>
      <c r="AB103" s="20"/>
      <c r="AC103" s="20"/>
      <c r="AD103" s="20"/>
    </row>
    <row r="104" spans="1:30" x14ac:dyDescent="0.25">
      <c r="A104" s="20"/>
      <c r="B104" s="20"/>
      <c r="C104" s="41" t="s">
        <v>119</v>
      </c>
      <c r="D104" s="41"/>
      <c r="E104" s="20"/>
      <c r="F104" s="32"/>
      <c r="G104" s="32"/>
      <c r="H104" s="32"/>
      <c r="I104" s="32"/>
      <c r="J104" s="32"/>
      <c r="K104" s="32"/>
      <c r="L104" s="32"/>
      <c r="M104" s="32"/>
      <c r="N104" s="20"/>
      <c r="O104" s="20"/>
      <c r="P104" s="20"/>
      <c r="AB104" s="20"/>
      <c r="AC104" s="20"/>
      <c r="AD104" s="20"/>
    </row>
    <row r="105" spans="1:30" x14ac:dyDescent="0.25">
      <c r="A105" s="20"/>
      <c r="B105" s="20"/>
      <c r="C105" t="s">
        <v>114</v>
      </c>
      <c r="D105"/>
      <c r="E105" s="43">
        <f t="shared" ref="E105:H105" si="48">E56-E58-E65</f>
        <v>59375.000000000058</v>
      </c>
      <c r="F105" s="43">
        <f t="shared" si="48"/>
        <v>50239.700907285733</v>
      </c>
      <c r="G105" s="43">
        <f t="shared" si="48"/>
        <v>42694.31048623909</v>
      </c>
      <c r="H105" s="43">
        <f t="shared" si="48"/>
        <v>23391.495623157331</v>
      </c>
      <c r="I105" s="43"/>
      <c r="J105" s="43"/>
      <c r="K105" s="70" t="s">
        <v>172</v>
      </c>
      <c r="L105" s="43"/>
      <c r="M105" s="41">
        <v>0</v>
      </c>
      <c r="N105" s="41">
        <v>1</v>
      </c>
      <c r="O105" s="41">
        <v>2</v>
      </c>
      <c r="P105" s="41">
        <v>3</v>
      </c>
      <c r="Q105" s="41">
        <v>4</v>
      </c>
      <c r="AB105" s="20"/>
      <c r="AC105" s="20"/>
      <c r="AD105" s="20"/>
    </row>
    <row r="106" spans="1:30" x14ac:dyDescent="0.25">
      <c r="A106" s="20"/>
      <c r="B106" s="20"/>
      <c r="C106" t="s">
        <v>115</v>
      </c>
      <c r="D106"/>
      <c r="E106" s="33">
        <f>E68</f>
        <v>8333.3333333333339</v>
      </c>
      <c r="F106" s="33">
        <f t="shared" ref="F106:H106" si="49">F68</f>
        <v>8333.3333333333339</v>
      </c>
      <c r="G106" s="33">
        <f t="shared" si="49"/>
        <v>8333.3333333333339</v>
      </c>
      <c r="H106" s="33">
        <f t="shared" si="49"/>
        <v>8333.3333333333339</v>
      </c>
      <c r="I106" s="33"/>
      <c r="J106" s="33"/>
      <c r="K106" s="33" t="s">
        <v>137</v>
      </c>
      <c r="L106" s="74" t="s">
        <v>173</v>
      </c>
      <c r="M106" s="33">
        <f>-(E93-D93)</f>
        <v>-145656.08828683221</v>
      </c>
      <c r="N106" s="33">
        <f t="shared" ref="N106:P106" si="50">-(F93-E93)</f>
        <v>2348.7031445629254</v>
      </c>
      <c r="O106" s="33">
        <f t="shared" si="50"/>
        <v>2475.0208310402231</v>
      </c>
      <c r="P106" s="33">
        <f t="shared" si="50"/>
        <v>2608.1321210232854</v>
      </c>
      <c r="AB106" s="20"/>
      <c r="AC106" s="20"/>
      <c r="AD106" s="20"/>
    </row>
    <row r="107" spans="1:30" x14ac:dyDescent="0.25">
      <c r="A107" s="20"/>
      <c r="B107" s="20"/>
      <c r="C107" t="s">
        <v>116</v>
      </c>
      <c r="D107"/>
      <c r="E107" s="43">
        <f>E105-E106</f>
        <v>51041.666666666722</v>
      </c>
      <c r="F107" s="43">
        <f t="shared" ref="F107:H107" si="51">F105-F106</f>
        <v>41906.367573952397</v>
      </c>
      <c r="G107" s="43">
        <f t="shared" si="51"/>
        <v>34360.977152905754</v>
      </c>
      <c r="H107" s="43">
        <f t="shared" si="51"/>
        <v>15058.162289823997</v>
      </c>
      <c r="I107" s="43"/>
      <c r="J107" s="43"/>
      <c r="K107" s="43" t="s">
        <v>140</v>
      </c>
      <c r="L107" s="70" t="s">
        <v>174</v>
      </c>
      <c r="M107" s="43"/>
      <c r="N107" s="43"/>
      <c r="O107" s="43"/>
      <c r="P107" s="43"/>
      <c r="Q107" s="33">
        <f>O99</f>
        <v>138224.23219020577</v>
      </c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1:30" x14ac:dyDescent="0.25">
      <c r="A108" s="20"/>
      <c r="B108" s="20"/>
      <c r="C108" t="s">
        <v>117</v>
      </c>
      <c r="D108"/>
      <c r="E108" s="5">
        <f>$Q$72*E107</f>
        <v>15312.500000000016</v>
      </c>
      <c r="F108" s="5">
        <f t="shared" ref="F108:H108" si="52">$Q$72*F107</f>
        <v>12571.910272185718</v>
      </c>
      <c r="G108" s="5">
        <f t="shared" si="52"/>
        <v>10308.293145871727</v>
      </c>
      <c r="H108" s="5">
        <f t="shared" si="52"/>
        <v>4517.4486869471984</v>
      </c>
      <c r="I108" s="5"/>
      <c r="J108" s="5"/>
      <c r="K108" s="5" t="s">
        <v>140</v>
      </c>
      <c r="L108" s="80" t="s">
        <v>175</v>
      </c>
      <c r="M108" s="5"/>
      <c r="N108" s="5">
        <f>E69</f>
        <v>7710.8343022375684</v>
      </c>
      <c r="O108" s="5">
        <f>F69</f>
        <v>7590.9634939912848</v>
      </c>
      <c r="P108" s="5">
        <f t="shared" ref="P108:Q108" si="53">G69</f>
        <v>7464.6458075139708</v>
      </c>
      <c r="Q108" s="5">
        <f t="shared" si="53"/>
        <v>7331.5345175308603</v>
      </c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1:30" x14ac:dyDescent="0.25">
      <c r="A109" s="20"/>
      <c r="B109" s="20"/>
      <c r="C109" s="40" t="s">
        <v>118</v>
      </c>
      <c r="D109" s="40"/>
      <c r="E109" s="5">
        <f>E105-E108</f>
        <v>44062.500000000044</v>
      </c>
      <c r="F109" s="5">
        <f t="shared" ref="F109:H109" si="54">F105-F108</f>
        <v>37667.790635100013</v>
      </c>
      <c r="G109" s="5">
        <f t="shared" si="54"/>
        <v>32386.017340367362</v>
      </c>
      <c r="H109" s="5">
        <f t="shared" si="54"/>
        <v>18874.046936210132</v>
      </c>
      <c r="I109" s="5"/>
      <c r="J109" s="5"/>
      <c r="K109" s="5"/>
      <c r="L109" s="80" t="s">
        <v>165</v>
      </c>
      <c r="M109" s="5">
        <f>SUM(M106:M108)</f>
        <v>-145656.08828683221</v>
      </c>
      <c r="N109" s="5">
        <f t="shared" ref="N109:O109" si="55">SUM(N106:N108)</f>
        <v>10059.537446800494</v>
      </c>
      <c r="O109" s="5">
        <f t="shared" si="55"/>
        <v>10065.984325031508</v>
      </c>
      <c r="P109" s="5">
        <f>SUM(P106:P108)</f>
        <v>10072.777928537256</v>
      </c>
      <c r="Q109" s="5">
        <f>SUM(Q106:Q108)</f>
        <v>145555.76670773662</v>
      </c>
      <c r="R109" s="20"/>
      <c r="S109" s="20" t="s">
        <v>176</v>
      </c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1:30" x14ac:dyDescent="0.25">
      <c r="A110" s="20"/>
      <c r="B110" s="20"/>
      <c r="C110" s="20"/>
      <c r="D110" s="20"/>
      <c r="E110" s="20"/>
      <c r="F110" s="32"/>
      <c r="G110" s="32"/>
      <c r="H110" s="32"/>
      <c r="I110" s="32"/>
      <c r="J110" s="32"/>
      <c r="K110" s="32"/>
      <c r="L110" s="75" t="s">
        <v>149</v>
      </c>
      <c r="M110" s="53">
        <f>IRR(M109:Q109)</f>
        <v>5.2985335357142782E-2</v>
      </c>
      <c r="N110" s="20"/>
      <c r="O110" s="20"/>
      <c r="P110" s="20"/>
      <c r="Q110" s="20"/>
      <c r="R110" s="20"/>
      <c r="S110" s="20">
        <v>0.05</v>
      </c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1:30" x14ac:dyDescent="0.25">
      <c r="A111" s="20"/>
      <c r="C111" s="40" t="s">
        <v>135</v>
      </c>
      <c r="D111"/>
      <c r="F111" s="3"/>
      <c r="G111" s="3"/>
      <c r="H111" s="3"/>
      <c r="I111" s="3"/>
      <c r="J111" s="3"/>
      <c r="K111" s="3"/>
      <c r="L111" s="72" t="s">
        <v>177</v>
      </c>
      <c r="M111" s="53">
        <f>Mortgage!I1</f>
        <v>5.2499999999999998E-2</v>
      </c>
      <c r="S111" s="1">
        <v>0.95</v>
      </c>
    </row>
    <row r="112" spans="1:30" x14ac:dyDescent="0.25">
      <c r="C112" s="40" t="s">
        <v>136</v>
      </c>
      <c r="D112"/>
      <c r="F112" s="3"/>
      <c r="G112" s="3"/>
      <c r="H112" s="3"/>
      <c r="I112" s="3"/>
      <c r="J112" s="3"/>
      <c r="K112" s="3"/>
      <c r="L112" s="72" t="s">
        <v>178</v>
      </c>
      <c r="M112" s="53">
        <f>S110*M110+S111*M111</f>
        <v>5.2524266767857132E-2</v>
      </c>
    </row>
    <row r="113" spans="2:19" x14ac:dyDescent="0.25">
      <c r="B113" t="s">
        <v>137</v>
      </c>
      <c r="C113" t="s">
        <v>138</v>
      </c>
      <c r="D113" s="5">
        <f>-(E77-D77)</f>
        <v>-13313</v>
      </c>
      <c r="E113" s="5">
        <f t="shared" ref="E113:H113" si="56">-(F77-E77)</f>
        <v>0</v>
      </c>
      <c r="F113" s="5">
        <f t="shared" si="56"/>
        <v>0</v>
      </c>
      <c r="G113" s="5">
        <f t="shared" si="56"/>
        <v>0</v>
      </c>
      <c r="H113" s="5">
        <f t="shared" si="56"/>
        <v>13313</v>
      </c>
      <c r="I113" s="5"/>
      <c r="J113" s="5"/>
      <c r="K113" s="5"/>
      <c r="L113" s="5"/>
      <c r="M113" s="5"/>
      <c r="N113" s="5"/>
      <c r="O113" s="5"/>
    </row>
    <row r="114" spans="2:19" x14ac:dyDescent="0.25">
      <c r="B114" t="s">
        <v>137</v>
      </c>
      <c r="C114" t="s">
        <v>50</v>
      </c>
      <c r="D114" s="47">
        <f>-(E78-D78)</f>
        <v>0</v>
      </c>
      <c r="E114" s="47">
        <f t="shared" ref="E114:H114" si="57">-(F78-E78)</f>
        <v>0</v>
      </c>
      <c r="F114" s="47">
        <f t="shared" si="57"/>
        <v>0</v>
      </c>
      <c r="G114" s="47">
        <f t="shared" si="57"/>
        <v>0</v>
      </c>
      <c r="H114" s="47">
        <f t="shared" si="57"/>
        <v>0</v>
      </c>
      <c r="I114" s="47"/>
      <c r="J114" s="47"/>
      <c r="K114" s="47"/>
      <c r="L114" s="47"/>
      <c r="M114" s="47"/>
      <c r="N114" s="47"/>
      <c r="O114" s="47"/>
    </row>
    <row r="115" spans="2:19" x14ac:dyDescent="0.25">
      <c r="B115" t="s">
        <v>137</v>
      </c>
      <c r="C115" t="s">
        <v>139</v>
      </c>
      <c r="D115" s="47">
        <f>-(E79-D79)</f>
        <v>-18895.980821917812</v>
      </c>
      <c r="E115" s="47">
        <f t="shared" ref="E115:H116" si="58">-(F79-E79)</f>
        <v>-37.831853667725227</v>
      </c>
      <c r="F115" s="47">
        <f t="shared" si="58"/>
        <v>-34.401473583024199</v>
      </c>
      <c r="G115" s="47">
        <f t="shared" si="58"/>
        <v>-31.090824803664873</v>
      </c>
      <c r="H115" s="47">
        <f t="shared" si="58"/>
        <v>18999.304973972226</v>
      </c>
      <c r="I115" s="47"/>
      <c r="J115" s="47"/>
      <c r="K115" s="71" t="s">
        <v>52</v>
      </c>
      <c r="L115" s="47"/>
      <c r="M115" s="79">
        <v>0</v>
      </c>
      <c r="N115" s="79">
        <v>1</v>
      </c>
      <c r="O115" s="79">
        <v>2</v>
      </c>
      <c r="P115" s="79">
        <v>3</v>
      </c>
      <c r="Q115" s="79">
        <v>4</v>
      </c>
    </row>
    <row r="116" spans="2:19" x14ac:dyDescent="0.25">
      <c r="B116" t="s">
        <v>137</v>
      </c>
      <c r="C116" t="s">
        <v>40</v>
      </c>
      <c r="D116" s="47">
        <f>-(E80-D80)</f>
        <v>-13310.753424657534</v>
      </c>
      <c r="E116" s="47">
        <f t="shared" si="58"/>
        <v>-446.65757065479556</v>
      </c>
      <c r="F116" s="47">
        <f t="shared" si="58"/>
        <v>-486.24544493164467</v>
      </c>
      <c r="G116" s="47">
        <f t="shared" si="58"/>
        <v>-529.37823720305823</v>
      </c>
      <c r="H116" s="47">
        <f t="shared" si="58"/>
        <v>14773.034677447033</v>
      </c>
      <c r="I116" s="47"/>
      <c r="J116" s="47"/>
      <c r="K116" s="47" t="s">
        <v>137</v>
      </c>
      <c r="L116" s="71" t="s">
        <v>173</v>
      </c>
      <c r="M116" s="47">
        <f>-(E92-D92)</f>
        <v>-532841.74473832629</v>
      </c>
      <c r="N116" s="47">
        <f>-(F92-E92)</f>
        <v>-2902.274812328862</v>
      </c>
      <c r="O116" s="47">
        <f t="shared" ref="O116:P116" si="59">-(G92-F92)</f>
        <v>-11134.383982243598</v>
      </c>
      <c r="P116" s="47">
        <f t="shared" si="59"/>
        <v>-33090.744420765899</v>
      </c>
    </row>
    <row r="117" spans="2:19" x14ac:dyDescent="0.25">
      <c r="B117" t="s">
        <v>140</v>
      </c>
      <c r="C117" t="s">
        <v>141</v>
      </c>
      <c r="D117" s="47">
        <f>(E90-D90)</f>
        <v>7986.4520547945203</v>
      </c>
      <c r="E117" s="47">
        <f t="shared" ref="E117:H117" si="60">(F90-E90)</f>
        <v>351.37279084931561</v>
      </c>
      <c r="F117" s="47">
        <f t="shared" si="60"/>
        <v>381.89137121810199</v>
      </c>
      <c r="G117" s="47">
        <f t="shared" si="60"/>
        <v>415.4274929308358</v>
      </c>
      <c r="H117" s="47">
        <f t="shared" si="60"/>
        <v>-9135.1437097927737</v>
      </c>
      <c r="I117" s="47"/>
      <c r="J117" s="47"/>
      <c r="K117" s="47" t="s">
        <v>140</v>
      </c>
      <c r="L117" s="71" t="s">
        <v>174</v>
      </c>
      <c r="M117" s="47"/>
      <c r="N117" s="47"/>
      <c r="O117" s="47"/>
      <c r="Q117" s="47">
        <f>O100</f>
        <v>484282.8788385659</v>
      </c>
    </row>
    <row r="118" spans="2:19" x14ac:dyDescent="0.25">
      <c r="B118" t="s">
        <v>140</v>
      </c>
      <c r="C118" s="6" t="s">
        <v>142</v>
      </c>
      <c r="D118" s="47">
        <f>(E109-D109)</f>
        <v>44062.500000000044</v>
      </c>
      <c r="E118" s="47">
        <f t="shared" ref="E118:H118" si="61">(F109-E109)</f>
        <v>-6394.7093649000308</v>
      </c>
      <c r="F118" s="47">
        <f t="shared" si="61"/>
        <v>-5281.7732947326513</v>
      </c>
      <c r="G118" s="47">
        <f t="shared" si="61"/>
        <v>-13511.970404157229</v>
      </c>
      <c r="H118" s="47">
        <f t="shared" si="61"/>
        <v>-18874.046936210132</v>
      </c>
      <c r="I118" s="47"/>
      <c r="J118" s="47"/>
      <c r="K118" s="47" t="s">
        <v>140</v>
      </c>
      <c r="L118" s="71" t="s">
        <v>175</v>
      </c>
      <c r="M118" s="47"/>
      <c r="N118" s="47">
        <f>E67</f>
        <v>42627.339579066102</v>
      </c>
      <c r="O118" s="47">
        <f t="shared" ref="O118:Q118" si="62">F67</f>
        <v>42859.521564052411</v>
      </c>
      <c r="P118" s="47">
        <f t="shared" si="62"/>
        <v>43750.2722826319</v>
      </c>
      <c r="Q118" s="47">
        <f t="shared" si="62"/>
        <v>46397.531836293172</v>
      </c>
    </row>
    <row r="119" spans="2:19" x14ac:dyDescent="0.25">
      <c r="F119" s="3"/>
      <c r="G119" s="3"/>
      <c r="H119" s="3"/>
      <c r="I119" s="3"/>
      <c r="J119" s="3"/>
      <c r="K119" s="3"/>
      <c r="L119" s="72" t="s">
        <v>165</v>
      </c>
      <c r="M119" s="5">
        <f>SUM(M116:M118)</f>
        <v>-532841.74473832629</v>
      </c>
      <c r="N119" s="5">
        <f t="shared" ref="N119:Q119" si="63">SUM(N116:N118)</f>
        <v>39725.06476673724</v>
      </c>
      <c r="O119" s="5">
        <f t="shared" si="63"/>
        <v>31725.137581808813</v>
      </c>
      <c r="P119" s="5">
        <f t="shared" si="63"/>
        <v>10659.527861866001</v>
      </c>
      <c r="Q119" s="5">
        <f t="shared" si="63"/>
        <v>530680.41067485907</v>
      </c>
      <c r="S119" s="1" t="s">
        <v>176</v>
      </c>
    </row>
    <row r="120" spans="2:19" x14ac:dyDescent="0.25">
      <c r="C120" s="40" t="s">
        <v>143</v>
      </c>
      <c r="D120"/>
      <c r="F120" s="3"/>
      <c r="G120" s="3"/>
      <c r="H120" s="3"/>
      <c r="I120" s="3"/>
      <c r="J120" s="3"/>
      <c r="K120" s="3"/>
      <c r="L120" s="72" t="s">
        <v>149</v>
      </c>
      <c r="M120" s="53">
        <f>IRR(M119:Q119)</f>
        <v>3.8819063413879418E-2</v>
      </c>
      <c r="P120" s="41"/>
      <c r="Q120" s="41"/>
      <c r="S120" s="1">
        <v>0.05</v>
      </c>
    </row>
    <row r="121" spans="2:19" x14ac:dyDescent="0.25">
      <c r="B121" t="s">
        <v>137</v>
      </c>
      <c r="C121" t="s">
        <v>120</v>
      </c>
      <c r="D121" s="48">
        <f>-(E82-D82)</f>
        <v>-450000</v>
      </c>
      <c r="E121" s="48">
        <f t="shared" ref="E121:H121" si="64">-(F82-E82)</f>
        <v>0</v>
      </c>
      <c r="F121" s="48">
        <f t="shared" si="64"/>
        <v>0</v>
      </c>
      <c r="G121" s="48">
        <f t="shared" si="64"/>
        <v>0</v>
      </c>
      <c r="H121" s="48">
        <f t="shared" si="64"/>
        <v>450000</v>
      </c>
      <c r="I121" s="48"/>
      <c r="J121" s="48"/>
      <c r="K121" s="48"/>
      <c r="L121" s="73" t="s">
        <v>177</v>
      </c>
      <c r="M121" s="53">
        <f>Q67</f>
        <v>0.08</v>
      </c>
      <c r="N121" s="48"/>
      <c r="O121" s="48"/>
      <c r="P121" s="48"/>
      <c r="Q121" s="49"/>
      <c r="S121" s="1">
        <v>0.95</v>
      </c>
    </row>
    <row r="122" spans="2:19" x14ac:dyDescent="0.25">
      <c r="B122"/>
      <c r="C122" t="s">
        <v>144</v>
      </c>
      <c r="F122" s="3"/>
      <c r="G122" s="3"/>
      <c r="H122" s="3"/>
      <c r="I122" s="3"/>
      <c r="J122" s="3"/>
      <c r="K122" s="3"/>
      <c r="L122" s="72" t="s">
        <v>178</v>
      </c>
      <c r="M122" s="53">
        <f>S120*M120+S121*M121</f>
        <v>7.7940953170693966E-2</v>
      </c>
      <c r="O122" s="49"/>
    </row>
    <row r="123" spans="2:19" x14ac:dyDescent="0.25">
      <c r="B123"/>
      <c r="C123" t="s">
        <v>145</v>
      </c>
      <c r="F123" s="3"/>
      <c r="G123" s="3"/>
      <c r="H123" s="3"/>
      <c r="I123" s="3"/>
      <c r="J123" s="3"/>
      <c r="K123" s="3"/>
      <c r="L123" s="3"/>
      <c r="M123" s="3"/>
      <c r="O123" s="49"/>
    </row>
    <row r="124" spans="2:19" x14ac:dyDescent="0.25">
      <c r="B124" s="1" t="s">
        <v>137</v>
      </c>
      <c r="C124" s="1" t="s">
        <v>121</v>
      </c>
      <c r="D124" s="48">
        <f>-(E83-D83)</f>
        <v>-250000</v>
      </c>
      <c r="E124" s="48">
        <f t="shared" ref="E124:H124" si="65">-(F83-E83)</f>
        <v>0</v>
      </c>
      <c r="F124" s="48">
        <f t="shared" si="65"/>
        <v>0</v>
      </c>
      <c r="G124" s="48">
        <f t="shared" si="65"/>
        <v>0</v>
      </c>
      <c r="H124" s="48">
        <f t="shared" si="65"/>
        <v>250000</v>
      </c>
      <c r="I124" s="48"/>
      <c r="J124" s="48"/>
      <c r="K124" s="48"/>
      <c r="L124" s="48"/>
      <c r="M124" s="48"/>
      <c r="N124" s="48"/>
      <c r="O124" s="48"/>
      <c r="P124" s="48"/>
      <c r="Q124" s="49"/>
    </row>
    <row r="125" spans="2:19" x14ac:dyDescent="0.25">
      <c r="C125" s="1" t="s">
        <v>144</v>
      </c>
      <c r="F125" s="3"/>
      <c r="G125" s="3"/>
      <c r="H125" s="3"/>
      <c r="I125" s="3"/>
      <c r="J125" s="3"/>
      <c r="K125" s="3"/>
      <c r="L125" s="3"/>
      <c r="M125" s="3"/>
      <c r="O125" s="49"/>
    </row>
    <row r="126" spans="2:19" x14ac:dyDescent="0.25">
      <c r="C126" s="1" t="s">
        <v>145</v>
      </c>
      <c r="F126" s="3"/>
      <c r="G126" s="3"/>
      <c r="H126" s="3"/>
      <c r="I126" s="3"/>
      <c r="J126" s="3"/>
      <c r="K126" s="3"/>
      <c r="L126" s="3"/>
      <c r="M126" s="3"/>
      <c r="O126" s="49"/>
    </row>
    <row r="127" spans="2:19" x14ac:dyDescent="0.25">
      <c r="F127" s="3"/>
      <c r="G127" s="3"/>
      <c r="H127" s="3"/>
      <c r="I127" s="3"/>
      <c r="J127" s="3"/>
      <c r="K127" s="3"/>
      <c r="L127" s="3"/>
      <c r="M127" s="3"/>
    </row>
    <row r="128" spans="2:19" x14ac:dyDescent="0.25">
      <c r="C128" s="40" t="s">
        <v>148</v>
      </c>
      <c r="D128" s="5">
        <f>SUM(D109:D126)</f>
        <v>-693470.78219178086</v>
      </c>
      <c r="E128" s="5">
        <f t="shared" ref="E128:H128" si="66">SUM(E109:E126)</f>
        <v>37534.674001626809</v>
      </c>
      <c r="F128" s="5">
        <f t="shared" si="66"/>
        <v>32247.261793070793</v>
      </c>
      <c r="G128" s="5">
        <f t="shared" si="66"/>
        <v>18729.005367134243</v>
      </c>
      <c r="H128" s="5">
        <f t="shared" si="66"/>
        <v>737950.19594162656</v>
      </c>
      <c r="I128" s="5"/>
      <c r="J128" s="5"/>
      <c r="K128" s="5"/>
      <c r="L128" s="5"/>
      <c r="M128" s="5"/>
      <c r="N128" s="5"/>
      <c r="O128" s="5"/>
    </row>
    <row r="129" spans="3:13" x14ac:dyDescent="0.25">
      <c r="C129" s="41" t="s">
        <v>149</v>
      </c>
      <c r="D129" s="54">
        <f>IRR(D128:O128)</f>
        <v>4.7894239147275197E-2</v>
      </c>
      <c r="F129" s="3"/>
      <c r="G129" s="3"/>
      <c r="H129" s="3"/>
      <c r="I129" s="3"/>
      <c r="J129" s="3"/>
      <c r="K129" s="3"/>
      <c r="L129" s="3"/>
      <c r="M129" s="3"/>
    </row>
    <row r="130" spans="3:13" x14ac:dyDescent="0.25">
      <c r="C130" s="41" t="s">
        <v>151</v>
      </c>
      <c r="D130" s="48">
        <f>SUM(D128:O128)</f>
        <v>132990.35491167754</v>
      </c>
      <c r="F130" s="3"/>
      <c r="G130" s="3"/>
      <c r="H130" s="3"/>
      <c r="I130" s="3"/>
      <c r="J130" s="3"/>
      <c r="K130" s="3"/>
      <c r="L130" s="3"/>
      <c r="M130" s="3"/>
    </row>
    <row r="131" spans="3:13" x14ac:dyDescent="0.25">
      <c r="C131" s="41" t="s">
        <v>10</v>
      </c>
      <c r="D131" s="55">
        <f>PV(D132,D1,,D128)</f>
        <v>693470.78219178086</v>
      </c>
      <c r="F131" s="3"/>
      <c r="G131" s="3"/>
      <c r="H131" s="3"/>
      <c r="I131" s="3"/>
      <c r="J131" s="3"/>
      <c r="K131" s="3"/>
      <c r="L131" s="3"/>
      <c r="M131" s="3"/>
    </row>
    <row r="132" spans="3:13" x14ac:dyDescent="0.25">
      <c r="C132" s="41" t="s">
        <v>150</v>
      </c>
      <c r="D132" s="54">
        <f>(V93*V95)+(V96*V94)</f>
        <v>0.11767362738702236</v>
      </c>
      <c r="F132" s="3"/>
      <c r="G132" s="3"/>
      <c r="H132" s="3"/>
      <c r="I132" s="3"/>
      <c r="J132" s="3"/>
      <c r="K132" s="3"/>
      <c r="L132" s="3"/>
      <c r="M132" s="3"/>
    </row>
    <row r="133" spans="3:13" x14ac:dyDescent="0.25">
      <c r="C133" s="41" t="s">
        <v>152</v>
      </c>
      <c r="D133" s="50">
        <f>ABS(D128/E56)</f>
        <v>1.8098324423635574</v>
      </c>
      <c r="F133" s="3"/>
      <c r="G133" s="3"/>
      <c r="H133" s="3"/>
      <c r="I133" s="3"/>
      <c r="J133" s="3"/>
      <c r="K133" s="3"/>
      <c r="L133" s="3"/>
      <c r="M133" s="3"/>
    </row>
    <row r="134" spans="3:13" x14ac:dyDescent="0.25">
      <c r="F134" s="3"/>
      <c r="G134" s="3"/>
      <c r="H134" s="3"/>
      <c r="I134" s="3"/>
      <c r="J134" s="3"/>
      <c r="K134" s="3"/>
      <c r="L134" s="3"/>
      <c r="M134" s="3"/>
    </row>
    <row r="135" spans="3:13" x14ac:dyDescent="0.25">
      <c r="F135" s="3"/>
      <c r="G135" s="3"/>
      <c r="H135" s="3"/>
      <c r="I135" s="3"/>
      <c r="J135" s="3"/>
      <c r="K135" s="3"/>
      <c r="L135" s="3"/>
      <c r="M135" s="3"/>
    </row>
    <row r="136" spans="3:13" x14ac:dyDescent="0.25">
      <c r="F136" s="3"/>
      <c r="G136" s="3"/>
      <c r="H136" s="3"/>
      <c r="I136" s="3"/>
      <c r="J136" s="3"/>
      <c r="K136" s="3"/>
      <c r="L136" s="3"/>
      <c r="M136" s="3"/>
    </row>
    <row r="137" spans="3:13" x14ac:dyDescent="0.25">
      <c r="F137" s="3"/>
      <c r="G137" s="3"/>
      <c r="H137" s="3"/>
      <c r="I137" s="3"/>
      <c r="J137" s="3"/>
      <c r="K137" s="3"/>
      <c r="L137" s="3"/>
      <c r="M137" s="3"/>
    </row>
    <row r="138" spans="3:13" x14ac:dyDescent="0.25">
      <c r="F138" s="3"/>
      <c r="G138" s="3"/>
      <c r="H138" s="3"/>
      <c r="I138" s="3"/>
      <c r="J138" s="3"/>
      <c r="K138" s="3"/>
      <c r="L138" s="3"/>
      <c r="M138" s="3"/>
    </row>
    <row r="139" spans="3:13" x14ac:dyDescent="0.25">
      <c r="F139" s="3"/>
      <c r="G139" s="3"/>
      <c r="H139" s="3"/>
      <c r="I139" s="3"/>
      <c r="J139" s="3"/>
      <c r="K139" s="3"/>
      <c r="L139" s="3"/>
      <c r="M139" s="3"/>
    </row>
    <row r="140" spans="3:13" x14ac:dyDescent="0.25">
      <c r="F140" s="3"/>
      <c r="G140" s="3"/>
      <c r="H140" s="3"/>
      <c r="I140" s="3"/>
      <c r="J140" s="3"/>
      <c r="K140" s="3"/>
      <c r="L140" s="3"/>
      <c r="M140" s="3"/>
    </row>
    <row r="141" spans="3:13" x14ac:dyDescent="0.25">
      <c r="F141" s="3"/>
      <c r="G141" s="3"/>
      <c r="H141" s="3"/>
      <c r="I141" s="3"/>
      <c r="J141" s="3"/>
      <c r="K141" s="3"/>
      <c r="L141" s="3"/>
      <c r="M141" s="3"/>
    </row>
    <row r="142" spans="3:13" x14ac:dyDescent="0.25">
      <c r="F142" s="3"/>
      <c r="G142" s="3"/>
      <c r="H142" s="3"/>
      <c r="I142" s="3"/>
      <c r="J142" s="3"/>
      <c r="K142" s="3"/>
      <c r="L142" s="3"/>
      <c r="M142" s="3"/>
    </row>
    <row r="143" spans="3:13" x14ac:dyDescent="0.25">
      <c r="F143" s="3"/>
      <c r="G143" s="3"/>
      <c r="H143" s="3"/>
      <c r="I143" s="3"/>
      <c r="J143" s="3"/>
      <c r="K143" s="3"/>
      <c r="L143" s="3"/>
      <c r="M143" s="3"/>
    </row>
    <row r="144" spans="3:13" x14ac:dyDescent="0.25"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</row>
    <row r="161" spans="5:12" x14ac:dyDescent="0.25">
      <c r="E161" s="3"/>
      <c r="F161" s="3"/>
      <c r="G161" s="3"/>
      <c r="H161" s="3"/>
      <c r="I161" s="3"/>
      <c r="J161" s="3"/>
      <c r="K161" s="3"/>
      <c r="L161" s="3"/>
    </row>
    <row r="162" spans="5:12" x14ac:dyDescent="0.25">
      <c r="E162" s="3"/>
      <c r="F162" s="3"/>
      <c r="G162" s="3"/>
      <c r="H162" s="3"/>
      <c r="I162" s="3"/>
      <c r="J162" s="3"/>
      <c r="K162" s="3"/>
      <c r="L162" s="3"/>
    </row>
    <row r="163" spans="5:12" x14ac:dyDescent="0.25">
      <c r="E163" s="3"/>
      <c r="F163" s="3"/>
      <c r="G163" s="3"/>
      <c r="H163" s="3"/>
      <c r="I163" s="3"/>
      <c r="J163" s="3"/>
      <c r="K163" s="3"/>
      <c r="L163" s="3"/>
    </row>
    <row r="164" spans="5:12" x14ac:dyDescent="0.25">
      <c r="E164" s="3"/>
      <c r="F164" s="3"/>
      <c r="G164" s="3"/>
      <c r="H164" s="3"/>
      <c r="I164" s="3"/>
      <c r="J164" s="3"/>
      <c r="K164" s="3"/>
      <c r="L164" s="3"/>
    </row>
    <row r="165" spans="5:12" x14ac:dyDescent="0.25">
      <c r="E165" s="3"/>
      <c r="F165" s="3"/>
      <c r="G165" s="3"/>
      <c r="H165" s="3"/>
      <c r="I165" s="3"/>
      <c r="J165" s="3"/>
      <c r="K165" s="3"/>
      <c r="L165" s="3"/>
    </row>
    <row r="166" spans="5:12" x14ac:dyDescent="0.25">
      <c r="E166" s="3"/>
      <c r="F166" s="3"/>
      <c r="G166" s="3"/>
      <c r="H166" s="3"/>
      <c r="I166" s="3"/>
      <c r="J166" s="3"/>
      <c r="K166" s="3"/>
      <c r="L166" s="3"/>
    </row>
    <row r="167" spans="5:12" x14ac:dyDescent="0.25">
      <c r="E167" s="3"/>
      <c r="F167" s="3"/>
      <c r="G167" s="3"/>
      <c r="H167" s="3"/>
      <c r="I167" s="3"/>
      <c r="J167" s="3"/>
      <c r="K167" s="3"/>
      <c r="L167" s="3"/>
    </row>
    <row r="168" spans="5:12" x14ac:dyDescent="0.25">
      <c r="E168" s="3"/>
      <c r="F168" s="3"/>
      <c r="G168" s="3"/>
      <c r="H168" s="3"/>
      <c r="I168" s="3"/>
      <c r="J168" s="3"/>
      <c r="K168" s="3"/>
      <c r="L168" s="3"/>
    </row>
    <row r="169" spans="5:12" x14ac:dyDescent="0.25">
      <c r="E169" s="3"/>
      <c r="F169" s="3"/>
      <c r="G169" s="3"/>
      <c r="H169" s="3"/>
      <c r="I169" s="3"/>
      <c r="J169" s="3"/>
      <c r="K169" s="3"/>
      <c r="L169" s="3"/>
    </row>
    <row r="170" spans="5:12" x14ac:dyDescent="0.25">
      <c r="E170" s="3"/>
      <c r="F170" s="3"/>
      <c r="G170" s="3"/>
      <c r="H170" s="3"/>
      <c r="I170" s="3"/>
      <c r="J170" s="3"/>
      <c r="K170" s="3"/>
      <c r="L170" s="3"/>
    </row>
    <row r="171" spans="5:12" x14ac:dyDescent="0.25">
      <c r="E171" s="3"/>
      <c r="F171" s="3"/>
      <c r="G171" s="3"/>
      <c r="H171" s="3"/>
      <c r="I171" s="3"/>
      <c r="J171" s="3"/>
      <c r="K171" s="3"/>
      <c r="L171" s="3"/>
    </row>
    <row r="172" spans="5:12" x14ac:dyDescent="0.25">
      <c r="E172" s="3"/>
      <c r="F172" s="3"/>
      <c r="G172" s="3"/>
      <c r="H172" s="3"/>
      <c r="I172" s="3"/>
      <c r="J172" s="3"/>
      <c r="K172" s="3"/>
      <c r="L172" s="3"/>
    </row>
    <row r="173" spans="5:12" x14ac:dyDescent="0.25">
      <c r="E173" s="3"/>
      <c r="F173" s="3"/>
      <c r="G173" s="3"/>
      <c r="H173" s="3"/>
      <c r="I173" s="3"/>
      <c r="J173" s="3"/>
      <c r="K173" s="3"/>
      <c r="L173" s="3"/>
    </row>
    <row r="174" spans="5:12" x14ac:dyDescent="0.25">
      <c r="E174" s="3"/>
      <c r="F174" s="3"/>
      <c r="G174" s="3"/>
      <c r="H174" s="3"/>
      <c r="I174" s="3"/>
      <c r="J174" s="3"/>
      <c r="K174" s="3"/>
      <c r="L174" s="3"/>
    </row>
    <row r="175" spans="5:12" x14ac:dyDescent="0.25">
      <c r="E175" s="3"/>
      <c r="F175" s="3"/>
      <c r="G175" s="3"/>
      <c r="H175" s="3"/>
      <c r="I175" s="3"/>
      <c r="J175" s="3"/>
      <c r="K175" s="3"/>
      <c r="L175" s="3"/>
    </row>
    <row r="176" spans="5:12" x14ac:dyDescent="0.25">
      <c r="E176" s="3"/>
      <c r="F176" s="3"/>
      <c r="G176" s="3"/>
      <c r="H176" s="3"/>
      <c r="I176" s="3"/>
      <c r="J176" s="3"/>
      <c r="K176" s="3"/>
      <c r="L176" s="3"/>
    </row>
    <row r="177" spans="5:12" x14ac:dyDescent="0.25">
      <c r="E177" s="3"/>
      <c r="F177" s="3"/>
      <c r="G177" s="3"/>
      <c r="H177" s="3"/>
      <c r="I177" s="3"/>
      <c r="J177" s="3"/>
      <c r="K177" s="3"/>
      <c r="L177" s="3"/>
    </row>
    <row r="178" spans="5:12" x14ac:dyDescent="0.25">
      <c r="E178" s="3"/>
      <c r="F178" s="3"/>
      <c r="G178" s="3"/>
      <c r="H178" s="3"/>
      <c r="I178" s="3"/>
      <c r="J178" s="3"/>
      <c r="K178" s="3"/>
      <c r="L178" s="3"/>
    </row>
    <row r="179" spans="5:12" x14ac:dyDescent="0.25">
      <c r="E179" s="3"/>
      <c r="F179" s="3"/>
      <c r="G179" s="3"/>
      <c r="H179" s="3"/>
      <c r="I179" s="3"/>
      <c r="J179" s="3"/>
      <c r="K179" s="3"/>
      <c r="L179" s="3"/>
    </row>
    <row r="180" spans="5:12" x14ac:dyDescent="0.25">
      <c r="E180" s="3"/>
      <c r="F180" s="3"/>
      <c r="G180" s="3"/>
      <c r="H180" s="3"/>
      <c r="I180" s="3"/>
      <c r="J180" s="3"/>
      <c r="K180" s="3"/>
      <c r="L180" s="3"/>
    </row>
    <row r="181" spans="5:12" x14ac:dyDescent="0.25">
      <c r="E181" s="3"/>
      <c r="F181" s="3"/>
      <c r="G181" s="3"/>
      <c r="H181" s="3"/>
      <c r="I181" s="3"/>
      <c r="J181" s="3"/>
      <c r="K181" s="3"/>
      <c r="L181" s="3"/>
    </row>
    <row r="182" spans="5:12" x14ac:dyDescent="0.25">
      <c r="E182" s="3"/>
      <c r="F182" s="3"/>
      <c r="G182" s="3"/>
      <c r="H182" s="3"/>
      <c r="I182" s="3"/>
      <c r="J182" s="3"/>
      <c r="K182" s="3"/>
      <c r="L182" s="3"/>
    </row>
    <row r="183" spans="5:12" x14ac:dyDescent="0.25">
      <c r="E183" s="3"/>
      <c r="F183" s="3"/>
      <c r="G183" s="3"/>
      <c r="H183" s="3"/>
      <c r="I183" s="3"/>
      <c r="J183" s="3"/>
      <c r="K183" s="3"/>
      <c r="L183" s="3"/>
    </row>
    <row r="184" spans="5:12" x14ac:dyDescent="0.25">
      <c r="E184" s="3"/>
      <c r="F184" s="3"/>
      <c r="G184" s="3"/>
      <c r="H184" s="3"/>
      <c r="I184" s="3"/>
      <c r="J184" s="3"/>
      <c r="K184" s="3"/>
      <c r="L184" s="3"/>
    </row>
    <row r="185" spans="5:12" x14ac:dyDescent="0.25">
      <c r="E185" s="3"/>
      <c r="F185" s="3"/>
      <c r="G185" s="3"/>
      <c r="H185" s="3"/>
      <c r="I185" s="3"/>
      <c r="J185" s="3"/>
      <c r="K185" s="3"/>
      <c r="L185" s="3"/>
    </row>
    <row r="186" spans="5:12" x14ac:dyDescent="0.25">
      <c r="E186" s="3"/>
      <c r="F186" s="3"/>
      <c r="G186" s="3"/>
      <c r="H186" s="3"/>
      <c r="I186" s="3"/>
      <c r="J186" s="3"/>
      <c r="K186" s="3"/>
      <c r="L186" s="3"/>
    </row>
    <row r="187" spans="5:12" x14ac:dyDescent="0.25">
      <c r="E187" s="3"/>
      <c r="F187" s="3"/>
      <c r="G187" s="3"/>
      <c r="H187" s="3"/>
      <c r="I187" s="3"/>
      <c r="J187" s="3"/>
      <c r="K187" s="3"/>
      <c r="L187" s="3"/>
    </row>
    <row r="188" spans="5:12" x14ac:dyDescent="0.25">
      <c r="E188" s="3"/>
      <c r="F188" s="3"/>
      <c r="G188" s="3"/>
      <c r="H188" s="3"/>
      <c r="I188" s="3"/>
      <c r="J188" s="3"/>
      <c r="K188" s="3"/>
      <c r="L188" s="3"/>
    </row>
    <row r="189" spans="5:12" x14ac:dyDescent="0.25">
      <c r="E189" s="3"/>
      <c r="F189" s="3"/>
      <c r="G189" s="3"/>
      <c r="H189" s="3"/>
      <c r="I189" s="3"/>
      <c r="J189" s="3"/>
      <c r="K189" s="3"/>
      <c r="L189" s="3"/>
    </row>
    <row r="190" spans="5:12" x14ac:dyDescent="0.25">
      <c r="E190" s="3"/>
      <c r="F190" s="3"/>
      <c r="G190" s="3"/>
      <c r="H190" s="3"/>
      <c r="I190" s="3"/>
      <c r="J190" s="3"/>
      <c r="K190" s="3"/>
      <c r="L190" s="3"/>
    </row>
    <row r="191" spans="5:12" x14ac:dyDescent="0.25">
      <c r="E191" s="3"/>
      <c r="F191" s="3"/>
      <c r="G191" s="3"/>
      <c r="H191" s="3"/>
      <c r="I191" s="3"/>
      <c r="J191" s="3"/>
      <c r="K191" s="3"/>
      <c r="L191" s="3"/>
    </row>
    <row r="192" spans="5:12" x14ac:dyDescent="0.25">
      <c r="E192" s="3"/>
      <c r="F192" s="3"/>
      <c r="G192" s="3"/>
      <c r="H192" s="3"/>
      <c r="I192" s="3"/>
      <c r="J192" s="3"/>
      <c r="K192" s="3"/>
      <c r="L192" s="3"/>
    </row>
    <row r="193" spans="5:12" x14ac:dyDescent="0.25">
      <c r="E193" s="3"/>
      <c r="F193" s="3"/>
      <c r="G193" s="3"/>
      <c r="H193" s="3"/>
      <c r="I193" s="3"/>
      <c r="J193" s="3"/>
      <c r="K193" s="3"/>
      <c r="L193" s="3"/>
    </row>
    <row r="194" spans="5:12" x14ac:dyDescent="0.25">
      <c r="E194" s="3"/>
      <c r="F194" s="3"/>
      <c r="G194" s="3"/>
      <c r="H194" s="3"/>
      <c r="I194" s="3"/>
      <c r="J194" s="3"/>
      <c r="K194" s="3"/>
      <c r="L194" s="3"/>
    </row>
    <row r="195" spans="5:12" x14ac:dyDescent="0.25">
      <c r="E195" s="3"/>
      <c r="F195" s="3"/>
      <c r="G195" s="3"/>
      <c r="H195" s="3"/>
      <c r="I195" s="3"/>
      <c r="J195" s="3"/>
      <c r="K195" s="3"/>
      <c r="L195" s="3"/>
    </row>
    <row r="196" spans="5:12" x14ac:dyDescent="0.25">
      <c r="E196" s="3"/>
      <c r="F196" s="3"/>
      <c r="G196" s="3"/>
      <c r="H196" s="3"/>
      <c r="I196" s="3"/>
      <c r="J196" s="3"/>
      <c r="K196" s="3"/>
      <c r="L196" s="3"/>
    </row>
    <row r="197" spans="5:12" x14ac:dyDescent="0.25">
      <c r="E197" s="3"/>
      <c r="F197" s="3"/>
      <c r="G197" s="3"/>
      <c r="H197" s="3"/>
      <c r="I197" s="3"/>
      <c r="J197" s="3"/>
      <c r="K197" s="3"/>
      <c r="L197" s="3"/>
    </row>
    <row r="198" spans="5:12" x14ac:dyDescent="0.25">
      <c r="E198" s="3"/>
      <c r="F198" s="3"/>
      <c r="G198" s="3"/>
      <c r="H198" s="3"/>
      <c r="I198" s="3"/>
      <c r="J198" s="3"/>
      <c r="K198" s="3"/>
      <c r="L198" s="3"/>
    </row>
    <row r="199" spans="5:12" x14ac:dyDescent="0.25">
      <c r="E199" s="3"/>
      <c r="F199" s="3"/>
      <c r="G199" s="3"/>
      <c r="H199" s="3"/>
      <c r="I199" s="3"/>
      <c r="J199" s="3"/>
      <c r="K199" s="3"/>
      <c r="L199" s="3"/>
    </row>
    <row r="200" spans="5:12" x14ac:dyDescent="0.25">
      <c r="E200" s="3"/>
      <c r="F200" s="3"/>
      <c r="G200" s="3"/>
      <c r="H200" s="3"/>
      <c r="I200" s="3"/>
      <c r="J200" s="3"/>
      <c r="K200" s="3"/>
      <c r="L200" s="3"/>
    </row>
    <row r="201" spans="5:12" x14ac:dyDescent="0.25">
      <c r="E201" s="3"/>
      <c r="F201" s="3"/>
      <c r="G201" s="3"/>
      <c r="H201" s="3"/>
      <c r="I201" s="3"/>
      <c r="J201" s="3"/>
      <c r="K201" s="3"/>
      <c r="L201" s="3"/>
    </row>
    <row r="202" spans="5:12" x14ac:dyDescent="0.25">
      <c r="E202" s="3"/>
      <c r="F202" s="3"/>
      <c r="G202" s="3"/>
      <c r="H202" s="3"/>
      <c r="I202" s="3"/>
      <c r="J202" s="3"/>
      <c r="K202" s="3"/>
      <c r="L202" s="3"/>
    </row>
    <row r="203" spans="5:12" x14ac:dyDescent="0.25">
      <c r="E203" s="3"/>
      <c r="F203" s="3"/>
      <c r="G203" s="3"/>
      <c r="H203" s="3"/>
      <c r="I203" s="3"/>
      <c r="J203" s="3"/>
      <c r="K203" s="3"/>
      <c r="L203" s="3"/>
    </row>
    <row r="204" spans="5:12" x14ac:dyDescent="0.25">
      <c r="E204" s="3"/>
      <c r="F204" s="3"/>
      <c r="G204" s="3"/>
      <c r="H204" s="3"/>
      <c r="I204" s="3"/>
      <c r="J204" s="3"/>
      <c r="K204" s="3"/>
      <c r="L204" s="3"/>
    </row>
    <row r="205" spans="5:12" x14ac:dyDescent="0.25">
      <c r="E205" s="3"/>
      <c r="F205" s="3"/>
      <c r="G205" s="3"/>
      <c r="H205" s="3"/>
      <c r="I205" s="3"/>
      <c r="J205" s="3"/>
      <c r="K205" s="3"/>
      <c r="L205" s="3"/>
    </row>
    <row r="206" spans="5:12" x14ac:dyDescent="0.25">
      <c r="E206" s="3"/>
      <c r="F206" s="3"/>
      <c r="G206" s="3"/>
      <c r="H206" s="3"/>
      <c r="I206" s="3"/>
      <c r="J206" s="3"/>
      <c r="K206" s="3"/>
      <c r="L206" s="3"/>
    </row>
    <row r="207" spans="5:12" x14ac:dyDescent="0.25">
      <c r="E207" s="3"/>
      <c r="F207" s="3"/>
      <c r="G207" s="3"/>
      <c r="H207" s="3"/>
      <c r="I207" s="3"/>
      <c r="J207" s="3"/>
      <c r="K207" s="3"/>
      <c r="L207" s="3"/>
    </row>
    <row r="208" spans="5:12" x14ac:dyDescent="0.25">
      <c r="E208" s="3"/>
      <c r="F208" s="3"/>
      <c r="G208" s="3"/>
      <c r="H208" s="3"/>
      <c r="I208" s="3"/>
      <c r="J208" s="3"/>
      <c r="K208" s="3"/>
      <c r="L208" s="3"/>
    </row>
    <row r="209" spans="5:12" x14ac:dyDescent="0.25">
      <c r="E209" s="3"/>
      <c r="F209" s="3"/>
      <c r="G209" s="3"/>
      <c r="H209" s="3"/>
      <c r="I209" s="3"/>
      <c r="J209" s="3"/>
      <c r="K209" s="3"/>
      <c r="L209" s="3"/>
    </row>
    <row r="210" spans="5:12" x14ac:dyDescent="0.25">
      <c r="E210" s="3"/>
      <c r="F210" s="3"/>
      <c r="G210" s="3"/>
      <c r="H210" s="3"/>
      <c r="I210" s="3"/>
      <c r="J210" s="3"/>
      <c r="K210" s="3"/>
      <c r="L210" s="3"/>
    </row>
    <row r="211" spans="5:12" x14ac:dyDescent="0.25">
      <c r="E211" s="3"/>
      <c r="F211" s="3"/>
      <c r="G211" s="3"/>
      <c r="H211" s="3"/>
      <c r="I211" s="3"/>
      <c r="J211" s="3"/>
      <c r="K211" s="3"/>
      <c r="L211" s="3"/>
    </row>
    <row r="212" spans="5:12" x14ac:dyDescent="0.25">
      <c r="E212" s="3"/>
      <c r="F212" s="3"/>
      <c r="G212" s="3"/>
      <c r="H212" s="3"/>
      <c r="I212" s="3"/>
      <c r="J212" s="3"/>
      <c r="K212" s="3"/>
      <c r="L212" s="3"/>
    </row>
    <row r="213" spans="5:12" x14ac:dyDescent="0.25">
      <c r="E213" s="3"/>
      <c r="F213" s="3"/>
      <c r="G213" s="3"/>
      <c r="H213" s="3"/>
      <c r="I213" s="3"/>
      <c r="J213" s="3"/>
      <c r="K213" s="3"/>
      <c r="L213" s="3"/>
    </row>
    <row r="214" spans="5:12" x14ac:dyDescent="0.25">
      <c r="E214" s="3"/>
      <c r="F214" s="3"/>
      <c r="G214" s="3"/>
      <c r="H214" s="3"/>
      <c r="I214" s="3"/>
      <c r="J214" s="3"/>
      <c r="K214" s="3"/>
      <c r="L214" s="3"/>
    </row>
    <row r="215" spans="5:12" x14ac:dyDescent="0.25">
      <c r="E215" s="3"/>
      <c r="F215" s="3"/>
      <c r="G215" s="3"/>
      <c r="H215" s="3"/>
      <c r="I215" s="3"/>
      <c r="J215" s="3"/>
      <c r="K215" s="3"/>
      <c r="L215" s="3"/>
    </row>
    <row r="216" spans="5:12" x14ac:dyDescent="0.25">
      <c r="E216" s="3"/>
      <c r="F216" s="3"/>
      <c r="G216" s="3"/>
      <c r="H216" s="3"/>
      <c r="I216" s="3"/>
      <c r="J216" s="3"/>
      <c r="K216" s="3"/>
      <c r="L216" s="3"/>
    </row>
    <row r="217" spans="5:12" x14ac:dyDescent="0.25">
      <c r="E217" s="3"/>
      <c r="F217" s="3"/>
      <c r="G217" s="3"/>
      <c r="H217" s="3"/>
      <c r="I217" s="3"/>
      <c r="J217" s="3"/>
      <c r="K217" s="3"/>
      <c r="L217" s="3"/>
    </row>
    <row r="218" spans="5:12" x14ac:dyDescent="0.25">
      <c r="E218" s="3"/>
      <c r="F218" s="3"/>
      <c r="G218" s="3"/>
      <c r="H218" s="3"/>
      <c r="I218" s="3"/>
      <c r="J218" s="3"/>
      <c r="K218" s="3"/>
      <c r="L218" s="3"/>
    </row>
    <row r="219" spans="5:12" x14ac:dyDescent="0.25">
      <c r="E219" s="3"/>
      <c r="F219" s="3"/>
      <c r="G219" s="3"/>
      <c r="H219" s="3"/>
      <c r="I219" s="3"/>
      <c r="J219" s="3"/>
      <c r="K219" s="3"/>
      <c r="L219" s="3"/>
    </row>
    <row r="220" spans="5:12" x14ac:dyDescent="0.25">
      <c r="E220" s="3"/>
      <c r="F220" s="3"/>
      <c r="G220" s="3"/>
      <c r="H220" s="3"/>
      <c r="I220" s="3"/>
      <c r="J220" s="3"/>
      <c r="K220" s="3"/>
      <c r="L220" s="3"/>
    </row>
    <row r="221" spans="5:12" x14ac:dyDescent="0.25">
      <c r="E221" s="3"/>
      <c r="F221" s="3"/>
      <c r="G221" s="3"/>
      <c r="H221" s="3"/>
      <c r="I221" s="3"/>
      <c r="J221" s="3"/>
      <c r="K221" s="3"/>
      <c r="L221" s="3"/>
    </row>
    <row r="222" spans="5:12" x14ac:dyDescent="0.25">
      <c r="E222" s="3"/>
      <c r="F222" s="3"/>
      <c r="G222" s="3"/>
      <c r="H222" s="3"/>
      <c r="I222" s="3"/>
      <c r="J222" s="3"/>
      <c r="K222" s="3"/>
      <c r="L222" s="3"/>
    </row>
    <row r="223" spans="5:12" x14ac:dyDescent="0.25">
      <c r="E223" s="3"/>
      <c r="F223" s="3"/>
      <c r="G223" s="3"/>
      <c r="H223" s="3"/>
      <c r="I223" s="3"/>
      <c r="J223" s="3"/>
      <c r="K223" s="3"/>
      <c r="L223" s="3"/>
    </row>
    <row r="224" spans="5:12" x14ac:dyDescent="0.25">
      <c r="E224" s="3"/>
      <c r="F224" s="3"/>
      <c r="G224" s="3"/>
      <c r="H224" s="3"/>
      <c r="I224" s="3"/>
      <c r="J224" s="3"/>
      <c r="K224" s="3"/>
      <c r="L224" s="3"/>
    </row>
    <row r="225" spans="5:12" x14ac:dyDescent="0.25">
      <c r="E225" s="3"/>
      <c r="F225" s="3"/>
      <c r="G225" s="3"/>
      <c r="H225" s="3"/>
      <c r="I225" s="3"/>
      <c r="J225" s="3"/>
      <c r="K225" s="3"/>
      <c r="L225" s="3"/>
    </row>
    <row r="226" spans="5:12" x14ac:dyDescent="0.25">
      <c r="E226" s="3"/>
      <c r="F226" s="3"/>
      <c r="G226" s="3"/>
      <c r="H226" s="3"/>
      <c r="I226" s="3"/>
      <c r="J226" s="3"/>
      <c r="K226" s="3"/>
      <c r="L226" s="3"/>
    </row>
    <row r="227" spans="5:12" x14ac:dyDescent="0.25">
      <c r="E227" s="3"/>
      <c r="F227" s="3"/>
      <c r="G227" s="3"/>
      <c r="H227" s="3"/>
      <c r="I227" s="3"/>
      <c r="J227" s="3"/>
      <c r="K227" s="3"/>
      <c r="L227" s="3"/>
    </row>
    <row r="228" spans="5:12" x14ac:dyDescent="0.25">
      <c r="E228" s="3"/>
      <c r="F228" s="3"/>
      <c r="G228" s="3"/>
      <c r="H228" s="3"/>
      <c r="I228" s="3"/>
      <c r="J228" s="3"/>
      <c r="K228" s="3"/>
      <c r="L228" s="3"/>
    </row>
    <row r="229" spans="5:12" x14ac:dyDescent="0.25">
      <c r="E229" s="3"/>
      <c r="F229" s="3"/>
      <c r="G229" s="3"/>
      <c r="H229" s="3"/>
      <c r="I229" s="3"/>
      <c r="J229" s="3"/>
      <c r="K229" s="3"/>
      <c r="L229" s="3"/>
    </row>
    <row r="230" spans="5:12" x14ac:dyDescent="0.25">
      <c r="E230" s="3"/>
      <c r="F230" s="3"/>
      <c r="G230" s="3"/>
      <c r="H230" s="3"/>
      <c r="I230" s="3"/>
      <c r="J230" s="3"/>
      <c r="K230" s="3"/>
      <c r="L230" s="3"/>
    </row>
    <row r="231" spans="5:12" x14ac:dyDescent="0.25">
      <c r="E231" s="3"/>
      <c r="F231" s="3"/>
      <c r="G231" s="3"/>
      <c r="H231" s="3"/>
      <c r="I231" s="3"/>
      <c r="J231" s="3"/>
      <c r="K231" s="3"/>
      <c r="L231" s="3"/>
    </row>
    <row r="232" spans="5:12" x14ac:dyDescent="0.25">
      <c r="E232" s="3"/>
      <c r="F232" s="3"/>
      <c r="G232" s="3"/>
      <c r="H232" s="3"/>
      <c r="I232" s="3"/>
      <c r="J232" s="3"/>
      <c r="K232" s="3"/>
      <c r="L232" s="3"/>
    </row>
    <row r="233" spans="5:12" x14ac:dyDescent="0.25">
      <c r="E233" s="3"/>
      <c r="F233" s="3"/>
      <c r="G233" s="3"/>
      <c r="H233" s="3"/>
      <c r="I233" s="3"/>
      <c r="J233" s="3"/>
      <c r="K233" s="3"/>
      <c r="L233" s="3"/>
    </row>
    <row r="234" spans="5:12" x14ac:dyDescent="0.25">
      <c r="E234" s="3"/>
      <c r="F234" s="3"/>
      <c r="G234" s="3"/>
      <c r="H234" s="3"/>
      <c r="I234" s="3"/>
      <c r="J234" s="3"/>
      <c r="K234" s="3"/>
      <c r="L234" s="3"/>
    </row>
    <row r="235" spans="5:12" x14ac:dyDescent="0.25">
      <c r="E235" s="3"/>
      <c r="F235" s="3"/>
      <c r="G235" s="3"/>
      <c r="H235" s="3"/>
      <c r="I235" s="3"/>
      <c r="J235" s="3"/>
      <c r="K235" s="3"/>
      <c r="L235" s="3"/>
    </row>
    <row r="236" spans="5:12" x14ac:dyDescent="0.25">
      <c r="E236" s="3"/>
      <c r="F236" s="3"/>
      <c r="G236" s="3"/>
      <c r="H236" s="3"/>
      <c r="I236" s="3"/>
      <c r="J236" s="3"/>
      <c r="K236" s="3"/>
      <c r="L236" s="3"/>
    </row>
    <row r="237" spans="5:12" x14ac:dyDescent="0.25">
      <c r="E237" s="3"/>
      <c r="F237" s="3"/>
      <c r="G237" s="3"/>
      <c r="H237" s="3"/>
      <c r="I237" s="3"/>
      <c r="J237" s="3"/>
      <c r="K237" s="3"/>
      <c r="L237" s="3"/>
    </row>
    <row r="238" spans="5:12" x14ac:dyDescent="0.25">
      <c r="E238" s="3"/>
      <c r="F238" s="3"/>
      <c r="G238" s="3"/>
      <c r="H238" s="3"/>
      <c r="I238" s="3"/>
      <c r="J238" s="3"/>
      <c r="K238" s="3"/>
      <c r="L238" s="3"/>
    </row>
    <row r="239" spans="5:12" x14ac:dyDescent="0.25">
      <c r="E239" s="3"/>
      <c r="F239" s="3"/>
      <c r="G239" s="3"/>
      <c r="H239" s="3"/>
      <c r="I239" s="3"/>
      <c r="J239" s="3"/>
      <c r="K239" s="3"/>
      <c r="L239" s="3"/>
    </row>
    <row r="240" spans="5:12" x14ac:dyDescent="0.25">
      <c r="E240" s="3"/>
      <c r="F240" s="3"/>
      <c r="G240" s="3"/>
      <c r="H240" s="3"/>
      <c r="I240" s="3"/>
      <c r="J240" s="3"/>
      <c r="K240" s="3"/>
      <c r="L240" s="3"/>
    </row>
    <row r="241" spans="5:12" x14ac:dyDescent="0.25">
      <c r="E241" s="3"/>
      <c r="F241" s="3"/>
      <c r="G241" s="3"/>
      <c r="H241" s="3"/>
      <c r="I241" s="3"/>
      <c r="J241" s="3"/>
      <c r="K241" s="3"/>
      <c r="L241" s="3"/>
    </row>
    <row r="242" spans="5:12" x14ac:dyDescent="0.25">
      <c r="E242" s="3"/>
      <c r="F242" s="3"/>
      <c r="G242" s="3"/>
      <c r="H242" s="3"/>
      <c r="I242" s="3"/>
      <c r="J242" s="3"/>
      <c r="K242" s="3"/>
      <c r="L242" s="3"/>
    </row>
    <row r="243" spans="5:12" x14ac:dyDescent="0.25">
      <c r="E243" s="3"/>
      <c r="F243" s="3"/>
      <c r="G243" s="3"/>
      <c r="H243" s="3"/>
      <c r="I243" s="3"/>
      <c r="J243" s="3"/>
      <c r="K243" s="3"/>
      <c r="L243" s="3"/>
    </row>
    <row r="244" spans="5:12" x14ac:dyDescent="0.25">
      <c r="E244" s="3"/>
      <c r="F244" s="3"/>
      <c r="G244" s="3"/>
      <c r="H244" s="3"/>
      <c r="I244" s="3"/>
      <c r="J244" s="3"/>
      <c r="K244" s="3"/>
      <c r="L244" s="3"/>
    </row>
    <row r="245" spans="5:12" x14ac:dyDescent="0.25">
      <c r="E245" s="3"/>
      <c r="F245" s="3"/>
      <c r="G245" s="3"/>
      <c r="H245" s="3"/>
      <c r="I245" s="3"/>
      <c r="J245" s="3"/>
      <c r="K245" s="3"/>
      <c r="L245" s="3"/>
    </row>
    <row r="246" spans="5:12" x14ac:dyDescent="0.25">
      <c r="E246" s="3"/>
      <c r="F246" s="3"/>
      <c r="G246" s="3"/>
      <c r="H246" s="3"/>
      <c r="I246" s="3"/>
      <c r="J246" s="3"/>
      <c r="K246" s="3"/>
      <c r="L246" s="3"/>
    </row>
    <row r="247" spans="5:12" x14ac:dyDescent="0.25">
      <c r="E247" s="3"/>
      <c r="F247" s="3"/>
      <c r="G247" s="3"/>
      <c r="H247" s="3"/>
      <c r="I247" s="3"/>
      <c r="J247" s="3"/>
      <c r="K247" s="3"/>
      <c r="L247" s="3"/>
    </row>
    <row r="248" spans="5:12" x14ac:dyDescent="0.25">
      <c r="E248" s="3"/>
      <c r="F248" s="3"/>
      <c r="G248" s="3"/>
      <c r="H248" s="3"/>
      <c r="I248" s="3"/>
      <c r="J248" s="3"/>
      <c r="K248" s="3"/>
      <c r="L248" s="3"/>
    </row>
    <row r="249" spans="5:12" x14ac:dyDescent="0.25">
      <c r="E249" s="3"/>
      <c r="F249" s="3"/>
      <c r="G249" s="3"/>
      <c r="H249" s="3"/>
      <c r="I249" s="3"/>
      <c r="J249" s="3"/>
      <c r="K249" s="3"/>
      <c r="L249" s="3"/>
    </row>
    <row r="250" spans="5:12" x14ac:dyDescent="0.25">
      <c r="E250" s="3"/>
      <c r="F250" s="3"/>
      <c r="G250" s="3"/>
      <c r="H250" s="3"/>
      <c r="I250" s="3"/>
      <c r="J250" s="3"/>
      <c r="K250" s="3"/>
      <c r="L250" s="3"/>
    </row>
    <row r="251" spans="5:12" x14ac:dyDescent="0.25">
      <c r="E251" s="3"/>
      <c r="F251" s="3"/>
      <c r="G251" s="3"/>
      <c r="H251" s="3"/>
      <c r="I251" s="3"/>
      <c r="J251" s="3"/>
      <c r="K251" s="3"/>
      <c r="L251" s="3"/>
    </row>
    <row r="252" spans="5:12" x14ac:dyDescent="0.25">
      <c r="E252" s="3"/>
      <c r="F252" s="3"/>
      <c r="G252" s="3"/>
      <c r="H252" s="3"/>
      <c r="I252" s="3"/>
      <c r="J252" s="3"/>
      <c r="K252" s="3"/>
      <c r="L252" s="3"/>
    </row>
    <row r="253" spans="5:12" x14ac:dyDescent="0.25">
      <c r="E253" s="3"/>
      <c r="F253" s="3"/>
      <c r="G253" s="3"/>
      <c r="H253" s="3"/>
      <c r="I253" s="3"/>
      <c r="J253" s="3"/>
      <c r="K253" s="3"/>
      <c r="L253" s="3"/>
    </row>
    <row r="254" spans="5:12" x14ac:dyDescent="0.25">
      <c r="E254" s="3"/>
      <c r="F254" s="3"/>
      <c r="G254" s="3"/>
      <c r="H254" s="3"/>
      <c r="I254" s="3"/>
      <c r="J254" s="3"/>
      <c r="K254" s="3"/>
      <c r="L254" s="3"/>
    </row>
    <row r="255" spans="5:12" x14ac:dyDescent="0.25">
      <c r="E255" s="3"/>
      <c r="F255" s="3"/>
      <c r="G255" s="3"/>
      <c r="H255" s="3"/>
      <c r="I255" s="3"/>
      <c r="J255" s="3"/>
      <c r="K255" s="3"/>
      <c r="L255" s="3"/>
    </row>
    <row r="256" spans="5:12" x14ac:dyDescent="0.25">
      <c r="E256" s="3"/>
      <c r="F256" s="3"/>
      <c r="G256" s="3"/>
      <c r="H256" s="3"/>
      <c r="I256" s="3"/>
      <c r="J256" s="3"/>
      <c r="K256" s="3"/>
      <c r="L256" s="3"/>
    </row>
    <row r="257" spans="5:12" x14ac:dyDescent="0.25">
      <c r="E257" s="3"/>
      <c r="F257" s="3"/>
      <c r="G257" s="3"/>
      <c r="H257" s="3"/>
      <c r="I257" s="3"/>
      <c r="J257" s="3"/>
      <c r="K257" s="3"/>
      <c r="L257" s="3"/>
    </row>
    <row r="258" spans="5:12" x14ac:dyDescent="0.25">
      <c r="E258" s="3"/>
      <c r="F258" s="3"/>
      <c r="G258" s="3"/>
      <c r="H258" s="3"/>
      <c r="I258" s="3"/>
      <c r="J258" s="3"/>
      <c r="K258" s="3"/>
      <c r="L258" s="3"/>
    </row>
    <row r="259" spans="5:12" x14ac:dyDescent="0.25">
      <c r="E259" s="3"/>
      <c r="F259" s="3"/>
      <c r="G259" s="3"/>
      <c r="H259" s="3"/>
      <c r="I259" s="3"/>
      <c r="J259" s="3"/>
      <c r="K259" s="3"/>
      <c r="L259" s="3"/>
    </row>
    <row r="260" spans="5:12" x14ac:dyDescent="0.25">
      <c r="E260" s="3"/>
      <c r="F260" s="3"/>
      <c r="G260" s="3"/>
      <c r="H260" s="3"/>
      <c r="I260" s="3"/>
      <c r="J260" s="3"/>
      <c r="K260" s="3"/>
      <c r="L260" s="3"/>
    </row>
    <row r="261" spans="5:12" x14ac:dyDescent="0.25">
      <c r="E261" s="3"/>
      <c r="F261" s="3"/>
      <c r="G261" s="3"/>
      <c r="H261" s="3"/>
      <c r="I261" s="3"/>
      <c r="J261" s="3"/>
      <c r="K261" s="3"/>
      <c r="L261" s="3"/>
    </row>
    <row r="262" spans="5:12" x14ac:dyDescent="0.25">
      <c r="E262" s="3"/>
      <c r="F262" s="3"/>
      <c r="G262" s="3"/>
      <c r="H262" s="3"/>
      <c r="I262" s="3"/>
      <c r="J262" s="3"/>
      <c r="K262" s="3"/>
      <c r="L262" s="3"/>
    </row>
    <row r="263" spans="5:12" x14ac:dyDescent="0.25">
      <c r="E263" s="3"/>
      <c r="F263" s="3"/>
      <c r="G263" s="3"/>
      <c r="H263" s="3"/>
      <c r="I263" s="3"/>
      <c r="J263" s="3"/>
      <c r="K263" s="3"/>
      <c r="L263" s="3"/>
    </row>
    <row r="264" spans="5:12" x14ac:dyDescent="0.25">
      <c r="E264" s="3"/>
      <c r="F264" s="3"/>
      <c r="G264" s="3"/>
      <c r="H264" s="3"/>
      <c r="I264" s="3"/>
      <c r="J264" s="3"/>
      <c r="K264" s="3"/>
      <c r="L264" s="3"/>
    </row>
    <row r="265" spans="5:12" x14ac:dyDescent="0.25">
      <c r="E265" s="3"/>
      <c r="F265" s="3"/>
      <c r="G265" s="3"/>
      <c r="H265" s="3"/>
      <c r="I265" s="3"/>
      <c r="J265" s="3"/>
      <c r="K265" s="3"/>
      <c r="L265" s="3"/>
    </row>
    <row r="266" spans="5:12" x14ac:dyDescent="0.25">
      <c r="E266" s="3"/>
      <c r="F266" s="3"/>
      <c r="G266" s="3"/>
      <c r="H266" s="3"/>
      <c r="I266" s="3"/>
      <c r="J266" s="3"/>
      <c r="K266" s="3"/>
      <c r="L266" s="3"/>
    </row>
    <row r="267" spans="5:12" x14ac:dyDescent="0.25">
      <c r="E267" s="3"/>
      <c r="F267" s="3"/>
      <c r="G267" s="3"/>
      <c r="H267" s="3"/>
      <c r="I267" s="3"/>
      <c r="J267" s="3"/>
      <c r="K267" s="3"/>
      <c r="L267" s="3"/>
    </row>
    <row r="268" spans="5:12" x14ac:dyDescent="0.25">
      <c r="E268" s="3"/>
      <c r="F268" s="3"/>
      <c r="G268" s="3"/>
      <c r="H268" s="3"/>
      <c r="I268" s="3"/>
      <c r="J268" s="3"/>
      <c r="K268" s="3"/>
      <c r="L268" s="3"/>
    </row>
    <row r="269" spans="5:12" x14ac:dyDescent="0.25">
      <c r="E269" s="3"/>
      <c r="F269" s="3"/>
      <c r="G269" s="3"/>
      <c r="H269" s="3"/>
      <c r="I269" s="3"/>
      <c r="J269" s="3"/>
      <c r="K269" s="3"/>
      <c r="L269" s="3"/>
    </row>
    <row r="270" spans="5:12" x14ac:dyDescent="0.25">
      <c r="E270" s="3"/>
      <c r="F270" s="3"/>
      <c r="G270" s="3"/>
      <c r="H270" s="3"/>
      <c r="I270" s="3"/>
      <c r="J270" s="3"/>
      <c r="K270" s="3"/>
      <c r="L270" s="3"/>
    </row>
    <row r="271" spans="5:12" x14ac:dyDescent="0.25">
      <c r="E271" s="3"/>
      <c r="F271" s="3"/>
      <c r="G271" s="3"/>
      <c r="H271" s="3"/>
      <c r="I271" s="3"/>
      <c r="J271" s="3"/>
      <c r="K271" s="3"/>
      <c r="L271" s="3"/>
    </row>
    <row r="272" spans="5:12" x14ac:dyDescent="0.25">
      <c r="E272" s="3"/>
      <c r="F272" s="3"/>
      <c r="G272" s="3"/>
      <c r="H272" s="3"/>
      <c r="I272" s="3"/>
      <c r="J272" s="3"/>
      <c r="K272" s="3"/>
      <c r="L272" s="3"/>
    </row>
    <row r="273" spans="5:12" x14ac:dyDescent="0.25">
      <c r="E273" s="3"/>
      <c r="F273" s="3"/>
      <c r="G273" s="3"/>
      <c r="H273" s="3"/>
      <c r="I273" s="3"/>
      <c r="J273" s="3"/>
      <c r="K273" s="3"/>
      <c r="L273" s="3"/>
    </row>
    <row r="274" spans="5:12" x14ac:dyDescent="0.25">
      <c r="E274" s="3"/>
      <c r="F274" s="3"/>
      <c r="G274" s="3"/>
      <c r="H274" s="3"/>
      <c r="I274" s="3"/>
      <c r="J274" s="3"/>
      <c r="K274" s="3"/>
      <c r="L274" s="3"/>
    </row>
    <row r="275" spans="5:12" x14ac:dyDescent="0.25">
      <c r="E275" s="3"/>
      <c r="F275" s="3"/>
      <c r="G275" s="3"/>
      <c r="H275" s="3"/>
      <c r="I275" s="3"/>
      <c r="J275" s="3"/>
      <c r="K275" s="3"/>
      <c r="L275" s="3"/>
    </row>
  </sheetData>
  <pageMargins left="0.7" right="0.7" top="0.75" bottom="0.75" header="0.3" footer="0.3"/>
  <pageSetup scale="85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68"/>
  <sheetViews>
    <sheetView workbookViewId="0">
      <selection activeCell="F55" sqref="F55"/>
    </sheetView>
  </sheetViews>
  <sheetFormatPr defaultColWidth="11.42578125" defaultRowHeight="12.75" x14ac:dyDescent="0.2"/>
  <cols>
    <col min="1" max="1" width="30.140625" customWidth="1"/>
    <col min="2" max="2" width="14" bestFit="1" customWidth="1"/>
    <col min="3" max="3" width="12.7109375" customWidth="1"/>
    <col min="4" max="4" width="12.85546875" customWidth="1"/>
    <col min="5" max="5" width="13.42578125" customWidth="1"/>
    <col min="6" max="6" width="14" bestFit="1" customWidth="1"/>
    <col min="9" max="9" width="12.28515625" bestFit="1" customWidth="1"/>
  </cols>
  <sheetData>
    <row r="1" spans="1:10" ht="14.25" x14ac:dyDescent="0.2">
      <c r="A1" s="8"/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/>
      <c r="H1" s="9" t="s">
        <v>5</v>
      </c>
      <c r="I1" s="10">
        <v>5.2499999999999998E-2</v>
      </c>
      <c r="J1" s="6"/>
    </row>
    <row r="2" spans="1:10" ht="14.25" x14ac:dyDescent="0.2">
      <c r="A2" s="11" t="s">
        <v>13</v>
      </c>
      <c r="B2" s="7">
        <f>+I7</f>
        <v>150000</v>
      </c>
      <c r="C2" s="7">
        <f t="shared" ref="C2:C13" si="0">+E2-D2</f>
        <v>172.0555532128476</v>
      </c>
      <c r="D2" s="7">
        <f t="shared" ref="D2:D13" si="1">B2*$I$2</f>
        <v>656.24999999999989</v>
      </c>
      <c r="E2" s="7">
        <f t="shared" ref="E2:E13" si="2">-$I$9</f>
        <v>828.30555321284749</v>
      </c>
      <c r="F2" s="7">
        <f t="shared" ref="F2:F13" si="3">+B2-C2</f>
        <v>149827.94444678715</v>
      </c>
      <c r="G2" s="8"/>
      <c r="H2" s="9" t="s">
        <v>6</v>
      </c>
      <c r="I2" s="10">
        <f>+I1/12</f>
        <v>4.3749999999999995E-3</v>
      </c>
      <c r="J2" s="6"/>
    </row>
    <row r="3" spans="1:10" ht="14.25" x14ac:dyDescent="0.2">
      <c r="A3" s="12" t="s">
        <v>12</v>
      </c>
      <c r="B3" s="7">
        <f t="shared" ref="B3:B13" si="4">+F2</f>
        <v>149827.94444678715</v>
      </c>
      <c r="C3" s="7">
        <f t="shared" si="0"/>
        <v>172.80829625815375</v>
      </c>
      <c r="D3" s="7">
        <f t="shared" si="1"/>
        <v>655.49725695469374</v>
      </c>
      <c r="E3" s="7">
        <f t="shared" si="2"/>
        <v>828.30555321284749</v>
      </c>
      <c r="F3" s="7">
        <f t="shared" si="3"/>
        <v>149655.136150529</v>
      </c>
      <c r="G3" s="8"/>
      <c r="H3" s="9" t="s">
        <v>7</v>
      </c>
      <c r="I3" s="13">
        <v>0</v>
      </c>
      <c r="J3" s="6"/>
    </row>
    <row r="4" spans="1:10" ht="14.25" x14ac:dyDescent="0.2">
      <c r="A4" s="12" t="s">
        <v>14</v>
      </c>
      <c r="B4" s="7">
        <f t="shared" si="4"/>
        <v>149655.136150529</v>
      </c>
      <c r="C4" s="7">
        <f t="shared" si="0"/>
        <v>173.56433255428317</v>
      </c>
      <c r="D4" s="7">
        <f t="shared" si="1"/>
        <v>654.74122065856432</v>
      </c>
      <c r="E4" s="7">
        <f t="shared" si="2"/>
        <v>828.30555321284749</v>
      </c>
      <c r="F4" s="7">
        <f t="shared" si="3"/>
        <v>149481.57181797471</v>
      </c>
      <c r="G4" s="8"/>
      <c r="H4" s="9" t="s">
        <v>28</v>
      </c>
      <c r="I4" s="9">
        <v>30</v>
      </c>
      <c r="J4" s="6"/>
    </row>
    <row r="5" spans="1:10" ht="14.25" x14ac:dyDescent="0.2">
      <c r="A5" s="12" t="s">
        <v>15</v>
      </c>
      <c r="B5" s="7">
        <f t="shared" si="4"/>
        <v>149481.57181797471</v>
      </c>
      <c r="C5" s="7">
        <f t="shared" si="0"/>
        <v>174.32367650920821</v>
      </c>
      <c r="D5" s="7">
        <f t="shared" si="1"/>
        <v>653.98187670363927</v>
      </c>
      <c r="E5" s="7">
        <f t="shared" si="2"/>
        <v>828.30555321284749</v>
      </c>
      <c r="F5" s="7">
        <f t="shared" si="3"/>
        <v>149307.2481414655</v>
      </c>
      <c r="G5" s="8"/>
      <c r="H5" s="9" t="s">
        <v>8</v>
      </c>
      <c r="I5" s="9">
        <f>I4*12</f>
        <v>360</v>
      </c>
      <c r="J5" s="6"/>
    </row>
    <row r="6" spans="1:10" ht="14.25" x14ac:dyDescent="0.2">
      <c r="A6" s="12" t="s">
        <v>16</v>
      </c>
      <c r="B6" s="7">
        <f t="shared" si="4"/>
        <v>149307.2481414655</v>
      </c>
      <c r="C6" s="7">
        <f t="shared" si="0"/>
        <v>175.08634259393602</v>
      </c>
      <c r="D6" s="7">
        <f t="shared" si="1"/>
        <v>653.21921061891146</v>
      </c>
      <c r="E6" s="7">
        <f t="shared" si="2"/>
        <v>828.30555321284749</v>
      </c>
      <c r="F6" s="7">
        <f t="shared" si="3"/>
        <v>149132.16179887156</v>
      </c>
      <c r="G6" s="8"/>
      <c r="H6" s="9" t="s">
        <v>9</v>
      </c>
      <c r="I6" s="9">
        <v>0</v>
      </c>
      <c r="J6" s="6"/>
    </row>
    <row r="7" spans="1:10" ht="14.25" x14ac:dyDescent="0.2">
      <c r="A7" s="12" t="s">
        <v>17</v>
      </c>
      <c r="B7" s="7">
        <f t="shared" si="4"/>
        <v>149132.16179887156</v>
      </c>
      <c r="C7" s="7">
        <f t="shared" si="0"/>
        <v>175.85234534278447</v>
      </c>
      <c r="D7" s="7">
        <f t="shared" si="1"/>
        <v>652.45320787006301</v>
      </c>
      <c r="E7" s="7">
        <f t="shared" si="2"/>
        <v>828.30555321284749</v>
      </c>
      <c r="F7" s="7">
        <f t="shared" si="3"/>
        <v>148956.30945352878</v>
      </c>
      <c r="G7" s="8"/>
      <c r="H7" s="9" t="s">
        <v>10</v>
      </c>
      <c r="I7" s="13">
        <v>150000</v>
      </c>
      <c r="J7" s="6"/>
    </row>
    <row r="8" spans="1:10" ht="14.25" x14ac:dyDescent="0.2">
      <c r="A8" s="12" t="s">
        <v>18</v>
      </c>
      <c r="B8" s="7">
        <f t="shared" si="4"/>
        <v>148956.30945352878</v>
      </c>
      <c r="C8" s="7">
        <f t="shared" si="0"/>
        <v>176.6216993536591</v>
      </c>
      <c r="D8" s="7">
        <f t="shared" si="1"/>
        <v>651.68385385918839</v>
      </c>
      <c r="E8" s="7">
        <f t="shared" si="2"/>
        <v>828.30555321284749</v>
      </c>
      <c r="F8" s="7">
        <f t="shared" si="3"/>
        <v>148779.68775417513</v>
      </c>
      <c r="G8" s="8"/>
      <c r="H8" s="9"/>
      <c r="I8" s="9"/>
      <c r="J8" s="6"/>
    </row>
    <row r="9" spans="1:10" ht="14.25" x14ac:dyDescent="0.2">
      <c r="A9" s="12" t="s">
        <v>19</v>
      </c>
      <c r="B9" s="7">
        <f t="shared" si="4"/>
        <v>148779.68775417513</v>
      </c>
      <c r="C9" s="7">
        <f t="shared" si="0"/>
        <v>177.39441928833139</v>
      </c>
      <c r="D9" s="7">
        <f t="shared" si="1"/>
        <v>650.91113392451609</v>
      </c>
      <c r="E9" s="7">
        <f t="shared" si="2"/>
        <v>828.30555321284749</v>
      </c>
      <c r="F9" s="7">
        <f t="shared" si="3"/>
        <v>148602.29333488681</v>
      </c>
      <c r="G9" s="8"/>
      <c r="H9" s="9" t="s">
        <v>3</v>
      </c>
      <c r="I9" s="7">
        <f>PMT(I2,I5,I7,I3,I6)</f>
        <v>-828.30555321284749</v>
      </c>
      <c r="J9" s="6"/>
    </row>
    <row r="10" spans="1:10" ht="14.25" x14ac:dyDescent="0.2">
      <c r="A10" s="12" t="s">
        <v>20</v>
      </c>
      <c r="B10" s="7">
        <f t="shared" si="4"/>
        <v>148602.29333488681</v>
      </c>
      <c r="C10" s="7">
        <f t="shared" si="0"/>
        <v>178.1705198727177</v>
      </c>
      <c r="D10" s="7">
        <f t="shared" si="1"/>
        <v>650.13503334012978</v>
      </c>
      <c r="E10" s="7">
        <f t="shared" si="2"/>
        <v>828.30555321284749</v>
      </c>
      <c r="F10" s="7">
        <f t="shared" si="3"/>
        <v>148424.1228150141</v>
      </c>
      <c r="G10" s="8"/>
      <c r="H10" s="8"/>
      <c r="I10" s="8"/>
      <c r="J10" s="6"/>
    </row>
    <row r="11" spans="1:10" ht="14.25" x14ac:dyDescent="0.2">
      <c r="A11" s="12" t="s">
        <v>21</v>
      </c>
      <c r="B11" s="7">
        <f t="shared" si="4"/>
        <v>148424.1228150141</v>
      </c>
      <c r="C11" s="7">
        <f t="shared" si="0"/>
        <v>178.95001589716094</v>
      </c>
      <c r="D11" s="7">
        <f t="shared" si="1"/>
        <v>649.35553731568655</v>
      </c>
      <c r="E11" s="7">
        <f t="shared" si="2"/>
        <v>828.30555321284749</v>
      </c>
      <c r="F11" s="7">
        <f t="shared" si="3"/>
        <v>148245.17279911693</v>
      </c>
      <c r="G11" s="8"/>
      <c r="H11" s="8"/>
      <c r="I11" s="8"/>
      <c r="J11" s="6"/>
    </row>
    <row r="12" spans="1:10" ht="14.25" x14ac:dyDescent="0.2">
      <c r="A12" s="12" t="s">
        <v>22</v>
      </c>
      <c r="B12" s="7">
        <f t="shared" si="4"/>
        <v>148245.17279911693</v>
      </c>
      <c r="C12" s="7">
        <f t="shared" si="0"/>
        <v>179.73292221671102</v>
      </c>
      <c r="D12" s="7">
        <f t="shared" si="1"/>
        <v>648.57263099613647</v>
      </c>
      <c r="E12" s="7">
        <f t="shared" si="2"/>
        <v>828.30555321284749</v>
      </c>
      <c r="F12" s="7">
        <f t="shared" si="3"/>
        <v>148065.43987690023</v>
      </c>
      <c r="G12" s="8"/>
      <c r="H12" s="8"/>
      <c r="I12" s="8"/>
      <c r="J12" s="6"/>
    </row>
    <row r="13" spans="1:10" ht="14.25" x14ac:dyDescent="0.2">
      <c r="A13" s="12" t="s">
        <v>23</v>
      </c>
      <c r="B13" s="7">
        <f t="shared" si="4"/>
        <v>148065.43987690023</v>
      </c>
      <c r="C13" s="7">
        <f t="shared" si="0"/>
        <v>180.519253751409</v>
      </c>
      <c r="D13" s="7">
        <f t="shared" si="1"/>
        <v>647.78629946143849</v>
      </c>
      <c r="E13" s="7">
        <f t="shared" si="2"/>
        <v>828.30555321284749</v>
      </c>
      <c r="F13" s="7">
        <f t="shared" si="3"/>
        <v>147884.92062314882</v>
      </c>
      <c r="G13" s="8"/>
      <c r="H13" s="8"/>
      <c r="I13" s="8"/>
      <c r="J13" s="6"/>
    </row>
    <row r="14" spans="1:10" ht="15" x14ac:dyDescent="0.25">
      <c r="A14" s="14" t="s">
        <v>11</v>
      </c>
      <c r="B14" s="7"/>
      <c r="C14" s="7">
        <f>SUM(C2:C13)</f>
        <v>2115.0793768512021</v>
      </c>
      <c r="D14" s="7">
        <f>SUM(D2:D13)</f>
        <v>7824.5872617029681</v>
      </c>
      <c r="E14" s="7"/>
      <c r="F14" s="7"/>
      <c r="G14" s="8"/>
      <c r="H14" s="8"/>
      <c r="I14" s="8"/>
      <c r="J14" s="6"/>
    </row>
    <row r="15" spans="1:10" ht="14.25" x14ac:dyDescent="0.2">
      <c r="A15" s="12"/>
      <c r="B15" s="7"/>
      <c r="C15" s="7"/>
      <c r="D15" s="7"/>
      <c r="E15" s="7"/>
      <c r="F15" s="7"/>
      <c r="G15" s="8"/>
      <c r="H15" s="8"/>
      <c r="I15" s="8"/>
      <c r="J15" s="6"/>
    </row>
    <row r="16" spans="1:10" ht="14.25" x14ac:dyDescent="0.2">
      <c r="A16" s="15" t="s">
        <v>25</v>
      </c>
      <c r="B16" s="7">
        <f>+F13</f>
        <v>147884.92062314882</v>
      </c>
      <c r="C16" s="7">
        <f t="shared" ref="C16:C27" si="5">+E16-D16</f>
        <v>181.3090254865715</v>
      </c>
      <c r="D16" s="7">
        <f t="shared" ref="D16:D27" si="6">B16*$I$2</f>
        <v>646.99652772627599</v>
      </c>
      <c r="E16" s="7">
        <f t="shared" ref="E16:E27" si="7">-$I$9</f>
        <v>828.30555321284749</v>
      </c>
      <c r="F16" s="7">
        <f t="shared" ref="F16:F27" si="8">+B16-C16</f>
        <v>147703.61159766224</v>
      </c>
      <c r="G16" s="8"/>
      <c r="H16" s="8"/>
      <c r="I16" s="8"/>
      <c r="J16" s="6"/>
    </row>
    <row r="17" spans="1:10" ht="14.25" x14ac:dyDescent="0.2">
      <c r="A17" s="12" t="s">
        <v>12</v>
      </c>
      <c r="B17" s="7">
        <f t="shared" ref="B17:B27" si="9">+F16</f>
        <v>147703.61159766224</v>
      </c>
      <c r="C17" s="7">
        <f t="shared" si="5"/>
        <v>182.10225247307528</v>
      </c>
      <c r="D17" s="7">
        <f t="shared" si="6"/>
        <v>646.2033007397722</v>
      </c>
      <c r="E17" s="7">
        <f t="shared" si="7"/>
        <v>828.30555321284749</v>
      </c>
      <c r="F17" s="7">
        <f t="shared" si="8"/>
        <v>147521.50934518917</v>
      </c>
      <c r="G17" s="8"/>
      <c r="H17" s="8"/>
      <c r="I17" s="8"/>
      <c r="J17" s="6"/>
    </row>
    <row r="18" spans="1:10" ht="14.25" x14ac:dyDescent="0.2">
      <c r="A18" s="12" t="s">
        <v>14</v>
      </c>
      <c r="B18" s="7">
        <f t="shared" si="9"/>
        <v>147521.50934518917</v>
      </c>
      <c r="C18" s="7">
        <f t="shared" si="5"/>
        <v>182.89894982764497</v>
      </c>
      <c r="D18" s="7">
        <f t="shared" si="6"/>
        <v>645.40660338520252</v>
      </c>
      <c r="E18" s="7">
        <f t="shared" si="7"/>
        <v>828.30555321284749</v>
      </c>
      <c r="F18" s="7">
        <f t="shared" si="8"/>
        <v>147338.61039536152</v>
      </c>
      <c r="G18" s="8"/>
      <c r="H18" s="8"/>
      <c r="I18" s="8"/>
      <c r="J18" s="6"/>
    </row>
    <row r="19" spans="1:10" ht="14.25" x14ac:dyDescent="0.2">
      <c r="A19" s="12" t="s">
        <v>15</v>
      </c>
      <c r="B19" s="7">
        <f t="shared" si="9"/>
        <v>147338.61039536152</v>
      </c>
      <c r="C19" s="7">
        <f t="shared" si="5"/>
        <v>183.69913273314091</v>
      </c>
      <c r="D19" s="7">
        <f t="shared" si="6"/>
        <v>644.60642047970657</v>
      </c>
      <c r="E19" s="7">
        <f t="shared" si="7"/>
        <v>828.30555321284749</v>
      </c>
      <c r="F19" s="7">
        <f t="shared" si="8"/>
        <v>147154.91126262839</v>
      </c>
      <c r="G19" s="8"/>
      <c r="H19" s="8"/>
      <c r="I19" s="8"/>
      <c r="J19" s="6"/>
    </row>
    <row r="20" spans="1:10" ht="14.25" x14ac:dyDescent="0.2">
      <c r="A20" s="12" t="s">
        <v>16</v>
      </c>
      <c r="B20" s="7">
        <f t="shared" si="9"/>
        <v>147154.91126262839</v>
      </c>
      <c r="C20" s="7">
        <f t="shared" si="5"/>
        <v>184.5028164388483</v>
      </c>
      <c r="D20" s="7">
        <f t="shared" si="6"/>
        <v>643.80273677399919</v>
      </c>
      <c r="E20" s="7">
        <f t="shared" si="7"/>
        <v>828.30555321284749</v>
      </c>
      <c r="F20" s="7">
        <f t="shared" si="8"/>
        <v>146970.40844618954</v>
      </c>
      <c r="G20" s="8"/>
      <c r="H20" s="8"/>
      <c r="I20" s="8"/>
      <c r="J20" s="6"/>
    </row>
    <row r="21" spans="1:10" ht="14.25" x14ac:dyDescent="0.2">
      <c r="A21" s="12" t="s">
        <v>17</v>
      </c>
      <c r="B21" s="7">
        <f t="shared" si="9"/>
        <v>146970.40844618954</v>
      </c>
      <c r="C21" s="7">
        <f t="shared" si="5"/>
        <v>185.31001626076829</v>
      </c>
      <c r="D21" s="7">
        <f t="shared" si="6"/>
        <v>642.99553695207919</v>
      </c>
      <c r="E21" s="7">
        <f t="shared" si="7"/>
        <v>828.30555321284749</v>
      </c>
      <c r="F21" s="7">
        <f t="shared" si="8"/>
        <v>146785.09842992877</v>
      </c>
      <c r="G21" s="8"/>
      <c r="H21" s="8"/>
      <c r="I21" s="8"/>
      <c r="J21" s="6"/>
    </row>
    <row r="22" spans="1:10" ht="14.25" x14ac:dyDescent="0.2">
      <c r="A22" s="12" t="s">
        <v>18</v>
      </c>
      <c r="B22" s="7">
        <f t="shared" si="9"/>
        <v>146785.09842992877</v>
      </c>
      <c r="C22" s="7">
        <f t="shared" si="5"/>
        <v>186.1207475819092</v>
      </c>
      <c r="D22" s="7">
        <f t="shared" si="6"/>
        <v>642.18480563093829</v>
      </c>
      <c r="E22" s="7">
        <f t="shared" si="7"/>
        <v>828.30555321284749</v>
      </c>
      <c r="F22" s="7">
        <f t="shared" si="8"/>
        <v>146598.97768234686</v>
      </c>
      <c r="G22" s="8"/>
      <c r="H22" s="8"/>
      <c r="I22" s="8"/>
      <c r="J22" s="6"/>
    </row>
    <row r="23" spans="1:10" ht="14.25" x14ac:dyDescent="0.2">
      <c r="A23" s="12" t="s">
        <v>19</v>
      </c>
      <c r="B23" s="7">
        <f t="shared" si="9"/>
        <v>146598.97768234686</v>
      </c>
      <c r="C23" s="7">
        <f t="shared" si="5"/>
        <v>186.93502585258011</v>
      </c>
      <c r="D23" s="7">
        <f t="shared" si="6"/>
        <v>641.37052736026737</v>
      </c>
      <c r="E23" s="7">
        <f t="shared" si="7"/>
        <v>828.30555321284749</v>
      </c>
      <c r="F23" s="7">
        <f t="shared" si="8"/>
        <v>146412.04265649428</v>
      </c>
      <c r="G23" s="8"/>
      <c r="H23" s="8"/>
      <c r="I23" s="8"/>
      <c r="J23" s="6"/>
    </row>
    <row r="24" spans="1:10" ht="14.25" x14ac:dyDescent="0.2">
      <c r="A24" s="12" t="s">
        <v>20</v>
      </c>
      <c r="B24" s="7">
        <f t="shared" si="9"/>
        <v>146412.04265649428</v>
      </c>
      <c r="C24" s="7">
        <f t="shared" si="5"/>
        <v>187.75286659068513</v>
      </c>
      <c r="D24" s="7">
        <f t="shared" si="6"/>
        <v>640.55268662216235</v>
      </c>
      <c r="E24" s="7">
        <f t="shared" si="7"/>
        <v>828.30555321284749</v>
      </c>
      <c r="F24" s="7">
        <f t="shared" si="8"/>
        <v>146224.28978990359</v>
      </c>
      <c r="G24" s="8"/>
      <c r="H24" s="8"/>
      <c r="I24" s="8"/>
      <c r="J24" s="6"/>
    </row>
    <row r="25" spans="1:10" ht="14.25" x14ac:dyDescent="0.2">
      <c r="A25" s="12" t="s">
        <v>21</v>
      </c>
      <c r="B25" s="7">
        <f t="shared" si="9"/>
        <v>146224.28978990359</v>
      </c>
      <c r="C25" s="7">
        <f t="shared" si="5"/>
        <v>188.5742853820193</v>
      </c>
      <c r="D25" s="7">
        <f t="shared" si="6"/>
        <v>639.73126783082819</v>
      </c>
      <c r="E25" s="7">
        <f t="shared" si="7"/>
        <v>828.30555321284749</v>
      </c>
      <c r="F25" s="7">
        <f t="shared" si="8"/>
        <v>146035.71550452156</v>
      </c>
      <c r="G25" s="8"/>
      <c r="H25" s="8"/>
      <c r="I25" s="8"/>
      <c r="J25" s="6"/>
    </row>
    <row r="26" spans="1:10" ht="14.25" x14ac:dyDescent="0.2">
      <c r="A26" s="12" t="s">
        <v>22</v>
      </c>
      <c r="B26" s="7">
        <f t="shared" si="9"/>
        <v>146035.71550452156</v>
      </c>
      <c r="C26" s="7">
        <f t="shared" si="5"/>
        <v>189.39929788056577</v>
      </c>
      <c r="D26" s="7">
        <f t="shared" si="6"/>
        <v>638.90625533228172</v>
      </c>
      <c r="E26" s="7">
        <f t="shared" si="7"/>
        <v>828.30555321284749</v>
      </c>
      <c r="F26" s="7">
        <f t="shared" si="8"/>
        <v>145846.316206641</v>
      </c>
      <c r="G26" s="8"/>
      <c r="H26" s="8"/>
      <c r="I26" s="8"/>
      <c r="J26" s="6"/>
    </row>
    <row r="27" spans="1:10" ht="14.25" x14ac:dyDescent="0.2">
      <c r="A27" s="12" t="s">
        <v>23</v>
      </c>
      <c r="B27" s="7">
        <f t="shared" si="9"/>
        <v>145846.316206641</v>
      </c>
      <c r="C27" s="7">
        <f t="shared" si="5"/>
        <v>190.22791980879322</v>
      </c>
      <c r="D27" s="7">
        <f t="shared" si="6"/>
        <v>638.07763340405427</v>
      </c>
      <c r="E27" s="7">
        <f t="shared" si="7"/>
        <v>828.30555321284749</v>
      </c>
      <c r="F27" s="7">
        <f t="shared" si="8"/>
        <v>145656.08828683221</v>
      </c>
      <c r="G27" s="8"/>
      <c r="H27" s="8"/>
      <c r="I27" s="8"/>
      <c r="J27" s="6"/>
    </row>
    <row r="28" spans="1:10" ht="15" x14ac:dyDescent="0.25">
      <c r="A28" s="14" t="s">
        <v>11</v>
      </c>
      <c r="B28" s="7"/>
      <c r="C28" s="7">
        <f>SUM(C16:C27)</f>
        <v>2228.8323363166019</v>
      </c>
      <c r="D28" s="7">
        <f>SUM(D16:D27)</f>
        <v>7710.8343022375684</v>
      </c>
      <c r="E28" s="7"/>
      <c r="F28" s="7"/>
      <c r="G28" s="8"/>
      <c r="H28" s="8"/>
      <c r="I28" s="8"/>
      <c r="J28" s="6"/>
    </row>
    <row r="29" spans="1:10" ht="14.25" x14ac:dyDescent="0.2">
      <c r="A29" s="12"/>
      <c r="B29" s="7"/>
      <c r="C29" s="7"/>
      <c r="D29" s="7"/>
      <c r="E29" s="7"/>
      <c r="F29" s="7"/>
      <c r="G29" s="8"/>
      <c r="H29" s="8"/>
      <c r="I29" s="8"/>
      <c r="J29" s="6"/>
    </row>
    <row r="30" spans="1:10" ht="14.25" x14ac:dyDescent="0.2">
      <c r="A30" s="15" t="s">
        <v>26</v>
      </c>
      <c r="B30" s="7">
        <f>+F27</f>
        <v>145656.08828683221</v>
      </c>
      <c r="C30" s="7">
        <f t="shared" ref="C30:C41" si="10">+E30-D30</f>
        <v>191.06016695795665</v>
      </c>
      <c r="D30" s="7">
        <f t="shared" ref="D30:D41" si="11">B30*$I$2</f>
        <v>637.24538625489083</v>
      </c>
      <c r="E30" s="7">
        <f t="shared" ref="E30:E41" si="12">-$I$9</f>
        <v>828.30555321284749</v>
      </c>
      <c r="F30" s="7">
        <f t="shared" ref="F30:F41" si="13">+B30-C30</f>
        <v>145465.02811987425</v>
      </c>
      <c r="G30" s="8"/>
      <c r="H30" s="8"/>
      <c r="I30" s="8"/>
      <c r="J30" s="6"/>
    </row>
    <row r="31" spans="1:10" ht="14.25" x14ac:dyDescent="0.2">
      <c r="A31" s="12" t="s">
        <v>12</v>
      </c>
      <c r="B31" s="7">
        <f t="shared" ref="B31:B41" si="14">+F30</f>
        <v>145465.02811987425</v>
      </c>
      <c r="C31" s="7">
        <f t="shared" si="10"/>
        <v>191.89605518839778</v>
      </c>
      <c r="D31" s="7">
        <f t="shared" si="11"/>
        <v>636.4094980244497</v>
      </c>
      <c r="E31" s="7">
        <f t="shared" si="12"/>
        <v>828.30555321284749</v>
      </c>
      <c r="F31" s="7">
        <f t="shared" si="13"/>
        <v>145273.13206468584</v>
      </c>
      <c r="G31" s="8"/>
      <c r="H31" s="8"/>
      <c r="I31" s="8"/>
      <c r="J31" s="6"/>
    </row>
    <row r="32" spans="1:10" ht="14.25" x14ac:dyDescent="0.2">
      <c r="A32" s="12" t="s">
        <v>14</v>
      </c>
      <c r="B32" s="7">
        <f t="shared" si="14"/>
        <v>145273.13206468584</v>
      </c>
      <c r="C32" s="7">
        <f t="shared" si="10"/>
        <v>192.73560042984707</v>
      </c>
      <c r="D32" s="7">
        <f t="shared" si="11"/>
        <v>635.56995278300042</v>
      </c>
      <c r="E32" s="7">
        <f t="shared" si="12"/>
        <v>828.30555321284749</v>
      </c>
      <c r="F32" s="7">
        <f t="shared" si="13"/>
        <v>145080.39646425599</v>
      </c>
      <c r="G32" s="8"/>
      <c r="H32" s="8"/>
      <c r="I32" s="8"/>
      <c r="J32" s="6"/>
    </row>
    <row r="33" spans="1:10" ht="14.25" x14ac:dyDescent="0.2">
      <c r="A33" s="12" t="s">
        <v>15</v>
      </c>
      <c r="B33" s="7">
        <f t="shared" si="14"/>
        <v>145080.39646425599</v>
      </c>
      <c r="C33" s="7">
        <f t="shared" si="10"/>
        <v>193.57881868172763</v>
      </c>
      <c r="D33" s="7">
        <f t="shared" si="11"/>
        <v>634.72673453111986</v>
      </c>
      <c r="E33" s="7">
        <f t="shared" si="12"/>
        <v>828.30555321284749</v>
      </c>
      <c r="F33" s="7">
        <f t="shared" si="13"/>
        <v>144886.81764557425</v>
      </c>
      <c r="G33" s="8"/>
      <c r="H33" s="8"/>
      <c r="I33" s="8"/>
      <c r="J33" s="6"/>
    </row>
    <row r="34" spans="1:10" ht="14.25" x14ac:dyDescent="0.2">
      <c r="A34" s="12" t="s">
        <v>16</v>
      </c>
      <c r="B34" s="7">
        <f t="shared" si="14"/>
        <v>144886.81764557425</v>
      </c>
      <c r="C34" s="7">
        <f t="shared" si="10"/>
        <v>194.42572601346023</v>
      </c>
      <c r="D34" s="7">
        <f t="shared" si="11"/>
        <v>633.87982719938725</v>
      </c>
      <c r="E34" s="7">
        <f t="shared" si="12"/>
        <v>828.30555321284749</v>
      </c>
      <c r="F34" s="7">
        <f t="shared" si="13"/>
        <v>144692.39191956079</v>
      </c>
      <c r="G34" s="8"/>
      <c r="H34" s="8"/>
      <c r="I34" s="8"/>
      <c r="J34" s="6"/>
    </row>
    <row r="35" spans="1:10" ht="14.25" x14ac:dyDescent="0.2">
      <c r="A35" s="12" t="s">
        <v>17</v>
      </c>
      <c r="B35" s="7">
        <f t="shared" si="14"/>
        <v>144692.39191956079</v>
      </c>
      <c r="C35" s="7">
        <f t="shared" si="10"/>
        <v>195.27633856476905</v>
      </c>
      <c r="D35" s="7">
        <f t="shared" si="11"/>
        <v>633.02921464807844</v>
      </c>
      <c r="E35" s="7">
        <f t="shared" si="12"/>
        <v>828.30555321284749</v>
      </c>
      <c r="F35" s="7">
        <f t="shared" si="13"/>
        <v>144497.11558099603</v>
      </c>
      <c r="G35" s="8"/>
      <c r="H35" s="8"/>
      <c r="I35" s="8"/>
      <c r="J35" s="6"/>
    </row>
    <row r="36" spans="1:10" ht="14.25" x14ac:dyDescent="0.2">
      <c r="A36" s="12" t="s">
        <v>18</v>
      </c>
      <c r="B36" s="7">
        <f t="shared" si="14"/>
        <v>144497.11558099603</v>
      </c>
      <c r="C36" s="7">
        <f t="shared" si="10"/>
        <v>196.13067254598991</v>
      </c>
      <c r="D36" s="7">
        <f t="shared" si="11"/>
        <v>632.17488066685758</v>
      </c>
      <c r="E36" s="7">
        <f t="shared" si="12"/>
        <v>828.30555321284749</v>
      </c>
      <c r="F36" s="7">
        <f t="shared" si="13"/>
        <v>144300.98490845005</v>
      </c>
      <c r="G36" s="8"/>
      <c r="H36" s="8"/>
      <c r="I36" s="8"/>
      <c r="J36" s="6"/>
    </row>
    <row r="37" spans="1:10" ht="14.25" x14ac:dyDescent="0.2">
      <c r="A37" s="12" t="s">
        <v>19</v>
      </c>
      <c r="B37" s="7">
        <f t="shared" si="14"/>
        <v>144300.98490845005</v>
      </c>
      <c r="C37" s="7">
        <f t="shared" si="10"/>
        <v>196.98874423837856</v>
      </c>
      <c r="D37" s="7">
        <f t="shared" si="11"/>
        <v>631.31680897446893</v>
      </c>
      <c r="E37" s="7">
        <f t="shared" si="12"/>
        <v>828.30555321284749</v>
      </c>
      <c r="F37" s="7">
        <f t="shared" si="13"/>
        <v>144103.99616421165</v>
      </c>
      <c r="G37" s="8"/>
      <c r="H37" s="8"/>
      <c r="I37" s="8"/>
      <c r="J37" s="6"/>
    </row>
    <row r="38" spans="1:10" ht="14.25" x14ac:dyDescent="0.2">
      <c r="A38" s="12" t="s">
        <v>20</v>
      </c>
      <c r="B38" s="7">
        <f t="shared" si="14"/>
        <v>144103.99616421165</v>
      </c>
      <c r="C38" s="7">
        <f t="shared" si="10"/>
        <v>197.85056999442156</v>
      </c>
      <c r="D38" s="7">
        <f t="shared" si="11"/>
        <v>630.45498321842592</v>
      </c>
      <c r="E38" s="7">
        <f t="shared" si="12"/>
        <v>828.30555321284749</v>
      </c>
      <c r="F38" s="7">
        <f t="shared" si="13"/>
        <v>143906.14559421723</v>
      </c>
      <c r="G38" s="8"/>
      <c r="H38" s="8"/>
      <c r="I38" s="8"/>
      <c r="J38" s="6"/>
    </row>
    <row r="39" spans="1:10" ht="14.25" x14ac:dyDescent="0.2">
      <c r="A39" s="12" t="s">
        <v>21</v>
      </c>
      <c r="B39" s="7">
        <f t="shared" si="14"/>
        <v>143906.14559421723</v>
      </c>
      <c r="C39" s="7">
        <f t="shared" si="10"/>
        <v>198.71616623814714</v>
      </c>
      <c r="D39" s="7">
        <f t="shared" si="11"/>
        <v>629.58938697470035</v>
      </c>
      <c r="E39" s="7">
        <f t="shared" si="12"/>
        <v>828.30555321284749</v>
      </c>
      <c r="F39" s="7">
        <f t="shared" si="13"/>
        <v>143707.42942797908</v>
      </c>
      <c r="G39" s="8"/>
      <c r="H39" s="8"/>
      <c r="I39" s="8"/>
      <c r="J39" s="6"/>
    </row>
    <row r="40" spans="1:10" ht="14.25" x14ac:dyDescent="0.2">
      <c r="A40" s="12" t="s">
        <v>22</v>
      </c>
      <c r="B40" s="7">
        <f t="shared" si="14"/>
        <v>143707.42942797908</v>
      </c>
      <c r="C40" s="7">
        <f t="shared" si="10"/>
        <v>199.58554946543904</v>
      </c>
      <c r="D40" s="7">
        <f t="shared" si="11"/>
        <v>628.72000374740844</v>
      </c>
      <c r="E40" s="7">
        <f t="shared" si="12"/>
        <v>828.30555321284749</v>
      </c>
      <c r="F40" s="7">
        <f t="shared" si="13"/>
        <v>143507.84387851364</v>
      </c>
      <c r="G40" s="8"/>
      <c r="H40" s="8"/>
      <c r="I40" s="8"/>
      <c r="J40" s="6"/>
    </row>
    <row r="41" spans="1:10" ht="14.25" x14ac:dyDescent="0.2">
      <c r="A41" s="12" t="s">
        <v>23</v>
      </c>
      <c r="B41" s="7">
        <f t="shared" si="14"/>
        <v>143507.84387851364</v>
      </c>
      <c r="C41" s="7">
        <f t="shared" si="10"/>
        <v>200.45873624435035</v>
      </c>
      <c r="D41" s="7">
        <f t="shared" si="11"/>
        <v>627.84681696849714</v>
      </c>
      <c r="E41" s="7">
        <f t="shared" si="12"/>
        <v>828.30555321284749</v>
      </c>
      <c r="F41" s="7">
        <f t="shared" si="13"/>
        <v>143307.38514226928</v>
      </c>
      <c r="G41" s="8"/>
      <c r="H41" s="8"/>
      <c r="I41" s="8"/>
      <c r="J41" s="6"/>
    </row>
    <row r="42" spans="1:10" ht="15" x14ac:dyDescent="0.25">
      <c r="A42" s="14" t="s">
        <v>11</v>
      </c>
      <c r="B42" s="7"/>
      <c r="C42" s="7">
        <f>SUM(C30:C41)</f>
        <v>2348.703144562885</v>
      </c>
      <c r="D42" s="7">
        <f>SUM(D30:D41)</f>
        <v>7590.9634939912848</v>
      </c>
      <c r="E42" s="7"/>
      <c r="F42" s="7"/>
      <c r="G42" s="8"/>
      <c r="H42" s="8"/>
      <c r="I42" s="8"/>
      <c r="J42" s="6"/>
    </row>
    <row r="43" spans="1:10" ht="14.25" x14ac:dyDescent="0.2">
      <c r="A43" s="12"/>
      <c r="B43" s="7"/>
      <c r="C43" s="7"/>
      <c r="D43" s="7"/>
      <c r="E43" s="7"/>
      <c r="F43" s="7"/>
      <c r="G43" s="8"/>
      <c r="H43" s="8"/>
      <c r="I43" s="8"/>
      <c r="J43" s="6"/>
    </row>
    <row r="44" spans="1:10" ht="14.25" x14ac:dyDescent="0.2">
      <c r="A44" s="15" t="s">
        <v>27</v>
      </c>
      <c r="B44" s="7">
        <f>+F41</f>
        <v>143307.38514226928</v>
      </c>
      <c r="C44" s="7">
        <f>+E44-D44</f>
        <v>201.33574321541948</v>
      </c>
      <c r="D44" s="7">
        <f>B44*$I$2</f>
        <v>626.969809997428</v>
      </c>
      <c r="E44" s="7">
        <f t="shared" ref="E44:E55" si="15">-$I$9</f>
        <v>828.30555321284749</v>
      </c>
      <c r="F44" s="7">
        <f>+B44-C44</f>
        <v>143106.04939905385</v>
      </c>
      <c r="G44" s="8"/>
      <c r="H44" s="8"/>
      <c r="I44" s="8"/>
      <c r="J44" s="6"/>
    </row>
    <row r="45" spans="1:10" ht="14.25" x14ac:dyDescent="0.2">
      <c r="A45" s="12" t="s">
        <v>12</v>
      </c>
      <c r="B45" s="7">
        <f>+F44</f>
        <v>143106.04939905385</v>
      </c>
      <c r="C45" s="7">
        <f>+E45-D45</f>
        <v>202.21658709198698</v>
      </c>
      <c r="D45" s="7">
        <f>B45*$I$2</f>
        <v>626.0889661208605</v>
      </c>
      <c r="E45" s="7">
        <f t="shared" si="15"/>
        <v>828.30555321284749</v>
      </c>
      <c r="F45" s="7">
        <f>+B45-C45</f>
        <v>142903.83281196185</v>
      </c>
      <c r="G45" s="8"/>
      <c r="H45" s="8"/>
      <c r="I45" s="8"/>
      <c r="J45" s="6"/>
    </row>
    <row r="46" spans="1:10" ht="14.25" x14ac:dyDescent="0.2">
      <c r="A46" s="12" t="s">
        <v>14</v>
      </c>
      <c r="B46" s="7">
        <f>+F45</f>
        <v>142903.83281196185</v>
      </c>
      <c r="C46" s="7">
        <f>+E46-D46</f>
        <v>203.10128466051447</v>
      </c>
      <c r="D46" s="7">
        <f>B46*$I$2</f>
        <v>625.20426855233302</v>
      </c>
      <c r="E46" s="7">
        <f t="shared" si="15"/>
        <v>828.30555321284749</v>
      </c>
      <c r="F46" s="7">
        <f>+B46-C46</f>
        <v>142700.73152730134</v>
      </c>
      <c r="G46" s="8"/>
      <c r="H46" s="8"/>
      <c r="I46" s="8"/>
      <c r="J46" s="6"/>
    </row>
    <row r="47" spans="1:10" ht="14.25" x14ac:dyDescent="0.2">
      <c r="A47" s="12" t="s">
        <v>15</v>
      </c>
      <c r="B47" s="7">
        <f>+F46</f>
        <v>142700.73152730134</v>
      </c>
      <c r="C47" s="7">
        <f>+E47-D47</f>
        <v>203.98985278090424</v>
      </c>
      <c r="D47" s="7">
        <f>B47*$I$2</f>
        <v>624.31570043194324</v>
      </c>
      <c r="E47" s="7">
        <f t="shared" si="15"/>
        <v>828.30555321284749</v>
      </c>
      <c r="F47" s="7">
        <f>+B47-C47</f>
        <v>142496.74167452042</v>
      </c>
      <c r="G47" s="8"/>
      <c r="H47" s="8"/>
      <c r="I47" s="8"/>
      <c r="J47" s="6"/>
    </row>
    <row r="48" spans="1:10" ht="14.25" x14ac:dyDescent="0.2">
      <c r="A48" s="12" t="s">
        <v>16</v>
      </c>
      <c r="B48" s="7">
        <f t="shared" ref="B48:B55" si="16">+F47</f>
        <v>142496.74167452042</v>
      </c>
      <c r="C48" s="7">
        <f t="shared" ref="C48:C55" si="17">+E48-D48</f>
        <v>204.88230838682068</v>
      </c>
      <c r="D48" s="7">
        <f t="shared" ref="D48:D55" si="18">B48*$I$2</f>
        <v>623.4232448260268</v>
      </c>
      <c r="E48" s="7">
        <f t="shared" si="15"/>
        <v>828.30555321284749</v>
      </c>
      <c r="F48" s="7">
        <f t="shared" ref="F48:F55" si="19">+B48-C48</f>
        <v>142291.85936613361</v>
      </c>
      <c r="G48" s="8"/>
      <c r="H48" s="8"/>
      <c r="I48" s="8"/>
      <c r="J48" s="6"/>
    </row>
    <row r="49" spans="1:10" ht="14.25" x14ac:dyDescent="0.2">
      <c r="A49" s="12" t="s">
        <v>17</v>
      </c>
      <c r="B49" s="7">
        <f t="shared" si="16"/>
        <v>142291.85936613361</v>
      </c>
      <c r="C49" s="7">
        <f t="shared" si="17"/>
        <v>205.77866848601298</v>
      </c>
      <c r="D49" s="7">
        <f t="shared" si="18"/>
        <v>622.52688472683451</v>
      </c>
      <c r="E49" s="7">
        <f t="shared" si="15"/>
        <v>828.30555321284749</v>
      </c>
      <c r="F49" s="7">
        <f t="shared" si="19"/>
        <v>142086.08069764759</v>
      </c>
      <c r="G49" s="8"/>
      <c r="H49" s="8"/>
      <c r="I49" s="8"/>
      <c r="J49" s="6"/>
    </row>
    <row r="50" spans="1:10" ht="14.25" x14ac:dyDescent="0.2">
      <c r="A50" s="12" t="s">
        <v>18</v>
      </c>
      <c r="B50" s="7">
        <f t="shared" si="16"/>
        <v>142086.08069764759</v>
      </c>
      <c r="C50" s="7">
        <f t="shared" si="17"/>
        <v>206.67895016063937</v>
      </c>
      <c r="D50" s="7">
        <f t="shared" si="18"/>
        <v>621.62660305220811</v>
      </c>
      <c r="E50" s="7">
        <f t="shared" si="15"/>
        <v>828.30555321284749</v>
      </c>
      <c r="F50" s="7">
        <f t="shared" si="19"/>
        <v>141879.40174748696</v>
      </c>
      <c r="G50" s="8"/>
      <c r="H50" s="8"/>
      <c r="I50" s="8"/>
      <c r="J50" s="6"/>
    </row>
    <row r="51" spans="1:10" ht="14.25" x14ac:dyDescent="0.2">
      <c r="A51" s="12" t="s">
        <v>19</v>
      </c>
      <c r="B51" s="7">
        <f t="shared" si="16"/>
        <v>141879.40174748696</v>
      </c>
      <c r="C51" s="7">
        <f t="shared" si="17"/>
        <v>207.58317056759211</v>
      </c>
      <c r="D51" s="7">
        <f t="shared" si="18"/>
        <v>620.72238264525538</v>
      </c>
      <c r="E51" s="7">
        <f t="shared" si="15"/>
        <v>828.30555321284749</v>
      </c>
      <c r="F51" s="7">
        <f t="shared" si="19"/>
        <v>141671.81857691938</v>
      </c>
      <c r="G51" s="8"/>
      <c r="H51" s="8"/>
      <c r="I51" s="8"/>
      <c r="J51" s="6"/>
    </row>
    <row r="52" spans="1:10" ht="14.25" x14ac:dyDescent="0.2">
      <c r="A52" s="12" t="s">
        <v>20</v>
      </c>
      <c r="B52" s="7">
        <f t="shared" si="16"/>
        <v>141671.81857691938</v>
      </c>
      <c r="C52" s="7">
        <f t="shared" si="17"/>
        <v>208.49134693882525</v>
      </c>
      <c r="D52" s="7">
        <f t="shared" si="18"/>
        <v>619.81420627402224</v>
      </c>
      <c r="E52" s="7">
        <f t="shared" si="15"/>
        <v>828.30555321284749</v>
      </c>
      <c r="F52" s="7">
        <f t="shared" si="19"/>
        <v>141463.32722998055</v>
      </c>
      <c r="G52" s="8"/>
      <c r="H52" s="8"/>
      <c r="I52" s="8"/>
      <c r="J52" s="6"/>
    </row>
    <row r="53" spans="1:10" ht="14.25" x14ac:dyDescent="0.2">
      <c r="A53" s="12" t="s">
        <v>21</v>
      </c>
      <c r="B53" s="7">
        <f t="shared" si="16"/>
        <v>141463.32722998055</v>
      </c>
      <c r="C53" s="7">
        <f t="shared" si="17"/>
        <v>209.40349658168259</v>
      </c>
      <c r="D53" s="7">
        <f t="shared" si="18"/>
        <v>618.9020566311649</v>
      </c>
      <c r="E53" s="7">
        <f t="shared" si="15"/>
        <v>828.30555321284749</v>
      </c>
      <c r="F53" s="7">
        <f t="shared" si="19"/>
        <v>141253.92373339887</v>
      </c>
      <c r="G53" s="8"/>
      <c r="H53" s="8"/>
      <c r="I53" s="8"/>
      <c r="J53" s="6"/>
    </row>
    <row r="54" spans="1:10" ht="14.25" x14ac:dyDescent="0.2">
      <c r="A54" s="12" t="s">
        <v>22</v>
      </c>
      <c r="B54" s="7">
        <f t="shared" si="16"/>
        <v>141253.92373339887</v>
      </c>
      <c r="C54" s="7">
        <f t="shared" si="17"/>
        <v>210.31963687922746</v>
      </c>
      <c r="D54" s="7">
        <f t="shared" si="18"/>
        <v>617.98591633362003</v>
      </c>
      <c r="E54" s="7">
        <f t="shared" si="15"/>
        <v>828.30555321284749</v>
      </c>
      <c r="F54" s="7">
        <f t="shared" si="19"/>
        <v>141043.60409651964</v>
      </c>
      <c r="G54" s="8"/>
      <c r="H54" s="8"/>
      <c r="I54" s="8"/>
      <c r="J54" s="6"/>
    </row>
    <row r="55" spans="1:10" ht="14.25" x14ac:dyDescent="0.2">
      <c r="A55" s="12" t="s">
        <v>23</v>
      </c>
      <c r="B55" s="7">
        <f t="shared" si="16"/>
        <v>141043.60409651964</v>
      </c>
      <c r="C55" s="7">
        <f t="shared" si="17"/>
        <v>211.2397852905741</v>
      </c>
      <c r="D55" s="7">
        <f t="shared" si="18"/>
        <v>617.06576792227338</v>
      </c>
      <c r="E55" s="7">
        <f t="shared" si="15"/>
        <v>828.30555321284749</v>
      </c>
      <c r="F55" s="7">
        <f t="shared" si="19"/>
        <v>140832.36431122906</v>
      </c>
      <c r="G55" s="16"/>
      <c r="H55" s="8"/>
      <c r="I55" s="8"/>
      <c r="J55" s="6"/>
    </row>
    <row r="56" spans="1:10" ht="15" x14ac:dyDescent="0.25">
      <c r="A56" s="14" t="s">
        <v>11</v>
      </c>
      <c r="B56" s="7"/>
      <c r="C56" s="7">
        <f>SUM(C44:C55)</f>
        <v>2475.0208310401995</v>
      </c>
      <c r="D56" s="7">
        <f>SUM(D44:D55)</f>
        <v>7464.6458075139708</v>
      </c>
      <c r="E56" s="7"/>
      <c r="F56" s="7"/>
      <c r="G56" s="8"/>
      <c r="H56" s="8"/>
      <c r="I56" s="8"/>
      <c r="J56" s="6"/>
    </row>
    <row r="57" spans="1:10" ht="14.25" x14ac:dyDescent="0.2">
      <c r="A57" s="8"/>
      <c r="B57" s="7"/>
      <c r="C57" s="7"/>
      <c r="D57" s="7"/>
      <c r="E57" s="7"/>
      <c r="F57" s="7"/>
      <c r="G57" s="8"/>
      <c r="H57" s="8"/>
      <c r="I57" s="8"/>
      <c r="J57" s="6"/>
    </row>
    <row r="58" spans="1:10" ht="14.25" x14ac:dyDescent="0.2">
      <c r="A58" s="11" t="s">
        <v>24</v>
      </c>
      <c r="B58" s="7">
        <f>+F55</f>
        <v>140832.36431122906</v>
      </c>
      <c r="C58" s="7">
        <f>+E58-D58</f>
        <v>212.16395935122046</v>
      </c>
      <c r="D58" s="7">
        <f>B58*$I$2</f>
        <v>616.14159386162703</v>
      </c>
      <c r="E58" s="7">
        <f t="shared" ref="E58:E69" si="20">-$I$9</f>
        <v>828.30555321284749</v>
      </c>
      <c r="F58" s="7">
        <f>+B58-C58</f>
        <v>140620.20035187784</v>
      </c>
      <c r="G58" s="8"/>
      <c r="H58" s="8"/>
      <c r="I58" s="8"/>
      <c r="J58" s="6"/>
    </row>
    <row r="59" spans="1:10" ht="14.25" x14ac:dyDescent="0.2">
      <c r="A59" s="12" t="s">
        <v>12</v>
      </c>
      <c r="B59" s="7">
        <f>+F58</f>
        <v>140620.20035187784</v>
      </c>
      <c r="C59" s="7">
        <f>+E59-D59</f>
        <v>213.09217667338203</v>
      </c>
      <c r="D59" s="7">
        <f>B59*$I$2</f>
        <v>615.21337653946546</v>
      </c>
      <c r="E59" s="7">
        <f t="shared" si="20"/>
        <v>828.30555321284749</v>
      </c>
      <c r="F59" s="7">
        <f>+B59-C59</f>
        <v>140407.10817520446</v>
      </c>
      <c r="G59" s="8"/>
      <c r="H59" s="8"/>
      <c r="I59" s="8"/>
      <c r="J59" s="6"/>
    </row>
    <row r="60" spans="1:10" ht="14.25" x14ac:dyDescent="0.2">
      <c r="A60" s="12" t="s">
        <v>14</v>
      </c>
      <c r="B60" s="7">
        <f>+F59</f>
        <v>140407.10817520446</v>
      </c>
      <c r="C60" s="7">
        <f>+E60-D60</f>
        <v>214.02445494632809</v>
      </c>
      <c r="D60" s="7">
        <f>B60*$I$2</f>
        <v>614.28109826651939</v>
      </c>
      <c r="E60" s="7">
        <f t="shared" si="20"/>
        <v>828.30555321284749</v>
      </c>
      <c r="F60" s="7">
        <f>+B60-C60</f>
        <v>140193.08372025812</v>
      </c>
      <c r="G60" s="8"/>
      <c r="H60" s="8"/>
      <c r="I60" s="8"/>
      <c r="J60" s="6"/>
    </row>
    <row r="61" spans="1:10" ht="14.25" x14ac:dyDescent="0.2">
      <c r="A61" s="12" t="s">
        <v>15</v>
      </c>
      <c r="B61" s="7">
        <f>+F60</f>
        <v>140193.08372025812</v>
      </c>
      <c r="C61" s="7">
        <f>+E61-D61</f>
        <v>214.9608119367183</v>
      </c>
      <c r="D61" s="7">
        <f>B61*$I$2</f>
        <v>613.34474127612918</v>
      </c>
      <c r="E61" s="7">
        <f t="shared" si="20"/>
        <v>828.30555321284749</v>
      </c>
      <c r="F61" s="7">
        <f>+B61-C61</f>
        <v>139978.12290832141</v>
      </c>
      <c r="G61" s="8"/>
      <c r="H61" s="8"/>
      <c r="I61" s="8"/>
      <c r="J61" s="6"/>
    </row>
    <row r="62" spans="1:10" ht="14.25" x14ac:dyDescent="0.2">
      <c r="A62" s="12" t="s">
        <v>16</v>
      </c>
      <c r="B62" s="7">
        <f t="shared" ref="B62:B69" si="21">+F61</f>
        <v>139978.12290832141</v>
      </c>
      <c r="C62" s="7">
        <f t="shared" ref="C62:C69" si="22">+E62-D62</f>
        <v>215.90126548894136</v>
      </c>
      <c r="D62" s="7">
        <f t="shared" ref="D62:D69" si="23">B62*$I$2</f>
        <v>612.40428772390612</v>
      </c>
      <c r="E62" s="7">
        <f t="shared" si="20"/>
        <v>828.30555321284749</v>
      </c>
      <c r="F62" s="7">
        <f t="shared" ref="F62:F69" si="24">+B62-C62</f>
        <v>139762.22164283248</v>
      </c>
      <c r="G62" s="8"/>
      <c r="H62" s="8"/>
      <c r="I62" s="8"/>
      <c r="J62" s="6"/>
    </row>
    <row r="63" spans="1:10" ht="14.25" x14ac:dyDescent="0.2">
      <c r="A63" s="12" t="s">
        <v>17</v>
      </c>
      <c r="B63" s="7">
        <f t="shared" si="21"/>
        <v>139762.22164283248</v>
      </c>
      <c r="C63" s="7">
        <f t="shared" si="22"/>
        <v>216.84583352545542</v>
      </c>
      <c r="D63" s="7">
        <f t="shared" si="23"/>
        <v>611.45971968739207</v>
      </c>
      <c r="E63" s="7">
        <f t="shared" si="20"/>
        <v>828.30555321284749</v>
      </c>
      <c r="F63" s="7">
        <f t="shared" si="24"/>
        <v>139545.37580930701</v>
      </c>
      <c r="G63" s="8"/>
      <c r="H63" s="8"/>
      <c r="I63" s="8"/>
      <c r="J63" s="6"/>
    </row>
    <row r="64" spans="1:10" ht="14.25" x14ac:dyDescent="0.2">
      <c r="A64" s="12" t="s">
        <v>18</v>
      </c>
      <c r="B64" s="7">
        <f t="shared" si="21"/>
        <v>139545.37580930701</v>
      </c>
      <c r="C64" s="7">
        <f t="shared" si="22"/>
        <v>217.79453404712945</v>
      </c>
      <c r="D64" s="7">
        <f t="shared" si="23"/>
        <v>610.51101916571804</v>
      </c>
      <c r="E64" s="7">
        <f t="shared" si="20"/>
        <v>828.30555321284749</v>
      </c>
      <c r="F64" s="7">
        <f t="shared" si="24"/>
        <v>139327.58127525987</v>
      </c>
      <c r="G64" s="8"/>
      <c r="H64" s="8"/>
      <c r="I64" s="8"/>
      <c r="J64" s="6"/>
    </row>
    <row r="65" spans="1:10" ht="14.25" x14ac:dyDescent="0.2">
      <c r="A65" s="12" t="s">
        <v>19</v>
      </c>
      <c r="B65" s="7">
        <f t="shared" si="21"/>
        <v>139327.58127525987</v>
      </c>
      <c r="C65" s="7">
        <f t="shared" si="22"/>
        <v>218.74738513358557</v>
      </c>
      <c r="D65" s="7">
        <f t="shared" si="23"/>
        <v>609.55816807926192</v>
      </c>
      <c r="E65" s="7">
        <f t="shared" si="20"/>
        <v>828.30555321284749</v>
      </c>
      <c r="F65" s="7">
        <f t="shared" si="24"/>
        <v>139108.83389012629</v>
      </c>
      <c r="G65" s="8"/>
      <c r="H65" s="8"/>
      <c r="I65" s="8"/>
      <c r="J65" s="6"/>
    </row>
    <row r="66" spans="1:10" ht="14.25" x14ac:dyDescent="0.2">
      <c r="A66" s="12" t="s">
        <v>20</v>
      </c>
      <c r="B66" s="7">
        <f t="shared" si="21"/>
        <v>139108.83389012629</v>
      </c>
      <c r="C66" s="7">
        <f t="shared" si="22"/>
        <v>219.704404943545</v>
      </c>
      <c r="D66" s="7">
        <f t="shared" si="23"/>
        <v>608.60114826930248</v>
      </c>
      <c r="E66" s="7">
        <f t="shared" si="20"/>
        <v>828.30555321284749</v>
      </c>
      <c r="F66" s="7">
        <f t="shared" si="24"/>
        <v>138889.12948518276</v>
      </c>
      <c r="G66" s="8"/>
      <c r="H66" s="8"/>
      <c r="I66" s="8"/>
      <c r="J66" s="6"/>
    </row>
    <row r="67" spans="1:10" ht="14.25" x14ac:dyDescent="0.2">
      <c r="A67" s="12" t="s">
        <v>21</v>
      </c>
      <c r="B67" s="7">
        <f t="shared" si="21"/>
        <v>138889.12948518276</v>
      </c>
      <c r="C67" s="7">
        <f t="shared" si="22"/>
        <v>220.66561171517299</v>
      </c>
      <c r="D67" s="7">
        <f t="shared" si="23"/>
        <v>607.6399414976745</v>
      </c>
      <c r="E67" s="7">
        <f t="shared" si="20"/>
        <v>828.30555321284749</v>
      </c>
      <c r="F67" s="7">
        <f t="shared" si="24"/>
        <v>138668.46387346758</v>
      </c>
      <c r="G67" s="8"/>
      <c r="H67" s="8"/>
      <c r="I67" s="8"/>
      <c r="J67" s="6"/>
    </row>
    <row r="68" spans="1:10" ht="14.25" x14ac:dyDescent="0.2">
      <c r="A68" s="12" t="s">
        <v>22</v>
      </c>
      <c r="B68" s="7">
        <f t="shared" si="21"/>
        <v>138668.46387346758</v>
      </c>
      <c r="C68" s="7">
        <f t="shared" si="22"/>
        <v>221.63102376642689</v>
      </c>
      <c r="D68" s="7">
        <f t="shared" si="23"/>
        <v>606.67452944642059</v>
      </c>
      <c r="E68" s="7">
        <f t="shared" si="20"/>
        <v>828.30555321284749</v>
      </c>
      <c r="F68" s="7">
        <f t="shared" si="24"/>
        <v>138446.83284970117</v>
      </c>
      <c r="G68" s="8"/>
      <c r="H68" s="8"/>
      <c r="I68" s="8"/>
      <c r="J68" s="6"/>
    </row>
    <row r="69" spans="1:10" ht="14.25" x14ac:dyDescent="0.2">
      <c r="A69" s="12" t="s">
        <v>23</v>
      </c>
      <c r="B69" s="7">
        <f t="shared" si="21"/>
        <v>138446.83284970117</v>
      </c>
      <c r="C69" s="7">
        <f t="shared" si="22"/>
        <v>222.6006594954049</v>
      </c>
      <c r="D69" s="7">
        <f t="shared" si="23"/>
        <v>605.70489371744259</v>
      </c>
      <c r="E69" s="7">
        <f t="shared" si="20"/>
        <v>828.30555321284749</v>
      </c>
      <c r="F69" s="7">
        <f t="shared" si="24"/>
        <v>138224.23219020577</v>
      </c>
      <c r="G69" s="8"/>
      <c r="H69" s="8"/>
      <c r="I69" s="8"/>
      <c r="J69" s="6"/>
    </row>
    <row r="70" spans="1:10" ht="15" x14ac:dyDescent="0.25">
      <c r="A70" s="14" t="s">
        <v>11</v>
      </c>
      <c r="B70" s="7"/>
      <c r="C70" s="7">
        <f>SUM(C58:C69)</f>
        <v>2608.13212102331</v>
      </c>
      <c r="D70" s="7">
        <f>SUM(D58:D69)</f>
        <v>7331.5345175308603</v>
      </c>
      <c r="E70" s="7"/>
      <c r="F70" s="7"/>
      <c r="G70" s="8"/>
      <c r="H70" s="8"/>
      <c r="I70" s="8"/>
      <c r="J70" s="6"/>
    </row>
    <row r="71" spans="1:10" ht="14.25" x14ac:dyDescent="0.2">
      <c r="A71" s="8"/>
      <c r="B71" s="7"/>
      <c r="C71" s="7"/>
      <c r="D71" s="7"/>
      <c r="E71" s="7"/>
      <c r="F71" s="7"/>
      <c r="G71" s="8"/>
      <c r="H71" s="8"/>
      <c r="I71" s="8"/>
      <c r="J71" s="6"/>
    </row>
    <row r="72" spans="1:10" ht="14.25" x14ac:dyDescent="0.2">
      <c r="A72" s="11" t="s">
        <v>128</v>
      </c>
      <c r="B72" s="7">
        <f>+F69</f>
        <v>138224.23219020577</v>
      </c>
      <c r="C72" s="7">
        <f>+E72-D72</f>
        <v>223.57453738069728</v>
      </c>
      <c r="D72" s="7">
        <f>B72*$I$2</f>
        <v>604.73101583215021</v>
      </c>
      <c r="E72" s="7">
        <f t="shared" ref="E72:E83" si="25">-$I$9</f>
        <v>828.30555321284749</v>
      </c>
      <c r="F72" s="7">
        <f>+B72-C72</f>
        <v>138000.65765282509</v>
      </c>
      <c r="G72" s="8"/>
      <c r="H72" s="8"/>
      <c r="I72" s="8"/>
      <c r="J72" s="6"/>
    </row>
    <row r="73" spans="1:10" ht="14.25" x14ac:dyDescent="0.2">
      <c r="A73" s="12" t="s">
        <v>12</v>
      </c>
      <c r="B73" s="7">
        <f>+F72</f>
        <v>138000.65765282509</v>
      </c>
      <c r="C73" s="7">
        <f>+E73-D73</f>
        <v>224.55267598173782</v>
      </c>
      <c r="D73" s="7">
        <f>B73*$I$2</f>
        <v>603.75287723110966</v>
      </c>
      <c r="E73" s="7">
        <f t="shared" si="25"/>
        <v>828.30555321284749</v>
      </c>
      <c r="F73" s="7">
        <f>+B73-C73</f>
        <v>137776.10497684334</v>
      </c>
      <c r="G73" s="8"/>
      <c r="H73" s="8"/>
      <c r="I73" s="8"/>
      <c r="J73" s="6"/>
    </row>
    <row r="74" spans="1:10" ht="14.25" x14ac:dyDescent="0.2">
      <c r="A74" s="12" t="s">
        <v>14</v>
      </c>
      <c r="B74" s="7">
        <f>+F73</f>
        <v>137776.10497684334</v>
      </c>
      <c r="C74" s="7">
        <f>+E74-D74</f>
        <v>225.53509393915795</v>
      </c>
      <c r="D74" s="7">
        <f>B74*$I$2</f>
        <v>602.77045927368954</v>
      </c>
      <c r="E74" s="7">
        <f t="shared" si="25"/>
        <v>828.30555321284749</v>
      </c>
      <c r="F74" s="7">
        <f>+B74-C74</f>
        <v>137550.56988290418</v>
      </c>
      <c r="G74" s="8"/>
      <c r="H74" s="8"/>
      <c r="I74" s="8"/>
      <c r="J74" s="6"/>
    </row>
    <row r="75" spans="1:10" ht="14.25" x14ac:dyDescent="0.2">
      <c r="A75" s="12" t="s">
        <v>15</v>
      </c>
      <c r="B75" s="7">
        <f>+F74</f>
        <v>137550.56988290418</v>
      </c>
      <c r="C75" s="7">
        <f>+E75-D75</f>
        <v>226.52180997514176</v>
      </c>
      <c r="D75" s="7">
        <f>B75*$I$2</f>
        <v>601.78374323770572</v>
      </c>
      <c r="E75" s="7">
        <f t="shared" si="25"/>
        <v>828.30555321284749</v>
      </c>
      <c r="F75" s="7">
        <f>+B75-C75</f>
        <v>137324.04807292903</v>
      </c>
      <c r="G75" s="8"/>
      <c r="H75" s="8"/>
      <c r="I75" s="8"/>
      <c r="J75" s="6"/>
    </row>
    <row r="76" spans="1:10" ht="14.25" x14ac:dyDescent="0.2">
      <c r="A76" s="12" t="s">
        <v>16</v>
      </c>
      <c r="B76" s="7">
        <f t="shared" ref="B76:B83" si="26">+F75</f>
        <v>137324.04807292903</v>
      </c>
      <c r="C76" s="7">
        <f t="shared" ref="C76:C83" si="27">+E76-D76</f>
        <v>227.51284289378304</v>
      </c>
      <c r="D76" s="7">
        <f t="shared" ref="D76:D83" si="28">B76*$I$2</f>
        <v>600.79271031906444</v>
      </c>
      <c r="E76" s="7">
        <f t="shared" si="25"/>
        <v>828.30555321284749</v>
      </c>
      <c r="F76" s="7">
        <f t="shared" ref="F76:F83" si="29">+B76-C76</f>
        <v>137096.53523003525</v>
      </c>
      <c r="G76" s="8"/>
      <c r="H76" s="8"/>
      <c r="I76" s="8"/>
      <c r="J76" s="6"/>
    </row>
    <row r="77" spans="1:10" ht="14.25" x14ac:dyDescent="0.2">
      <c r="A77" s="12" t="s">
        <v>17</v>
      </c>
      <c r="B77" s="7">
        <f t="shared" si="26"/>
        <v>137096.53523003525</v>
      </c>
      <c r="C77" s="7">
        <f t="shared" si="27"/>
        <v>228.50821158144333</v>
      </c>
      <c r="D77" s="7">
        <f t="shared" si="28"/>
        <v>599.79734163140415</v>
      </c>
      <c r="E77" s="7">
        <f t="shared" si="25"/>
        <v>828.30555321284749</v>
      </c>
      <c r="F77" s="7">
        <f t="shared" si="29"/>
        <v>136868.02701845381</v>
      </c>
      <c r="G77" s="8"/>
      <c r="H77" s="8"/>
      <c r="I77" s="8"/>
      <c r="J77" s="6"/>
    </row>
    <row r="78" spans="1:10" ht="14.25" x14ac:dyDescent="0.2">
      <c r="A78" s="12" t="s">
        <v>18</v>
      </c>
      <c r="B78" s="7">
        <f t="shared" si="26"/>
        <v>136868.02701845381</v>
      </c>
      <c r="C78" s="7">
        <f t="shared" si="27"/>
        <v>229.50793500711211</v>
      </c>
      <c r="D78" s="7">
        <f t="shared" si="28"/>
        <v>598.79761820573538</v>
      </c>
      <c r="E78" s="7">
        <f t="shared" si="25"/>
        <v>828.30555321284749</v>
      </c>
      <c r="F78" s="7">
        <f t="shared" si="29"/>
        <v>136638.51908344671</v>
      </c>
      <c r="G78" s="8"/>
      <c r="H78" s="8"/>
      <c r="I78" s="8"/>
      <c r="J78" s="6"/>
    </row>
    <row r="79" spans="1:10" ht="14.25" x14ac:dyDescent="0.2">
      <c r="A79" s="12" t="s">
        <v>19</v>
      </c>
      <c r="B79" s="7">
        <f t="shared" si="26"/>
        <v>136638.51908344671</v>
      </c>
      <c r="C79" s="7">
        <f t="shared" si="27"/>
        <v>230.5120322227682</v>
      </c>
      <c r="D79" s="7">
        <f t="shared" si="28"/>
        <v>597.79352099007929</v>
      </c>
      <c r="E79" s="7">
        <f t="shared" si="25"/>
        <v>828.30555321284749</v>
      </c>
      <c r="F79" s="7">
        <f t="shared" si="29"/>
        <v>136408.00705122395</v>
      </c>
      <c r="G79" s="8"/>
      <c r="H79" s="8"/>
      <c r="I79" s="8"/>
      <c r="J79" s="6"/>
    </row>
    <row r="80" spans="1:10" ht="14.25" x14ac:dyDescent="0.2">
      <c r="A80" s="12" t="s">
        <v>20</v>
      </c>
      <c r="B80" s="7">
        <f t="shared" si="26"/>
        <v>136408.00705122395</v>
      </c>
      <c r="C80" s="7">
        <f t="shared" si="27"/>
        <v>231.52052236374277</v>
      </c>
      <c r="D80" s="7">
        <f t="shared" si="28"/>
        <v>596.78503084910471</v>
      </c>
      <c r="E80" s="7">
        <f t="shared" si="25"/>
        <v>828.30555321284749</v>
      </c>
      <c r="F80" s="7">
        <f t="shared" si="29"/>
        <v>136176.4865288602</v>
      </c>
      <c r="G80" s="8"/>
      <c r="H80" s="8"/>
      <c r="I80" s="8"/>
      <c r="J80" s="6"/>
    </row>
    <row r="81" spans="1:10" ht="14.25" x14ac:dyDescent="0.2">
      <c r="A81" s="12" t="s">
        <v>21</v>
      </c>
      <c r="B81" s="7">
        <f t="shared" si="26"/>
        <v>136176.4865288602</v>
      </c>
      <c r="C81" s="7">
        <f t="shared" si="27"/>
        <v>232.53342464908417</v>
      </c>
      <c r="D81" s="7">
        <f t="shared" si="28"/>
        <v>595.77212856376332</v>
      </c>
      <c r="E81" s="7">
        <f t="shared" si="25"/>
        <v>828.30555321284749</v>
      </c>
      <c r="F81" s="7">
        <f t="shared" si="29"/>
        <v>135943.9531042111</v>
      </c>
      <c r="G81" s="8"/>
      <c r="H81" s="8"/>
      <c r="I81" s="8"/>
      <c r="J81" s="6"/>
    </row>
    <row r="82" spans="1:10" ht="14.25" x14ac:dyDescent="0.2">
      <c r="A82" s="12" t="s">
        <v>22</v>
      </c>
      <c r="B82" s="7">
        <f t="shared" si="26"/>
        <v>135943.9531042111</v>
      </c>
      <c r="C82" s="7">
        <f t="shared" si="27"/>
        <v>233.55075838192397</v>
      </c>
      <c r="D82" s="7">
        <f t="shared" si="28"/>
        <v>594.75479483092352</v>
      </c>
      <c r="E82" s="7">
        <f t="shared" si="25"/>
        <v>828.30555321284749</v>
      </c>
      <c r="F82" s="7">
        <f t="shared" si="29"/>
        <v>135710.40234582918</v>
      </c>
      <c r="G82" s="8"/>
      <c r="H82" s="8"/>
      <c r="I82" s="8"/>
      <c r="J82" s="6"/>
    </row>
    <row r="83" spans="1:10" ht="14.25" x14ac:dyDescent="0.2">
      <c r="A83" s="12" t="s">
        <v>23</v>
      </c>
      <c r="B83" s="7">
        <f t="shared" si="26"/>
        <v>135710.40234582918</v>
      </c>
      <c r="C83" s="7">
        <f t="shared" si="27"/>
        <v>234.57254294984489</v>
      </c>
      <c r="D83" s="7">
        <f t="shared" si="28"/>
        <v>593.7330102630026</v>
      </c>
      <c r="E83" s="7">
        <f t="shared" si="25"/>
        <v>828.30555321284749</v>
      </c>
      <c r="F83" s="7">
        <f t="shared" si="29"/>
        <v>135475.82980287934</v>
      </c>
      <c r="G83" s="8"/>
      <c r="H83" s="8"/>
      <c r="I83" s="8"/>
      <c r="J83" s="6"/>
    </row>
    <row r="84" spans="1:10" ht="15" x14ac:dyDescent="0.25">
      <c r="A84" s="14" t="s">
        <v>11</v>
      </c>
      <c r="B84" s="7"/>
      <c r="C84" s="7">
        <f>SUM(C72:C83)</f>
        <v>2748.4023873264373</v>
      </c>
      <c r="D84" s="7">
        <f>SUM(D72:D83)</f>
        <v>7191.2642512277325</v>
      </c>
      <c r="E84" s="7"/>
      <c r="F84" s="7"/>
      <c r="G84" s="8"/>
      <c r="H84" s="8"/>
      <c r="I84" s="8"/>
      <c r="J84" s="6"/>
    </row>
    <row r="85" spans="1:10" ht="14.25" x14ac:dyDescent="0.2">
      <c r="A85" s="8"/>
      <c r="B85" s="7"/>
      <c r="C85" s="7"/>
      <c r="D85" s="7"/>
      <c r="E85" s="7"/>
      <c r="F85" s="7"/>
      <c r="G85" s="8"/>
      <c r="H85" s="8"/>
      <c r="I85" s="8"/>
      <c r="J85" s="6"/>
    </row>
    <row r="86" spans="1:10" ht="14.25" x14ac:dyDescent="0.2">
      <c r="A86" s="11" t="s">
        <v>129</v>
      </c>
      <c r="B86" s="7">
        <f>+F83</f>
        <v>135475.82980287934</v>
      </c>
      <c r="C86" s="7">
        <f>+E86-D86</f>
        <v>235.59879782525047</v>
      </c>
      <c r="D86" s="7">
        <f>B86*$I$2</f>
        <v>592.70675538759701</v>
      </c>
      <c r="E86" s="7">
        <f t="shared" ref="E86:E97" si="30">-$I$9</f>
        <v>828.30555321284749</v>
      </c>
      <c r="F86" s="7">
        <f>+B86-C86</f>
        <v>135240.23100505408</v>
      </c>
      <c r="G86" s="6"/>
      <c r="H86" s="6"/>
      <c r="I86" s="6"/>
      <c r="J86" s="6"/>
    </row>
    <row r="87" spans="1:10" ht="14.25" x14ac:dyDescent="0.2">
      <c r="A87" s="12" t="s">
        <v>12</v>
      </c>
      <c r="B87" s="7">
        <f>+F86</f>
        <v>135240.23100505408</v>
      </c>
      <c r="C87" s="7">
        <f>+E87-D87</f>
        <v>236.62954256573596</v>
      </c>
      <c r="D87" s="7">
        <f>B87*$I$2</f>
        <v>591.67601064711153</v>
      </c>
      <c r="E87" s="7">
        <f t="shared" si="30"/>
        <v>828.30555321284749</v>
      </c>
      <c r="F87" s="7">
        <f>+B87-C87</f>
        <v>135003.60146248835</v>
      </c>
      <c r="G87" s="6"/>
      <c r="H87" s="6"/>
      <c r="I87" s="6"/>
      <c r="J87" s="6"/>
    </row>
    <row r="88" spans="1:10" ht="14.25" x14ac:dyDescent="0.2">
      <c r="A88" s="12" t="s">
        <v>14</v>
      </c>
      <c r="B88" s="7">
        <f>+F87</f>
        <v>135003.60146248835</v>
      </c>
      <c r="C88" s="7">
        <f>+E88-D88</f>
        <v>237.66479681446094</v>
      </c>
      <c r="D88" s="7">
        <f>B88*$I$2</f>
        <v>590.64075639838654</v>
      </c>
      <c r="E88" s="7">
        <f t="shared" si="30"/>
        <v>828.30555321284749</v>
      </c>
      <c r="F88" s="7">
        <f>+B88-C88</f>
        <v>134765.93666567389</v>
      </c>
    </row>
    <row r="89" spans="1:10" ht="14.25" x14ac:dyDescent="0.2">
      <c r="A89" s="12" t="s">
        <v>15</v>
      </c>
      <c r="B89" s="7">
        <f>+F88</f>
        <v>134765.93666567389</v>
      </c>
      <c r="C89" s="7">
        <f>+E89-D89</f>
        <v>238.7045803005243</v>
      </c>
      <c r="D89" s="7">
        <f>B89*$I$2</f>
        <v>589.60097291232319</v>
      </c>
      <c r="E89" s="7">
        <f t="shared" si="30"/>
        <v>828.30555321284749</v>
      </c>
      <c r="F89" s="7">
        <f>+B89-C89</f>
        <v>134527.23208537337</v>
      </c>
    </row>
    <row r="90" spans="1:10" ht="14.25" x14ac:dyDescent="0.2">
      <c r="A90" s="12" t="s">
        <v>16</v>
      </c>
      <c r="B90" s="7">
        <f t="shared" ref="B90:B97" si="31">+F89</f>
        <v>134527.23208537337</v>
      </c>
      <c r="C90" s="7">
        <f t="shared" ref="C90:C97" si="32">+E90-D90</f>
        <v>239.74891283933903</v>
      </c>
      <c r="D90" s="7">
        <f t="shared" ref="D90:D97" si="33">B90*$I$2</f>
        <v>588.55664037350846</v>
      </c>
      <c r="E90" s="7">
        <f t="shared" si="30"/>
        <v>828.30555321284749</v>
      </c>
      <c r="F90" s="7">
        <f t="shared" ref="F90:F97" si="34">+B90-C90</f>
        <v>134287.48317253403</v>
      </c>
    </row>
    <row r="91" spans="1:10" ht="14.25" x14ac:dyDescent="0.2">
      <c r="A91" s="12" t="s">
        <v>17</v>
      </c>
      <c r="B91" s="7">
        <f t="shared" si="31"/>
        <v>134287.48317253403</v>
      </c>
      <c r="C91" s="7">
        <f t="shared" si="32"/>
        <v>240.79781433301116</v>
      </c>
      <c r="D91" s="7">
        <f t="shared" si="33"/>
        <v>587.50773887983632</v>
      </c>
      <c r="E91" s="7">
        <f t="shared" si="30"/>
        <v>828.30555321284749</v>
      </c>
      <c r="F91" s="7">
        <f t="shared" si="34"/>
        <v>134046.68535820101</v>
      </c>
    </row>
    <row r="92" spans="1:10" ht="14.25" x14ac:dyDescent="0.2">
      <c r="A92" s="12" t="s">
        <v>18</v>
      </c>
      <c r="B92" s="7">
        <f t="shared" si="31"/>
        <v>134046.68535820101</v>
      </c>
      <c r="C92" s="7">
        <f t="shared" si="32"/>
        <v>241.85130477071812</v>
      </c>
      <c r="D92" s="7">
        <f t="shared" si="33"/>
        <v>586.45424844212937</v>
      </c>
      <c r="E92" s="7">
        <f t="shared" si="30"/>
        <v>828.30555321284749</v>
      </c>
      <c r="F92" s="7">
        <f t="shared" si="34"/>
        <v>133804.8340534303</v>
      </c>
    </row>
    <row r="93" spans="1:10" ht="14.25" x14ac:dyDescent="0.2">
      <c r="A93" s="12" t="s">
        <v>19</v>
      </c>
      <c r="B93" s="7">
        <f t="shared" si="31"/>
        <v>133804.8340534303</v>
      </c>
      <c r="C93" s="7">
        <f t="shared" si="32"/>
        <v>242.90940422909</v>
      </c>
      <c r="D93" s="7">
        <f t="shared" si="33"/>
        <v>585.39614898375748</v>
      </c>
      <c r="E93" s="7">
        <f t="shared" si="30"/>
        <v>828.30555321284749</v>
      </c>
      <c r="F93" s="7">
        <f t="shared" si="34"/>
        <v>133561.92464920122</v>
      </c>
    </row>
    <row r="94" spans="1:10" ht="14.25" x14ac:dyDescent="0.2">
      <c r="A94" s="12" t="s">
        <v>20</v>
      </c>
      <c r="B94" s="7">
        <f t="shared" si="31"/>
        <v>133561.92464920122</v>
      </c>
      <c r="C94" s="7">
        <f t="shared" si="32"/>
        <v>243.97213287259217</v>
      </c>
      <c r="D94" s="7">
        <f t="shared" si="33"/>
        <v>584.33342034025532</v>
      </c>
      <c r="E94" s="7">
        <f t="shared" si="30"/>
        <v>828.30555321284749</v>
      </c>
      <c r="F94" s="7">
        <f t="shared" si="34"/>
        <v>133317.95251632863</v>
      </c>
    </row>
    <row r="95" spans="1:10" ht="14.25" x14ac:dyDescent="0.2">
      <c r="A95" s="12" t="s">
        <v>21</v>
      </c>
      <c r="B95" s="7">
        <f t="shared" si="31"/>
        <v>133317.95251632863</v>
      </c>
      <c r="C95" s="7">
        <f t="shared" si="32"/>
        <v>245.03951095390983</v>
      </c>
      <c r="D95" s="7">
        <f t="shared" si="33"/>
        <v>583.26604225893766</v>
      </c>
      <c r="E95" s="7">
        <f t="shared" si="30"/>
        <v>828.30555321284749</v>
      </c>
      <c r="F95" s="7">
        <f t="shared" si="34"/>
        <v>133072.91300537472</v>
      </c>
    </row>
    <row r="96" spans="1:10" ht="14.25" x14ac:dyDescent="0.2">
      <c r="A96" s="12" t="s">
        <v>22</v>
      </c>
      <c r="B96" s="7">
        <f t="shared" si="31"/>
        <v>133072.91300537472</v>
      </c>
      <c r="C96" s="7">
        <f t="shared" si="32"/>
        <v>246.11155881433319</v>
      </c>
      <c r="D96" s="7">
        <f t="shared" si="33"/>
        <v>582.19399439851429</v>
      </c>
      <c r="E96" s="7">
        <f t="shared" si="30"/>
        <v>828.30555321284749</v>
      </c>
      <c r="F96" s="7">
        <f t="shared" si="34"/>
        <v>132826.80144656039</v>
      </c>
    </row>
    <row r="97" spans="1:6" ht="14.25" x14ac:dyDescent="0.2">
      <c r="A97" s="12" t="s">
        <v>23</v>
      </c>
      <c r="B97" s="7">
        <f t="shared" si="31"/>
        <v>132826.80144656039</v>
      </c>
      <c r="C97" s="7">
        <f t="shared" si="32"/>
        <v>247.18829688414587</v>
      </c>
      <c r="D97" s="7">
        <f t="shared" si="33"/>
        <v>581.11725632870161</v>
      </c>
      <c r="E97" s="7">
        <f t="shared" si="30"/>
        <v>828.30555321284749</v>
      </c>
      <c r="F97" s="7">
        <f t="shared" si="34"/>
        <v>132579.61314967624</v>
      </c>
    </row>
    <row r="98" spans="1:6" ht="15" x14ac:dyDescent="0.25">
      <c r="A98" s="14" t="s">
        <v>11</v>
      </c>
      <c r="B98" s="7"/>
      <c r="C98" s="7">
        <f>SUM(C86:C97)</f>
        <v>2896.216653203111</v>
      </c>
      <c r="D98" s="7">
        <f>SUM(D86:D97)</f>
        <v>7043.4499853510588</v>
      </c>
      <c r="E98" s="7"/>
      <c r="F98" s="7"/>
    </row>
    <row r="100" spans="1:6" ht="14.25" x14ac:dyDescent="0.2">
      <c r="A100" s="11" t="s">
        <v>130</v>
      </c>
      <c r="B100" s="7">
        <f>+F97</f>
        <v>132579.61314967624</v>
      </c>
      <c r="C100" s="7">
        <f>+E100-D100</f>
        <v>248.26974568301398</v>
      </c>
      <c r="D100" s="7">
        <f>B100*$I$2</f>
        <v>580.03580752983351</v>
      </c>
      <c r="E100" s="7">
        <f t="shared" ref="E100:E111" si="35">-$I$9</f>
        <v>828.30555321284749</v>
      </c>
      <c r="F100" s="7">
        <f>+B100-C100</f>
        <v>132331.34340399323</v>
      </c>
    </row>
    <row r="101" spans="1:6" ht="14.25" x14ac:dyDescent="0.2">
      <c r="A101" s="12" t="s">
        <v>12</v>
      </c>
      <c r="B101" s="7">
        <f>+F100</f>
        <v>132331.34340399323</v>
      </c>
      <c r="C101" s="7">
        <f>+E101-D101</f>
        <v>249.35592582037714</v>
      </c>
      <c r="D101" s="7">
        <f>B101*$I$2</f>
        <v>578.94962739247035</v>
      </c>
      <c r="E101" s="7">
        <f t="shared" si="35"/>
        <v>828.30555321284749</v>
      </c>
      <c r="F101" s="7">
        <f>+B101-C101</f>
        <v>132081.98747817284</v>
      </c>
    </row>
    <row r="102" spans="1:6" ht="14.25" x14ac:dyDescent="0.2">
      <c r="A102" s="12" t="s">
        <v>14</v>
      </c>
      <c r="B102" s="7">
        <f>+F101</f>
        <v>132081.98747817284</v>
      </c>
      <c r="C102" s="7">
        <f>+E102-D102</f>
        <v>250.44685799584136</v>
      </c>
      <c r="D102" s="7">
        <f>B102*$I$2</f>
        <v>577.85869521700613</v>
      </c>
      <c r="E102" s="7">
        <f t="shared" si="35"/>
        <v>828.30555321284749</v>
      </c>
      <c r="F102" s="7">
        <f>+B102-C102</f>
        <v>131831.54062017699</v>
      </c>
    </row>
    <row r="103" spans="1:6" ht="14.25" x14ac:dyDescent="0.2">
      <c r="A103" s="12" t="s">
        <v>15</v>
      </c>
      <c r="B103" s="7">
        <f>+F102</f>
        <v>131831.54062017699</v>
      </c>
      <c r="C103" s="7">
        <f>+E103-D103</f>
        <v>251.54256299957319</v>
      </c>
      <c r="D103" s="7">
        <f>B103*$I$2</f>
        <v>576.76299021327429</v>
      </c>
      <c r="E103" s="7">
        <f t="shared" si="35"/>
        <v>828.30555321284749</v>
      </c>
      <c r="F103" s="7">
        <f>+B103-C103</f>
        <v>131579.99805717744</v>
      </c>
    </row>
    <row r="104" spans="1:6" ht="14.25" x14ac:dyDescent="0.2">
      <c r="A104" s="12" t="s">
        <v>16</v>
      </c>
      <c r="B104" s="7">
        <f t="shared" ref="B104:B111" si="36">+F103</f>
        <v>131579.99805717744</v>
      </c>
      <c r="C104" s="7">
        <f t="shared" ref="C104:C111" si="37">+E104-D104</f>
        <v>252.64306171269629</v>
      </c>
      <c r="D104" s="7">
        <f t="shared" ref="D104:D111" si="38">B104*$I$2</f>
        <v>575.66249150015119</v>
      </c>
      <c r="E104" s="7">
        <f t="shared" si="35"/>
        <v>828.30555321284749</v>
      </c>
      <c r="F104" s="7">
        <f t="shared" ref="F104:F111" si="39">+B104-C104</f>
        <v>131327.35499546473</v>
      </c>
    </row>
    <row r="105" spans="1:6" ht="14.25" x14ac:dyDescent="0.2">
      <c r="A105" s="12" t="s">
        <v>17</v>
      </c>
      <c r="B105" s="7">
        <f t="shared" si="36"/>
        <v>131327.35499546473</v>
      </c>
      <c r="C105" s="7">
        <f t="shared" si="37"/>
        <v>253.7483751076893</v>
      </c>
      <c r="D105" s="7">
        <f t="shared" si="38"/>
        <v>574.55717810515819</v>
      </c>
      <c r="E105" s="7">
        <f t="shared" si="35"/>
        <v>828.30555321284749</v>
      </c>
      <c r="F105" s="7">
        <f t="shared" si="39"/>
        <v>131073.60662035705</v>
      </c>
    </row>
    <row r="106" spans="1:6" ht="14.25" x14ac:dyDescent="0.2">
      <c r="A106" s="12" t="s">
        <v>18</v>
      </c>
      <c r="B106" s="7">
        <f t="shared" si="36"/>
        <v>131073.60662035705</v>
      </c>
      <c r="C106" s="7">
        <f t="shared" si="37"/>
        <v>254.85852424878544</v>
      </c>
      <c r="D106" s="7">
        <f t="shared" si="38"/>
        <v>573.44702896406204</v>
      </c>
      <c r="E106" s="7">
        <f t="shared" si="35"/>
        <v>828.30555321284749</v>
      </c>
      <c r="F106" s="7">
        <f t="shared" si="39"/>
        <v>130818.74809610826</v>
      </c>
    </row>
    <row r="107" spans="1:6" ht="14.25" x14ac:dyDescent="0.2">
      <c r="A107" s="12" t="s">
        <v>19</v>
      </c>
      <c r="B107" s="7">
        <f t="shared" si="36"/>
        <v>130818.74809610826</v>
      </c>
      <c r="C107" s="7">
        <f t="shared" si="37"/>
        <v>255.97353029237388</v>
      </c>
      <c r="D107" s="7">
        <f t="shared" si="38"/>
        <v>572.33202292047361</v>
      </c>
      <c r="E107" s="7">
        <f t="shared" si="35"/>
        <v>828.30555321284749</v>
      </c>
      <c r="F107" s="7">
        <f t="shared" si="39"/>
        <v>130562.77456581588</v>
      </c>
    </row>
    <row r="108" spans="1:6" ht="14.25" x14ac:dyDescent="0.2">
      <c r="A108" s="12" t="s">
        <v>20</v>
      </c>
      <c r="B108" s="7">
        <f t="shared" si="36"/>
        <v>130562.77456581588</v>
      </c>
      <c r="C108" s="7">
        <f t="shared" si="37"/>
        <v>257.09341448740304</v>
      </c>
      <c r="D108" s="7">
        <f t="shared" si="38"/>
        <v>571.21213872544445</v>
      </c>
      <c r="E108" s="7">
        <f t="shared" si="35"/>
        <v>828.30555321284749</v>
      </c>
      <c r="F108" s="7">
        <f t="shared" si="39"/>
        <v>130305.68115132848</v>
      </c>
    </row>
    <row r="109" spans="1:6" ht="14.25" x14ac:dyDescent="0.2">
      <c r="A109" s="12" t="s">
        <v>21</v>
      </c>
      <c r="B109" s="7">
        <f t="shared" si="36"/>
        <v>130305.68115132848</v>
      </c>
      <c r="C109" s="7">
        <f t="shared" si="37"/>
        <v>258.21819817578546</v>
      </c>
      <c r="D109" s="7">
        <f t="shared" si="38"/>
        <v>570.08735503706203</v>
      </c>
      <c r="E109" s="7">
        <f t="shared" si="35"/>
        <v>828.30555321284749</v>
      </c>
      <c r="F109" s="7">
        <f t="shared" si="39"/>
        <v>130047.46295315269</v>
      </c>
    </row>
    <row r="110" spans="1:6" ht="14.25" x14ac:dyDescent="0.2">
      <c r="A110" s="12" t="s">
        <v>22</v>
      </c>
      <c r="B110" s="7">
        <f t="shared" si="36"/>
        <v>130047.46295315269</v>
      </c>
      <c r="C110" s="7">
        <f t="shared" si="37"/>
        <v>259.34790279280458</v>
      </c>
      <c r="D110" s="7">
        <f t="shared" si="38"/>
        <v>568.95765042004291</v>
      </c>
      <c r="E110" s="7">
        <f t="shared" si="35"/>
        <v>828.30555321284749</v>
      </c>
      <c r="F110" s="7">
        <f t="shared" si="39"/>
        <v>129788.11505035988</v>
      </c>
    </row>
    <row r="111" spans="1:6" ht="14.25" x14ac:dyDescent="0.2">
      <c r="A111" s="12" t="s">
        <v>23</v>
      </c>
      <c r="B111" s="7">
        <f t="shared" si="36"/>
        <v>129788.11505035988</v>
      </c>
      <c r="C111" s="7">
        <f t="shared" si="37"/>
        <v>260.48254986752306</v>
      </c>
      <c r="D111" s="7">
        <f t="shared" si="38"/>
        <v>567.82300334532442</v>
      </c>
      <c r="E111" s="7">
        <f t="shared" si="35"/>
        <v>828.30555321284749</v>
      </c>
      <c r="F111" s="7">
        <f t="shared" si="39"/>
        <v>129527.63250049236</v>
      </c>
    </row>
    <row r="112" spans="1:6" ht="15" x14ac:dyDescent="0.25">
      <c r="A112" s="14" t="s">
        <v>11</v>
      </c>
      <c r="B112" s="7"/>
      <c r="C112" s="7">
        <f>SUM(C100:C111)</f>
        <v>3051.9806491838667</v>
      </c>
      <c r="D112" s="7">
        <f>SUM(D100:D111)</f>
        <v>6887.6859893703031</v>
      </c>
      <c r="E112" s="7"/>
      <c r="F112" s="7"/>
    </row>
    <row r="114" spans="1:6" ht="14.25" x14ac:dyDescent="0.2">
      <c r="A114" s="11" t="s">
        <v>131</v>
      </c>
      <c r="B114" s="7">
        <f>+F111</f>
        <v>129527.63250049236</v>
      </c>
      <c r="C114" s="7">
        <f>+E114-D114</f>
        <v>261.62216102319348</v>
      </c>
      <c r="D114" s="7">
        <f>B114*$I$2</f>
        <v>566.683392189654</v>
      </c>
      <c r="E114" s="7">
        <f t="shared" ref="E114:E125" si="40">-$I$9</f>
        <v>828.30555321284749</v>
      </c>
      <c r="F114" s="7">
        <f>+B114-C114</f>
        <v>129266.01033946917</v>
      </c>
    </row>
    <row r="115" spans="1:6" ht="14.25" x14ac:dyDescent="0.2">
      <c r="A115" s="12" t="s">
        <v>12</v>
      </c>
      <c r="B115" s="7">
        <f>+F114</f>
        <v>129266.01033946917</v>
      </c>
      <c r="C115" s="7">
        <f>+E115-D115</f>
        <v>262.76675797766995</v>
      </c>
      <c r="D115" s="7">
        <f>B115*$I$2</f>
        <v>565.53879523517753</v>
      </c>
      <c r="E115" s="7">
        <f t="shared" si="40"/>
        <v>828.30555321284749</v>
      </c>
      <c r="F115" s="7">
        <f>+B115-C115</f>
        <v>129003.24358149149</v>
      </c>
    </row>
    <row r="116" spans="1:6" ht="14.25" x14ac:dyDescent="0.2">
      <c r="A116" s="12" t="s">
        <v>14</v>
      </c>
      <c r="B116" s="7">
        <f>+F115</f>
        <v>129003.24358149149</v>
      </c>
      <c r="C116" s="7">
        <f>+E116-D116</f>
        <v>263.91636254382229</v>
      </c>
      <c r="D116" s="7">
        <f>B116*$I$2</f>
        <v>564.3891906690252</v>
      </c>
      <c r="E116" s="7">
        <f t="shared" si="40"/>
        <v>828.30555321284749</v>
      </c>
      <c r="F116" s="7">
        <f>+B116-C116</f>
        <v>128739.32721894767</v>
      </c>
    </row>
    <row r="117" spans="1:6" ht="14.25" x14ac:dyDescent="0.2">
      <c r="A117" s="12" t="s">
        <v>15</v>
      </c>
      <c r="B117" s="7">
        <f>+F116</f>
        <v>128739.32721894767</v>
      </c>
      <c r="C117" s="7">
        <f>+E117-D117</f>
        <v>265.07099662995154</v>
      </c>
      <c r="D117" s="7">
        <f>B117*$I$2</f>
        <v>563.23455658289595</v>
      </c>
      <c r="E117" s="7">
        <f t="shared" si="40"/>
        <v>828.30555321284749</v>
      </c>
      <c r="F117" s="7">
        <f>+B117-C117</f>
        <v>128474.25622231772</v>
      </c>
    </row>
    <row r="118" spans="1:6" ht="14.25" x14ac:dyDescent="0.2">
      <c r="A118" s="12" t="s">
        <v>16</v>
      </c>
      <c r="B118" s="7">
        <f t="shared" ref="B118:B125" si="41">+F117</f>
        <v>128474.25622231772</v>
      </c>
      <c r="C118" s="7">
        <f t="shared" ref="C118:C125" si="42">+E118-D118</f>
        <v>266.23068224020756</v>
      </c>
      <c r="D118" s="7">
        <f t="shared" ref="D118:D125" si="43">B118*$I$2</f>
        <v>562.07487097263993</v>
      </c>
      <c r="E118" s="7">
        <f t="shared" si="40"/>
        <v>828.30555321284749</v>
      </c>
      <c r="F118" s="7">
        <f t="shared" ref="F118:F125" si="44">+B118-C118</f>
        <v>128208.02554007752</v>
      </c>
    </row>
    <row r="119" spans="1:6" ht="14.25" x14ac:dyDescent="0.2">
      <c r="A119" s="12" t="s">
        <v>17</v>
      </c>
      <c r="B119" s="7">
        <f t="shared" si="41"/>
        <v>128208.02554007752</v>
      </c>
      <c r="C119" s="7">
        <f t="shared" si="42"/>
        <v>267.3954414750084</v>
      </c>
      <c r="D119" s="7">
        <f t="shared" si="43"/>
        <v>560.91011173783909</v>
      </c>
      <c r="E119" s="7">
        <f t="shared" si="40"/>
        <v>828.30555321284749</v>
      </c>
      <c r="F119" s="7">
        <f t="shared" si="44"/>
        <v>127940.63009860252</v>
      </c>
    </row>
    <row r="120" spans="1:6" ht="14.25" x14ac:dyDescent="0.2">
      <c r="A120" s="12" t="s">
        <v>18</v>
      </c>
      <c r="B120" s="7">
        <f t="shared" si="41"/>
        <v>127940.63009860252</v>
      </c>
      <c r="C120" s="7">
        <f t="shared" si="42"/>
        <v>268.56529653146151</v>
      </c>
      <c r="D120" s="7">
        <f t="shared" si="43"/>
        <v>559.74025668138597</v>
      </c>
      <c r="E120" s="7">
        <f t="shared" si="40"/>
        <v>828.30555321284749</v>
      </c>
      <c r="F120" s="7">
        <f t="shared" si="44"/>
        <v>127672.06480207105</v>
      </c>
    </row>
    <row r="121" spans="1:6" ht="14.25" x14ac:dyDescent="0.2">
      <c r="A121" s="12" t="s">
        <v>19</v>
      </c>
      <c r="B121" s="7">
        <f t="shared" si="41"/>
        <v>127672.06480207105</v>
      </c>
      <c r="C121" s="7">
        <f t="shared" si="42"/>
        <v>269.74026970378668</v>
      </c>
      <c r="D121" s="7">
        <f t="shared" si="43"/>
        <v>558.56528350906081</v>
      </c>
      <c r="E121" s="7">
        <f t="shared" si="40"/>
        <v>828.30555321284749</v>
      </c>
      <c r="F121" s="7">
        <f t="shared" si="44"/>
        <v>127402.32453236726</v>
      </c>
    </row>
    <row r="122" spans="1:6" ht="14.25" x14ac:dyDescent="0.2">
      <c r="A122" s="12" t="s">
        <v>20</v>
      </c>
      <c r="B122" s="7">
        <f t="shared" si="41"/>
        <v>127402.32453236726</v>
      </c>
      <c r="C122" s="7">
        <f t="shared" si="42"/>
        <v>270.92038338374073</v>
      </c>
      <c r="D122" s="7">
        <f t="shared" si="43"/>
        <v>557.38516982910676</v>
      </c>
      <c r="E122" s="7">
        <f t="shared" si="40"/>
        <v>828.30555321284749</v>
      </c>
      <c r="F122" s="7">
        <f t="shared" si="44"/>
        <v>127131.40414898352</v>
      </c>
    </row>
    <row r="123" spans="1:6" ht="14.25" x14ac:dyDescent="0.2">
      <c r="A123" s="12" t="s">
        <v>21</v>
      </c>
      <c r="B123" s="7">
        <f t="shared" si="41"/>
        <v>127131.40414898352</v>
      </c>
      <c r="C123" s="7">
        <f t="shared" si="42"/>
        <v>272.10566006104466</v>
      </c>
      <c r="D123" s="7">
        <f t="shared" si="43"/>
        <v>556.19989315180283</v>
      </c>
      <c r="E123" s="7">
        <f t="shared" si="40"/>
        <v>828.30555321284749</v>
      </c>
      <c r="F123" s="7">
        <f t="shared" si="44"/>
        <v>126859.29848892248</v>
      </c>
    </row>
    <row r="124" spans="1:6" ht="14.25" x14ac:dyDescent="0.2">
      <c r="A124" s="12" t="s">
        <v>22</v>
      </c>
      <c r="B124" s="7">
        <f t="shared" si="41"/>
        <v>126859.29848892248</v>
      </c>
      <c r="C124" s="7">
        <f t="shared" si="42"/>
        <v>273.29612232381169</v>
      </c>
      <c r="D124" s="7">
        <f t="shared" si="43"/>
        <v>555.0094308890358</v>
      </c>
      <c r="E124" s="7">
        <f t="shared" si="40"/>
        <v>828.30555321284749</v>
      </c>
      <c r="F124" s="7">
        <f t="shared" si="44"/>
        <v>126586.00236659867</v>
      </c>
    </row>
    <row r="125" spans="1:6" ht="14.25" x14ac:dyDescent="0.2">
      <c r="A125" s="12" t="s">
        <v>23</v>
      </c>
      <c r="B125" s="7">
        <f t="shared" si="41"/>
        <v>126586.00236659867</v>
      </c>
      <c r="C125" s="7">
        <f t="shared" si="42"/>
        <v>274.49179285897833</v>
      </c>
      <c r="D125" s="7">
        <f t="shared" si="43"/>
        <v>553.81376035386916</v>
      </c>
      <c r="E125" s="7">
        <f t="shared" si="40"/>
        <v>828.30555321284749</v>
      </c>
      <c r="F125" s="7">
        <f t="shared" si="44"/>
        <v>126311.5105737397</v>
      </c>
    </row>
    <row r="126" spans="1:6" ht="15" x14ac:dyDescent="0.25">
      <c r="A126" s="14" t="s">
        <v>11</v>
      </c>
      <c r="B126" s="7"/>
      <c r="C126" s="7">
        <f>SUM(C114:C125)</f>
        <v>3216.1219267526767</v>
      </c>
      <c r="D126" s="7">
        <f>SUM(D114:D125)</f>
        <v>6723.5447118014918</v>
      </c>
      <c r="E126" s="7"/>
      <c r="F126" s="7"/>
    </row>
    <row r="128" spans="1:6" ht="14.25" x14ac:dyDescent="0.2">
      <c r="A128" s="11" t="s">
        <v>132</v>
      </c>
      <c r="B128" s="7">
        <f>+F125</f>
        <v>126311.5105737397</v>
      </c>
      <c r="C128" s="7">
        <f>+E128-D128</f>
        <v>275.69269445273642</v>
      </c>
      <c r="D128" s="7">
        <f>B128*$I$2</f>
        <v>552.61285876011107</v>
      </c>
      <c r="E128" s="7">
        <f t="shared" ref="E128:E139" si="45">-$I$9</f>
        <v>828.30555321284749</v>
      </c>
      <c r="F128" s="7">
        <f>+B128-C128</f>
        <v>126035.81787928696</v>
      </c>
    </row>
    <row r="129" spans="1:6" ht="14.25" x14ac:dyDescent="0.2">
      <c r="A129" s="12" t="s">
        <v>12</v>
      </c>
      <c r="B129" s="7">
        <f>+F128</f>
        <v>126035.81787928696</v>
      </c>
      <c r="C129" s="7">
        <f>+E129-D129</f>
        <v>276.89884999096705</v>
      </c>
      <c r="D129" s="7">
        <f>B129*$I$2</f>
        <v>551.40670322188043</v>
      </c>
      <c r="E129" s="7">
        <f t="shared" si="45"/>
        <v>828.30555321284749</v>
      </c>
      <c r="F129" s="7">
        <f>+B129-C129</f>
        <v>125758.919029296</v>
      </c>
    </row>
    <row r="130" spans="1:6" ht="14.25" x14ac:dyDescent="0.2">
      <c r="A130" s="12" t="s">
        <v>14</v>
      </c>
      <c r="B130" s="7">
        <f>+F129</f>
        <v>125758.919029296</v>
      </c>
      <c r="C130" s="7">
        <f>+E130-D130</f>
        <v>278.11028245967759</v>
      </c>
      <c r="D130" s="7">
        <f>B130*$I$2</f>
        <v>550.19527075316989</v>
      </c>
      <c r="E130" s="7">
        <f t="shared" si="45"/>
        <v>828.30555321284749</v>
      </c>
      <c r="F130" s="7">
        <f>+B130-C130</f>
        <v>125480.80874683632</v>
      </c>
    </row>
    <row r="131" spans="1:6" ht="14.25" x14ac:dyDescent="0.2">
      <c r="A131" s="12" t="s">
        <v>15</v>
      </c>
      <c r="B131" s="7">
        <f>+F130</f>
        <v>125480.80874683632</v>
      </c>
      <c r="C131" s="7">
        <f>+E131-D131</f>
        <v>279.32701494543858</v>
      </c>
      <c r="D131" s="7">
        <f>B131*$I$2</f>
        <v>548.97853826740891</v>
      </c>
      <c r="E131" s="7">
        <f t="shared" si="45"/>
        <v>828.30555321284749</v>
      </c>
      <c r="F131" s="7">
        <f>+B131-C131</f>
        <v>125201.48173189089</v>
      </c>
    </row>
    <row r="132" spans="1:6" ht="14.25" x14ac:dyDescent="0.2">
      <c r="A132" s="12" t="s">
        <v>16</v>
      </c>
      <c r="B132" s="7">
        <f t="shared" ref="B132:B139" si="46">+F131</f>
        <v>125201.48173189089</v>
      </c>
      <c r="C132" s="7">
        <f t="shared" ref="C132:C139" si="47">+E132-D132</f>
        <v>280.54907063582493</v>
      </c>
      <c r="D132" s="7">
        <f t="shared" ref="D132:D139" si="48">B132*$I$2</f>
        <v>547.75648257702255</v>
      </c>
      <c r="E132" s="7">
        <f t="shared" si="45"/>
        <v>828.30555321284749</v>
      </c>
      <c r="F132" s="7">
        <f t="shared" ref="F132:F139" si="49">+B132-C132</f>
        <v>124920.93266125506</v>
      </c>
    </row>
    <row r="133" spans="1:6" ht="14.25" x14ac:dyDescent="0.2">
      <c r="A133" s="12" t="s">
        <v>17</v>
      </c>
      <c r="B133" s="7">
        <f t="shared" si="46"/>
        <v>124920.93266125506</v>
      </c>
      <c r="C133" s="7">
        <f t="shared" si="47"/>
        <v>281.77647281985662</v>
      </c>
      <c r="D133" s="7">
        <f t="shared" si="48"/>
        <v>546.52908039299086</v>
      </c>
      <c r="E133" s="7">
        <f t="shared" si="45"/>
        <v>828.30555321284749</v>
      </c>
      <c r="F133" s="7">
        <f t="shared" si="49"/>
        <v>124639.15618843521</v>
      </c>
    </row>
    <row r="134" spans="1:6" ht="14.25" x14ac:dyDescent="0.2">
      <c r="A134" s="12" t="s">
        <v>18</v>
      </c>
      <c r="B134" s="7">
        <f t="shared" si="46"/>
        <v>124639.15618843521</v>
      </c>
      <c r="C134" s="7">
        <f t="shared" si="47"/>
        <v>283.0092448884435</v>
      </c>
      <c r="D134" s="7">
        <f t="shared" si="48"/>
        <v>545.29630832440398</v>
      </c>
      <c r="E134" s="7">
        <f t="shared" si="45"/>
        <v>828.30555321284749</v>
      </c>
      <c r="F134" s="7">
        <f t="shared" si="49"/>
        <v>124356.14694354677</v>
      </c>
    </row>
    <row r="135" spans="1:6" ht="14.25" x14ac:dyDescent="0.2">
      <c r="A135" s="12" t="s">
        <v>19</v>
      </c>
      <c r="B135" s="7">
        <f t="shared" si="46"/>
        <v>124356.14694354677</v>
      </c>
      <c r="C135" s="7">
        <f t="shared" si="47"/>
        <v>284.24741033483042</v>
      </c>
      <c r="D135" s="7">
        <f t="shared" si="48"/>
        <v>544.05814287801707</v>
      </c>
      <c r="E135" s="7">
        <f t="shared" si="45"/>
        <v>828.30555321284749</v>
      </c>
      <c r="F135" s="7">
        <f t="shared" si="49"/>
        <v>124071.89953321194</v>
      </c>
    </row>
    <row r="136" spans="1:6" ht="14.25" x14ac:dyDescent="0.2">
      <c r="A136" s="12" t="s">
        <v>20</v>
      </c>
      <c r="B136" s="7">
        <f t="shared" si="46"/>
        <v>124071.89953321194</v>
      </c>
      <c r="C136" s="7">
        <f t="shared" si="47"/>
        <v>285.49099275504534</v>
      </c>
      <c r="D136" s="7">
        <f t="shared" si="48"/>
        <v>542.81456045780214</v>
      </c>
      <c r="E136" s="7">
        <f t="shared" si="45"/>
        <v>828.30555321284749</v>
      </c>
      <c r="F136" s="7">
        <f t="shared" si="49"/>
        <v>123786.40854045689</v>
      </c>
    </row>
    <row r="137" spans="1:6" ht="14.25" x14ac:dyDescent="0.2">
      <c r="A137" s="12" t="s">
        <v>21</v>
      </c>
      <c r="B137" s="7">
        <f t="shared" si="46"/>
        <v>123786.40854045689</v>
      </c>
      <c r="C137" s="7">
        <f t="shared" si="47"/>
        <v>286.74001584834866</v>
      </c>
      <c r="D137" s="7">
        <f t="shared" si="48"/>
        <v>541.56553736449882</v>
      </c>
      <c r="E137" s="7">
        <f t="shared" si="45"/>
        <v>828.30555321284749</v>
      </c>
      <c r="F137" s="7">
        <f t="shared" si="49"/>
        <v>123499.66852460854</v>
      </c>
    </row>
    <row r="138" spans="1:6" ht="14.25" x14ac:dyDescent="0.2">
      <c r="A138" s="12" t="s">
        <v>22</v>
      </c>
      <c r="B138" s="7">
        <f t="shared" si="46"/>
        <v>123499.66852460854</v>
      </c>
      <c r="C138" s="7">
        <f t="shared" si="47"/>
        <v>287.99450341768522</v>
      </c>
      <c r="D138" s="7">
        <f t="shared" si="48"/>
        <v>540.31104979516226</v>
      </c>
      <c r="E138" s="7">
        <f t="shared" si="45"/>
        <v>828.30555321284749</v>
      </c>
      <c r="F138" s="7">
        <f t="shared" si="49"/>
        <v>123211.67402119086</v>
      </c>
    </row>
    <row r="139" spans="1:6" ht="14.25" x14ac:dyDescent="0.2">
      <c r="A139" s="12" t="s">
        <v>23</v>
      </c>
      <c r="B139" s="7">
        <f t="shared" si="46"/>
        <v>123211.67402119086</v>
      </c>
      <c r="C139" s="7">
        <f t="shared" si="47"/>
        <v>289.25447937013757</v>
      </c>
      <c r="D139" s="7">
        <f t="shared" si="48"/>
        <v>539.05107384270991</v>
      </c>
      <c r="E139" s="7">
        <f t="shared" si="45"/>
        <v>828.30555321284749</v>
      </c>
      <c r="F139" s="7">
        <f t="shared" si="49"/>
        <v>122922.41954182072</v>
      </c>
    </row>
    <row r="140" spans="1:6" ht="15" x14ac:dyDescent="0.25">
      <c r="A140" s="14" t="s">
        <v>11</v>
      </c>
      <c r="B140" s="7"/>
      <c r="C140" s="7">
        <f>SUM(C128:C139)</f>
        <v>3389.091031918992</v>
      </c>
      <c r="D140" s="7">
        <f>SUM(D128:D139)</f>
        <v>6550.5756066351778</v>
      </c>
      <c r="E140" s="7"/>
      <c r="F140" s="7"/>
    </row>
    <row r="142" spans="1:6" ht="14.25" x14ac:dyDescent="0.2">
      <c r="A142" s="11" t="s">
        <v>133</v>
      </c>
      <c r="B142" s="7">
        <f>+F139</f>
        <v>122922.41954182072</v>
      </c>
      <c r="C142" s="7">
        <f>+E142-D142</f>
        <v>290.51996771738186</v>
      </c>
      <c r="D142" s="7">
        <f>B142*$I$2</f>
        <v>537.78558549546563</v>
      </c>
      <c r="E142" s="7">
        <f t="shared" ref="E142:E153" si="50">-$I$9</f>
        <v>828.30555321284749</v>
      </c>
      <c r="F142" s="7">
        <f>+B142-C142</f>
        <v>122631.89957410334</v>
      </c>
    </row>
    <row r="143" spans="1:6" ht="14.25" x14ac:dyDescent="0.2">
      <c r="A143" s="12" t="s">
        <v>12</v>
      </c>
      <c r="B143" s="7">
        <f>+F142</f>
        <v>122631.89957410334</v>
      </c>
      <c r="C143" s="7">
        <f>+E143-D143</f>
        <v>291.79099257614541</v>
      </c>
      <c r="D143" s="7">
        <f>B143*$I$2</f>
        <v>536.51456063670207</v>
      </c>
      <c r="E143" s="7">
        <f t="shared" si="50"/>
        <v>828.30555321284749</v>
      </c>
      <c r="F143" s="7">
        <f>+B143-C143</f>
        <v>122340.10858152719</v>
      </c>
    </row>
    <row r="144" spans="1:6" ht="14.25" x14ac:dyDescent="0.2">
      <c r="A144" s="12" t="s">
        <v>14</v>
      </c>
      <c r="B144" s="7">
        <f>+F143</f>
        <v>122340.10858152719</v>
      </c>
      <c r="C144" s="7">
        <f>+E144-D144</f>
        <v>293.06757816866605</v>
      </c>
      <c r="D144" s="7">
        <f>B144*$I$2</f>
        <v>535.23797504418144</v>
      </c>
      <c r="E144" s="7">
        <f t="shared" si="50"/>
        <v>828.30555321284749</v>
      </c>
      <c r="F144" s="7">
        <f>+B144-C144</f>
        <v>122047.04100335852</v>
      </c>
    </row>
    <row r="145" spans="1:6" ht="14.25" x14ac:dyDescent="0.2">
      <c r="A145" s="12" t="s">
        <v>15</v>
      </c>
      <c r="B145" s="7">
        <f>+F144</f>
        <v>122047.04100335852</v>
      </c>
      <c r="C145" s="7">
        <f>+E145-D145</f>
        <v>294.34974882315396</v>
      </c>
      <c r="D145" s="7">
        <f>B145*$I$2</f>
        <v>533.95580438969353</v>
      </c>
      <c r="E145" s="7">
        <f t="shared" si="50"/>
        <v>828.30555321284749</v>
      </c>
      <c r="F145" s="7">
        <f>+B145-C145</f>
        <v>121752.69125453537</v>
      </c>
    </row>
    <row r="146" spans="1:6" ht="14.25" x14ac:dyDescent="0.2">
      <c r="A146" s="12" t="s">
        <v>16</v>
      </c>
      <c r="B146" s="7">
        <f t="shared" ref="B146:B153" si="51">+F145</f>
        <v>121752.69125453537</v>
      </c>
      <c r="C146" s="7">
        <f t="shared" ref="C146:C153" si="52">+E146-D146</f>
        <v>295.63752897425525</v>
      </c>
      <c r="D146" s="7">
        <f t="shared" ref="D146:D153" si="53">B146*$I$2</f>
        <v>532.66802423859224</v>
      </c>
      <c r="E146" s="7">
        <f t="shared" si="50"/>
        <v>828.30555321284749</v>
      </c>
      <c r="F146" s="7">
        <f t="shared" ref="F146:F153" si="54">+B146-C146</f>
        <v>121457.05372556111</v>
      </c>
    </row>
    <row r="147" spans="1:6" ht="14.25" x14ac:dyDescent="0.2">
      <c r="A147" s="12" t="s">
        <v>17</v>
      </c>
      <c r="B147" s="7">
        <f t="shared" si="51"/>
        <v>121457.05372556111</v>
      </c>
      <c r="C147" s="7">
        <f t="shared" si="52"/>
        <v>296.93094316351767</v>
      </c>
      <c r="D147" s="7">
        <f t="shared" si="53"/>
        <v>531.37461004932982</v>
      </c>
      <c r="E147" s="7">
        <f t="shared" si="50"/>
        <v>828.30555321284749</v>
      </c>
      <c r="F147" s="7">
        <f t="shared" si="54"/>
        <v>121160.12278239759</v>
      </c>
    </row>
    <row r="148" spans="1:6" ht="14.25" x14ac:dyDescent="0.2">
      <c r="A148" s="12" t="s">
        <v>18</v>
      </c>
      <c r="B148" s="7">
        <f t="shared" si="51"/>
        <v>121160.12278239759</v>
      </c>
      <c r="C148" s="7">
        <f t="shared" si="52"/>
        <v>298.23001603985801</v>
      </c>
      <c r="D148" s="7">
        <f t="shared" si="53"/>
        <v>530.07553717298947</v>
      </c>
      <c r="E148" s="7">
        <f t="shared" si="50"/>
        <v>828.30555321284749</v>
      </c>
      <c r="F148" s="7">
        <f t="shared" si="54"/>
        <v>120861.89276635773</v>
      </c>
    </row>
    <row r="149" spans="1:6" ht="14.25" x14ac:dyDescent="0.2">
      <c r="A149" s="12" t="s">
        <v>19</v>
      </c>
      <c r="B149" s="7">
        <f t="shared" si="51"/>
        <v>120861.89276635773</v>
      </c>
      <c r="C149" s="7">
        <f t="shared" si="52"/>
        <v>299.53477236003243</v>
      </c>
      <c r="D149" s="7">
        <f t="shared" si="53"/>
        <v>528.77078085281505</v>
      </c>
      <c r="E149" s="7">
        <f t="shared" si="50"/>
        <v>828.30555321284749</v>
      </c>
      <c r="F149" s="7">
        <f t="shared" si="54"/>
        <v>120562.35799399771</v>
      </c>
    </row>
    <row r="150" spans="1:6" ht="14.25" x14ac:dyDescent="0.2">
      <c r="A150" s="12" t="s">
        <v>20</v>
      </c>
      <c r="B150" s="7">
        <f t="shared" si="51"/>
        <v>120562.35799399771</v>
      </c>
      <c r="C150" s="7">
        <f t="shared" si="52"/>
        <v>300.84523698910755</v>
      </c>
      <c r="D150" s="7">
        <f t="shared" si="53"/>
        <v>527.46031622373994</v>
      </c>
      <c r="E150" s="7">
        <f t="shared" si="50"/>
        <v>828.30555321284749</v>
      </c>
      <c r="F150" s="7">
        <f t="shared" si="54"/>
        <v>120261.5127570086</v>
      </c>
    </row>
    <row r="151" spans="1:6" ht="14.25" x14ac:dyDescent="0.2">
      <c r="A151" s="12" t="s">
        <v>21</v>
      </c>
      <c r="B151" s="7">
        <f t="shared" si="51"/>
        <v>120261.5127570086</v>
      </c>
      <c r="C151" s="7">
        <f t="shared" si="52"/>
        <v>302.16143490093486</v>
      </c>
      <c r="D151" s="7">
        <f t="shared" si="53"/>
        <v>526.14411831191262</v>
      </c>
      <c r="E151" s="7">
        <f t="shared" si="50"/>
        <v>828.30555321284749</v>
      </c>
      <c r="F151" s="7">
        <f t="shared" si="54"/>
        <v>119959.35132210767</v>
      </c>
    </row>
    <row r="152" spans="1:6" ht="14.25" x14ac:dyDescent="0.2">
      <c r="A152" s="12" t="s">
        <v>22</v>
      </c>
      <c r="B152" s="7">
        <f t="shared" si="51"/>
        <v>119959.35132210767</v>
      </c>
      <c r="C152" s="7">
        <f t="shared" si="52"/>
        <v>303.48339117862645</v>
      </c>
      <c r="D152" s="7">
        <f t="shared" si="53"/>
        <v>524.82216203422104</v>
      </c>
      <c r="E152" s="7">
        <f t="shared" si="50"/>
        <v>828.30555321284749</v>
      </c>
      <c r="F152" s="7">
        <f t="shared" si="54"/>
        <v>119655.86793092905</v>
      </c>
    </row>
    <row r="153" spans="1:6" ht="14.25" x14ac:dyDescent="0.2">
      <c r="A153" s="12" t="s">
        <v>23</v>
      </c>
      <c r="B153" s="7">
        <f t="shared" si="51"/>
        <v>119655.86793092905</v>
      </c>
      <c r="C153" s="7">
        <f t="shared" si="52"/>
        <v>304.81113101503297</v>
      </c>
      <c r="D153" s="7">
        <f t="shared" si="53"/>
        <v>523.49442219781452</v>
      </c>
      <c r="E153" s="7">
        <f t="shared" si="50"/>
        <v>828.30555321284749</v>
      </c>
      <c r="F153" s="7">
        <f t="shared" si="54"/>
        <v>119351.05679991402</v>
      </c>
    </row>
    <row r="154" spans="1:6" ht="15" x14ac:dyDescent="0.25">
      <c r="A154" s="14" t="s">
        <v>11</v>
      </c>
      <c r="B154" s="7"/>
      <c r="C154" s="7">
        <f>SUM(C142:C153)</f>
        <v>3571.362741906712</v>
      </c>
      <c r="D154" s="7">
        <f>SUM(D142:D153)</f>
        <v>6368.3038966474578</v>
      </c>
      <c r="E154" s="7"/>
      <c r="F154" s="7"/>
    </row>
    <row r="156" spans="1:6" ht="14.25" x14ac:dyDescent="0.2">
      <c r="A156" s="11" t="s">
        <v>134</v>
      </c>
      <c r="B156" s="7">
        <f>+F153</f>
        <v>119351.05679991402</v>
      </c>
      <c r="C156" s="7">
        <f>+E156-D156</f>
        <v>306.1446797132237</v>
      </c>
      <c r="D156" s="7">
        <f>B156*$I$2</f>
        <v>522.16087349962379</v>
      </c>
      <c r="E156" s="7">
        <f t="shared" ref="E156:E167" si="55">-$I$9</f>
        <v>828.30555321284749</v>
      </c>
      <c r="F156" s="7">
        <f>+B156-C156</f>
        <v>119044.9121202008</v>
      </c>
    </row>
    <row r="157" spans="1:6" ht="14.25" x14ac:dyDescent="0.2">
      <c r="A157" s="12" t="s">
        <v>12</v>
      </c>
      <c r="B157" s="7">
        <f>+F156</f>
        <v>119044.9121202008</v>
      </c>
      <c r="C157" s="7">
        <f>+E157-D157</f>
        <v>307.48406268696908</v>
      </c>
      <c r="D157" s="7">
        <f>B157*$I$2</f>
        <v>520.8214905258784</v>
      </c>
      <c r="E157" s="7">
        <f t="shared" si="55"/>
        <v>828.30555321284749</v>
      </c>
      <c r="F157" s="7">
        <f>+B157-C157</f>
        <v>118737.42805751383</v>
      </c>
    </row>
    <row r="158" spans="1:6" ht="14.25" x14ac:dyDescent="0.2">
      <c r="A158" s="12" t="s">
        <v>14</v>
      </c>
      <c r="B158" s="7">
        <f>+F157</f>
        <v>118737.42805751383</v>
      </c>
      <c r="C158" s="7">
        <f>+E158-D158</f>
        <v>308.82930546122452</v>
      </c>
      <c r="D158" s="7">
        <f>B158*$I$2</f>
        <v>519.47624775162296</v>
      </c>
      <c r="E158" s="7">
        <f t="shared" si="55"/>
        <v>828.30555321284749</v>
      </c>
      <c r="F158" s="7">
        <f>+B158-C158</f>
        <v>118428.5987520526</v>
      </c>
    </row>
    <row r="159" spans="1:6" ht="14.25" x14ac:dyDescent="0.2">
      <c r="A159" s="12" t="s">
        <v>15</v>
      </c>
      <c r="B159" s="7">
        <f>+F158</f>
        <v>118428.5987520526</v>
      </c>
      <c r="C159" s="7">
        <f>+E159-D159</f>
        <v>310.18043367261748</v>
      </c>
      <c r="D159" s="7">
        <f>B159*$I$2</f>
        <v>518.12511954023</v>
      </c>
      <c r="E159" s="7">
        <f t="shared" si="55"/>
        <v>828.30555321284749</v>
      </c>
      <c r="F159" s="7">
        <f>+B159-C159</f>
        <v>118118.41831837998</v>
      </c>
    </row>
    <row r="160" spans="1:6" ht="14.25" x14ac:dyDescent="0.2">
      <c r="A160" s="12" t="s">
        <v>16</v>
      </c>
      <c r="B160" s="7">
        <f t="shared" ref="B160:B167" si="56">+F159</f>
        <v>118118.41831837998</v>
      </c>
      <c r="C160" s="7">
        <f t="shared" ref="C160:C167" si="57">+E160-D160</f>
        <v>311.53747306993512</v>
      </c>
      <c r="D160" s="7">
        <f t="shared" ref="D160:D167" si="58">B160*$I$2</f>
        <v>516.76808014291237</v>
      </c>
      <c r="E160" s="7">
        <f t="shared" si="55"/>
        <v>828.30555321284749</v>
      </c>
      <c r="F160" s="7">
        <f t="shared" ref="F160:F167" si="59">+B160-C160</f>
        <v>117806.88084531004</v>
      </c>
    </row>
    <row r="161" spans="1:6" ht="14.25" x14ac:dyDescent="0.2">
      <c r="A161" s="12" t="s">
        <v>17</v>
      </c>
      <c r="B161" s="7">
        <f t="shared" si="56"/>
        <v>117806.88084531004</v>
      </c>
      <c r="C161" s="7">
        <f t="shared" si="57"/>
        <v>312.90044951461618</v>
      </c>
      <c r="D161" s="7">
        <f t="shared" si="58"/>
        <v>515.4051036982313</v>
      </c>
      <c r="E161" s="7">
        <f t="shared" si="55"/>
        <v>828.30555321284749</v>
      </c>
      <c r="F161" s="7">
        <f t="shared" si="59"/>
        <v>117493.98039579541</v>
      </c>
    </row>
    <row r="162" spans="1:6" ht="14.25" x14ac:dyDescent="0.2">
      <c r="A162" s="12" t="s">
        <v>18</v>
      </c>
      <c r="B162" s="7">
        <f t="shared" si="56"/>
        <v>117493.98039579541</v>
      </c>
      <c r="C162" s="7">
        <f t="shared" si="57"/>
        <v>314.26938898124263</v>
      </c>
      <c r="D162" s="7">
        <f t="shared" si="58"/>
        <v>514.03616423160486</v>
      </c>
      <c r="E162" s="7">
        <f t="shared" si="55"/>
        <v>828.30555321284749</v>
      </c>
      <c r="F162" s="7">
        <f t="shared" si="59"/>
        <v>117179.71100681418</v>
      </c>
    </row>
    <row r="163" spans="1:6" ht="14.25" x14ac:dyDescent="0.2">
      <c r="A163" s="12" t="s">
        <v>19</v>
      </c>
      <c r="B163" s="7">
        <f t="shared" si="56"/>
        <v>117179.71100681418</v>
      </c>
      <c r="C163" s="7">
        <f t="shared" si="57"/>
        <v>315.64431755803548</v>
      </c>
      <c r="D163" s="7">
        <f t="shared" si="58"/>
        <v>512.661235654812</v>
      </c>
      <c r="E163" s="7">
        <f t="shared" si="55"/>
        <v>828.30555321284749</v>
      </c>
      <c r="F163" s="7">
        <f t="shared" si="59"/>
        <v>116864.06668925614</v>
      </c>
    </row>
    <row r="164" spans="1:6" ht="14.25" x14ac:dyDescent="0.2">
      <c r="A164" s="12" t="s">
        <v>20</v>
      </c>
      <c r="B164" s="7">
        <f t="shared" si="56"/>
        <v>116864.06668925614</v>
      </c>
      <c r="C164" s="7">
        <f t="shared" si="57"/>
        <v>317.02526144735191</v>
      </c>
      <c r="D164" s="7">
        <f t="shared" si="58"/>
        <v>511.28029176549558</v>
      </c>
      <c r="E164" s="7">
        <f t="shared" si="55"/>
        <v>828.30555321284749</v>
      </c>
      <c r="F164" s="7">
        <f t="shared" si="59"/>
        <v>116547.04142780878</v>
      </c>
    </row>
    <row r="165" spans="1:6" ht="14.25" x14ac:dyDescent="0.2">
      <c r="A165" s="12" t="s">
        <v>21</v>
      </c>
      <c r="B165" s="7">
        <f t="shared" si="56"/>
        <v>116547.04142780878</v>
      </c>
      <c r="C165" s="7">
        <f t="shared" si="57"/>
        <v>318.41224696618411</v>
      </c>
      <c r="D165" s="7">
        <f t="shared" si="58"/>
        <v>509.89330624666337</v>
      </c>
      <c r="E165" s="7">
        <f t="shared" si="55"/>
        <v>828.30555321284749</v>
      </c>
      <c r="F165" s="7">
        <f t="shared" si="59"/>
        <v>116228.6291808426</v>
      </c>
    </row>
    <row r="166" spans="1:6" ht="14.25" x14ac:dyDescent="0.2">
      <c r="A166" s="12" t="s">
        <v>22</v>
      </c>
      <c r="B166" s="7">
        <f t="shared" si="56"/>
        <v>116228.6291808426</v>
      </c>
      <c r="C166" s="7">
        <f t="shared" si="57"/>
        <v>319.80530054666116</v>
      </c>
      <c r="D166" s="7">
        <f t="shared" si="58"/>
        <v>508.50025266618633</v>
      </c>
      <c r="E166" s="7">
        <f t="shared" si="55"/>
        <v>828.30555321284749</v>
      </c>
      <c r="F166" s="7">
        <f t="shared" si="59"/>
        <v>115908.82388029594</v>
      </c>
    </row>
    <row r="167" spans="1:6" ht="14.25" x14ac:dyDescent="0.2">
      <c r="A167" s="12" t="s">
        <v>23</v>
      </c>
      <c r="B167" s="7">
        <f t="shared" si="56"/>
        <v>115908.82388029594</v>
      </c>
      <c r="C167" s="7">
        <f t="shared" si="57"/>
        <v>321.20444873655282</v>
      </c>
      <c r="D167" s="7">
        <f t="shared" si="58"/>
        <v>507.10110447629467</v>
      </c>
      <c r="E167" s="7">
        <f t="shared" si="55"/>
        <v>828.30555321284749</v>
      </c>
      <c r="F167" s="7">
        <f t="shared" si="59"/>
        <v>115587.61943155939</v>
      </c>
    </row>
    <row r="168" spans="1:6" ht="15" x14ac:dyDescent="0.25">
      <c r="A168" s="14" t="s">
        <v>11</v>
      </c>
      <c r="B168" s="7"/>
      <c r="C168" s="7">
        <f>SUM(C156:C167)</f>
        <v>3763.4373683546141</v>
      </c>
      <c r="D168" s="7">
        <f>SUM(D156:D167)</f>
        <v>6176.2292701995548</v>
      </c>
      <c r="E168" s="7"/>
      <c r="F168" s="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scale="61" firstPageNumber="0" orientation="portrait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0" sqref="F30"/>
    </sheetView>
  </sheetViews>
  <sheetFormatPr defaultColWidth="8.85546875" defaultRowHeight="12.75" x14ac:dyDescent="0.2"/>
  <sheetData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8" sqref="E8"/>
    </sheetView>
  </sheetViews>
  <sheetFormatPr defaultColWidth="8.85546875" defaultRowHeight="12.75" x14ac:dyDescent="0.2"/>
  <sheetData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Original Forecast</vt:lpstr>
      <vt:lpstr>Bankruptcy</vt:lpstr>
      <vt:lpstr>Mortgage</vt:lpstr>
      <vt:lpstr>Sheet4</vt:lpstr>
      <vt:lpstr>Sheet5</vt:lpstr>
      <vt:lpstr>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2014-07-21T17:15:20Z</dcterms:created>
  <dcterms:modified xsi:type="dcterms:W3CDTF">2019-08-23T21:07:13Z</dcterms:modified>
</cp:coreProperties>
</file>