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/>
  <bookViews>
    <workbookView xWindow="0" yWindow="0" windowWidth="20490" windowHeight="7755" activeTab="1"/>
  </bookViews>
  <sheets>
    <sheet name="Answer" sheetId="1" r:id="rId1"/>
    <sheet name="Bankruptcy" sheetId="7" r:id="rId2"/>
    <sheet name="Mortgage" sheetId="2" r:id="rId3"/>
    <sheet name="Sheet1" sheetId="3" r:id="rId4"/>
    <sheet name="Sheet2" sheetId="4" r:id="rId5"/>
    <sheet name="Sheet3" sheetId="5" r:id="rId6"/>
    <sheet name="K" sheetId="6" r:id="rId7"/>
  </sheets>
  <externalReferences>
    <externalReference r:id="rId8"/>
  </externalReferences>
  <calcPr calcId="145621" iterateDelta="1E-4"/>
</workbook>
</file>

<file path=xl/calcChain.xml><?xml version="1.0" encoding="utf-8"?>
<calcChain xmlns="http://schemas.openxmlformats.org/spreadsheetml/2006/main">
  <c r="C101" i="1" l="1"/>
  <c r="K45" i="7" l="1"/>
  <c r="L39" i="7"/>
  <c r="L38" i="7"/>
  <c r="D82" i="7"/>
  <c r="E82" i="7"/>
  <c r="F82" i="7"/>
  <c r="G82" i="7"/>
  <c r="C82" i="7"/>
  <c r="C84" i="7" s="1"/>
  <c r="F77" i="7"/>
  <c r="E68" i="7" l="1"/>
  <c r="H65" i="7"/>
  <c r="G65" i="7"/>
  <c r="F76" i="7" s="1"/>
  <c r="F78" i="7" s="1"/>
  <c r="F65" i="7"/>
  <c r="E65" i="7"/>
  <c r="D76" i="7" s="1"/>
  <c r="D65" i="7"/>
  <c r="C76" i="7" s="1"/>
  <c r="C78" i="7" s="1"/>
  <c r="E55" i="7"/>
  <c r="F55" i="7" s="1"/>
  <c r="G55" i="7" s="1"/>
  <c r="H55" i="7" s="1"/>
  <c r="E46" i="7"/>
  <c r="F46" i="7" s="1"/>
  <c r="K48" i="7"/>
  <c r="H43" i="7"/>
  <c r="K43" i="7" s="1"/>
  <c r="G43" i="7"/>
  <c r="F43" i="7"/>
  <c r="E43" i="7"/>
  <c r="D43" i="7"/>
  <c r="H30" i="7"/>
  <c r="H83" i="7" s="1"/>
  <c r="G30" i="7"/>
  <c r="G83" i="7" s="1"/>
  <c r="G84" i="7" s="1"/>
  <c r="F30" i="7"/>
  <c r="F83" i="7" s="1"/>
  <c r="F84" i="7" s="1"/>
  <c r="E30" i="7"/>
  <c r="E83" i="7" s="1"/>
  <c r="E84" i="7" s="1"/>
  <c r="D30" i="7"/>
  <c r="D83" i="7" s="1"/>
  <c r="D84" i="7" s="1"/>
  <c r="H29" i="7"/>
  <c r="H77" i="7" s="1"/>
  <c r="G29" i="7"/>
  <c r="G77" i="7" s="1"/>
  <c r="E29" i="7"/>
  <c r="E77" i="7" s="1"/>
  <c r="D29" i="7"/>
  <c r="D77" i="7" s="1"/>
  <c r="E26" i="7"/>
  <c r="D26" i="7"/>
  <c r="D47" i="7" s="1"/>
  <c r="H22" i="7"/>
  <c r="G22" i="7"/>
  <c r="F22" i="7"/>
  <c r="E22" i="7"/>
  <c r="D22" i="7"/>
  <c r="D18" i="7"/>
  <c r="D17" i="7"/>
  <c r="E7" i="7"/>
  <c r="F7" i="7" s="1"/>
  <c r="G7" i="7" s="1"/>
  <c r="H7" i="7" s="1"/>
  <c r="E5" i="7"/>
  <c r="E19" i="7" s="1"/>
  <c r="D5" i="7"/>
  <c r="D24" i="7" s="1"/>
  <c r="E76" i="7" l="1"/>
  <c r="E78" i="7" s="1"/>
  <c r="K64" i="7"/>
  <c r="O64" i="7" s="1"/>
  <c r="G76" i="7"/>
  <c r="G78" i="7" s="1"/>
  <c r="D78" i="7"/>
  <c r="F27" i="7"/>
  <c r="H27" i="7"/>
  <c r="D27" i="7"/>
  <c r="D44" i="7" s="1"/>
  <c r="E61" i="7"/>
  <c r="E41" i="7"/>
  <c r="E6" i="7"/>
  <c r="E24" i="7" s="1"/>
  <c r="F5" i="7"/>
  <c r="E16" i="7"/>
  <c r="D16" i="7"/>
  <c r="D19" i="7"/>
  <c r="F26" i="7"/>
  <c r="E27" i="7"/>
  <c r="G27" i="7"/>
  <c r="G46" i="7"/>
  <c r="E47" i="7"/>
  <c r="F68" i="7"/>
  <c r="G68" i="7" s="1"/>
  <c r="H68" i="7" s="1"/>
  <c r="P64" i="7" l="1"/>
  <c r="H76" i="7"/>
  <c r="H78" i="7" s="1"/>
  <c r="C79" i="7"/>
  <c r="K65" i="7"/>
  <c r="E44" i="7"/>
  <c r="F44" i="7" s="1"/>
  <c r="G44" i="7" s="1"/>
  <c r="H44" i="7" s="1"/>
  <c r="F47" i="7"/>
  <c r="D61" i="7"/>
  <c r="D41" i="7"/>
  <c r="F19" i="7"/>
  <c r="F16" i="7"/>
  <c r="F6" i="7"/>
  <c r="F24" i="7" s="1"/>
  <c r="G5" i="7"/>
  <c r="H46" i="7"/>
  <c r="G26" i="7"/>
  <c r="D40" i="7"/>
  <c r="D32" i="7"/>
  <c r="E40" i="7"/>
  <c r="E18" i="7"/>
  <c r="E17" i="7"/>
  <c r="L65" i="7" l="1"/>
  <c r="L66" i="7" s="1"/>
  <c r="L46" i="7"/>
  <c r="D57" i="7"/>
  <c r="H26" i="7"/>
  <c r="G6" i="7"/>
  <c r="H5" i="7"/>
  <c r="G19" i="7"/>
  <c r="G24" i="7"/>
  <c r="G16" i="7"/>
  <c r="F40" i="7"/>
  <c r="G47" i="7"/>
  <c r="E32" i="7"/>
  <c r="D33" i="7"/>
  <c r="D62" i="7" s="1"/>
  <c r="F18" i="7"/>
  <c r="F17" i="7"/>
  <c r="F61" i="7"/>
  <c r="F41" i="7"/>
  <c r="E57" i="7"/>
  <c r="M64" i="7" l="1"/>
  <c r="M65" i="7"/>
  <c r="D34" i="7"/>
  <c r="D69" i="7" s="1"/>
  <c r="H47" i="7"/>
  <c r="D71" i="7"/>
  <c r="D73" i="7" s="1"/>
  <c r="F32" i="7"/>
  <c r="H19" i="7"/>
  <c r="H16" i="7"/>
  <c r="H6" i="7"/>
  <c r="H24" i="7" s="1"/>
  <c r="E33" i="7"/>
  <c r="E62" i="7" s="1"/>
  <c r="F57" i="7"/>
  <c r="G40" i="7"/>
  <c r="G61" i="7"/>
  <c r="G41" i="7"/>
  <c r="G18" i="7"/>
  <c r="G17" i="7"/>
  <c r="E34" i="7" l="1"/>
  <c r="E69" i="7" s="1"/>
  <c r="E71" i="7" s="1"/>
  <c r="E73" i="7" s="1"/>
  <c r="H40" i="7"/>
  <c r="L40" i="7" s="1"/>
  <c r="G57" i="7"/>
  <c r="G32" i="7"/>
  <c r="H18" i="7"/>
  <c r="H17" i="7"/>
  <c r="H61" i="7"/>
  <c r="H41" i="7"/>
  <c r="L41" i="7" s="1"/>
  <c r="F33" i="7"/>
  <c r="F62" i="7" s="1"/>
  <c r="H57" i="7"/>
  <c r="L51" i="7" l="1"/>
  <c r="N65" i="7" s="1"/>
  <c r="O65" i="7" s="1"/>
  <c r="F34" i="7"/>
  <c r="F69" i="7" s="1"/>
  <c r="G33" i="7"/>
  <c r="G62" i="7" s="1"/>
  <c r="H32" i="7"/>
  <c r="H82" i="7" l="1"/>
  <c r="H84" i="7" s="1"/>
  <c r="C85" i="7" s="1"/>
  <c r="P65" i="7"/>
  <c r="H33" i="7"/>
  <c r="H62" i="7" s="1"/>
  <c r="F71" i="7"/>
  <c r="F73" i="7" s="1"/>
  <c r="G34" i="7"/>
  <c r="G69" i="7" s="1"/>
  <c r="H34" i="7" l="1"/>
  <c r="H69" i="7" s="1"/>
  <c r="G71" i="7"/>
  <c r="G73" i="7" s="1"/>
  <c r="H71" i="7" l="1"/>
  <c r="H73" i="7" s="1"/>
  <c r="D50" i="1" l="1"/>
  <c r="D42" i="2"/>
  <c r="D28" i="1"/>
  <c r="O81" i="1" l="1"/>
  <c r="E61" i="1"/>
  <c r="F61" i="1" s="1"/>
  <c r="G61" i="1" s="1"/>
  <c r="H61" i="1" s="1"/>
  <c r="I61" i="1" s="1"/>
  <c r="J61" i="1" s="1"/>
  <c r="K61" i="1" s="1"/>
  <c r="L61" i="1" s="1"/>
  <c r="M61" i="1" s="1"/>
  <c r="E48" i="1"/>
  <c r="F48" i="1" s="1"/>
  <c r="G48" i="1" s="1"/>
  <c r="H48" i="1" s="1"/>
  <c r="I48" i="1" s="1"/>
  <c r="J48" i="1" s="1"/>
  <c r="K48" i="1" s="1"/>
  <c r="L48" i="1" s="1"/>
  <c r="M48" i="1" s="1"/>
  <c r="C84" i="1" l="1"/>
  <c r="D80" i="1"/>
  <c r="E80" i="1"/>
  <c r="F80" i="1"/>
  <c r="G80" i="1"/>
  <c r="H80" i="1"/>
  <c r="I80" i="1"/>
  <c r="J80" i="1"/>
  <c r="K80" i="1"/>
  <c r="L80" i="1"/>
  <c r="M80" i="1"/>
  <c r="C80" i="1"/>
  <c r="R57" i="1"/>
  <c r="R56" i="1"/>
  <c r="O59" i="1"/>
  <c r="O56" i="1"/>
  <c r="U62" i="1"/>
  <c r="V57" i="1"/>
  <c r="W57" i="1" s="1"/>
  <c r="X57" i="1" s="1"/>
  <c r="V56" i="1"/>
  <c r="Q53" i="1"/>
  <c r="Q59" i="1" s="1"/>
  <c r="R59" i="1" s="1"/>
  <c r="Y52" i="1"/>
  <c r="Y51" i="1"/>
  <c r="W56" i="1" l="1"/>
  <c r="X56" i="1" s="1"/>
  <c r="D94" i="1" l="1"/>
  <c r="E94" i="1"/>
  <c r="F94" i="1"/>
  <c r="G94" i="1"/>
  <c r="H94" i="1"/>
  <c r="I94" i="1"/>
  <c r="J94" i="1"/>
  <c r="K94" i="1"/>
  <c r="L94" i="1"/>
  <c r="M94" i="1"/>
  <c r="C94" i="1"/>
  <c r="D93" i="1"/>
  <c r="E93" i="1"/>
  <c r="F93" i="1"/>
  <c r="G93" i="1"/>
  <c r="H93" i="1"/>
  <c r="I93" i="1"/>
  <c r="J93" i="1"/>
  <c r="K93" i="1"/>
  <c r="L93" i="1"/>
  <c r="M93" i="1"/>
  <c r="C93" i="1"/>
  <c r="M81" i="1"/>
  <c r="O82" i="1" s="1"/>
  <c r="M82" i="1" s="1"/>
  <c r="E42" i="1" l="1"/>
  <c r="F42" i="1"/>
  <c r="G42" i="1"/>
  <c r="H42" i="1"/>
  <c r="I42" i="1"/>
  <c r="J42" i="1"/>
  <c r="K42" i="1"/>
  <c r="L42" i="1"/>
  <c r="M42" i="1"/>
  <c r="D42" i="1"/>
  <c r="C88" i="1" s="1"/>
  <c r="D5" i="1"/>
  <c r="D19" i="1" s="1"/>
  <c r="E5" i="1"/>
  <c r="D16" i="1" l="1"/>
  <c r="K88" i="1"/>
  <c r="I88" i="1"/>
  <c r="G88" i="1"/>
  <c r="E88" i="1"/>
  <c r="D26" i="1"/>
  <c r="L26" i="1"/>
  <c r="L73" i="1" s="1"/>
  <c r="J26" i="1"/>
  <c r="H26" i="1"/>
  <c r="F26" i="1"/>
  <c r="L88" i="1"/>
  <c r="M88" i="1"/>
  <c r="M89" i="1" s="1"/>
  <c r="J88" i="1"/>
  <c r="H88" i="1"/>
  <c r="F88" i="1"/>
  <c r="D88" i="1"/>
  <c r="M26" i="1"/>
  <c r="M73" i="1" s="1"/>
  <c r="K26" i="1"/>
  <c r="K73" i="1" s="1"/>
  <c r="I26" i="1"/>
  <c r="G26" i="1"/>
  <c r="E26" i="1"/>
  <c r="D40" i="1"/>
  <c r="C96" i="1" s="1"/>
  <c r="D46" i="1" l="1"/>
  <c r="E46" i="1" s="1"/>
  <c r="F46" i="1" s="1"/>
  <c r="G46" i="1" s="1"/>
  <c r="H46" i="1" s="1"/>
  <c r="I46" i="1" s="1"/>
  <c r="J46" i="1" s="1"/>
  <c r="K46" i="1" s="1"/>
  <c r="L46" i="1" s="1"/>
  <c r="M46" i="1" s="1"/>
  <c r="O88" i="1" s="1"/>
  <c r="O89" i="1" s="1"/>
  <c r="M90" i="1" s="1"/>
  <c r="D18" i="1"/>
  <c r="D17" i="1"/>
  <c r="D23" i="1"/>
  <c r="D25" i="1"/>
  <c r="D73" i="1" s="1"/>
  <c r="B19" i="3"/>
  <c r="A18" i="3"/>
  <c r="B17" i="3"/>
  <c r="E16" i="3"/>
  <c r="C16" i="3"/>
  <c r="C15" i="3"/>
  <c r="A16" i="3"/>
  <c r="H29" i="1"/>
  <c r="I29" i="1"/>
  <c r="J29" i="1"/>
  <c r="K29" i="1"/>
  <c r="L29" i="1"/>
  <c r="M29" i="1"/>
  <c r="D39" i="1" l="1"/>
  <c r="G44" i="6"/>
  <c r="F44" i="6"/>
  <c r="E44" i="6"/>
  <c r="D44" i="6"/>
  <c r="G41" i="6"/>
  <c r="F41" i="6"/>
  <c r="E41" i="6"/>
  <c r="D41" i="6"/>
  <c r="D30" i="6"/>
  <c r="D29" i="6"/>
  <c r="D25" i="6"/>
  <c r="E25" i="6"/>
  <c r="F25" i="6"/>
  <c r="G25" i="6"/>
  <c r="G24" i="6"/>
  <c r="F24" i="6"/>
  <c r="E24" i="6"/>
  <c r="D24" i="6"/>
  <c r="D10" i="6"/>
  <c r="E44" i="1"/>
  <c r="D84" i="1" s="1"/>
  <c r="G29" i="1"/>
  <c r="G16" i="6" s="1"/>
  <c r="F29" i="1"/>
  <c r="F16" i="6" s="1"/>
  <c r="E29" i="1"/>
  <c r="E16" i="6" s="1"/>
  <c r="E7" i="1"/>
  <c r="F7" i="1" s="1"/>
  <c r="G7" i="1" s="1"/>
  <c r="H7" i="1" s="1"/>
  <c r="I7" i="1" s="1"/>
  <c r="J7" i="1" s="1"/>
  <c r="K7" i="1" s="1"/>
  <c r="L7" i="1" s="1"/>
  <c r="M7" i="1" s="1"/>
  <c r="D45" i="1"/>
  <c r="D31" i="6" s="1"/>
  <c r="E30" i="6"/>
  <c r="F30" i="6"/>
  <c r="G30" i="6"/>
  <c r="I2" i="2"/>
  <c r="B2" i="2"/>
  <c r="I4" i="2"/>
  <c r="D29" i="1"/>
  <c r="D16" i="6" s="1"/>
  <c r="C95" i="1" l="1"/>
  <c r="D2" i="2"/>
  <c r="E16" i="1"/>
  <c r="E19" i="1"/>
  <c r="E40" i="1" s="1"/>
  <c r="D96" i="1" s="1"/>
  <c r="E6" i="1"/>
  <c r="E29" i="6"/>
  <c r="E25" i="1"/>
  <c r="F5" i="1"/>
  <c r="D4" i="6"/>
  <c r="D11" i="6"/>
  <c r="F44" i="1"/>
  <c r="E84" i="1" s="1"/>
  <c r="I8" i="2"/>
  <c r="E4" i="2"/>
  <c r="E32" i="2"/>
  <c r="E40" i="2"/>
  <c r="E11" i="2"/>
  <c r="E35" i="2"/>
  <c r="E36" i="2"/>
  <c r="D26" i="6"/>
  <c r="D3" i="6"/>
  <c r="D13" i="6"/>
  <c r="E4" i="6"/>
  <c r="D54" i="1"/>
  <c r="D37" i="6" l="1"/>
  <c r="C97" i="1"/>
  <c r="C99" i="1" s="1"/>
  <c r="E13" i="6"/>
  <c r="E73" i="1"/>
  <c r="E45" i="2"/>
  <c r="E180" i="2"/>
  <c r="E178" i="2"/>
  <c r="E176" i="2"/>
  <c r="E174" i="2"/>
  <c r="E172" i="2"/>
  <c r="E170" i="2"/>
  <c r="E167" i="2"/>
  <c r="E165" i="2"/>
  <c r="E163" i="2"/>
  <c r="E161" i="2"/>
  <c r="E159" i="2"/>
  <c r="E157" i="2"/>
  <c r="E152" i="2"/>
  <c r="E150" i="2"/>
  <c r="E148" i="2"/>
  <c r="E146" i="2"/>
  <c r="E144" i="2"/>
  <c r="E142" i="2"/>
  <c r="E139" i="2"/>
  <c r="E137" i="2"/>
  <c r="E135" i="2"/>
  <c r="E133" i="2"/>
  <c r="E131" i="2"/>
  <c r="E129" i="2"/>
  <c r="E124" i="2"/>
  <c r="E122" i="2"/>
  <c r="E120" i="2"/>
  <c r="E118" i="2"/>
  <c r="E116" i="2"/>
  <c r="E114" i="2"/>
  <c r="E111" i="2"/>
  <c r="E109" i="2"/>
  <c r="E107" i="2"/>
  <c r="E105" i="2"/>
  <c r="E103" i="2"/>
  <c r="E101" i="2"/>
  <c r="E96" i="2"/>
  <c r="E94" i="2"/>
  <c r="E92" i="2"/>
  <c r="E90" i="2"/>
  <c r="E88" i="2"/>
  <c r="E86" i="2"/>
  <c r="E83" i="2"/>
  <c r="E81" i="2"/>
  <c r="E79" i="2"/>
  <c r="E77" i="2"/>
  <c r="E75" i="2"/>
  <c r="E73" i="2"/>
  <c r="E68" i="2"/>
  <c r="E66" i="2"/>
  <c r="E64" i="2"/>
  <c r="E62" i="2"/>
  <c r="E60" i="2"/>
  <c r="E58" i="2"/>
  <c r="E181" i="2"/>
  <c r="E179" i="2"/>
  <c r="E177" i="2"/>
  <c r="E175" i="2"/>
  <c r="E173" i="2"/>
  <c r="E171" i="2"/>
  <c r="E166" i="2"/>
  <c r="E164" i="2"/>
  <c r="E162" i="2"/>
  <c r="E158" i="2"/>
  <c r="E153" i="2"/>
  <c r="E149" i="2"/>
  <c r="E145" i="2"/>
  <c r="E136" i="2"/>
  <c r="E132" i="2"/>
  <c r="E128" i="2"/>
  <c r="E123" i="2"/>
  <c r="E119" i="2"/>
  <c r="E115" i="2"/>
  <c r="E110" i="2"/>
  <c r="E106" i="2"/>
  <c r="E102" i="2"/>
  <c r="E97" i="2"/>
  <c r="E93" i="2"/>
  <c r="E89" i="2"/>
  <c r="E80" i="2"/>
  <c r="E76" i="2"/>
  <c r="E72" i="2"/>
  <c r="E67" i="2"/>
  <c r="E63" i="2"/>
  <c r="E59" i="2"/>
  <c r="E160" i="2"/>
  <c r="E156" i="2"/>
  <c r="E151" i="2"/>
  <c r="E147" i="2"/>
  <c r="E143" i="2"/>
  <c r="E138" i="2"/>
  <c r="E134" i="2"/>
  <c r="E130" i="2"/>
  <c r="E125" i="2"/>
  <c r="E121" i="2"/>
  <c r="E117" i="2"/>
  <c r="E108" i="2"/>
  <c r="E104" i="2"/>
  <c r="E100" i="2"/>
  <c r="E95" i="2"/>
  <c r="E91" i="2"/>
  <c r="E87" i="2"/>
  <c r="E82" i="2"/>
  <c r="E78" i="2"/>
  <c r="E74" i="2"/>
  <c r="E69" i="2"/>
  <c r="E65" i="2"/>
  <c r="E61" i="2"/>
  <c r="E5" i="2"/>
  <c r="E51" i="2"/>
  <c r="E55" i="2"/>
  <c r="E2" i="2"/>
  <c r="C2" i="2" s="1"/>
  <c r="E24" i="2"/>
  <c r="E16" i="2"/>
  <c r="E3" i="2"/>
  <c r="F16" i="1"/>
  <c r="F39" i="1" s="1"/>
  <c r="F19" i="1"/>
  <c r="F40" i="1" s="1"/>
  <c r="E96" i="1" s="1"/>
  <c r="F6" i="1"/>
  <c r="F23" i="1" s="1"/>
  <c r="F11" i="6" s="1"/>
  <c r="E18" i="1"/>
  <c r="E17" i="1"/>
  <c r="E23" i="1"/>
  <c r="E11" i="6" s="1"/>
  <c r="G5" i="1"/>
  <c r="E39" i="1"/>
  <c r="E50" i="1" s="1"/>
  <c r="G44" i="1"/>
  <c r="F25" i="1"/>
  <c r="E45" i="1"/>
  <c r="E10" i="6"/>
  <c r="H5" i="1"/>
  <c r="F29" i="6"/>
  <c r="F4" i="6"/>
  <c r="E7" i="2"/>
  <c r="E27" i="2"/>
  <c r="E48" i="2"/>
  <c r="E25" i="2"/>
  <c r="E19" i="2"/>
  <c r="E47" i="2"/>
  <c r="E20" i="2"/>
  <c r="E6" i="2"/>
  <c r="E37" i="2"/>
  <c r="E34" i="2"/>
  <c r="E9" i="2"/>
  <c r="E30" i="2"/>
  <c r="E18" i="2"/>
  <c r="E8" i="2"/>
  <c r="E22" i="2"/>
  <c r="E50" i="2"/>
  <c r="E53" i="2"/>
  <c r="E12" i="2"/>
  <c r="E10" i="2"/>
  <c r="E39" i="2"/>
  <c r="E33" i="2"/>
  <c r="E44" i="2"/>
  <c r="E23" i="2"/>
  <c r="E46" i="2"/>
  <c r="E38" i="2"/>
  <c r="E41" i="2"/>
  <c r="E52" i="2"/>
  <c r="E49" i="2"/>
  <c r="E17" i="2"/>
  <c r="E31" i="2"/>
  <c r="E26" i="2"/>
  <c r="E21" i="2"/>
  <c r="E54" i="2"/>
  <c r="E13" i="2"/>
  <c r="D6" i="6"/>
  <c r="E3" i="6"/>
  <c r="F2" i="2"/>
  <c r="B3" i="2" s="1"/>
  <c r="F10" i="6"/>
  <c r="F50" i="1" l="1"/>
  <c r="G25" i="1"/>
  <c r="F84" i="1"/>
  <c r="E95" i="1"/>
  <c r="G29" i="6"/>
  <c r="F13" i="6"/>
  <c r="F73" i="1"/>
  <c r="E26" i="6"/>
  <c r="D95" i="1"/>
  <c r="F45" i="1"/>
  <c r="F3" i="6"/>
  <c r="H16" i="1"/>
  <c r="H19" i="1"/>
  <c r="H40" i="1" s="1"/>
  <c r="H6" i="1"/>
  <c r="G16" i="1"/>
  <c r="G19" i="1"/>
  <c r="G40" i="1" s="1"/>
  <c r="F96" i="1" s="1"/>
  <c r="G6" i="1"/>
  <c r="F18" i="1"/>
  <c r="F17" i="1"/>
  <c r="H44" i="1"/>
  <c r="E31" i="6"/>
  <c r="F6" i="6"/>
  <c r="F26" i="6"/>
  <c r="I5" i="1"/>
  <c r="D33" i="6"/>
  <c r="D27" i="6"/>
  <c r="D3" i="2"/>
  <c r="E54" i="1"/>
  <c r="E6" i="6"/>
  <c r="F31" i="6" l="1"/>
  <c r="G45" i="1"/>
  <c r="G31" i="6" s="1"/>
  <c r="G96" i="1"/>
  <c r="E37" i="6"/>
  <c r="D97" i="1"/>
  <c r="I44" i="1"/>
  <c r="H84" i="1" s="1"/>
  <c r="G84" i="1"/>
  <c r="G13" i="6"/>
  <c r="G73" i="1"/>
  <c r="H25" i="1"/>
  <c r="H73" i="1" s="1"/>
  <c r="I16" i="1"/>
  <c r="I19" i="1"/>
  <c r="I40" i="1" s="1"/>
  <c r="H96" i="1" s="1"/>
  <c r="I6" i="1"/>
  <c r="G18" i="1"/>
  <c r="G17" i="1"/>
  <c r="H18" i="1"/>
  <c r="H17" i="1"/>
  <c r="G3" i="6"/>
  <c r="G39" i="1"/>
  <c r="G50" i="1" s="1"/>
  <c r="G23" i="1"/>
  <c r="G11" i="6" s="1"/>
  <c r="H23" i="1"/>
  <c r="H39" i="1"/>
  <c r="H50" i="1" s="1"/>
  <c r="F27" i="6"/>
  <c r="F54" i="1"/>
  <c r="G26" i="6"/>
  <c r="G4" i="6"/>
  <c r="G10" i="6"/>
  <c r="J5" i="1"/>
  <c r="F33" i="6"/>
  <c r="C3" i="2"/>
  <c r="E33" i="6"/>
  <c r="E27" i="6"/>
  <c r="I25" i="1" l="1"/>
  <c r="I73" i="1" s="1"/>
  <c r="H45" i="1"/>
  <c r="J44" i="1"/>
  <c r="I84" i="1" s="1"/>
  <c r="F95" i="1"/>
  <c r="F37" i="6"/>
  <c r="E97" i="1"/>
  <c r="G95" i="1"/>
  <c r="I18" i="1"/>
  <c r="I17" i="1"/>
  <c r="J16" i="1"/>
  <c r="J19" i="1"/>
  <c r="J40" i="1" s="1"/>
  <c r="I96" i="1" s="1"/>
  <c r="J6" i="1"/>
  <c r="I23" i="1"/>
  <c r="I39" i="1"/>
  <c r="I50" i="1" s="1"/>
  <c r="J25" i="1"/>
  <c r="G6" i="6"/>
  <c r="G54" i="1"/>
  <c r="H54" i="1"/>
  <c r="K5" i="1"/>
  <c r="F3" i="2"/>
  <c r="B4" i="2" s="1"/>
  <c r="K44" i="1" l="1"/>
  <c r="I45" i="1"/>
  <c r="J45" i="1" s="1"/>
  <c r="K45" i="1" s="1"/>
  <c r="L45" i="1" s="1"/>
  <c r="M45" i="1" s="1"/>
  <c r="G37" i="6"/>
  <c r="F97" i="1"/>
  <c r="J73" i="1"/>
  <c r="H95" i="1"/>
  <c r="G97" i="1"/>
  <c r="L44" i="1"/>
  <c r="J84" i="1"/>
  <c r="J18" i="1"/>
  <c r="J17" i="1"/>
  <c r="K16" i="1"/>
  <c r="K19" i="1"/>
  <c r="K40" i="1" s="1"/>
  <c r="J96" i="1" s="1"/>
  <c r="K6" i="1"/>
  <c r="K23" i="1" s="1"/>
  <c r="J23" i="1"/>
  <c r="J39" i="1"/>
  <c r="J50" i="1" s="1"/>
  <c r="G27" i="6"/>
  <c r="G33" i="6"/>
  <c r="L5" i="1"/>
  <c r="I54" i="1"/>
  <c r="H97" i="1" s="1"/>
  <c r="D4" i="2"/>
  <c r="I95" i="1" l="1"/>
  <c r="M44" i="1"/>
  <c r="K84" i="1"/>
  <c r="L16" i="1"/>
  <c r="L19" i="1"/>
  <c r="L40" i="1" s="1"/>
  <c r="K96" i="1" s="1"/>
  <c r="L6" i="1"/>
  <c r="K18" i="1"/>
  <c r="K17" i="1"/>
  <c r="K39" i="1"/>
  <c r="K50" i="1" s="1"/>
  <c r="J54" i="1"/>
  <c r="I97" i="1" s="1"/>
  <c r="M5" i="1"/>
  <c r="C4" i="2"/>
  <c r="J95" i="1" l="1"/>
  <c r="O84" i="1"/>
  <c r="L84" i="1"/>
  <c r="M84" i="1"/>
  <c r="O85" i="1" s="1"/>
  <c r="M86" i="1" s="1"/>
  <c r="M16" i="1"/>
  <c r="M19" i="1"/>
  <c r="M40" i="1" s="1"/>
  <c r="M6" i="1"/>
  <c r="L18" i="1"/>
  <c r="L17" i="1"/>
  <c r="L23" i="1"/>
  <c r="L39" i="1"/>
  <c r="L50" i="1" s="1"/>
  <c r="K54" i="1"/>
  <c r="J97" i="1" s="1"/>
  <c r="F4" i="2"/>
  <c r="B5" i="2" s="1"/>
  <c r="K95" i="1" l="1"/>
  <c r="L96" i="1"/>
  <c r="M96" i="1"/>
  <c r="M18" i="1"/>
  <c r="M17" i="1"/>
  <c r="M23" i="1"/>
  <c r="M39" i="1"/>
  <c r="M50" i="1" s="1"/>
  <c r="M54" i="1"/>
  <c r="L54" i="1"/>
  <c r="K97" i="1" s="1"/>
  <c r="D5" i="2"/>
  <c r="L95" i="1" l="1"/>
  <c r="M95" i="1"/>
  <c r="L97" i="1"/>
  <c r="M97" i="1"/>
  <c r="C5" i="2"/>
  <c r="F5" i="2" l="1"/>
  <c r="B6" i="2" s="1"/>
  <c r="D6" i="2" l="1"/>
  <c r="C6" i="2" l="1"/>
  <c r="F6" i="2" l="1"/>
  <c r="B7" i="2" s="1"/>
  <c r="D7" i="2" l="1"/>
  <c r="C7" i="2" l="1"/>
  <c r="F7" i="2" s="1"/>
  <c r="B8" i="2" s="1"/>
  <c r="D8" i="2" l="1"/>
  <c r="C8" i="2" s="1"/>
  <c r="F8" i="2" s="1"/>
  <c r="B9" i="2" s="1"/>
  <c r="D9" i="2" l="1"/>
  <c r="C9" i="2" s="1"/>
  <c r="F9" i="2" s="1"/>
  <c r="B10" i="2" s="1"/>
  <c r="D10" i="2" l="1"/>
  <c r="C10" i="2" s="1"/>
  <c r="F10" i="2" s="1"/>
  <c r="B11" i="2" s="1"/>
  <c r="D11" i="2" l="1"/>
  <c r="C11" i="2" s="1"/>
  <c r="F11" i="2" s="1"/>
  <c r="B12" i="2" s="1"/>
  <c r="D12" i="2" l="1"/>
  <c r="C12" i="2" s="1"/>
  <c r="F12" i="2" s="1"/>
  <c r="B13" i="2" s="1"/>
  <c r="D13" i="2" l="1"/>
  <c r="C13" i="2" l="1"/>
  <c r="D14" i="2"/>
  <c r="D15" i="6" l="1"/>
  <c r="C14" i="2"/>
  <c r="F13" i="2"/>
  <c r="D58" i="1" s="1"/>
  <c r="D72" i="1" l="1"/>
  <c r="D74" i="1" s="1"/>
  <c r="D75" i="1" s="1"/>
  <c r="D76" i="1" s="1"/>
  <c r="D99" i="1" s="1"/>
  <c r="D9" i="6"/>
  <c r="D31" i="1"/>
  <c r="D32" i="1" s="1"/>
  <c r="B16" i="2"/>
  <c r="D40" i="6"/>
  <c r="D18" i="6" l="1"/>
  <c r="D55" i="1"/>
  <c r="D19" i="6"/>
  <c r="D33" i="1"/>
  <c r="D16" i="2"/>
  <c r="D20" i="6" l="1"/>
  <c r="D62" i="1"/>
  <c r="C16" i="2"/>
  <c r="D38" i="6"/>
  <c r="F16" i="2" l="1"/>
  <c r="B17" i="2" s="1"/>
  <c r="D45" i="6"/>
  <c r="D64" i="1"/>
  <c r="D17" i="2" l="1"/>
  <c r="D47" i="6"/>
  <c r="D66" i="1"/>
  <c r="C17" i="2" l="1"/>
  <c r="F17" i="2" l="1"/>
  <c r="B18" i="2" s="1"/>
  <c r="D18" i="2" l="1"/>
  <c r="C18" i="2" l="1"/>
  <c r="F18" i="2" l="1"/>
  <c r="B19" i="2" s="1"/>
  <c r="D19" i="2" l="1"/>
  <c r="C19" i="2" l="1"/>
  <c r="F19" i="2" l="1"/>
  <c r="B20" i="2" s="1"/>
  <c r="D20" i="2" l="1"/>
  <c r="C20" i="2" l="1"/>
  <c r="F20" i="2" l="1"/>
  <c r="B21" i="2" s="1"/>
  <c r="D21" i="2" l="1"/>
  <c r="C21" i="2" s="1"/>
  <c r="F21" i="2" s="1"/>
  <c r="B22" i="2" s="1"/>
  <c r="D22" i="2" l="1"/>
  <c r="C22" i="2" s="1"/>
  <c r="F22" i="2" s="1"/>
  <c r="B23" i="2" s="1"/>
  <c r="D23" i="2" l="1"/>
  <c r="C23" i="2" s="1"/>
  <c r="F23" i="2" s="1"/>
  <c r="B24" i="2" s="1"/>
  <c r="D24" i="2" l="1"/>
  <c r="C24" i="2" s="1"/>
  <c r="F24" i="2" s="1"/>
  <c r="B25" i="2" s="1"/>
  <c r="D25" i="2" l="1"/>
  <c r="C25" i="2" s="1"/>
  <c r="F25" i="2" s="1"/>
  <c r="B26" i="2" s="1"/>
  <c r="D26" i="2" l="1"/>
  <c r="C26" i="2" s="1"/>
  <c r="F26" i="2" s="1"/>
  <c r="B27" i="2" s="1"/>
  <c r="D27" i="2" l="1"/>
  <c r="C27" i="2" l="1"/>
  <c r="D28" i="2"/>
  <c r="E28" i="1" s="1"/>
  <c r="E15" i="6" l="1"/>
  <c r="C28" i="2"/>
  <c r="F27" i="2"/>
  <c r="E58" i="1" s="1"/>
  <c r="E72" i="1" l="1"/>
  <c r="E74" i="1" s="1"/>
  <c r="E75" i="1" s="1"/>
  <c r="E76" i="1" s="1"/>
  <c r="E99" i="1" s="1"/>
  <c r="E9" i="6"/>
  <c r="E31" i="1"/>
  <c r="E32" i="1" s="1"/>
  <c r="E40" i="6"/>
  <c r="B30" i="2"/>
  <c r="E18" i="6" l="1"/>
  <c r="E19" i="6"/>
  <c r="E55" i="1"/>
  <c r="D30" i="2"/>
  <c r="E33" i="1"/>
  <c r="C30" i="2" l="1"/>
  <c r="E38" i="6"/>
  <c r="E20" i="6"/>
  <c r="E62" i="1"/>
  <c r="E64" i="1" l="1"/>
  <c r="E66" i="1" s="1"/>
  <c r="F30" i="2"/>
  <c r="B31" i="2" s="1"/>
  <c r="E45" i="6"/>
  <c r="E47" i="6" l="1"/>
  <c r="D31" i="2"/>
  <c r="C31" i="2" l="1"/>
  <c r="F31" i="2" l="1"/>
  <c r="B32" i="2" s="1"/>
  <c r="D32" i="2" l="1"/>
  <c r="C32" i="2" l="1"/>
  <c r="F32" i="2" l="1"/>
  <c r="B33" i="2" s="1"/>
  <c r="D33" i="2" l="1"/>
  <c r="C33" i="2" l="1"/>
  <c r="F33" i="2" l="1"/>
  <c r="B34" i="2" s="1"/>
  <c r="D34" i="2" l="1"/>
  <c r="C34" i="2" l="1"/>
  <c r="F34" i="2" l="1"/>
  <c r="B35" i="2" s="1"/>
  <c r="D35" i="2" l="1"/>
  <c r="C35" i="2" s="1"/>
  <c r="F35" i="2" s="1"/>
  <c r="B36" i="2" s="1"/>
  <c r="D36" i="2" l="1"/>
  <c r="C36" i="2" s="1"/>
  <c r="F36" i="2" s="1"/>
  <c r="B37" i="2" s="1"/>
  <c r="D37" i="2" l="1"/>
  <c r="C37" i="2" s="1"/>
  <c r="F37" i="2" s="1"/>
  <c r="B38" i="2" s="1"/>
  <c r="D38" i="2" l="1"/>
  <c r="C38" i="2" s="1"/>
  <c r="F38" i="2" s="1"/>
  <c r="B39" i="2" s="1"/>
  <c r="D39" i="2" l="1"/>
  <c r="C39" i="2" s="1"/>
  <c r="F39" i="2" s="1"/>
  <c r="B40" i="2" s="1"/>
  <c r="D40" i="2" l="1"/>
  <c r="C40" i="2" s="1"/>
  <c r="F40" i="2" s="1"/>
  <c r="B41" i="2" s="1"/>
  <c r="D41" i="2" l="1"/>
  <c r="C41" i="2" l="1"/>
  <c r="F28" i="1"/>
  <c r="F15" i="6" l="1"/>
  <c r="C42" i="2"/>
  <c r="F41" i="2"/>
  <c r="F58" i="1" s="1"/>
  <c r="F72" i="1" l="1"/>
  <c r="F74" i="1" s="1"/>
  <c r="F75" i="1" s="1"/>
  <c r="F76" i="1" s="1"/>
  <c r="F99" i="1" s="1"/>
  <c r="F9" i="6"/>
  <c r="F31" i="1"/>
  <c r="F18" i="6" s="1"/>
  <c r="B44" i="2"/>
  <c r="F40" i="6"/>
  <c r="F32" i="1" l="1"/>
  <c r="F55" i="1" s="1"/>
  <c r="D44" i="2"/>
  <c r="F19" i="6" l="1"/>
  <c r="F33" i="1"/>
  <c r="F20" i="6" s="1"/>
  <c r="C44" i="2"/>
  <c r="F38" i="6"/>
  <c r="F62" i="1" l="1"/>
  <c r="F45" i="6" s="1"/>
  <c r="F44" i="2"/>
  <c r="B45" i="2" s="1"/>
  <c r="F64" i="1" l="1"/>
  <c r="D45" i="2"/>
  <c r="F47" i="6" l="1"/>
  <c r="F66" i="1"/>
  <c r="C45" i="2"/>
  <c r="F45" i="2" l="1"/>
  <c r="B46" i="2" s="1"/>
  <c r="D46" i="2" l="1"/>
  <c r="C46" i="2" l="1"/>
  <c r="F46" i="2" l="1"/>
  <c r="B47" i="2" s="1"/>
  <c r="D47" i="2" l="1"/>
  <c r="C47" i="2" l="1"/>
  <c r="F47" i="2" l="1"/>
  <c r="B48" i="2" s="1"/>
  <c r="D48" i="2" l="1"/>
  <c r="C48" i="2" l="1"/>
  <c r="F48" i="2" l="1"/>
  <c r="B49" i="2" s="1"/>
  <c r="D49" i="2" l="1"/>
  <c r="C49" i="2" s="1"/>
  <c r="F49" i="2" s="1"/>
  <c r="B50" i="2" s="1"/>
  <c r="D50" i="2" l="1"/>
  <c r="C50" i="2" s="1"/>
  <c r="F50" i="2" s="1"/>
  <c r="B51" i="2" s="1"/>
  <c r="D51" i="2" l="1"/>
  <c r="C51" i="2" s="1"/>
  <c r="F51" i="2" s="1"/>
  <c r="B52" i="2" s="1"/>
  <c r="D52" i="2" l="1"/>
  <c r="C52" i="2" s="1"/>
  <c r="F52" i="2" s="1"/>
  <c r="B53" i="2" s="1"/>
  <c r="D53" i="2" l="1"/>
  <c r="C53" i="2" s="1"/>
  <c r="F53" i="2" s="1"/>
  <c r="B54" i="2" s="1"/>
  <c r="D54" i="2" l="1"/>
  <c r="C54" i="2" s="1"/>
  <c r="F54" i="2" s="1"/>
  <c r="B55" i="2" s="1"/>
  <c r="D55" i="2" l="1"/>
  <c r="C55" i="2" l="1"/>
  <c r="D56" i="2"/>
  <c r="G28" i="1" s="1"/>
  <c r="G15" i="6" l="1"/>
  <c r="C56" i="2"/>
  <c r="F55" i="2"/>
  <c r="G58" i="1" s="1"/>
  <c r="G72" i="1" l="1"/>
  <c r="G74" i="1" s="1"/>
  <c r="G75" i="1" s="1"/>
  <c r="G76" i="1" s="1"/>
  <c r="G99" i="1" s="1"/>
  <c r="G40" i="6"/>
  <c r="B58" i="2"/>
  <c r="G9" i="6"/>
  <c r="G31" i="1"/>
  <c r="G18" i="6" s="1"/>
  <c r="G32" i="1" l="1"/>
  <c r="G33" i="1" s="1"/>
  <c r="G62" i="1" s="1"/>
  <c r="D58" i="2"/>
  <c r="G20" i="6" l="1"/>
  <c r="G19" i="6"/>
  <c r="G55" i="1"/>
  <c r="G38" i="6" s="1"/>
  <c r="C58" i="2"/>
  <c r="G45" i="6"/>
  <c r="G64" i="1" l="1"/>
  <c r="G47" i="6" s="1"/>
  <c r="F58" i="2"/>
  <c r="B59" i="2" s="1"/>
  <c r="G66" i="1" l="1"/>
  <c r="D59" i="2"/>
  <c r="C59" i="2" l="1"/>
  <c r="F59" i="2" l="1"/>
  <c r="B60" i="2" s="1"/>
  <c r="D60" i="2" l="1"/>
  <c r="C60" i="2" l="1"/>
  <c r="F60" i="2" l="1"/>
  <c r="B61" i="2" s="1"/>
  <c r="D61" i="2" l="1"/>
  <c r="C61" i="2" l="1"/>
  <c r="F61" i="2" l="1"/>
  <c r="B62" i="2" s="1"/>
  <c r="D62" i="2" l="1"/>
  <c r="C62" i="2" l="1"/>
  <c r="F62" i="2" l="1"/>
  <c r="B63" i="2" s="1"/>
  <c r="D63" i="2" s="1"/>
  <c r="C63" i="2" s="1"/>
  <c r="F63" i="2" s="1"/>
  <c r="B64" i="2" s="1"/>
  <c r="D64" i="2" s="1"/>
  <c r="C64" i="2" s="1"/>
  <c r="F64" i="2" s="1"/>
  <c r="B65" i="2" s="1"/>
  <c r="D65" i="2" s="1"/>
  <c r="C65" i="2" s="1"/>
  <c r="F65" i="2" s="1"/>
  <c r="B66" i="2" s="1"/>
  <c r="D66" i="2" s="1"/>
  <c r="C66" i="2" s="1"/>
  <c r="F66" i="2" s="1"/>
  <c r="B67" i="2" s="1"/>
  <c r="D67" i="2" s="1"/>
  <c r="C67" i="2" s="1"/>
  <c r="F67" i="2" s="1"/>
  <c r="B68" i="2" s="1"/>
  <c r="D68" i="2" s="1"/>
  <c r="C68" i="2" s="1"/>
  <c r="F68" i="2" s="1"/>
  <c r="B69" i="2" s="1"/>
  <c r="D69" i="2" l="1"/>
  <c r="C69" i="2" l="1"/>
  <c r="D70" i="2"/>
  <c r="H28" i="1" s="1"/>
  <c r="C70" i="2" l="1"/>
  <c r="H72" i="1" s="1"/>
  <c r="F69" i="2"/>
  <c r="B72" i="2" l="1"/>
  <c r="H58" i="1"/>
  <c r="H31" i="1"/>
  <c r="H32" i="1" s="1"/>
  <c r="H55" i="1" s="1"/>
  <c r="H74" i="1"/>
  <c r="H75" i="1" s="1"/>
  <c r="H76" i="1" s="1"/>
  <c r="H99" i="1" s="1"/>
  <c r="D72" i="2"/>
  <c r="H33" i="1" l="1"/>
  <c r="H62" i="1" s="1"/>
  <c r="H64" i="1" s="1"/>
  <c r="H66" i="1" s="1"/>
  <c r="C72" i="2"/>
  <c r="F72" i="2" l="1"/>
  <c r="B73" i="2" s="1"/>
  <c r="D73" i="2" l="1"/>
  <c r="C73" i="2" l="1"/>
  <c r="F73" i="2" l="1"/>
  <c r="B74" i="2" s="1"/>
  <c r="D74" i="2" l="1"/>
  <c r="C74" i="2" l="1"/>
  <c r="F74" i="2" l="1"/>
  <c r="B75" i="2" s="1"/>
  <c r="D75" i="2" l="1"/>
  <c r="C75" i="2" l="1"/>
  <c r="F75" i="2" l="1"/>
  <c r="B76" i="2" s="1"/>
  <c r="D76" i="2" l="1"/>
  <c r="C76" i="2" l="1"/>
  <c r="F76" i="2" l="1"/>
  <c r="B77" i="2" s="1"/>
  <c r="D77" i="2" s="1"/>
  <c r="C77" i="2" s="1"/>
  <c r="F77" i="2" s="1"/>
  <c r="B78" i="2" s="1"/>
  <c r="D78" i="2" s="1"/>
  <c r="C78" i="2" s="1"/>
  <c r="F78" i="2" s="1"/>
  <c r="B79" i="2" s="1"/>
  <c r="D79" i="2" s="1"/>
  <c r="C79" i="2" s="1"/>
  <c r="F79" i="2" s="1"/>
  <c r="B80" i="2" s="1"/>
  <c r="D80" i="2" s="1"/>
  <c r="C80" i="2" s="1"/>
  <c r="F80" i="2" s="1"/>
  <c r="B81" i="2" s="1"/>
  <c r="D81" i="2" s="1"/>
  <c r="C81" i="2" s="1"/>
  <c r="F81" i="2" s="1"/>
  <c r="B82" i="2" s="1"/>
  <c r="D82" i="2" s="1"/>
  <c r="C82" i="2" s="1"/>
  <c r="F82" i="2" s="1"/>
  <c r="B83" i="2" s="1"/>
  <c r="D83" i="2" l="1"/>
  <c r="C83" i="2" l="1"/>
  <c r="D84" i="2"/>
  <c r="I28" i="1" s="1"/>
  <c r="C84" i="2" l="1"/>
  <c r="I72" i="1" s="1"/>
  <c r="F83" i="2"/>
  <c r="B86" i="2" l="1"/>
  <c r="I58" i="1"/>
  <c r="I31" i="1"/>
  <c r="I32" i="1" s="1"/>
  <c r="I55" i="1" s="1"/>
  <c r="I74" i="1"/>
  <c r="I75" i="1" s="1"/>
  <c r="I76" i="1" s="1"/>
  <c r="I99" i="1" s="1"/>
  <c r="D86" i="2"/>
  <c r="I33" i="1" l="1"/>
  <c r="I62" i="1" s="1"/>
  <c r="I64" i="1" s="1"/>
  <c r="I66" i="1" s="1"/>
  <c r="C86" i="2"/>
  <c r="F86" i="2" l="1"/>
  <c r="B87" i="2" s="1"/>
  <c r="D87" i="2" l="1"/>
  <c r="C87" i="2" l="1"/>
  <c r="F87" i="2" l="1"/>
  <c r="B88" i="2" s="1"/>
  <c r="D88" i="2" l="1"/>
  <c r="C88" i="2" l="1"/>
  <c r="F88" i="2" l="1"/>
  <c r="B89" i="2" s="1"/>
  <c r="D89" i="2" l="1"/>
  <c r="C89" i="2" l="1"/>
  <c r="F89" i="2" l="1"/>
  <c r="B90" i="2" s="1"/>
  <c r="D90" i="2" l="1"/>
  <c r="C90" i="2" l="1"/>
  <c r="F90" i="2" l="1"/>
  <c r="B91" i="2" s="1"/>
  <c r="D91" i="2" s="1"/>
  <c r="C91" i="2" s="1"/>
  <c r="F91" i="2" s="1"/>
  <c r="B92" i="2" s="1"/>
  <c r="D92" i="2" l="1"/>
  <c r="C92" i="2" s="1"/>
  <c r="F92" i="2" s="1"/>
  <c r="B93" i="2" s="1"/>
  <c r="D93" i="2" s="1"/>
  <c r="C93" i="2" s="1"/>
  <c r="F93" i="2" s="1"/>
  <c r="B94" i="2" s="1"/>
  <c r="D94" i="2" s="1"/>
  <c r="C94" i="2" s="1"/>
  <c r="F94" i="2" s="1"/>
  <c r="B95" i="2" s="1"/>
  <c r="D95" i="2" s="1"/>
  <c r="C95" i="2" s="1"/>
  <c r="F95" i="2" s="1"/>
  <c r="B96" i="2" s="1"/>
  <c r="D96" i="2" s="1"/>
  <c r="C96" i="2" s="1"/>
  <c r="F96" i="2" s="1"/>
  <c r="B97" i="2" s="1"/>
  <c r="D97" i="2" l="1"/>
  <c r="C97" i="2" l="1"/>
  <c r="D98" i="2"/>
  <c r="J28" i="1" s="1"/>
  <c r="C98" i="2" l="1"/>
  <c r="J72" i="1" s="1"/>
  <c r="F97" i="2"/>
  <c r="B100" i="2" l="1"/>
  <c r="J58" i="1"/>
  <c r="J31" i="1"/>
  <c r="J32" i="1" s="1"/>
  <c r="J55" i="1" s="1"/>
  <c r="J74" i="1"/>
  <c r="J75" i="1" s="1"/>
  <c r="J76" i="1" s="1"/>
  <c r="J99" i="1" s="1"/>
  <c r="D100" i="2"/>
  <c r="J33" i="1" l="1"/>
  <c r="J62" i="1" s="1"/>
  <c r="J64" i="1" s="1"/>
  <c r="J66" i="1" s="1"/>
  <c r="C100" i="2"/>
  <c r="F100" i="2" l="1"/>
  <c r="B101" i="2" s="1"/>
  <c r="D101" i="2" l="1"/>
  <c r="C101" i="2" l="1"/>
  <c r="F101" i="2" l="1"/>
  <c r="B102" i="2" s="1"/>
  <c r="D102" i="2" l="1"/>
  <c r="C102" i="2" l="1"/>
  <c r="F102" i="2" l="1"/>
  <c r="B103" i="2" s="1"/>
  <c r="D103" i="2" l="1"/>
  <c r="C103" i="2" l="1"/>
  <c r="F103" i="2" l="1"/>
  <c r="B104" i="2" s="1"/>
  <c r="D104" i="2" l="1"/>
  <c r="C104" i="2" l="1"/>
  <c r="F104" i="2" l="1"/>
  <c r="B105" i="2" s="1"/>
  <c r="D105" i="2" s="1"/>
  <c r="C105" i="2" s="1"/>
  <c r="F105" i="2" s="1"/>
  <c r="B106" i="2" s="1"/>
  <c r="D106" i="2" s="1"/>
  <c r="C106" i="2" s="1"/>
  <c r="F106" i="2" s="1"/>
  <c r="B107" i="2" s="1"/>
  <c r="D107" i="2" s="1"/>
  <c r="C107" i="2" s="1"/>
  <c r="F107" i="2" s="1"/>
  <c r="B108" i="2" s="1"/>
  <c r="D108" i="2" s="1"/>
  <c r="C108" i="2" s="1"/>
  <c r="F108" i="2" s="1"/>
  <c r="B109" i="2" s="1"/>
  <c r="D109" i="2" s="1"/>
  <c r="C109" i="2" s="1"/>
  <c r="F109" i="2" s="1"/>
  <c r="B110" i="2" s="1"/>
  <c r="D110" i="2" s="1"/>
  <c r="C110" i="2" s="1"/>
  <c r="F110" i="2" s="1"/>
  <c r="B111" i="2" s="1"/>
  <c r="D111" i="2" l="1"/>
  <c r="C111" i="2" l="1"/>
  <c r="D112" i="2"/>
  <c r="K28" i="1" s="1"/>
  <c r="C112" i="2" l="1"/>
  <c r="K72" i="1" s="1"/>
  <c r="F111" i="2"/>
  <c r="B114" i="2" l="1"/>
  <c r="K58" i="1"/>
  <c r="K31" i="1"/>
  <c r="K32" i="1" s="1"/>
  <c r="K55" i="1" s="1"/>
  <c r="K74" i="1"/>
  <c r="K75" i="1" s="1"/>
  <c r="K76" i="1" s="1"/>
  <c r="K99" i="1" s="1"/>
  <c r="D114" i="2"/>
  <c r="K33" i="1" l="1"/>
  <c r="K62" i="1" s="1"/>
  <c r="K64" i="1" s="1"/>
  <c r="K66" i="1" s="1"/>
  <c r="C114" i="2"/>
  <c r="F114" i="2" l="1"/>
  <c r="B115" i="2" s="1"/>
  <c r="D115" i="2" l="1"/>
  <c r="C115" i="2" l="1"/>
  <c r="F115" i="2" l="1"/>
  <c r="B116" i="2" s="1"/>
  <c r="D116" i="2" l="1"/>
  <c r="C116" i="2" l="1"/>
  <c r="F116" i="2" l="1"/>
  <c r="B117" i="2" s="1"/>
  <c r="D117" i="2" l="1"/>
  <c r="C117" i="2" l="1"/>
  <c r="F117" i="2" l="1"/>
  <c r="B118" i="2" s="1"/>
  <c r="D118" i="2" l="1"/>
  <c r="C118" i="2" l="1"/>
  <c r="F118" i="2" l="1"/>
  <c r="B119" i="2" s="1"/>
  <c r="D119" i="2" s="1"/>
  <c r="C119" i="2" s="1"/>
  <c r="F119" i="2" s="1"/>
  <c r="B120" i="2" s="1"/>
  <c r="D120" i="2" s="1"/>
  <c r="C120" i="2" s="1"/>
  <c r="F120" i="2" s="1"/>
  <c r="B121" i="2" s="1"/>
  <c r="D121" i="2" s="1"/>
  <c r="C121" i="2" s="1"/>
  <c r="F121" i="2" s="1"/>
  <c r="B122" i="2" s="1"/>
  <c r="D122" i="2" s="1"/>
  <c r="C122" i="2" s="1"/>
  <c r="F122" i="2" s="1"/>
  <c r="B123" i="2" s="1"/>
  <c r="D123" i="2" s="1"/>
  <c r="C123" i="2" s="1"/>
  <c r="F123" i="2" s="1"/>
  <c r="B124" i="2" s="1"/>
  <c r="D124" i="2" s="1"/>
  <c r="C124" i="2" s="1"/>
  <c r="F124" i="2" s="1"/>
  <c r="B125" i="2" s="1"/>
  <c r="D125" i="2" l="1"/>
  <c r="C125" i="2" l="1"/>
  <c r="D126" i="2"/>
  <c r="L28" i="1" s="1"/>
  <c r="C126" i="2" l="1"/>
  <c r="L72" i="1" s="1"/>
  <c r="F125" i="2"/>
  <c r="B128" i="2" l="1"/>
  <c r="L58" i="1"/>
  <c r="L31" i="1"/>
  <c r="L32" i="1" s="1"/>
  <c r="L55" i="1" s="1"/>
  <c r="L74" i="1"/>
  <c r="L75" i="1" s="1"/>
  <c r="L76" i="1" s="1"/>
  <c r="L99" i="1" s="1"/>
  <c r="D128" i="2"/>
  <c r="L33" i="1" l="1"/>
  <c r="L62" i="1" s="1"/>
  <c r="L64" i="1" s="1"/>
  <c r="L66" i="1" s="1"/>
  <c r="C128" i="2"/>
  <c r="F128" i="2" l="1"/>
  <c r="B129" i="2" s="1"/>
  <c r="D129" i="2" l="1"/>
  <c r="C129" i="2" l="1"/>
  <c r="F129" i="2" l="1"/>
  <c r="B130" i="2" s="1"/>
  <c r="D130" i="2" l="1"/>
  <c r="C130" i="2" l="1"/>
  <c r="F130" i="2" l="1"/>
  <c r="B131" i="2" s="1"/>
  <c r="D131" i="2" l="1"/>
  <c r="C131" i="2" l="1"/>
  <c r="F131" i="2" l="1"/>
  <c r="B132" i="2" s="1"/>
  <c r="D132" i="2" l="1"/>
  <c r="C132" i="2" l="1"/>
  <c r="F132" i="2" l="1"/>
  <c r="B133" i="2" s="1"/>
  <c r="D133" i="2" s="1"/>
  <c r="C133" i="2" s="1"/>
  <c r="F133" i="2" s="1"/>
  <c r="B134" i="2" s="1"/>
  <c r="D134" i="2" s="1"/>
  <c r="C134" i="2" s="1"/>
  <c r="F134" i="2" s="1"/>
  <c r="B135" i="2" s="1"/>
  <c r="D135" i="2" s="1"/>
  <c r="C135" i="2" s="1"/>
  <c r="F135" i="2" s="1"/>
  <c r="B136" i="2" s="1"/>
  <c r="D136" i="2" s="1"/>
  <c r="C136" i="2" s="1"/>
  <c r="F136" i="2" s="1"/>
  <c r="B137" i="2" s="1"/>
  <c r="D137" i="2" s="1"/>
  <c r="C137" i="2" s="1"/>
  <c r="F137" i="2" s="1"/>
  <c r="B138" i="2" s="1"/>
  <c r="D138" i="2" s="1"/>
  <c r="C138" i="2" s="1"/>
  <c r="F138" i="2" s="1"/>
  <c r="B139" i="2" s="1"/>
  <c r="D139" i="2" l="1"/>
  <c r="C139" i="2" l="1"/>
  <c r="D140" i="2"/>
  <c r="M28" i="1" s="1"/>
  <c r="C140" i="2" l="1"/>
  <c r="M72" i="1" s="1"/>
  <c r="F139" i="2"/>
  <c r="B142" i="2" l="1"/>
  <c r="M58" i="1"/>
  <c r="O57" i="1" s="1"/>
  <c r="M31" i="1"/>
  <c r="M32" i="1" s="1"/>
  <c r="M55" i="1" s="1"/>
  <c r="M74" i="1"/>
  <c r="M75" i="1" s="1"/>
  <c r="M76" i="1" s="1"/>
  <c r="M99" i="1" s="1"/>
  <c r="C100" i="1" s="1"/>
  <c r="D142" i="2"/>
  <c r="M33" i="1" l="1"/>
  <c r="M62" i="1" s="1"/>
  <c r="C142" i="2"/>
  <c r="M64" i="1" l="1"/>
  <c r="M66" i="1" s="1"/>
  <c r="O60" i="1"/>
  <c r="F142" i="2"/>
  <c r="B143" i="2" s="1"/>
  <c r="O62" i="1" l="1"/>
  <c r="D143" i="2"/>
  <c r="P56" i="1" l="1"/>
  <c r="P57" i="1"/>
  <c r="S57" i="1" s="1"/>
  <c r="P59" i="1"/>
  <c r="S59" i="1" s="1"/>
  <c r="C143" i="2"/>
  <c r="S56" i="1" l="1"/>
  <c r="S62" i="1" s="1"/>
  <c r="P62" i="1"/>
  <c r="V50" i="1"/>
  <c r="V51" i="1" s="1"/>
  <c r="Y50" i="1" s="1"/>
  <c r="Y53" i="1" s="1"/>
  <c r="V59" i="1" s="1"/>
  <c r="W59" i="1" s="1"/>
  <c r="X59" i="1" s="1"/>
  <c r="X62" i="1" s="1"/>
  <c r="C102" i="1" s="1"/>
  <c r="F143" i="2"/>
  <c r="B144" i="2" s="1"/>
  <c r="D144" i="2" l="1"/>
  <c r="C144" i="2" l="1"/>
  <c r="F144" i="2" l="1"/>
  <c r="B145" i="2" s="1"/>
  <c r="D145" i="2" l="1"/>
  <c r="C145" i="2" l="1"/>
  <c r="F145" i="2" l="1"/>
  <c r="B146" i="2" s="1"/>
  <c r="D146" i="2" l="1"/>
  <c r="C146" i="2" l="1"/>
  <c r="F146" i="2" l="1"/>
  <c r="B147" i="2" s="1"/>
  <c r="D147" i="2" s="1"/>
  <c r="C147" i="2" s="1"/>
  <c r="F147" i="2" s="1"/>
  <c r="B148" i="2" s="1"/>
  <c r="D148" i="2" s="1"/>
  <c r="C148" i="2" s="1"/>
  <c r="F148" i="2" s="1"/>
  <c r="B149" i="2" s="1"/>
  <c r="D149" i="2" s="1"/>
  <c r="C149" i="2" s="1"/>
  <c r="F149" i="2" s="1"/>
  <c r="B150" i="2" s="1"/>
  <c r="D150" i="2" s="1"/>
  <c r="C150" i="2" s="1"/>
  <c r="F150" i="2" s="1"/>
  <c r="B151" i="2" s="1"/>
  <c r="D151" i="2" s="1"/>
  <c r="C151" i="2" s="1"/>
  <c r="F151" i="2" s="1"/>
  <c r="B152" i="2" s="1"/>
  <c r="D152" i="2" s="1"/>
  <c r="C152" i="2" s="1"/>
  <c r="F152" i="2" s="1"/>
  <c r="B153" i="2" s="1"/>
  <c r="D153" i="2" l="1"/>
  <c r="C153" i="2" l="1"/>
  <c r="D154" i="2"/>
  <c r="C154" i="2" l="1"/>
  <c r="F153" i="2"/>
  <c r="B156" i="2" s="1"/>
  <c r="D156" i="2" l="1"/>
  <c r="C156" i="2" l="1"/>
  <c r="F156" i="2" l="1"/>
  <c r="B157" i="2" s="1"/>
  <c r="D157" i="2" l="1"/>
  <c r="C157" i="2" l="1"/>
  <c r="F157" i="2" l="1"/>
  <c r="B158" i="2" s="1"/>
  <c r="D158" i="2" l="1"/>
  <c r="C158" i="2" l="1"/>
  <c r="F158" i="2" l="1"/>
  <c r="B159" i="2" s="1"/>
  <c r="D159" i="2" l="1"/>
  <c r="C159" i="2" l="1"/>
  <c r="F159" i="2" l="1"/>
  <c r="B160" i="2" s="1"/>
  <c r="D160" i="2" l="1"/>
  <c r="C160" i="2" l="1"/>
  <c r="F160" i="2" l="1"/>
  <c r="B161" i="2" s="1"/>
  <c r="D161" i="2" s="1"/>
  <c r="C161" i="2" s="1"/>
  <c r="F161" i="2" s="1"/>
  <c r="B162" i="2" s="1"/>
  <c r="D162" i="2" s="1"/>
  <c r="C162" i="2" s="1"/>
  <c r="F162" i="2" s="1"/>
  <c r="B163" i="2" s="1"/>
  <c r="D163" i="2" s="1"/>
  <c r="C163" i="2" s="1"/>
  <c r="F163" i="2" s="1"/>
  <c r="B164" i="2" s="1"/>
  <c r="D164" i="2" s="1"/>
  <c r="C164" i="2" s="1"/>
  <c r="F164" i="2" s="1"/>
  <c r="B165" i="2" s="1"/>
  <c r="D165" i="2" s="1"/>
  <c r="C165" i="2" s="1"/>
  <c r="F165" i="2" s="1"/>
  <c r="B166" i="2" s="1"/>
  <c r="D166" i="2" s="1"/>
  <c r="C166" i="2" s="1"/>
  <c r="F166" i="2" s="1"/>
  <c r="B167" i="2" s="1"/>
  <c r="D167" i="2" l="1"/>
  <c r="C167" i="2" l="1"/>
  <c r="D168" i="2"/>
  <c r="C168" i="2" l="1"/>
  <c r="F167" i="2"/>
  <c r="B170" i="2" s="1"/>
  <c r="D170" i="2" l="1"/>
  <c r="C170" i="2" l="1"/>
  <c r="F170" i="2" l="1"/>
  <c r="B171" i="2" s="1"/>
  <c r="D171" i="2" l="1"/>
  <c r="C171" i="2" l="1"/>
  <c r="F171" i="2" l="1"/>
  <c r="B172" i="2" s="1"/>
  <c r="D172" i="2" l="1"/>
  <c r="C172" i="2" l="1"/>
  <c r="F172" i="2" l="1"/>
  <c r="B173" i="2" s="1"/>
  <c r="D173" i="2" l="1"/>
  <c r="C173" i="2" l="1"/>
  <c r="F173" i="2" l="1"/>
  <c r="B174" i="2" s="1"/>
  <c r="D174" i="2" l="1"/>
  <c r="C174" i="2" l="1"/>
  <c r="F174" i="2" l="1"/>
  <c r="B175" i="2" s="1"/>
  <c r="D175" i="2" l="1"/>
  <c r="C175" i="2" s="1"/>
  <c r="F175" i="2"/>
  <c r="B176" i="2" s="1"/>
  <c r="D176" i="2" s="1"/>
  <c r="C176" i="2" s="1"/>
  <c r="F176" i="2" s="1"/>
  <c r="B177" i="2" s="1"/>
  <c r="D177" i="2" s="1"/>
  <c r="C177" i="2" s="1"/>
  <c r="F177" i="2" s="1"/>
  <c r="B178" i="2" s="1"/>
  <c r="D178" i="2" s="1"/>
  <c r="C178" i="2" s="1"/>
  <c r="F178" i="2" s="1"/>
  <c r="B179" i="2" s="1"/>
  <c r="D179" i="2" s="1"/>
  <c r="C179" i="2" s="1"/>
  <c r="F179" i="2" s="1"/>
  <c r="B180" i="2" s="1"/>
  <c r="D180" i="2" s="1"/>
  <c r="C180" i="2" s="1"/>
  <c r="F180" i="2" s="1"/>
  <c r="B181" i="2" s="1"/>
  <c r="D181" i="2" l="1"/>
  <c r="C181" i="2" l="1"/>
  <c r="D182" i="2"/>
  <c r="C182" i="2" l="1"/>
  <c r="F181" i="2"/>
</calcChain>
</file>

<file path=xl/sharedStrings.xml><?xml version="1.0" encoding="utf-8"?>
<sst xmlns="http://schemas.openxmlformats.org/spreadsheetml/2006/main" count="445" uniqueCount="188">
  <si>
    <t>FORECAST</t>
  </si>
  <si>
    <t>SALES UNIT FORECASTS</t>
  </si>
  <si>
    <t>Forecasted Store Sales (units)</t>
  </si>
  <si>
    <t>Yearly % change</t>
  </si>
  <si>
    <t>Average Store Sales Price</t>
  </si>
  <si>
    <t>RATIOS USED IN FORECAST</t>
  </si>
  <si>
    <t>Average Payables Period - COGS</t>
  </si>
  <si>
    <t>INCOME STATEMENT</t>
  </si>
  <si>
    <t>Sales Revenue - Stores</t>
  </si>
  <si>
    <t>Price is this times COGS</t>
  </si>
  <si>
    <t>Sales Revenue - Internet</t>
  </si>
  <si>
    <t>Cost of Goods Sold</t>
  </si>
  <si>
    <t>Operating Expenses</t>
  </si>
  <si>
    <t>Marketing</t>
  </si>
  <si>
    <t>General and Administrative</t>
  </si>
  <si>
    <t>Store Building Maintenance Exp</t>
  </si>
  <si>
    <t>Year Depreciation</t>
  </si>
  <si>
    <t>BALANCE SHEET</t>
  </si>
  <si>
    <t>Assets</t>
  </si>
  <si>
    <t>Accounts Receivable</t>
  </si>
  <si>
    <t>Inventory</t>
  </si>
  <si>
    <t>Buildings</t>
  </si>
  <si>
    <t>Less:  Accumulated Depreciation</t>
  </si>
  <si>
    <t>Liabilities and Equity</t>
  </si>
  <si>
    <t>Income Tax Payable</t>
  </si>
  <si>
    <t>Retained Earnings</t>
  </si>
  <si>
    <t>Beg Balance</t>
  </si>
  <si>
    <t>Principal</t>
  </si>
  <si>
    <t xml:space="preserve">Interest </t>
  </si>
  <si>
    <t>Payment</t>
  </si>
  <si>
    <t>End Balance</t>
  </si>
  <si>
    <t>Rate</t>
  </si>
  <si>
    <t>January 2012</t>
  </si>
  <si>
    <t>Per Rate</t>
  </si>
  <si>
    <t>February 2012</t>
  </si>
  <si>
    <t>FV</t>
  </si>
  <si>
    <t>March 2012</t>
  </si>
  <si>
    <t>Per</t>
  </si>
  <si>
    <t>April 2012</t>
  </si>
  <si>
    <t>Type</t>
  </si>
  <si>
    <t>May 2012</t>
  </si>
  <si>
    <t>PV</t>
  </si>
  <si>
    <t>June 2012</t>
  </si>
  <si>
    <t>July 2012</t>
  </si>
  <si>
    <t>August 2012</t>
  </si>
  <si>
    <t>September 2012</t>
  </si>
  <si>
    <t>October 2012</t>
  </si>
  <si>
    <t>November 2012</t>
  </si>
  <si>
    <t>December 2012</t>
  </si>
  <si>
    <t>TOTALS</t>
  </si>
  <si>
    <t>January 2013</t>
  </si>
  <si>
    <t>February 2013</t>
  </si>
  <si>
    <t>March 2013</t>
  </si>
  <si>
    <t>April 2013</t>
  </si>
  <si>
    <t>May 2013</t>
  </si>
  <si>
    <t>June 2013</t>
  </si>
  <si>
    <t>July 2013</t>
  </si>
  <si>
    <t>August 2013</t>
  </si>
  <si>
    <t>September 2013</t>
  </si>
  <si>
    <t>October 2013</t>
  </si>
  <si>
    <t>November 2013</t>
  </si>
  <si>
    <t>December 2013</t>
  </si>
  <si>
    <t>January 2014</t>
  </si>
  <si>
    <t>February 2014</t>
  </si>
  <si>
    <t>March 2014</t>
  </si>
  <si>
    <t>April 2014</t>
  </si>
  <si>
    <t>May 2014</t>
  </si>
  <si>
    <t>June 2014</t>
  </si>
  <si>
    <t>July 2014</t>
  </si>
  <si>
    <t>August 2014</t>
  </si>
  <si>
    <t>September 2014</t>
  </si>
  <si>
    <t>October 2014</t>
  </si>
  <si>
    <t>November 2014</t>
  </si>
  <si>
    <t>December 2014</t>
  </si>
  <si>
    <t>January 2015</t>
  </si>
  <si>
    <t>February 2015</t>
  </si>
  <si>
    <t>March 2015</t>
  </si>
  <si>
    <t>April 2015</t>
  </si>
  <si>
    <t>May 2015</t>
  </si>
  <si>
    <t>June 2015</t>
  </si>
  <si>
    <t>July 2015</t>
  </si>
  <si>
    <t>August 2015</t>
  </si>
  <si>
    <t>September 2015</t>
  </si>
  <si>
    <t>October 2015</t>
  </si>
  <si>
    <t>November 2015</t>
  </si>
  <si>
    <t>December 2015</t>
  </si>
  <si>
    <t>As per facts given</t>
  </si>
  <si>
    <t>Inventory Days - All Sales</t>
  </si>
  <si>
    <t>Liaiblities</t>
  </si>
  <si>
    <t>Equity</t>
  </si>
  <si>
    <t>Common Stock</t>
  </si>
  <si>
    <t>interest rate</t>
  </si>
  <si>
    <t>Taxable Income</t>
  </si>
  <si>
    <t>Income Tax Expense</t>
  </si>
  <si>
    <t>Net Income</t>
  </si>
  <si>
    <t>Accounts Payable</t>
  </si>
  <si>
    <t>Minimum Cash Inventory</t>
  </si>
  <si>
    <t>Cash Above Minimum</t>
  </si>
  <si>
    <t>DFN</t>
  </si>
  <si>
    <t>Depreciation Expense</t>
  </si>
  <si>
    <t>Mortgage Loan Interest Expense</t>
  </si>
  <si>
    <t>Extra Bank Loan Interest Expense</t>
  </si>
  <si>
    <t>Land</t>
  </si>
  <si>
    <t>Extra Bank Loan</t>
  </si>
  <si>
    <t>Mortgage Loan</t>
  </si>
  <si>
    <t>Total Liabilities and Equity</t>
  </si>
  <si>
    <t>Total Assets</t>
  </si>
  <si>
    <t>Year 1</t>
  </si>
  <si>
    <t>Year 2</t>
  </si>
  <si>
    <t>Year 3</t>
  </si>
  <si>
    <t>Year 4</t>
  </si>
  <si>
    <t>Year 5</t>
  </si>
  <si>
    <t>Year 6</t>
  </si>
  <si>
    <t>Year 7</t>
  </si>
  <si>
    <t>Year 8</t>
  </si>
  <si>
    <t>Year 9</t>
  </si>
  <si>
    <t>Year 10</t>
  </si>
  <si>
    <t>Average Collection Period - Consignment Sales</t>
  </si>
  <si>
    <t>Charity</t>
  </si>
  <si>
    <t>FF&amp;E</t>
  </si>
  <si>
    <t>of sales</t>
  </si>
  <si>
    <t>Pieces</t>
  </si>
  <si>
    <t>Sales Revenue - Consignment</t>
  </si>
  <si>
    <t>Consignment Sales (units)</t>
  </si>
  <si>
    <t>Fee Revenue</t>
  </si>
  <si>
    <t>Inventory - store</t>
  </si>
  <si>
    <t>Mortgage loan interest</t>
  </si>
  <si>
    <t>Mortgage Principal</t>
  </si>
  <si>
    <t>Building</t>
  </si>
  <si>
    <t>Building Depreciation Exense</t>
  </si>
  <si>
    <t>years</t>
  </si>
  <si>
    <t>Free Cash Flows</t>
  </si>
  <si>
    <t>Cash from Operations</t>
  </si>
  <si>
    <t>Operating profit</t>
  </si>
  <si>
    <t>Less: Depreciation</t>
  </si>
  <si>
    <t>Taxable operating profit</t>
  </si>
  <si>
    <t>Taxes on operations</t>
  </si>
  <si>
    <t>Total Cash From Operations</t>
  </si>
  <si>
    <t>Changes in Operations Accounts</t>
  </si>
  <si>
    <t>Fixed Assets</t>
  </si>
  <si>
    <t>increase at sale</t>
  </si>
  <si>
    <t>Adjustment</t>
  </si>
  <si>
    <t>Book</t>
  </si>
  <si>
    <t>Taxes</t>
  </si>
  <si>
    <t>Gain</t>
  </si>
  <si>
    <t>FF &amp; E</t>
  </si>
  <si>
    <t>Working Capital Assets</t>
  </si>
  <si>
    <t>(-)</t>
  </si>
  <si>
    <t>(+)</t>
  </si>
  <si>
    <t>Total Free Cash Flows</t>
  </si>
  <si>
    <t>IRR</t>
  </si>
  <si>
    <t>WACC</t>
  </si>
  <si>
    <t>NPV</t>
  </si>
  <si>
    <t>CAPM</t>
  </si>
  <si>
    <t>BETAS</t>
  </si>
  <si>
    <t>Eq Beta</t>
  </si>
  <si>
    <t>Unlevered</t>
  </si>
  <si>
    <t>Beta</t>
  </si>
  <si>
    <t>Tbill</t>
  </si>
  <si>
    <t>Releved</t>
  </si>
  <si>
    <t>S&amp;P</t>
  </si>
  <si>
    <t>Return</t>
  </si>
  <si>
    <t>ACTUAL</t>
  </si>
  <si>
    <t>NEW</t>
  </si>
  <si>
    <t>Ave</t>
  </si>
  <si>
    <t>Prop</t>
  </si>
  <si>
    <t>After tax</t>
  </si>
  <si>
    <t>Weighted</t>
  </si>
  <si>
    <t>Goodwill</t>
  </si>
  <si>
    <t>standard for 2 employees to move furn.</t>
  </si>
  <si>
    <t>Pieces Furniture Store</t>
  </si>
  <si>
    <t>% of sale</t>
  </si>
  <si>
    <t>Secured</t>
  </si>
  <si>
    <t>secured</t>
  </si>
  <si>
    <t>unsecured</t>
  </si>
  <si>
    <t>Prinicipal payments</t>
  </si>
  <si>
    <t>Interest payments</t>
  </si>
  <si>
    <t>Total</t>
  </si>
  <si>
    <t>Prinicpal payments</t>
  </si>
  <si>
    <t xml:space="preserve">total </t>
  </si>
  <si>
    <t xml:space="preserve">extra </t>
  </si>
  <si>
    <t>admin</t>
  </si>
  <si>
    <t>Rem. Debt</t>
  </si>
  <si>
    <t>prop</t>
  </si>
  <si>
    <t>debt paid</t>
  </si>
  <si>
    <t>on the Dollah</t>
  </si>
  <si>
    <t>Mortgage</t>
  </si>
  <si>
    <t>Extra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</si>
</sst>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6" formatCode="&quot;$&quot;#,##0_);[Red]\(&quot;$&quot;#,##0\)"/>
    <numFmt numFmtId="164" formatCode="_(* #,##0.00_);_(* \(#,##0.00\);_(* \-??_);_(@_)"/>
    <numFmt numFmtId="165" formatCode="_(* #,##0_);_(* \(#,##0\);_(* \-??_);_(@_)"/>
    <numFmt numFmtId="166" formatCode="_(\$* #,##0.00_);_(\$* \(#,##0.00\);_(\$* \-??_);_(@_)"/>
    <numFmt numFmtId="167" formatCode="_(* #,##0.000000_);_(* \(#,##0.000000\);_(* \-??_);_(@_)"/>
    <numFmt numFmtId="168" formatCode="_(\$* #,##0_);_(\$* \(#,##0\);_(\$* \-??_);_(@_)"/>
    <numFmt numFmtId="169" formatCode="0.0"/>
    <numFmt numFmtId="170" formatCode="[$$-409]#,##0.00;[Red]\-[$$-409]#,##0.00"/>
    <numFmt numFmtId="171" formatCode="_(* #,##0_);_(* \(#,##0\);_(* &quot;-&quot;??_);_(@_)"/>
    <numFmt numFmtId="172" formatCode="0.0%"/>
    <numFmt numFmtId="173" formatCode="0.000%"/>
  </numFmts>
  <fonts count="6" x14ac:knownFonts="1">
    <font>
      <sz val="10"/>
      <name val="Arial"/>
      <family val="2"/>
    </font>
    <font>
      <sz val="11"/>
      <color indexed="8"/>
      <name val="Calibri"/>
      <family val="2"/>
      <charset val="1"/>
    </font>
    <font>
      <b/>
      <sz val="11"/>
      <color indexed="8"/>
      <name val="Calibri"/>
      <family val="2"/>
      <charset val="1"/>
    </font>
    <font>
      <b/>
      <sz val="10"/>
      <name val="Arial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164" fontId="1" fillId="0" borderId="0"/>
    <xf numFmtId="166" fontId="1" fillId="0" borderId="0"/>
    <xf numFmtId="0" fontId="1" fillId="0" borderId="0"/>
    <xf numFmtId="9" fontId="1" fillId="0" borderId="0"/>
  </cellStyleXfs>
  <cellXfs count="35">
    <xf numFmtId="0" fontId="0" fillId="0" borderId="0" xfId="0"/>
    <xf numFmtId="0" fontId="1" fillId="0" borderId="0" xfId="3"/>
    <xf numFmtId="0" fontId="2" fillId="0" borderId="1" xfId="3" applyFont="1" applyBorder="1"/>
    <xf numFmtId="0" fontId="1" fillId="0" borderId="1" xfId="3" applyBorder="1"/>
    <xf numFmtId="0" fontId="2" fillId="0" borderId="0" xfId="3" applyFont="1"/>
    <xf numFmtId="165" fontId="1" fillId="0" borderId="0" xfId="1" applyNumberFormat="1"/>
    <xf numFmtId="9" fontId="1" fillId="0" borderId="0" xfId="4"/>
    <xf numFmtId="166" fontId="1" fillId="0" borderId="0" xfId="2"/>
    <xf numFmtId="9" fontId="1" fillId="0" borderId="0" xfId="3" applyNumberFormat="1"/>
    <xf numFmtId="167" fontId="1" fillId="0" borderId="0" xfId="3" applyNumberFormat="1"/>
    <xf numFmtId="0" fontId="1" fillId="0" borderId="0" xfId="3" applyFont="1"/>
    <xf numFmtId="168" fontId="1" fillId="0" borderId="0" xfId="2" applyNumberFormat="1"/>
    <xf numFmtId="169" fontId="1" fillId="0" borderId="0" xfId="3" applyNumberFormat="1"/>
    <xf numFmtId="168" fontId="1" fillId="0" borderId="0" xfId="2" applyNumberFormat="1" applyFont="1" applyFill="1" applyBorder="1" applyAlignment="1" applyProtection="1"/>
    <xf numFmtId="10" fontId="1" fillId="0" borderId="0" xfId="4" applyNumberFormat="1"/>
    <xf numFmtId="168" fontId="1" fillId="0" borderId="0" xfId="3" applyNumberFormat="1"/>
    <xf numFmtId="10" fontId="0" fillId="0" borderId="0" xfId="0" applyNumberFormat="1"/>
    <xf numFmtId="0" fontId="0" fillId="0" borderId="0" xfId="0" applyFont="1" applyAlignment="1">
      <alignment wrapText="1"/>
    </xf>
    <xf numFmtId="170" fontId="0" fillId="0" borderId="0" xfId="0" applyNumberFormat="1" applyFont="1" applyAlignment="1">
      <alignment wrapText="1"/>
    </xf>
    <xf numFmtId="170" fontId="0" fillId="0" borderId="0" xfId="0" applyNumberFormat="1"/>
    <xf numFmtId="0" fontId="0" fillId="0" borderId="0" xfId="0" applyNumberFormat="1"/>
    <xf numFmtId="170" fontId="3" fillId="0" borderId="0" xfId="0" applyNumberFormat="1" applyFont="1" applyAlignment="1">
      <alignment wrapText="1"/>
    </xf>
    <xf numFmtId="0" fontId="3" fillId="0" borderId="0" xfId="0" applyFont="1" applyAlignment="1">
      <alignment wrapText="1"/>
    </xf>
    <xf numFmtId="0" fontId="3" fillId="0" borderId="0" xfId="0" applyFont="1"/>
    <xf numFmtId="0" fontId="5" fillId="0" borderId="0" xfId="3" applyFont="1"/>
    <xf numFmtId="0" fontId="4" fillId="0" borderId="0" xfId="3" applyFont="1"/>
    <xf numFmtId="171" fontId="1" fillId="0" borderId="0" xfId="2" applyNumberFormat="1"/>
    <xf numFmtId="171" fontId="1" fillId="0" borderId="0" xfId="1" applyNumberFormat="1"/>
    <xf numFmtId="0" fontId="1" fillId="0" borderId="2" xfId="3" applyBorder="1"/>
    <xf numFmtId="2" fontId="1" fillId="0" borderId="0" xfId="3" applyNumberFormat="1"/>
    <xf numFmtId="172" fontId="1" fillId="0" borderId="0" xfId="4" applyNumberFormat="1"/>
    <xf numFmtId="10" fontId="1" fillId="0" borderId="0" xfId="3" applyNumberFormat="1"/>
    <xf numFmtId="172" fontId="1" fillId="0" borderId="0" xfId="3" applyNumberFormat="1"/>
    <xf numFmtId="6" fontId="1" fillId="0" borderId="0" xfId="3" applyNumberFormat="1"/>
    <xf numFmtId="173" fontId="1" fillId="0" borderId="0" xfId="3" applyNumberFormat="1"/>
  </cellXfs>
  <cellStyles count="5">
    <cellStyle name="Comma" xfId="1" builtinId="3"/>
    <cellStyle name="Currency" xfId="2" builtinId="4"/>
    <cellStyle name="Excel Built-in Normal" xfId="3"/>
    <cellStyle name="Normal" xfId="0" builtinId="0"/>
    <cellStyle name="Percent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ogan/Downloads/6-11-14.B401.PiecesForecastBankrup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swer"/>
      <sheetName val="Bankruptcy"/>
      <sheetName val="Mortgage"/>
      <sheetName val="K"/>
    </sheetNames>
    <sheetDataSet>
      <sheetData sheetId="0"/>
      <sheetData sheetId="1"/>
      <sheetData sheetId="2">
        <row r="6">
          <cell r="I6">
            <v>200000</v>
          </cell>
        </row>
        <row r="13">
          <cell r="F13">
            <v>197179.89416419846</v>
          </cell>
        </row>
        <row r="14">
          <cell r="C14">
            <v>2820.1058358016035</v>
          </cell>
          <cell r="D14">
            <v>10432.783015603958</v>
          </cell>
        </row>
        <row r="27">
          <cell r="F27">
            <v>194208.11771577634</v>
          </cell>
        </row>
        <row r="28">
          <cell r="C28">
            <v>2971.7764484221329</v>
          </cell>
          <cell r="D28">
            <v>10281.112402983428</v>
          </cell>
        </row>
        <row r="41">
          <cell r="F41">
            <v>191076.51352302585</v>
          </cell>
        </row>
        <row r="42">
          <cell r="C42">
            <v>3131.6041927505094</v>
          </cell>
        </row>
        <row r="55">
          <cell r="F55">
            <v>187776.48574830554</v>
          </cell>
        </row>
        <row r="56">
          <cell r="C56">
            <v>3300.0277747202599</v>
          </cell>
          <cell r="D56">
            <v>9952.8610766852998</v>
          </cell>
        </row>
        <row r="69">
          <cell r="F69">
            <v>184298.97625360781</v>
          </cell>
        </row>
        <row r="70">
          <cell r="C70">
            <v>3477.5094946977406</v>
          </cell>
          <cell r="D70">
            <v>9775.379356707821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102"/>
  <sheetViews>
    <sheetView topLeftCell="A71" zoomScale="115" zoomScaleNormal="115" workbookViewId="0">
      <selection activeCell="G99" sqref="G99"/>
    </sheetView>
  </sheetViews>
  <sheetFormatPr defaultColWidth="9.42578125" defaultRowHeight="15" x14ac:dyDescent="0.25"/>
  <cols>
    <col min="1" max="1" width="4.85546875" style="1" customWidth="1"/>
    <col min="2" max="2" width="25.85546875" style="1" customWidth="1"/>
    <col min="3" max="3" width="11.85546875" style="1" bestFit="1" customWidth="1"/>
    <col min="4" max="4" width="14.140625" style="1" customWidth="1"/>
    <col min="5" max="5" width="12.5703125" style="1" customWidth="1"/>
    <col min="6" max="6" width="12.42578125" style="1" customWidth="1"/>
    <col min="7" max="7" width="12.5703125" style="1" bestFit="1" customWidth="1"/>
    <col min="8" max="8" width="13.140625" style="1" customWidth="1"/>
    <col min="9" max="13" width="12.85546875" style="1" bestFit="1" customWidth="1"/>
    <col min="14" max="14" width="9.42578125" style="1"/>
    <col min="15" max="15" width="11.7109375" style="1" customWidth="1"/>
    <col min="16" max="20" width="9.42578125" style="1"/>
    <col min="21" max="21" width="10" style="1" customWidth="1"/>
    <col min="22" max="16384" width="9.42578125" style="1"/>
  </cols>
  <sheetData>
    <row r="1" spans="1:15" s="3" customFormat="1" x14ac:dyDescent="0.25">
      <c r="A1" s="2" t="s">
        <v>121</v>
      </c>
    </row>
    <row r="2" spans="1:15" x14ac:dyDescent="0.25">
      <c r="A2" s="4" t="s">
        <v>0</v>
      </c>
    </row>
    <row r="3" spans="1:15" x14ac:dyDescent="0.25">
      <c r="D3" s="1" t="s">
        <v>107</v>
      </c>
      <c r="E3" s="1" t="s">
        <v>108</v>
      </c>
      <c r="F3" s="1" t="s">
        <v>109</v>
      </c>
      <c r="G3" s="1" t="s">
        <v>110</v>
      </c>
      <c r="H3" s="1" t="s">
        <v>111</v>
      </c>
      <c r="I3" s="1" t="s">
        <v>112</v>
      </c>
      <c r="J3" s="1" t="s">
        <v>113</v>
      </c>
      <c r="K3" s="1" t="s">
        <v>114</v>
      </c>
      <c r="L3" s="1" t="s">
        <v>115</v>
      </c>
      <c r="M3" s="1" t="s">
        <v>116</v>
      </c>
    </row>
    <row r="4" spans="1:15" x14ac:dyDescent="0.25">
      <c r="A4" s="4" t="s">
        <v>1</v>
      </c>
    </row>
    <row r="5" spans="1:15" x14ac:dyDescent="0.25">
      <c r="A5" s="1" t="s">
        <v>2</v>
      </c>
      <c r="D5" s="5">
        <f>D6*0.25</f>
        <v>46.5</v>
      </c>
      <c r="E5" s="27">
        <f>((1+$N5)*D6)/2</f>
        <v>94.627500000000012</v>
      </c>
      <c r="F5" s="5">
        <f>(1+$N5)*E5</f>
        <v>96.283481250000023</v>
      </c>
      <c r="G5" s="5">
        <f>(1+$N5)*F5</f>
        <v>97.968442171875026</v>
      </c>
      <c r="H5" s="5">
        <f t="shared" ref="H5:M5" si="0">(1+$N5)*G5</f>
        <v>99.682889909882846</v>
      </c>
      <c r="I5" s="5">
        <f t="shared" si="0"/>
        <v>101.4273404833058</v>
      </c>
      <c r="J5" s="5">
        <f t="shared" si="0"/>
        <v>103.20231894176365</v>
      </c>
      <c r="K5" s="5">
        <f t="shared" si="0"/>
        <v>105.00835952324452</v>
      </c>
      <c r="L5" s="5">
        <f t="shared" si="0"/>
        <v>106.8460058149013</v>
      </c>
      <c r="M5" s="5">
        <f t="shared" si="0"/>
        <v>108.71581091666208</v>
      </c>
      <c r="N5" s="14">
        <v>1.7500000000000002E-2</v>
      </c>
      <c r="O5" s="1" t="s">
        <v>3</v>
      </c>
    </row>
    <row r="6" spans="1:15" x14ac:dyDescent="0.25">
      <c r="A6" s="1" t="s">
        <v>123</v>
      </c>
      <c r="D6" s="5">
        <v>186</v>
      </c>
      <c r="E6" s="5">
        <f>E5</f>
        <v>94.627500000000012</v>
      </c>
      <c r="F6" s="5">
        <f t="shared" ref="F6:M6" si="1">F5</f>
        <v>96.283481250000023</v>
      </c>
      <c r="G6" s="5">
        <f t="shared" si="1"/>
        <v>97.968442171875026</v>
      </c>
      <c r="H6" s="5">
        <f t="shared" si="1"/>
        <v>99.682889909882846</v>
      </c>
      <c r="I6" s="5">
        <f t="shared" si="1"/>
        <v>101.4273404833058</v>
      </c>
      <c r="J6" s="5">
        <f t="shared" si="1"/>
        <v>103.20231894176365</v>
      </c>
      <c r="K6" s="5">
        <f t="shared" si="1"/>
        <v>105.00835952324452</v>
      </c>
      <c r="L6" s="5">
        <f t="shared" si="1"/>
        <v>106.8460058149013</v>
      </c>
      <c r="M6" s="5">
        <f t="shared" si="1"/>
        <v>108.71581091666208</v>
      </c>
      <c r="N6" s="6"/>
    </row>
    <row r="7" spans="1:15" x14ac:dyDescent="0.25">
      <c r="A7" s="1" t="s">
        <v>4</v>
      </c>
      <c r="D7" s="7">
        <v>807</v>
      </c>
      <c r="E7" s="7">
        <f>(1+$N7)*D7</f>
        <v>815.07</v>
      </c>
      <c r="F7" s="7">
        <f>(1+$N7)*E7</f>
        <v>823.22070000000008</v>
      </c>
      <c r="G7" s="7">
        <f>(1+$N7)*F7</f>
        <v>831.4529070000001</v>
      </c>
      <c r="H7" s="7">
        <f t="shared" ref="H7:M7" si="2">(1+$N7)*G7</f>
        <v>839.76743607000014</v>
      </c>
      <c r="I7" s="7">
        <f t="shared" si="2"/>
        <v>848.16511043070011</v>
      </c>
      <c r="J7" s="7">
        <f t="shared" si="2"/>
        <v>856.64676153500716</v>
      </c>
      <c r="K7" s="7">
        <f t="shared" si="2"/>
        <v>865.21322915035728</v>
      </c>
      <c r="L7" s="7">
        <f t="shared" si="2"/>
        <v>873.86536144186084</v>
      </c>
      <c r="M7" s="7">
        <f t="shared" si="2"/>
        <v>882.60401505627942</v>
      </c>
      <c r="N7" s="14">
        <v>0.01</v>
      </c>
      <c r="O7" s="1" t="s">
        <v>3</v>
      </c>
    </row>
    <row r="8" spans="1:15" x14ac:dyDescent="0.25">
      <c r="D8" s="7"/>
      <c r="E8" s="7"/>
      <c r="F8" s="7"/>
      <c r="G8" s="7"/>
      <c r="H8" s="7"/>
      <c r="I8" s="7"/>
      <c r="J8" s="7"/>
      <c r="K8" s="7"/>
      <c r="L8" s="7"/>
      <c r="M8" s="7"/>
      <c r="N8" s="6"/>
    </row>
    <row r="10" spans="1:15" x14ac:dyDescent="0.25">
      <c r="A10" s="4" t="s">
        <v>5</v>
      </c>
    </row>
    <row r="11" spans="1:15" x14ac:dyDescent="0.25">
      <c r="A11" s="1" t="s">
        <v>117</v>
      </c>
      <c r="D11" s="1">
        <v>90</v>
      </c>
      <c r="E11" s="1">
        <v>90</v>
      </c>
      <c r="F11" s="1">
        <v>90</v>
      </c>
      <c r="G11" s="1">
        <v>90</v>
      </c>
      <c r="H11" s="1">
        <v>90</v>
      </c>
      <c r="I11" s="1">
        <v>90</v>
      </c>
      <c r="J11" s="1">
        <v>90</v>
      </c>
      <c r="K11" s="1">
        <v>90</v>
      </c>
      <c r="L11" s="1">
        <v>90</v>
      </c>
      <c r="M11" s="1">
        <v>90</v>
      </c>
      <c r="O11" s="1" t="s">
        <v>86</v>
      </c>
    </row>
    <row r="12" spans="1:15" x14ac:dyDescent="0.25">
      <c r="A12" s="1" t="s">
        <v>87</v>
      </c>
      <c r="D12" s="5">
        <v>45</v>
      </c>
      <c r="E12" s="5">
        <v>45</v>
      </c>
      <c r="F12" s="5">
        <v>45</v>
      </c>
      <c r="G12" s="5">
        <v>45</v>
      </c>
      <c r="H12" s="5">
        <v>45</v>
      </c>
      <c r="I12" s="5">
        <v>45</v>
      </c>
      <c r="J12" s="5">
        <v>45</v>
      </c>
      <c r="K12" s="5">
        <v>45</v>
      </c>
      <c r="L12" s="5">
        <v>45</v>
      </c>
      <c r="M12" s="5">
        <v>45</v>
      </c>
      <c r="N12" s="8"/>
    </row>
    <row r="13" spans="1:15" x14ac:dyDescent="0.25">
      <c r="A13" s="1" t="s">
        <v>6</v>
      </c>
      <c r="D13" s="5">
        <v>30</v>
      </c>
      <c r="E13" s="5">
        <v>30</v>
      </c>
      <c r="F13" s="5">
        <v>30</v>
      </c>
      <c r="G13" s="5">
        <v>30</v>
      </c>
      <c r="H13" s="5">
        <v>30</v>
      </c>
      <c r="I13" s="5">
        <v>30</v>
      </c>
      <c r="J13" s="5">
        <v>30</v>
      </c>
      <c r="K13" s="5">
        <v>30</v>
      </c>
      <c r="L13" s="5">
        <v>30</v>
      </c>
      <c r="M13" s="5">
        <v>30</v>
      </c>
      <c r="O13" s="1" t="s">
        <v>86</v>
      </c>
    </row>
    <row r="14" spans="1:15" x14ac:dyDescent="0.25">
      <c r="D14" s="9"/>
    </row>
    <row r="15" spans="1:15" x14ac:dyDescent="0.25">
      <c r="A15" s="4" t="s">
        <v>7</v>
      </c>
    </row>
    <row r="16" spans="1:15" x14ac:dyDescent="0.25">
      <c r="A16" s="10" t="s">
        <v>8</v>
      </c>
      <c r="D16" s="11">
        <f>(D5)*D7</f>
        <v>37525.5</v>
      </c>
      <c r="E16" s="11">
        <f t="shared" ref="E16:M16" si="3">(E5)*E7</f>
        <v>77128.036425000013</v>
      </c>
      <c r="F16" s="11">
        <f t="shared" si="3"/>
        <v>79262.554833061906</v>
      </c>
      <c r="G16" s="11">
        <f t="shared" si="3"/>
        <v>81456.146038066887</v>
      </c>
      <c r="H16" s="11">
        <f t="shared" si="3"/>
        <v>83710.444879670409</v>
      </c>
      <c r="I16" s="11">
        <f t="shared" si="3"/>
        <v>86027.131441715275</v>
      </c>
      <c r="J16" s="11">
        <f t="shared" si="3"/>
        <v>88407.93230436476</v>
      </c>
      <c r="K16" s="11">
        <f t="shared" si="3"/>
        <v>90854.621830888063</v>
      </c>
      <c r="L16" s="11">
        <f t="shared" si="3"/>
        <v>93369.023490057894</v>
      </c>
      <c r="M16" s="11">
        <f t="shared" si="3"/>
        <v>95953.011215145249</v>
      </c>
      <c r="N16" s="12">
        <v>1.8</v>
      </c>
      <c r="O16" s="1" t="s">
        <v>9</v>
      </c>
    </row>
    <row r="17" spans="1:15" x14ac:dyDescent="0.25">
      <c r="A17" s="1" t="s">
        <v>122</v>
      </c>
      <c r="D17" s="11">
        <f>D6*(D7/2)</f>
        <v>75051</v>
      </c>
      <c r="E17" s="11">
        <f t="shared" ref="E17:M17" si="4">E6*(E7/2)</f>
        <v>38564.018212500006</v>
      </c>
      <c r="F17" s="11">
        <f t="shared" si="4"/>
        <v>39631.277416530953</v>
      </c>
      <c r="G17" s="11">
        <f t="shared" si="4"/>
        <v>40728.073019033443</v>
      </c>
      <c r="H17" s="11">
        <f t="shared" si="4"/>
        <v>41855.222439835205</v>
      </c>
      <c r="I17" s="11">
        <f t="shared" si="4"/>
        <v>43013.565720857638</v>
      </c>
      <c r="J17" s="11">
        <f t="shared" si="4"/>
        <v>44203.96615218238</v>
      </c>
      <c r="K17" s="11">
        <f t="shared" si="4"/>
        <v>45427.310915444032</v>
      </c>
      <c r="L17" s="11">
        <f t="shared" si="4"/>
        <v>46684.511745028947</v>
      </c>
      <c r="M17" s="11">
        <f t="shared" si="4"/>
        <v>47976.505607572624</v>
      </c>
    </row>
    <row r="18" spans="1:15" x14ac:dyDescent="0.25">
      <c r="A18" s="1" t="s">
        <v>124</v>
      </c>
      <c r="D18" s="11">
        <f>((D6*$N$18)*D7)*$O$18</f>
        <v>1125.7650000000001</v>
      </c>
      <c r="E18" s="11">
        <f t="shared" ref="E18:M18" si="5">((E6*$N$18)*E7)*$O$18</f>
        <v>578.46027318750009</v>
      </c>
      <c r="F18" s="11">
        <f t="shared" si="5"/>
        <v>594.46916124796417</v>
      </c>
      <c r="G18" s="11">
        <f t="shared" si="5"/>
        <v>610.92109528550168</v>
      </c>
      <c r="H18" s="11">
        <f t="shared" si="5"/>
        <v>627.82833659752805</v>
      </c>
      <c r="I18" s="11">
        <f t="shared" si="5"/>
        <v>645.20348581286464</v>
      </c>
      <c r="J18" s="11">
        <f t="shared" si="5"/>
        <v>663.05949228273573</v>
      </c>
      <c r="K18" s="11">
        <f t="shared" si="5"/>
        <v>681.40966373166043</v>
      </c>
      <c r="L18" s="11">
        <f t="shared" si="5"/>
        <v>700.26767617543419</v>
      </c>
      <c r="M18" s="11">
        <f t="shared" si="5"/>
        <v>719.64758411358923</v>
      </c>
      <c r="N18" s="1">
        <v>0.03</v>
      </c>
      <c r="O18" s="1">
        <v>0.25</v>
      </c>
    </row>
    <row r="19" spans="1:15" x14ac:dyDescent="0.25">
      <c r="A19" s="1" t="s">
        <v>11</v>
      </c>
      <c r="D19" s="13">
        <f>(D5)*269</f>
        <v>12508.5</v>
      </c>
      <c r="E19" s="13">
        <f t="shared" ref="E19:M19" si="6">(E5)*269</f>
        <v>25454.797500000004</v>
      </c>
      <c r="F19" s="13">
        <f t="shared" si="6"/>
        <v>25900.256456250005</v>
      </c>
      <c r="G19" s="13">
        <f t="shared" si="6"/>
        <v>26353.510944234382</v>
      </c>
      <c r="H19" s="13">
        <f t="shared" si="6"/>
        <v>26814.697385758485</v>
      </c>
      <c r="I19" s="13">
        <f t="shared" si="6"/>
        <v>27283.95459000926</v>
      </c>
      <c r="J19" s="13">
        <f t="shared" si="6"/>
        <v>27761.423795334424</v>
      </c>
      <c r="K19" s="13">
        <f t="shared" si="6"/>
        <v>28247.248711752778</v>
      </c>
      <c r="L19" s="13">
        <f t="shared" si="6"/>
        <v>28741.575564208451</v>
      </c>
      <c r="M19" s="13">
        <f t="shared" si="6"/>
        <v>29244.553136582101</v>
      </c>
    </row>
    <row r="20" spans="1:15" x14ac:dyDescent="0.25">
      <c r="A20" s="10"/>
      <c r="D20" s="13"/>
      <c r="E20" s="13"/>
      <c r="F20" s="13"/>
      <c r="G20" s="13"/>
    </row>
    <row r="21" spans="1:15" x14ac:dyDescent="0.25">
      <c r="A21" s="1" t="s">
        <v>12</v>
      </c>
      <c r="D21" s="13"/>
      <c r="E21" s="13"/>
      <c r="F21" s="13"/>
      <c r="G21" s="13"/>
    </row>
    <row r="22" spans="1:15" x14ac:dyDescent="0.25">
      <c r="B22" s="1" t="s">
        <v>14</v>
      </c>
      <c r="D22" s="13">
        <v>30000</v>
      </c>
      <c r="E22" s="13">
        <v>30000</v>
      </c>
      <c r="F22" s="13">
        <v>30000</v>
      </c>
      <c r="G22" s="13">
        <v>30000</v>
      </c>
      <c r="H22" s="13">
        <v>30000</v>
      </c>
      <c r="I22" s="13">
        <v>30000</v>
      </c>
      <c r="J22" s="13">
        <v>30000</v>
      </c>
      <c r="K22" s="13">
        <v>30000</v>
      </c>
      <c r="L22" s="13">
        <v>30000</v>
      </c>
      <c r="M22" s="13">
        <v>30000</v>
      </c>
      <c r="N22" s="14" t="s">
        <v>169</v>
      </c>
    </row>
    <row r="23" spans="1:15" x14ac:dyDescent="0.25">
      <c r="B23" s="1" t="s">
        <v>118</v>
      </c>
      <c r="D23" s="13">
        <f t="shared" ref="D23:M23" si="7">((D5+D6)*D7)*($N$23)</f>
        <v>9381.375</v>
      </c>
      <c r="E23" s="13">
        <f t="shared" si="7"/>
        <v>7712.8036425000018</v>
      </c>
      <c r="F23" s="13">
        <f t="shared" si="7"/>
        <v>7926.2554833061913</v>
      </c>
      <c r="G23" s="13">
        <f t="shared" si="7"/>
        <v>8145.614603806689</v>
      </c>
      <c r="H23" s="13">
        <f t="shared" si="7"/>
        <v>8371.0444879670413</v>
      </c>
      <c r="I23" s="13">
        <f t="shared" si="7"/>
        <v>8602.7131441715283</v>
      </c>
      <c r="J23" s="13">
        <f t="shared" si="7"/>
        <v>8840.7932304364767</v>
      </c>
      <c r="K23" s="13">
        <f t="shared" si="7"/>
        <v>9085.4621830888063</v>
      </c>
      <c r="L23" s="13">
        <f t="shared" si="7"/>
        <v>9336.9023490057898</v>
      </c>
      <c r="M23" s="13">
        <f t="shared" si="7"/>
        <v>9595.3011215145252</v>
      </c>
      <c r="N23" s="6">
        <v>0.05</v>
      </c>
      <c r="O23" s="1" t="s">
        <v>120</v>
      </c>
    </row>
    <row r="24" spans="1:15" x14ac:dyDescent="0.25">
      <c r="D24" s="13"/>
      <c r="E24" s="13"/>
      <c r="F24" s="13"/>
      <c r="G24" s="13"/>
    </row>
    <row r="25" spans="1:15" x14ac:dyDescent="0.25">
      <c r="A25" s="1" t="s">
        <v>99</v>
      </c>
      <c r="D25" s="11">
        <f t="shared" ref="D25:J25" si="8">D44/$N25</f>
        <v>2857.1428571428573</v>
      </c>
      <c r="E25" s="11">
        <f t="shared" si="8"/>
        <v>2857.1428571428573</v>
      </c>
      <c r="F25" s="11">
        <f t="shared" si="8"/>
        <v>2857.1428571428573</v>
      </c>
      <c r="G25" s="11">
        <f t="shared" si="8"/>
        <v>2857.1428571428573</v>
      </c>
      <c r="H25" s="11">
        <f t="shared" si="8"/>
        <v>2857.1428571428573</v>
      </c>
      <c r="I25" s="11">
        <f t="shared" si="8"/>
        <v>2857.1428571428573</v>
      </c>
      <c r="J25" s="11">
        <f t="shared" si="8"/>
        <v>2857.1428571428573</v>
      </c>
      <c r="K25" s="11">
        <v>0</v>
      </c>
      <c r="L25" s="11">
        <v>0</v>
      </c>
      <c r="M25" s="11">
        <v>0</v>
      </c>
      <c r="N25" s="1">
        <v>7</v>
      </c>
      <c r="O25" s="1" t="s">
        <v>16</v>
      </c>
    </row>
    <row r="26" spans="1:15" x14ac:dyDescent="0.25">
      <c r="A26" s="1" t="s">
        <v>129</v>
      </c>
      <c r="D26" s="11">
        <f>$D$42/$N$26</f>
        <v>6666.666666666667</v>
      </c>
      <c r="E26" s="11">
        <f t="shared" ref="E26:M26" si="9">$D$42/$N$26</f>
        <v>6666.666666666667</v>
      </c>
      <c r="F26" s="11">
        <f t="shared" si="9"/>
        <v>6666.666666666667</v>
      </c>
      <c r="G26" s="11">
        <f t="shared" si="9"/>
        <v>6666.666666666667</v>
      </c>
      <c r="H26" s="11">
        <f t="shared" si="9"/>
        <v>6666.666666666667</v>
      </c>
      <c r="I26" s="11">
        <f t="shared" si="9"/>
        <v>6666.666666666667</v>
      </c>
      <c r="J26" s="11">
        <f t="shared" si="9"/>
        <v>6666.666666666667</v>
      </c>
      <c r="K26" s="11">
        <f t="shared" si="9"/>
        <v>6666.666666666667</v>
      </c>
      <c r="L26" s="11">
        <f t="shared" si="9"/>
        <v>6666.666666666667</v>
      </c>
      <c r="M26" s="11">
        <f t="shared" si="9"/>
        <v>6666.666666666667</v>
      </c>
      <c r="N26" s="1">
        <v>30</v>
      </c>
      <c r="O26" s="1" t="s">
        <v>130</v>
      </c>
    </row>
    <row r="27" spans="1:15" x14ac:dyDescent="0.25">
      <c r="D27" s="13"/>
      <c r="E27" s="13"/>
      <c r="F27" s="13"/>
      <c r="G27" s="13"/>
      <c r="N27" s="14"/>
    </row>
    <row r="28" spans="1:15" x14ac:dyDescent="0.25">
      <c r="A28" s="1" t="s">
        <v>126</v>
      </c>
      <c r="D28" s="13">
        <f>Mortgage!D14</f>
        <v>10432.783015603958</v>
      </c>
      <c r="E28" s="13">
        <f>Mortgage!D28</f>
        <v>10281.112402983428</v>
      </c>
      <c r="F28" s="13">
        <f>Mortgage!D42</f>
        <v>10121.284658655051</v>
      </c>
      <c r="G28" s="13">
        <f>Mortgage!D56</f>
        <v>9952.8610766852998</v>
      </c>
      <c r="H28" s="13">
        <f>Mortgage!D70</f>
        <v>9775.379356707821</v>
      </c>
      <c r="I28" s="13">
        <f>Mortgage!D84</f>
        <v>9588.3523349703137</v>
      </c>
      <c r="J28" s="13">
        <f>Mortgage!D98</f>
        <v>9391.2666471347475</v>
      </c>
      <c r="K28" s="13">
        <f>Mortgage!D112</f>
        <v>9183.5813191604066</v>
      </c>
      <c r="L28" s="13">
        <f>Mortgage!D126</f>
        <v>8964.7262824019945</v>
      </c>
      <c r="M28" s="13">
        <f>Mortgage!D140</f>
        <v>8734.1008088469025</v>
      </c>
      <c r="N28" s="14"/>
    </row>
    <row r="29" spans="1:15" x14ac:dyDescent="0.25">
      <c r="A29" s="1" t="s">
        <v>101</v>
      </c>
      <c r="D29" s="13">
        <f>$N$29*D57</f>
        <v>1595.2879887668205</v>
      </c>
      <c r="E29" s="13">
        <f>$N$29*E57</f>
        <v>890.904521364159</v>
      </c>
      <c r="F29" s="13">
        <f>$N$29*F57</f>
        <v>0</v>
      </c>
      <c r="G29" s="13">
        <f>$N$29*G57</f>
        <v>0</v>
      </c>
      <c r="H29" s="13">
        <f t="shared" ref="H29:M29" si="10">$N$29*H57</f>
        <v>0</v>
      </c>
      <c r="I29" s="13">
        <f t="shared" si="10"/>
        <v>0</v>
      </c>
      <c r="J29" s="13">
        <f t="shared" si="10"/>
        <v>0</v>
      </c>
      <c r="K29" s="13">
        <f t="shared" si="10"/>
        <v>0</v>
      </c>
      <c r="L29" s="13">
        <f t="shared" si="10"/>
        <v>0</v>
      </c>
      <c r="M29" s="13">
        <f t="shared" si="10"/>
        <v>0</v>
      </c>
      <c r="N29" s="6">
        <v>0.03</v>
      </c>
      <c r="O29" s="1" t="s">
        <v>91</v>
      </c>
    </row>
    <row r="30" spans="1:15" x14ac:dyDescent="0.25">
      <c r="D30" s="13"/>
      <c r="E30" s="13"/>
      <c r="F30" s="13"/>
      <c r="G30" s="13"/>
    </row>
    <row r="31" spans="1:15" x14ac:dyDescent="0.25">
      <c r="A31" s="1" t="s">
        <v>92</v>
      </c>
      <c r="D31" s="11">
        <f t="shared" ref="D31:M31" si="11">SUM(D16:D18)-SUM(D19:D29)</f>
        <v>40260.509471819692</v>
      </c>
      <c r="E31" s="11">
        <f t="shared" si="11"/>
        <v>32407.087320030405</v>
      </c>
      <c r="F31" s="11">
        <f t="shared" si="11"/>
        <v>36016.695288820047</v>
      </c>
      <c r="G31" s="11">
        <f t="shared" si="11"/>
        <v>38819.344003849939</v>
      </c>
      <c r="H31" s="11">
        <f t="shared" si="11"/>
        <v>41708.564901860271</v>
      </c>
      <c r="I31" s="11">
        <f t="shared" si="11"/>
        <v>44687.071055425127</v>
      </c>
      <c r="J31" s="11">
        <f t="shared" si="11"/>
        <v>47757.66475211471</v>
      </c>
      <c r="K31" s="11">
        <f t="shared" si="11"/>
        <v>53780.383529395083</v>
      </c>
      <c r="L31" s="11">
        <f t="shared" si="11"/>
        <v>57043.932048979346</v>
      </c>
      <c r="M31" s="11">
        <f t="shared" si="11"/>
        <v>60408.542673221265</v>
      </c>
      <c r="N31" s="6"/>
    </row>
    <row r="32" spans="1:15" x14ac:dyDescent="0.25">
      <c r="A32" s="24" t="s">
        <v>93</v>
      </c>
      <c r="D32" s="13">
        <f>IF(D31&lt;0,0,D31*0.25)</f>
        <v>10065.127367954923</v>
      </c>
      <c r="E32" s="13">
        <f>IF(E31&lt;0,0,E31*0.25)</f>
        <v>8101.7718300076012</v>
      </c>
      <c r="F32" s="13">
        <f>IF(F31&lt;0,0,F31*0.25)</f>
        <v>9004.1738222050117</v>
      </c>
      <c r="G32" s="13">
        <f>IF(G31&lt;0,0,G31*0.25)</f>
        <v>9704.8360009624848</v>
      </c>
      <c r="H32" s="13">
        <f t="shared" ref="H32:M32" si="12">IF(H31&lt;0,0,H31*0.25)</f>
        <v>10427.141225465068</v>
      </c>
      <c r="I32" s="13">
        <f t="shared" si="12"/>
        <v>11171.767763856282</v>
      </c>
      <c r="J32" s="13">
        <f t="shared" si="12"/>
        <v>11939.416188028677</v>
      </c>
      <c r="K32" s="13">
        <f t="shared" si="12"/>
        <v>13445.095882348771</v>
      </c>
      <c r="L32" s="13">
        <f t="shared" si="12"/>
        <v>14260.983012244837</v>
      </c>
      <c r="M32" s="13">
        <f t="shared" si="12"/>
        <v>15102.135668305316</v>
      </c>
    </row>
    <row r="33" spans="1:14" x14ac:dyDescent="0.25">
      <c r="A33" s="1" t="s">
        <v>94</v>
      </c>
      <c r="D33" s="15">
        <f>D31-D32</f>
        <v>30195.382103864769</v>
      </c>
      <c r="E33" s="15">
        <f>E31-E32</f>
        <v>24305.315490022804</v>
      </c>
      <c r="F33" s="15">
        <f>F31-F32</f>
        <v>27012.521466615035</v>
      </c>
      <c r="G33" s="15">
        <f>G31-G32</f>
        <v>29114.508002887454</v>
      </c>
      <c r="H33" s="15">
        <f t="shared" ref="H33:M33" si="13">H31-H32</f>
        <v>31281.423676395203</v>
      </c>
      <c r="I33" s="15">
        <f t="shared" si="13"/>
        <v>33515.303291568845</v>
      </c>
      <c r="J33" s="15">
        <f t="shared" si="13"/>
        <v>35818.248564086032</v>
      </c>
      <c r="K33" s="15">
        <f t="shared" si="13"/>
        <v>40335.287647046309</v>
      </c>
      <c r="L33" s="15">
        <f t="shared" si="13"/>
        <v>42782.949036734513</v>
      </c>
      <c r="M33" s="15">
        <f t="shared" si="13"/>
        <v>45306.407004915949</v>
      </c>
    </row>
    <row r="35" spans="1:14" x14ac:dyDescent="0.25">
      <c r="A35" s="4" t="s">
        <v>17</v>
      </c>
    </row>
    <row r="36" spans="1:14" x14ac:dyDescent="0.25">
      <c r="A36" s="4" t="s">
        <v>18</v>
      </c>
    </row>
    <row r="37" spans="1:14" x14ac:dyDescent="0.25">
      <c r="B37" s="1" t="s">
        <v>96</v>
      </c>
      <c r="D37" s="13">
        <v>5000</v>
      </c>
      <c r="E37" s="13">
        <v>5000</v>
      </c>
      <c r="F37" s="13">
        <v>5000</v>
      </c>
      <c r="G37" s="13">
        <v>5000</v>
      </c>
      <c r="H37" s="13">
        <v>5000</v>
      </c>
      <c r="I37" s="13">
        <v>5000</v>
      </c>
      <c r="J37" s="13">
        <v>5000</v>
      </c>
      <c r="K37" s="13">
        <v>5000</v>
      </c>
      <c r="L37" s="13">
        <v>5000</v>
      </c>
      <c r="M37" s="13">
        <v>5000</v>
      </c>
      <c r="N37" s="11"/>
    </row>
    <row r="38" spans="1:14" x14ac:dyDescent="0.25">
      <c r="B38" s="1" t="s">
        <v>97</v>
      </c>
      <c r="D38" s="13">
        <v>0</v>
      </c>
      <c r="E38" s="13">
        <v>0</v>
      </c>
      <c r="F38" s="13">
        <v>4329</v>
      </c>
      <c r="G38" s="13">
        <v>40079</v>
      </c>
      <c r="H38" s="11">
        <v>77832</v>
      </c>
      <c r="I38" s="11">
        <v>117646</v>
      </c>
      <c r="J38" s="11">
        <v>159581</v>
      </c>
      <c r="K38" s="11">
        <v>203698</v>
      </c>
      <c r="L38" s="11">
        <v>249345</v>
      </c>
      <c r="M38" s="11">
        <v>297301</v>
      </c>
      <c r="N38" s="11"/>
    </row>
    <row r="39" spans="1:14" x14ac:dyDescent="0.25">
      <c r="B39" s="1" t="s">
        <v>19</v>
      </c>
      <c r="D39" s="11">
        <f t="shared" ref="D39:M39" si="14">((D16/365)*D11)/2</f>
        <v>4626.4315068493152</v>
      </c>
      <c r="E39" s="11">
        <f t="shared" si="14"/>
        <v>9508.9359976027408</v>
      </c>
      <c r="F39" s="11">
        <f t="shared" si="14"/>
        <v>9772.0958013363997</v>
      </c>
      <c r="G39" s="11">
        <f t="shared" si="14"/>
        <v>10042.538552638383</v>
      </c>
      <c r="H39" s="11">
        <f t="shared" si="14"/>
        <v>10320.465807082654</v>
      </c>
      <c r="I39" s="11">
        <f t="shared" si="14"/>
        <v>10606.084698293664</v>
      </c>
      <c r="J39" s="11">
        <f t="shared" si="14"/>
        <v>10899.608092318944</v>
      </c>
      <c r="K39" s="11">
        <f t="shared" si="14"/>
        <v>11201.254746273871</v>
      </c>
      <c r="L39" s="11">
        <f t="shared" si="14"/>
        <v>11511.249471377001</v>
      </c>
      <c r="M39" s="11">
        <f t="shared" si="14"/>
        <v>11829.823300497361</v>
      </c>
    </row>
    <row r="40" spans="1:14" x14ac:dyDescent="0.25">
      <c r="B40" s="1" t="s">
        <v>125</v>
      </c>
      <c r="D40" s="11">
        <f t="shared" ref="D40:M40" si="15">D12*(D19/365)</f>
        <v>1542.1438356164385</v>
      </c>
      <c r="E40" s="11">
        <f t="shared" si="15"/>
        <v>3138.262705479453</v>
      </c>
      <c r="F40" s="11">
        <f t="shared" si="15"/>
        <v>3193.182302825343</v>
      </c>
      <c r="G40" s="11">
        <f t="shared" si="15"/>
        <v>3249.0629931247868</v>
      </c>
      <c r="H40" s="11">
        <f t="shared" si="15"/>
        <v>3305.9215955044706</v>
      </c>
      <c r="I40" s="11">
        <f t="shared" si="15"/>
        <v>3363.7752234257991</v>
      </c>
      <c r="J40" s="11">
        <f t="shared" si="15"/>
        <v>3422.6412898357507</v>
      </c>
      <c r="K40" s="11">
        <f t="shared" si="15"/>
        <v>3482.5375124078769</v>
      </c>
      <c r="L40" s="11">
        <f t="shared" si="15"/>
        <v>3543.4819188750148</v>
      </c>
      <c r="M40" s="11">
        <f t="shared" si="15"/>
        <v>3605.4928524553275</v>
      </c>
    </row>
    <row r="41" spans="1:14" x14ac:dyDescent="0.25">
      <c r="D41" s="26"/>
      <c r="E41" s="26"/>
      <c r="F41" s="26"/>
      <c r="G41" s="26"/>
      <c r="H41" s="26"/>
      <c r="I41" s="26"/>
      <c r="J41" s="26"/>
      <c r="K41" s="26"/>
      <c r="L41" s="26"/>
      <c r="M41" s="26"/>
    </row>
    <row r="42" spans="1:14" x14ac:dyDescent="0.25">
      <c r="B42" s="1" t="s">
        <v>128</v>
      </c>
      <c r="D42" s="11">
        <f>Mortgage!$I$6</f>
        <v>200000</v>
      </c>
      <c r="E42" s="11">
        <f>Mortgage!$I$6</f>
        <v>200000</v>
      </c>
      <c r="F42" s="11">
        <f>Mortgage!$I$6</f>
        <v>200000</v>
      </c>
      <c r="G42" s="11">
        <f>Mortgage!$I$6</f>
        <v>200000</v>
      </c>
      <c r="H42" s="11">
        <f>Mortgage!$I$6</f>
        <v>200000</v>
      </c>
      <c r="I42" s="11">
        <f>Mortgage!$I$6</f>
        <v>200000</v>
      </c>
      <c r="J42" s="11">
        <f>Mortgage!$I$6</f>
        <v>200000</v>
      </c>
      <c r="K42" s="11">
        <f>Mortgage!$I$6</f>
        <v>200000</v>
      </c>
      <c r="L42" s="11">
        <f>Mortgage!$I$6</f>
        <v>200000</v>
      </c>
      <c r="M42" s="11">
        <f>Mortgage!$I$6</f>
        <v>200000</v>
      </c>
    </row>
    <row r="43" spans="1:14" x14ac:dyDescent="0.25">
      <c r="B43" s="1" t="s">
        <v>102</v>
      </c>
      <c r="D43" s="11">
        <v>300000</v>
      </c>
      <c r="E43" s="11">
        <v>300000</v>
      </c>
      <c r="F43" s="11">
        <v>300000</v>
      </c>
      <c r="G43" s="11">
        <v>300000</v>
      </c>
      <c r="H43" s="11">
        <v>300000</v>
      </c>
      <c r="I43" s="11">
        <v>300000</v>
      </c>
      <c r="J43" s="11">
        <v>300000</v>
      </c>
      <c r="K43" s="11">
        <v>300000</v>
      </c>
      <c r="L43" s="11">
        <v>300000</v>
      </c>
      <c r="M43" s="11">
        <v>300000</v>
      </c>
    </row>
    <row r="44" spans="1:14" x14ac:dyDescent="0.25">
      <c r="B44" s="1" t="s">
        <v>119</v>
      </c>
      <c r="D44" s="11">
        <v>20000</v>
      </c>
      <c r="E44" s="11">
        <f>D44</f>
        <v>20000</v>
      </c>
      <c r="F44" s="11">
        <f>E44</f>
        <v>20000</v>
      </c>
      <c r="G44" s="11">
        <f>F44</f>
        <v>20000</v>
      </c>
      <c r="H44" s="11">
        <f t="shared" ref="H44:M44" si="16">G44</f>
        <v>20000</v>
      </c>
      <c r="I44" s="11">
        <f t="shared" si="16"/>
        <v>20000</v>
      </c>
      <c r="J44" s="11">
        <f t="shared" si="16"/>
        <v>20000</v>
      </c>
      <c r="K44" s="11">
        <f t="shared" si="16"/>
        <v>20000</v>
      </c>
      <c r="L44" s="11">
        <f t="shared" si="16"/>
        <v>20000</v>
      </c>
      <c r="M44" s="11">
        <f t="shared" si="16"/>
        <v>20000</v>
      </c>
    </row>
    <row r="45" spans="1:14" x14ac:dyDescent="0.25">
      <c r="B45" s="1" t="s">
        <v>22</v>
      </c>
      <c r="D45" s="13">
        <f>D25</f>
        <v>2857.1428571428573</v>
      </c>
      <c r="E45" s="13">
        <f t="shared" ref="E45:M45" si="17">D45+E25</f>
        <v>5714.2857142857147</v>
      </c>
      <c r="F45" s="13">
        <f t="shared" si="17"/>
        <v>8571.4285714285725</v>
      </c>
      <c r="G45" s="13">
        <f t="shared" si="17"/>
        <v>11428.571428571429</v>
      </c>
      <c r="H45" s="13">
        <f t="shared" si="17"/>
        <v>14285.714285714286</v>
      </c>
      <c r="I45" s="13">
        <f t="shared" si="17"/>
        <v>17142.857142857145</v>
      </c>
      <c r="J45" s="13">
        <f t="shared" si="17"/>
        <v>20000.000000000004</v>
      </c>
      <c r="K45" s="13">
        <f t="shared" si="17"/>
        <v>20000.000000000004</v>
      </c>
      <c r="L45" s="13">
        <f t="shared" si="17"/>
        <v>20000.000000000004</v>
      </c>
      <c r="M45" s="13">
        <f t="shared" si="17"/>
        <v>20000.000000000004</v>
      </c>
    </row>
    <row r="46" spans="1:14" x14ac:dyDescent="0.25">
      <c r="B46" s="1" t="s">
        <v>22</v>
      </c>
      <c r="D46" s="26">
        <f>D26+C26</f>
        <v>6666.666666666667</v>
      </c>
      <c r="E46" s="26">
        <f t="shared" ref="E46:M46" si="18">E26+D46</f>
        <v>13333.333333333334</v>
      </c>
      <c r="F46" s="26">
        <f t="shared" si="18"/>
        <v>20000</v>
      </c>
      <c r="G46" s="26">
        <f t="shared" si="18"/>
        <v>26666.666666666668</v>
      </c>
      <c r="H46" s="26">
        <f t="shared" si="18"/>
        <v>33333.333333333336</v>
      </c>
      <c r="I46" s="26">
        <f t="shared" si="18"/>
        <v>40000</v>
      </c>
      <c r="J46" s="26">
        <f t="shared" si="18"/>
        <v>46666.666666666664</v>
      </c>
      <c r="K46" s="26">
        <f t="shared" si="18"/>
        <v>53333.333333333328</v>
      </c>
      <c r="L46" s="26">
        <f t="shared" si="18"/>
        <v>59999.999999999993</v>
      </c>
      <c r="M46" s="26">
        <f t="shared" si="18"/>
        <v>66666.666666666657</v>
      </c>
    </row>
    <row r="48" spans="1:14" x14ac:dyDescent="0.25">
      <c r="B48" s="1" t="s">
        <v>168</v>
      </c>
      <c r="D48" s="13">
        <v>20000</v>
      </c>
      <c r="E48" s="13">
        <f>D48</f>
        <v>20000</v>
      </c>
      <c r="F48" s="13">
        <f t="shared" ref="F48:M48" si="19">E48</f>
        <v>20000</v>
      </c>
      <c r="G48" s="13">
        <f t="shared" si="19"/>
        <v>20000</v>
      </c>
      <c r="H48" s="13">
        <f t="shared" si="19"/>
        <v>20000</v>
      </c>
      <c r="I48" s="13">
        <f t="shared" si="19"/>
        <v>20000</v>
      </c>
      <c r="J48" s="13">
        <f t="shared" si="19"/>
        <v>20000</v>
      </c>
      <c r="K48" s="13">
        <f t="shared" si="19"/>
        <v>20000</v>
      </c>
      <c r="L48" s="13">
        <f t="shared" si="19"/>
        <v>20000</v>
      </c>
      <c r="M48" s="13">
        <f t="shared" si="19"/>
        <v>20000</v>
      </c>
    </row>
    <row r="49" spans="1:25" x14ac:dyDescent="0.25">
      <c r="O49" s="1" t="s">
        <v>153</v>
      </c>
      <c r="U49" s="1" t="s">
        <v>154</v>
      </c>
      <c r="X49" s="1" t="s">
        <v>153</v>
      </c>
    </row>
    <row r="50" spans="1:25" x14ac:dyDescent="0.25">
      <c r="A50" s="4" t="s">
        <v>106</v>
      </c>
      <c r="D50" s="15">
        <f>SUM(D37:D44)-D45-D46+D48</f>
        <v>541644.76581865619</v>
      </c>
      <c r="E50" s="15">
        <f t="shared" ref="E50:M50" si="20">SUM(E37:E44)-E45-E46+E48</f>
        <v>538599.57965546311</v>
      </c>
      <c r="F50" s="15">
        <f t="shared" si="20"/>
        <v>533722.84953273321</v>
      </c>
      <c r="G50" s="15">
        <f t="shared" si="20"/>
        <v>560275.3634505251</v>
      </c>
      <c r="H50" s="15">
        <f t="shared" si="20"/>
        <v>588839.33978353941</v>
      </c>
      <c r="I50" s="15">
        <f t="shared" si="20"/>
        <v>619473.00277886225</v>
      </c>
      <c r="J50" s="15">
        <f t="shared" si="20"/>
        <v>652236.58271548804</v>
      </c>
      <c r="K50" s="15">
        <f t="shared" si="20"/>
        <v>690048.45892534836</v>
      </c>
      <c r="L50" s="15">
        <f t="shared" si="20"/>
        <v>729399.73139025201</v>
      </c>
      <c r="M50" s="15">
        <f t="shared" si="20"/>
        <v>771069.6494862861</v>
      </c>
      <c r="P50" s="1" t="s">
        <v>155</v>
      </c>
      <c r="Q50" s="1">
        <v>0.77</v>
      </c>
      <c r="U50" s="1" t="s">
        <v>156</v>
      </c>
      <c r="V50" s="29">
        <f>Q50/(1+(1-0.2)*((P56+P57)/P59))</f>
        <v>0.56507586613720062</v>
      </c>
      <c r="X50" s="1" t="s">
        <v>157</v>
      </c>
      <c r="Y50" s="29">
        <f>V51</f>
        <v>2.3733186377762427</v>
      </c>
    </row>
    <row r="51" spans="1:25" x14ac:dyDescent="0.25">
      <c r="A51" s="4"/>
      <c r="D51" s="15"/>
      <c r="E51" s="15"/>
      <c r="F51" s="15"/>
      <c r="G51" s="15"/>
      <c r="P51" s="1" t="s">
        <v>158</v>
      </c>
      <c r="Q51" s="8">
        <v>2.5899999999999999E-2</v>
      </c>
      <c r="U51" s="1" t="s">
        <v>159</v>
      </c>
      <c r="V51" s="29">
        <f>V50*(1+(1-0.2)*((U56+U57)/U59))</f>
        <v>2.3733186377762427</v>
      </c>
      <c r="X51" s="1" t="s">
        <v>158</v>
      </c>
      <c r="Y51" s="8">
        <f>Q51</f>
        <v>2.5899999999999999E-2</v>
      </c>
    </row>
    <row r="52" spans="1:25" x14ac:dyDescent="0.25">
      <c r="A52" s="4" t="s">
        <v>23</v>
      </c>
      <c r="P52" s="1" t="s">
        <v>160</v>
      </c>
      <c r="Q52" s="8">
        <v>0.12</v>
      </c>
      <c r="X52" s="1" t="s">
        <v>160</v>
      </c>
      <c r="Y52" s="8">
        <f>Q52</f>
        <v>0.12</v>
      </c>
    </row>
    <row r="53" spans="1:25" x14ac:dyDescent="0.25">
      <c r="A53" s="1" t="s">
        <v>88</v>
      </c>
      <c r="D53" s="13"/>
      <c r="E53" s="13"/>
      <c r="F53" s="13"/>
      <c r="G53" s="13"/>
      <c r="O53" s="1" t="s">
        <v>161</v>
      </c>
      <c r="Q53" s="14">
        <f>Q51+Q50*(Q52-Q51)</f>
        <v>9.8357E-2</v>
      </c>
      <c r="X53" s="1" t="s">
        <v>161</v>
      </c>
      <c r="Y53" s="30">
        <f>Y51+Y50*(Y52-Y51)</f>
        <v>0.24922928381474443</v>
      </c>
    </row>
    <row r="54" spans="1:25" x14ac:dyDescent="0.25">
      <c r="B54" s="1" t="s">
        <v>95</v>
      </c>
      <c r="D54" s="13">
        <f t="shared" ref="D54:M54" si="21">D19/365*D13</f>
        <v>1028.0958904109589</v>
      </c>
      <c r="E54" s="13">
        <f t="shared" si="21"/>
        <v>2092.1751369863018</v>
      </c>
      <c r="F54" s="13">
        <f t="shared" si="21"/>
        <v>2128.7882018835617</v>
      </c>
      <c r="G54" s="13">
        <f t="shared" si="21"/>
        <v>2166.0419954165245</v>
      </c>
      <c r="H54" s="13">
        <f t="shared" si="21"/>
        <v>2203.9477303363137</v>
      </c>
      <c r="I54" s="13">
        <f t="shared" si="21"/>
        <v>2242.5168156171994</v>
      </c>
      <c r="J54" s="13">
        <f t="shared" si="21"/>
        <v>2281.7608598905003</v>
      </c>
      <c r="K54" s="13">
        <f t="shared" si="21"/>
        <v>2321.6916749385846</v>
      </c>
      <c r="L54" s="13">
        <f t="shared" si="21"/>
        <v>2362.3212792500099</v>
      </c>
      <c r="M54" s="13">
        <f t="shared" si="21"/>
        <v>2403.661901636885</v>
      </c>
      <c r="O54" s="1" t="s">
        <v>162</v>
      </c>
      <c r="U54" s="1" t="s">
        <v>163</v>
      </c>
    </row>
    <row r="55" spans="1:25" x14ac:dyDescent="0.25">
      <c r="B55" s="1" t="s">
        <v>24</v>
      </c>
      <c r="D55" s="13">
        <f t="shared" ref="D55:M55" si="22">D32</f>
        <v>10065.127367954923</v>
      </c>
      <c r="E55" s="13">
        <f t="shared" si="22"/>
        <v>8101.7718300076012</v>
      </c>
      <c r="F55" s="13">
        <f t="shared" si="22"/>
        <v>9004.1738222050117</v>
      </c>
      <c r="G55" s="13">
        <f t="shared" si="22"/>
        <v>9704.8360009624848</v>
      </c>
      <c r="H55" s="13">
        <f t="shared" si="22"/>
        <v>10427.141225465068</v>
      </c>
      <c r="I55" s="13">
        <f t="shared" si="22"/>
        <v>11171.767763856282</v>
      </c>
      <c r="J55" s="13">
        <f t="shared" si="22"/>
        <v>11939.416188028677</v>
      </c>
      <c r="K55" s="13">
        <f t="shared" si="22"/>
        <v>13445.095882348771</v>
      </c>
      <c r="L55" s="13">
        <f t="shared" si="22"/>
        <v>14260.983012244837</v>
      </c>
      <c r="M55" s="13">
        <f t="shared" si="22"/>
        <v>15102.135668305316</v>
      </c>
      <c r="O55" s="1" t="s">
        <v>164</v>
      </c>
      <c r="P55" s="1" t="s">
        <v>165</v>
      </c>
      <c r="Q55" s="1" t="s">
        <v>31</v>
      </c>
      <c r="R55" s="1" t="s">
        <v>166</v>
      </c>
      <c r="S55" s="1" t="s">
        <v>167</v>
      </c>
      <c r="U55" s="1" t="s">
        <v>165</v>
      </c>
      <c r="V55" s="1" t="s">
        <v>31</v>
      </c>
      <c r="W55" s="1" t="s">
        <v>166</v>
      </c>
      <c r="X55" s="1" t="s">
        <v>167</v>
      </c>
    </row>
    <row r="56" spans="1:25" x14ac:dyDescent="0.25">
      <c r="D56" s="13"/>
      <c r="E56" s="13"/>
      <c r="F56" s="13"/>
      <c r="G56" s="13"/>
      <c r="O56" s="15">
        <f>AVERAGE(D57:M57)</f>
        <v>8287.3083671032655</v>
      </c>
      <c r="P56" s="6">
        <f>O56/$O$62</f>
        <v>1.3606148701989904E-2</v>
      </c>
      <c r="Q56" s="8">
        <v>7.0000000000000007E-2</v>
      </c>
      <c r="R56" s="30">
        <f>Q56*(1-0.25)</f>
        <v>5.2500000000000005E-2</v>
      </c>
      <c r="S56" s="30">
        <f>P56*R56</f>
        <v>7.1432280685447005E-4</v>
      </c>
      <c r="U56" s="8">
        <v>0.6</v>
      </c>
      <c r="V56" s="8">
        <f>Q56</f>
        <v>7.0000000000000007E-2</v>
      </c>
      <c r="W56" s="30">
        <f>V56*(1-0.25)</f>
        <v>5.2500000000000005E-2</v>
      </c>
      <c r="X56" s="31">
        <f>U56*W56</f>
        <v>3.15E-2</v>
      </c>
    </row>
    <row r="57" spans="1:25" x14ac:dyDescent="0.25">
      <c r="B57" s="1" t="s">
        <v>103</v>
      </c>
      <c r="D57" s="13">
        <v>53176.266292227352</v>
      </c>
      <c r="E57" s="13">
        <v>29696.817378805303</v>
      </c>
      <c r="F57" s="13">
        <v>0</v>
      </c>
      <c r="G57" s="13">
        <v>0</v>
      </c>
      <c r="H57" s="11">
        <v>0</v>
      </c>
      <c r="I57" s="11">
        <v>0</v>
      </c>
      <c r="J57" s="11">
        <v>0</v>
      </c>
      <c r="K57" s="11">
        <v>0</v>
      </c>
      <c r="L57" s="11">
        <v>0</v>
      </c>
      <c r="M57" s="11">
        <v>0</v>
      </c>
      <c r="O57" s="15">
        <f>AVERAGE(D58:M58)</f>
        <v>181696.26614963921</v>
      </c>
      <c r="P57" s="6">
        <f>O57/$O$62</f>
        <v>0.29830993445854487</v>
      </c>
      <c r="Q57" s="8">
        <v>0.1</v>
      </c>
      <c r="R57" s="30">
        <f>Q57*(1-0.25)</f>
        <v>7.5000000000000011E-2</v>
      </c>
      <c r="S57" s="30">
        <f>P57*R57</f>
        <v>2.2373245084390869E-2</v>
      </c>
      <c r="U57" s="8">
        <v>0.2</v>
      </c>
      <c r="V57" s="8">
        <f>Q57</f>
        <v>0.1</v>
      </c>
      <c r="W57" s="30">
        <f>V57*(1-0.25)</f>
        <v>7.5000000000000011E-2</v>
      </c>
      <c r="X57" s="31">
        <f>U57*W57</f>
        <v>1.5000000000000003E-2</v>
      </c>
    </row>
    <row r="58" spans="1:25" x14ac:dyDescent="0.25">
      <c r="B58" s="1" t="s">
        <v>104</v>
      </c>
      <c r="D58" s="13">
        <f>Mortgage!F13</f>
        <v>197179.89416419846</v>
      </c>
      <c r="E58" s="13">
        <f>Mortgage!F27</f>
        <v>194208.11771577634</v>
      </c>
      <c r="F58" s="13">
        <f>Mortgage!F41</f>
        <v>191076.51352302585</v>
      </c>
      <c r="G58" s="13">
        <f>Mortgage!F55</f>
        <v>187776.48574830554</v>
      </c>
      <c r="H58" s="11">
        <f>Mortgage!F69</f>
        <v>184298.97625360781</v>
      </c>
      <c r="I58" s="11">
        <f>Mortgage!F83</f>
        <v>180634.43973717254</v>
      </c>
      <c r="J58" s="11">
        <f>Mortgage!F97</f>
        <v>176772.81753290171</v>
      </c>
      <c r="K58" s="11">
        <f>Mortgage!F111</f>
        <v>172703.51000065653</v>
      </c>
      <c r="L58" s="11">
        <f>Mortgage!F125</f>
        <v>168415.34743165295</v>
      </c>
      <c r="M58" s="11">
        <f>Mortgage!F139</f>
        <v>163896.55938909424</v>
      </c>
    </row>
    <row r="59" spans="1:25" x14ac:dyDescent="0.25">
      <c r="D59" s="13"/>
      <c r="E59" s="13"/>
      <c r="F59" s="13"/>
      <c r="G59" s="13"/>
      <c r="O59" s="15">
        <f>AVERAGE(D61:M61)</f>
        <v>250000</v>
      </c>
      <c r="P59" s="6">
        <f>SUM(O59:O60)/O62</f>
        <v>0.68808391683946535</v>
      </c>
      <c r="Q59" s="31">
        <f>Q53</f>
        <v>9.8357E-2</v>
      </c>
      <c r="R59" s="31">
        <f>Q59</f>
        <v>9.8357E-2</v>
      </c>
      <c r="S59" s="30">
        <f>P59*R59</f>
        <v>6.7677869808579288E-2</v>
      </c>
      <c r="U59" s="8">
        <v>0.2</v>
      </c>
      <c r="V59" s="32">
        <f>Y53</f>
        <v>0.24922928381474443</v>
      </c>
      <c r="W59" s="30">
        <f>V59</f>
        <v>0.24922928381474443</v>
      </c>
      <c r="X59" s="31">
        <f>U59*W59</f>
        <v>4.9845856762948892E-2</v>
      </c>
    </row>
    <row r="60" spans="1:25" x14ac:dyDescent="0.25">
      <c r="A60" s="1" t="s">
        <v>89</v>
      </c>
      <c r="E60" s="13"/>
      <c r="F60" s="13"/>
      <c r="G60" s="13"/>
      <c r="O60" s="15">
        <f>AVERAGE(D62:M62)</f>
        <v>169101.96089940687</v>
      </c>
    </row>
    <row r="61" spans="1:25" x14ac:dyDescent="0.25">
      <c r="B61" s="1" t="s">
        <v>90</v>
      </c>
      <c r="D61" s="13">
        <v>250000</v>
      </c>
      <c r="E61" s="13">
        <f>D61</f>
        <v>250000</v>
      </c>
      <c r="F61" s="13">
        <f t="shared" ref="F61:M61" si="23">E61</f>
        <v>250000</v>
      </c>
      <c r="G61" s="13">
        <f t="shared" si="23"/>
        <v>250000</v>
      </c>
      <c r="H61" s="13">
        <f t="shared" si="23"/>
        <v>250000</v>
      </c>
      <c r="I61" s="13">
        <f t="shared" si="23"/>
        <v>250000</v>
      </c>
      <c r="J61" s="13">
        <f t="shared" si="23"/>
        <v>250000</v>
      </c>
      <c r="K61" s="13">
        <f t="shared" si="23"/>
        <v>250000</v>
      </c>
      <c r="L61" s="13">
        <f t="shared" si="23"/>
        <v>250000</v>
      </c>
      <c r="M61" s="13">
        <f t="shared" si="23"/>
        <v>250000</v>
      </c>
    </row>
    <row r="62" spans="1:25" x14ac:dyDescent="0.25">
      <c r="B62" s="1" t="s">
        <v>25</v>
      </c>
      <c r="C62" s="13"/>
      <c r="D62" s="13">
        <f t="shared" ref="D62:M62" si="24">C62+D33</f>
        <v>30195.382103864769</v>
      </c>
      <c r="E62" s="13">
        <f t="shared" si="24"/>
        <v>54500.697593887569</v>
      </c>
      <c r="F62" s="13">
        <f t="shared" si="24"/>
        <v>81513.219060502597</v>
      </c>
      <c r="G62" s="13">
        <f t="shared" si="24"/>
        <v>110627.72706339005</v>
      </c>
      <c r="H62" s="13">
        <f t="shared" si="24"/>
        <v>141909.15073978525</v>
      </c>
      <c r="I62" s="13">
        <f t="shared" si="24"/>
        <v>175424.45403135411</v>
      </c>
      <c r="J62" s="13">
        <f t="shared" si="24"/>
        <v>211242.70259544015</v>
      </c>
      <c r="K62" s="13">
        <f t="shared" si="24"/>
        <v>251577.99024248647</v>
      </c>
      <c r="L62" s="13">
        <f t="shared" si="24"/>
        <v>294360.939279221</v>
      </c>
      <c r="M62" s="13">
        <f t="shared" si="24"/>
        <v>339667.34628413693</v>
      </c>
      <c r="O62" s="15">
        <f>SUM(O56:O60)</f>
        <v>609085.5354161493</v>
      </c>
      <c r="P62" s="6">
        <f>SUM(P56:P60)</f>
        <v>1</v>
      </c>
      <c r="S62" s="31">
        <f>SUM(S56:S59)</f>
        <v>9.0765437699824619E-2</v>
      </c>
      <c r="T62" s="1" t="s">
        <v>151</v>
      </c>
      <c r="U62" s="6">
        <f>SUM(U56:U60)</f>
        <v>1</v>
      </c>
      <c r="X62" s="31">
        <f>SUM(X56:X59)</f>
        <v>9.6345856762948892E-2</v>
      </c>
      <c r="Y62" s="1" t="s">
        <v>151</v>
      </c>
    </row>
    <row r="63" spans="1:25" x14ac:dyDescent="0.25">
      <c r="D63" s="13"/>
      <c r="E63" s="13"/>
      <c r="F63" s="13"/>
      <c r="G63" s="13"/>
    </row>
    <row r="64" spans="1:25" x14ac:dyDescent="0.25">
      <c r="A64" s="4" t="s">
        <v>105</v>
      </c>
      <c r="D64" s="13">
        <f t="shared" ref="D64:M64" si="25">SUM(D54:D62)</f>
        <v>541644.76581865642</v>
      </c>
      <c r="E64" s="13">
        <f t="shared" si="25"/>
        <v>538599.57965546311</v>
      </c>
      <c r="F64" s="13">
        <f t="shared" si="25"/>
        <v>533722.69460761698</v>
      </c>
      <c r="G64" s="13">
        <f t="shared" si="25"/>
        <v>560275.09080807457</v>
      </c>
      <c r="H64" s="13">
        <f t="shared" si="25"/>
        <v>588839.21594919451</v>
      </c>
      <c r="I64" s="13">
        <f t="shared" si="25"/>
        <v>619473.17834800016</v>
      </c>
      <c r="J64" s="13">
        <f t="shared" si="25"/>
        <v>652236.69717626111</v>
      </c>
      <c r="K64" s="13">
        <f t="shared" si="25"/>
        <v>690048.28780043032</v>
      </c>
      <c r="L64" s="13">
        <f t="shared" si="25"/>
        <v>729399.59100236883</v>
      </c>
      <c r="M64" s="13">
        <f t="shared" si="25"/>
        <v>771069.70324317343</v>
      </c>
    </row>
    <row r="66" spans="1:15" x14ac:dyDescent="0.25">
      <c r="A66" s="25" t="s">
        <v>98</v>
      </c>
      <c r="D66" s="15">
        <f t="shared" ref="D66:M66" si="26">D50-D64</f>
        <v>0</v>
      </c>
      <c r="E66" s="11">
        <f t="shared" si="26"/>
        <v>0</v>
      </c>
      <c r="F66" s="15">
        <f t="shared" si="26"/>
        <v>0.15492511622142047</v>
      </c>
      <c r="G66" s="15">
        <f t="shared" si="26"/>
        <v>0.27264245052356273</v>
      </c>
      <c r="H66" s="15">
        <f t="shared" si="26"/>
        <v>0.12383434490766376</v>
      </c>
      <c r="I66" s="15">
        <f t="shared" si="26"/>
        <v>-0.17556913790758699</v>
      </c>
      <c r="J66" s="15">
        <f t="shared" si="26"/>
        <v>-0.11446077306754887</v>
      </c>
      <c r="K66" s="15">
        <f t="shared" si="26"/>
        <v>0.17112491803709418</v>
      </c>
      <c r="L66" s="15">
        <f t="shared" si="26"/>
        <v>0.14038788317702711</v>
      </c>
      <c r="M66" s="15">
        <f t="shared" si="26"/>
        <v>-5.3756887326017022E-2</v>
      </c>
    </row>
    <row r="67" spans="1:15" s="28" customFormat="1" x14ac:dyDescent="0.25"/>
    <row r="69" spans="1:15" x14ac:dyDescent="0.25">
      <c r="A69" s="25" t="s">
        <v>131</v>
      </c>
      <c r="C69" s="1">
        <v>0</v>
      </c>
      <c r="D69" s="1">
        <v>1</v>
      </c>
      <c r="E69" s="1">
        <v>2</v>
      </c>
      <c r="F69" s="1">
        <v>3</v>
      </c>
      <c r="G69" s="1">
        <v>4</v>
      </c>
      <c r="H69" s="1">
        <v>5</v>
      </c>
      <c r="I69" s="1">
        <v>6</v>
      </c>
      <c r="J69" s="1">
        <v>7</v>
      </c>
      <c r="K69" s="1">
        <v>8</v>
      </c>
      <c r="L69" s="1">
        <v>9</v>
      </c>
      <c r="M69" s="1">
        <v>10</v>
      </c>
    </row>
    <row r="71" spans="1:15" x14ac:dyDescent="0.25">
      <c r="A71" s="25" t="s">
        <v>132</v>
      </c>
    </row>
    <row r="72" spans="1:15" x14ac:dyDescent="0.25">
      <c r="B72" s="1" t="s">
        <v>133</v>
      </c>
      <c r="D72" s="11">
        <f t="shared" ref="D72:M72" si="27">SUM(D16:D18)-SUM(D19:D22)</f>
        <v>71193.764999999999</v>
      </c>
      <c r="E72" s="11">
        <f t="shared" si="27"/>
        <v>60815.717410687532</v>
      </c>
      <c r="F72" s="11">
        <f t="shared" si="27"/>
        <v>63588.04495459082</v>
      </c>
      <c r="G72" s="11">
        <f t="shared" si="27"/>
        <v>66441.629208151455</v>
      </c>
      <c r="H72" s="11">
        <f t="shared" si="27"/>
        <v>69378.798270344661</v>
      </c>
      <c r="I72" s="11">
        <f t="shared" si="27"/>
        <v>72401.946058376503</v>
      </c>
      <c r="J72" s="11">
        <f t="shared" si="27"/>
        <v>75513.534153495464</v>
      </c>
      <c r="K72" s="11">
        <f t="shared" si="27"/>
        <v>78716.093698310971</v>
      </c>
      <c r="L72" s="11">
        <f t="shared" si="27"/>
        <v>82012.227347053806</v>
      </c>
      <c r="M72" s="11">
        <f t="shared" si="27"/>
        <v>85404.611270249356</v>
      </c>
    </row>
    <row r="73" spans="1:15" x14ac:dyDescent="0.25">
      <c r="B73" s="1" t="s">
        <v>134</v>
      </c>
      <c r="D73" s="11">
        <f>D25+D26</f>
        <v>9523.8095238095248</v>
      </c>
      <c r="E73" s="11">
        <f t="shared" ref="E73:M73" si="28">E25+E26</f>
        <v>9523.8095238095248</v>
      </c>
      <c r="F73" s="11">
        <f t="shared" si="28"/>
        <v>9523.8095238095248</v>
      </c>
      <c r="G73" s="11">
        <f t="shared" si="28"/>
        <v>9523.8095238095248</v>
      </c>
      <c r="H73" s="11">
        <f t="shared" si="28"/>
        <v>9523.8095238095248</v>
      </c>
      <c r="I73" s="11">
        <f t="shared" si="28"/>
        <v>9523.8095238095248</v>
      </c>
      <c r="J73" s="11">
        <f t="shared" si="28"/>
        <v>9523.8095238095248</v>
      </c>
      <c r="K73" s="11">
        <f t="shared" si="28"/>
        <v>6666.666666666667</v>
      </c>
      <c r="L73" s="11">
        <f t="shared" si="28"/>
        <v>6666.666666666667</v>
      </c>
      <c r="M73" s="11">
        <f t="shared" si="28"/>
        <v>6666.666666666667</v>
      </c>
    </row>
    <row r="74" spans="1:15" x14ac:dyDescent="0.25">
      <c r="B74" s="1" t="s">
        <v>135</v>
      </c>
      <c r="D74" s="11">
        <f t="shared" ref="D74:M74" si="29">D72-D73</f>
        <v>61669.955476190473</v>
      </c>
      <c r="E74" s="11">
        <f t="shared" si="29"/>
        <v>51291.907886878005</v>
      </c>
      <c r="F74" s="11">
        <f t="shared" si="29"/>
        <v>54064.235430781293</v>
      </c>
      <c r="G74" s="11">
        <f t="shared" si="29"/>
        <v>56917.819684341928</v>
      </c>
      <c r="H74" s="11">
        <f t="shared" si="29"/>
        <v>59854.988746535135</v>
      </c>
      <c r="I74" s="11">
        <f t="shared" si="29"/>
        <v>62878.136534566976</v>
      </c>
      <c r="J74" s="11">
        <f t="shared" si="29"/>
        <v>65989.724629685938</v>
      </c>
      <c r="K74" s="11">
        <f t="shared" si="29"/>
        <v>72049.4270316443</v>
      </c>
      <c r="L74" s="11">
        <f t="shared" si="29"/>
        <v>75345.560680387134</v>
      </c>
      <c r="M74" s="11">
        <f t="shared" si="29"/>
        <v>78737.944603582684</v>
      </c>
    </row>
    <row r="75" spans="1:15" x14ac:dyDescent="0.25">
      <c r="B75" s="1" t="s">
        <v>136</v>
      </c>
      <c r="D75" s="11">
        <f t="shared" ref="D75:M75" si="30">D74*0.25</f>
        <v>15417.488869047618</v>
      </c>
      <c r="E75" s="11">
        <f t="shared" si="30"/>
        <v>12822.976971719501</v>
      </c>
      <c r="F75" s="11">
        <f t="shared" si="30"/>
        <v>13516.058857695323</v>
      </c>
      <c r="G75" s="11">
        <f t="shared" si="30"/>
        <v>14229.454921085482</v>
      </c>
      <c r="H75" s="11">
        <f t="shared" si="30"/>
        <v>14963.747186633784</v>
      </c>
      <c r="I75" s="11">
        <f t="shared" si="30"/>
        <v>15719.534133641744</v>
      </c>
      <c r="J75" s="11">
        <f t="shared" si="30"/>
        <v>16497.431157421484</v>
      </c>
      <c r="K75" s="11">
        <f t="shared" si="30"/>
        <v>18012.356757911075</v>
      </c>
      <c r="L75" s="11">
        <f t="shared" si="30"/>
        <v>18836.390170096784</v>
      </c>
      <c r="M75" s="11">
        <f t="shared" si="30"/>
        <v>19684.486150895671</v>
      </c>
    </row>
    <row r="76" spans="1:15" x14ac:dyDescent="0.25">
      <c r="A76" s="25" t="s">
        <v>137</v>
      </c>
      <c r="D76" s="11">
        <f t="shared" ref="D76:M76" si="31">D72-D75</f>
        <v>55776.276130952378</v>
      </c>
      <c r="E76" s="11">
        <f t="shared" si="31"/>
        <v>47992.740438968031</v>
      </c>
      <c r="F76" s="11">
        <f t="shared" si="31"/>
        <v>50071.986096895496</v>
      </c>
      <c r="G76" s="11">
        <f t="shared" si="31"/>
        <v>52212.174287065973</v>
      </c>
      <c r="H76" s="11">
        <f t="shared" si="31"/>
        <v>54415.051083710874</v>
      </c>
      <c r="I76" s="11">
        <f t="shared" si="31"/>
        <v>56682.411924734755</v>
      </c>
      <c r="J76" s="11">
        <f t="shared" si="31"/>
        <v>59016.102996073983</v>
      </c>
      <c r="K76" s="11">
        <f t="shared" si="31"/>
        <v>60703.736940399896</v>
      </c>
      <c r="L76" s="11">
        <f t="shared" si="31"/>
        <v>63175.837176957022</v>
      </c>
      <c r="M76" s="11">
        <f t="shared" si="31"/>
        <v>65720.125119353688</v>
      </c>
    </row>
    <row r="78" spans="1:15" x14ac:dyDescent="0.25">
      <c r="A78" s="25" t="s">
        <v>138</v>
      </c>
    </row>
    <row r="79" spans="1:15" x14ac:dyDescent="0.25">
      <c r="A79" s="25" t="s">
        <v>139</v>
      </c>
    </row>
    <row r="80" spans="1:15" x14ac:dyDescent="0.25">
      <c r="B80" s="1" t="s">
        <v>102</v>
      </c>
      <c r="C80" s="15">
        <f t="shared" ref="C80:L80" si="32">-(D43-C43)</f>
        <v>-300000</v>
      </c>
      <c r="D80" s="15">
        <f t="shared" si="32"/>
        <v>0</v>
      </c>
      <c r="E80" s="15">
        <f t="shared" si="32"/>
        <v>0</v>
      </c>
      <c r="F80" s="15">
        <f t="shared" si="32"/>
        <v>0</v>
      </c>
      <c r="G80" s="15">
        <f t="shared" si="32"/>
        <v>0</v>
      </c>
      <c r="H80" s="15">
        <f t="shared" si="32"/>
        <v>0</v>
      </c>
      <c r="I80" s="15">
        <f t="shared" si="32"/>
        <v>0</v>
      </c>
      <c r="J80" s="15">
        <f t="shared" si="32"/>
        <v>0</v>
      </c>
      <c r="K80" s="15">
        <f t="shared" si="32"/>
        <v>0</v>
      </c>
      <c r="L80" s="15">
        <f t="shared" si="32"/>
        <v>0</v>
      </c>
      <c r="M80" s="15">
        <f>-(N44-M43)</f>
        <v>300000</v>
      </c>
      <c r="N80" s="1">
        <v>0.2</v>
      </c>
      <c r="O80" s="1" t="s">
        <v>140</v>
      </c>
    </row>
    <row r="81" spans="1:17" x14ac:dyDescent="0.25">
      <c r="B81" s="1" t="s">
        <v>141</v>
      </c>
      <c r="M81" s="15">
        <f>M80*N80</f>
        <v>60000</v>
      </c>
      <c r="N81" s="1" t="s">
        <v>142</v>
      </c>
      <c r="O81" s="15">
        <f>M43</f>
        <v>300000</v>
      </c>
    </row>
    <row r="82" spans="1:17" x14ac:dyDescent="0.25">
      <c r="B82" s="1" t="s">
        <v>143</v>
      </c>
      <c r="M82" s="11">
        <f>IF(O82&lt;0,,-O82*0.25)</f>
        <v>-15000</v>
      </c>
      <c r="N82" s="1" t="s">
        <v>144</v>
      </c>
      <c r="O82" s="15">
        <f>M80+M81-O81</f>
        <v>60000</v>
      </c>
    </row>
    <row r="84" spans="1:17" x14ac:dyDescent="0.25">
      <c r="B84" s="1" t="s">
        <v>145</v>
      </c>
      <c r="C84" s="15">
        <f t="shared" ref="C84:L84" si="33">-(D44-C44)</f>
        <v>-20000</v>
      </c>
      <c r="D84" s="15">
        <f t="shared" si="33"/>
        <v>0</v>
      </c>
      <c r="E84" s="15">
        <f t="shared" si="33"/>
        <v>0</v>
      </c>
      <c r="F84" s="15">
        <f t="shared" si="33"/>
        <v>0</v>
      </c>
      <c r="G84" s="15">
        <f t="shared" si="33"/>
        <v>0</v>
      </c>
      <c r="H84" s="15">
        <f t="shared" si="33"/>
        <v>0</v>
      </c>
      <c r="I84" s="15">
        <f t="shared" si="33"/>
        <v>0</v>
      </c>
      <c r="J84" s="15">
        <f t="shared" si="33"/>
        <v>0</v>
      </c>
      <c r="K84" s="15">
        <f t="shared" si="33"/>
        <v>0</v>
      </c>
      <c r="L84" s="15">
        <f t="shared" si="33"/>
        <v>0</v>
      </c>
      <c r="M84" s="15">
        <f>-(N45-M44)</f>
        <v>20000</v>
      </c>
      <c r="N84" s="1" t="s">
        <v>142</v>
      </c>
      <c r="O84" s="15">
        <f>M44-M45</f>
        <v>0</v>
      </c>
    </row>
    <row r="85" spans="1:17" x14ac:dyDescent="0.25">
      <c r="B85" s="1" t="s">
        <v>141</v>
      </c>
      <c r="M85" s="11">
        <v>-20000</v>
      </c>
      <c r="N85" s="1" t="s">
        <v>144</v>
      </c>
      <c r="O85" s="15">
        <f>M84+M85-O84</f>
        <v>0</v>
      </c>
    </row>
    <row r="86" spans="1:17" x14ac:dyDescent="0.25">
      <c r="B86" s="1" t="s">
        <v>143</v>
      </c>
      <c r="M86" s="11">
        <f>IF(O85&lt;0,,-O85*0.25)</f>
        <v>0</v>
      </c>
    </row>
    <row r="88" spans="1:17" x14ac:dyDescent="0.25">
      <c r="B88" s="1" t="s">
        <v>128</v>
      </c>
      <c r="C88" s="15">
        <f>-(D42-C42)</f>
        <v>-200000</v>
      </c>
      <c r="D88" s="15">
        <f t="shared" ref="D88:M88" si="34">-(E42-D42)</f>
        <v>0</v>
      </c>
      <c r="E88" s="15">
        <f t="shared" si="34"/>
        <v>0</v>
      </c>
      <c r="F88" s="15">
        <f t="shared" si="34"/>
        <v>0</v>
      </c>
      <c r="G88" s="15">
        <f t="shared" si="34"/>
        <v>0</v>
      </c>
      <c r="H88" s="15">
        <f t="shared" si="34"/>
        <v>0</v>
      </c>
      <c r="I88" s="15">
        <f t="shared" si="34"/>
        <v>0</v>
      </c>
      <c r="J88" s="15">
        <f t="shared" si="34"/>
        <v>0</v>
      </c>
      <c r="K88" s="15">
        <f t="shared" si="34"/>
        <v>0</v>
      </c>
      <c r="L88" s="15">
        <f t="shared" si="34"/>
        <v>0</v>
      </c>
      <c r="M88" s="15">
        <f t="shared" si="34"/>
        <v>200000</v>
      </c>
      <c r="N88" s="1" t="s">
        <v>142</v>
      </c>
      <c r="O88" s="15">
        <f>M42-M46</f>
        <v>133333.33333333334</v>
      </c>
      <c r="P88" s="1">
        <v>0.15</v>
      </c>
      <c r="Q88" s="1" t="s">
        <v>140</v>
      </c>
    </row>
    <row r="89" spans="1:17" x14ac:dyDescent="0.25">
      <c r="B89" s="1" t="s">
        <v>141</v>
      </c>
      <c r="M89" s="15">
        <f>M88*P88</f>
        <v>30000</v>
      </c>
      <c r="N89" s="1" t="s">
        <v>144</v>
      </c>
      <c r="O89" s="15">
        <f>M88+M89-O88</f>
        <v>96666.666666666657</v>
      </c>
    </row>
    <row r="90" spans="1:17" x14ac:dyDescent="0.25">
      <c r="B90" s="1" t="s">
        <v>143</v>
      </c>
      <c r="M90" s="11">
        <f>IF(O89&lt;0,,-O89*0.25)</f>
        <v>-24166.666666666664</v>
      </c>
    </row>
    <row r="92" spans="1:17" x14ac:dyDescent="0.25">
      <c r="A92" s="25" t="s">
        <v>146</v>
      </c>
    </row>
    <row r="93" spans="1:17" x14ac:dyDescent="0.25">
      <c r="A93" s="1" t="s">
        <v>147</v>
      </c>
      <c r="B93" s="1" t="s">
        <v>96</v>
      </c>
      <c r="C93" s="15">
        <f>-(D37-C37)</f>
        <v>-5000</v>
      </c>
      <c r="D93" s="15">
        <f t="shared" ref="D93:M93" si="35">-(E37-D37)</f>
        <v>0</v>
      </c>
      <c r="E93" s="15">
        <f t="shared" si="35"/>
        <v>0</v>
      </c>
      <c r="F93" s="15">
        <f t="shared" si="35"/>
        <v>0</v>
      </c>
      <c r="G93" s="15">
        <f t="shared" si="35"/>
        <v>0</v>
      </c>
      <c r="H93" s="15">
        <f t="shared" si="35"/>
        <v>0</v>
      </c>
      <c r="I93" s="15">
        <f t="shared" si="35"/>
        <v>0</v>
      </c>
      <c r="J93" s="15">
        <f t="shared" si="35"/>
        <v>0</v>
      </c>
      <c r="K93" s="15">
        <f t="shared" si="35"/>
        <v>0</v>
      </c>
      <c r="L93" s="15">
        <f t="shared" si="35"/>
        <v>0</v>
      </c>
      <c r="M93" s="15">
        <f t="shared" si="35"/>
        <v>5000</v>
      </c>
    </row>
    <row r="94" spans="1:17" x14ac:dyDescent="0.25">
      <c r="A94" s="1" t="s">
        <v>147</v>
      </c>
      <c r="B94" s="1" t="s">
        <v>97</v>
      </c>
      <c r="C94" s="15">
        <f>-(D38-C38)</f>
        <v>0</v>
      </c>
      <c r="D94" s="15">
        <f t="shared" ref="D94:M94" si="36">-(E38-D38)</f>
        <v>0</v>
      </c>
      <c r="E94" s="15">
        <f t="shared" si="36"/>
        <v>-4329</v>
      </c>
      <c r="F94" s="15">
        <f t="shared" si="36"/>
        <v>-35750</v>
      </c>
      <c r="G94" s="15">
        <f t="shared" si="36"/>
        <v>-37753</v>
      </c>
      <c r="H94" s="15">
        <f t="shared" si="36"/>
        <v>-39814</v>
      </c>
      <c r="I94" s="15">
        <f t="shared" si="36"/>
        <v>-41935</v>
      </c>
      <c r="J94" s="15">
        <f t="shared" si="36"/>
        <v>-44117</v>
      </c>
      <c r="K94" s="15">
        <f t="shared" si="36"/>
        <v>-45647</v>
      </c>
      <c r="L94" s="15">
        <f t="shared" si="36"/>
        <v>-47956</v>
      </c>
      <c r="M94" s="15">
        <f t="shared" si="36"/>
        <v>297301</v>
      </c>
    </row>
    <row r="95" spans="1:17" x14ac:dyDescent="0.25">
      <c r="A95" s="1" t="s">
        <v>147</v>
      </c>
      <c r="B95" s="1" t="s">
        <v>19</v>
      </c>
      <c r="C95" s="15">
        <f>-(D39-C39)</f>
        <v>-4626.4315068493152</v>
      </c>
      <c r="D95" s="15">
        <f t="shared" ref="D95:M95" si="37">-(E39-D39)</f>
        <v>-4882.5044907534257</v>
      </c>
      <c r="E95" s="15">
        <f t="shared" si="37"/>
        <v>-263.15980373365892</v>
      </c>
      <c r="F95" s="15">
        <f t="shared" si="37"/>
        <v>-270.44275130198366</v>
      </c>
      <c r="G95" s="15">
        <f t="shared" si="37"/>
        <v>-277.92725444427015</v>
      </c>
      <c r="H95" s="15">
        <f t="shared" si="37"/>
        <v>-285.61889121101012</v>
      </c>
      <c r="I95" s="15">
        <f t="shared" si="37"/>
        <v>-293.52339402528014</v>
      </c>
      <c r="J95" s="15">
        <f t="shared" si="37"/>
        <v>-301.64665395492739</v>
      </c>
      <c r="K95" s="15">
        <f t="shared" si="37"/>
        <v>-309.99472510312989</v>
      </c>
      <c r="L95" s="15">
        <f t="shared" si="37"/>
        <v>-318.57382912035973</v>
      </c>
      <c r="M95" s="15">
        <f t="shared" si="37"/>
        <v>11829.823300497361</v>
      </c>
    </row>
    <row r="96" spans="1:17" x14ac:dyDescent="0.25">
      <c r="A96" s="1" t="s">
        <v>147</v>
      </c>
      <c r="B96" s="1" t="s">
        <v>20</v>
      </c>
      <c r="C96" s="15">
        <f>-(D40-C40)</f>
        <v>-1542.1438356164385</v>
      </c>
      <c r="D96" s="15">
        <f t="shared" ref="D96:M96" si="38">-(E40-D40)</f>
        <v>-1596.1188698630144</v>
      </c>
      <c r="E96" s="15">
        <f t="shared" si="38"/>
        <v>-54.919597345889997</v>
      </c>
      <c r="F96" s="15">
        <f t="shared" si="38"/>
        <v>-55.880690299443813</v>
      </c>
      <c r="G96" s="15">
        <f t="shared" si="38"/>
        <v>-56.858602379683816</v>
      </c>
      <c r="H96" s="15">
        <f t="shared" si="38"/>
        <v>-57.853627921328552</v>
      </c>
      <c r="I96" s="15">
        <f t="shared" si="38"/>
        <v>-58.8660664099516</v>
      </c>
      <c r="J96" s="15">
        <f t="shared" si="38"/>
        <v>-59.896222572126135</v>
      </c>
      <c r="K96" s="15">
        <f t="shared" si="38"/>
        <v>-60.944406467137924</v>
      </c>
      <c r="L96" s="15">
        <f t="shared" si="38"/>
        <v>-62.010933580312667</v>
      </c>
      <c r="M96" s="15">
        <f t="shared" si="38"/>
        <v>3605.4928524553275</v>
      </c>
    </row>
    <row r="97" spans="1:13" x14ac:dyDescent="0.25">
      <c r="A97" s="1" t="s">
        <v>148</v>
      </c>
      <c r="B97" s="1" t="s">
        <v>95</v>
      </c>
      <c r="C97" s="15">
        <f>(D54-C54)</f>
        <v>1028.0958904109589</v>
      </c>
      <c r="D97" s="15">
        <f t="shared" ref="D97:M97" si="39">(E54-D54)</f>
        <v>1064.0792465753429</v>
      </c>
      <c r="E97" s="15">
        <f t="shared" si="39"/>
        <v>36.613064897259846</v>
      </c>
      <c r="F97" s="15">
        <f t="shared" si="39"/>
        <v>37.253793532962845</v>
      </c>
      <c r="G97" s="15">
        <f t="shared" si="39"/>
        <v>37.905734919789211</v>
      </c>
      <c r="H97" s="15">
        <f t="shared" si="39"/>
        <v>38.569085280885702</v>
      </c>
      <c r="I97" s="15">
        <f t="shared" si="39"/>
        <v>39.244044273300915</v>
      </c>
      <c r="J97" s="15">
        <f t="shared" si="39"/>
        <v>39.930815048084241</v>
      </c>
      <c r="K97" s="15">
        <f t="shared" si="39"/>
        <v>40.629604311425283</v>
      </c>
      <c r="L97" s="15">
        <f t="shared" si="39"/>
        <v>41.340622386875111</v>
      </c>
      <c r="M97" s="15">
        <f t="shared" si="39"/>
        <v>-2403.661901636885</v>
      </c>
    </row>
    <row r="99" spans="1:13" x14ac:dyDescent="0.25">
      <c r="A99" s="25" t="s">
        <v>149</v>
      </c>
      <c r="C99" s="11">
        <f t="shared" ref="C99:M99" si="40">SUM(C76:C97)</f>
        <v>-530140.47945205483</v>
      </c>
      <c r="D99" s="11">
        <f t="shared" si="40"/>
        <v>50361.732016911279</v>
      </c>
      <c r="E99" s="11">
        <f t="shared" si="40"/>
        <v>43382.274102785741</v>
      </c>
      <c r="F99" s="11">
        <f t="shared" si="40"/>
        <v>14032.916448827033</v>
      </c>
      <c r="G99" s="11">
        <f t="shared" si="40"/>
        <v>14162.294165161809</v>
      </c>
      <c r="H99" s="11">
        <f t="shared" si="40"/>
        <v>14296.147649859422</v>
      </c>
      <c r="I99" s="11">
        <f t="shared" si="40"/>
        <v>14434.266508572824</v>
      </c>
      <c r="J99" s="11">
        <f t="shared" si="40"/>
        <v>14577.490934595015</v>
      </c>
      <c r="K99" s="11">
        <f t="shared" si="40"/>
        <v>14726.427413141055</v>
      </c>
      <c r="L99" s="11">
        <f t="shared" si="40"/>
        <v>14880.593036643224</v>
      </c>
      <c r="M99" s="11">
        <f t="shared" si="40"/>
        <v>931886.11270400288</v>
      </c>
    </row>
    <row r="100" spans="1:13" x14ac:dyDescent="0.25">
      <c r="A100" s="25" t="s">
        <v>150</v>
      </c>
      <c r="C100" s="31">
        <f>IRR(C99:M99)</f>
        <v>9.1797717838520088E-2</v>
      </c>
    </row>
    <row r="101" spans="1:13" x14ac:dyDescent="0.25">
      <c r="A101" s="25" t="s">
        <v>151</v>
      </c>
      <c r="C101" s="31">
        <f>S62</f>
        <v>9.0765437699824619E-2</v>
      </c>
    </row>
    <row r="102" spans="1:13" x14ac:dyDescent="0.25">
      <c r="A102" s="25" t="s">
        <v>152</v>
      </c>
      <c r="C102" s="33">
        <f>NPV(C101,C99:M99)</f>
        <v>3776.0316727844047</v>
      </c>
    </row>
  </sheetData>
  <sheetProtection selectLockedCells="1" selectUnlockedCells="1"/>
  <dataConsolidate/>
  <pageMargins left="0.7" right="0.7" top="0.75" bottom="0.75" header="0.51180555555555551" footer="0.51180555555555551"/>
  <pageSetup firstPageNumber="0" fitToHeight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12"/>
  <sheetViews>
    <sheetView tabSelected="1" zoomScale="115" zoomScaleNormal="115" workbookViewId="0">
      <selection activeCell="P63" sqref="P63"/>
    </sheetView>
  </sheetViews>
  <sheetFormatPr defaultColWidth="9.42578125" defaultRowHeight="15" x14ac:dyDescent="0.25"/>
  <cols>
    <col min="1" max="1" width="4.85546875" style="1" customWidth="1"/>
    <col min="2" max="2" width="25.85546875" style="1" customWidth="1"/>
    <col min="3" max="3" width="11.85546875" style="1" bestFit="1" customWidth="1"/>
    <col min="4" max="4" width="14.140625" style="1" customWidth="1"/>
    <col min="5" max="5" width="12" style="1" customWidth="1"/>
    <col min="6" max="6" width="12.42578125" style="1" customWidth="1"/>
    <col min="7" max="7" width="12.5703125" style="1" bestFit="1" customWidth="1"/>
    <col min="8" max="8" width="12.85546875" style="1" bestFit="1" customWidth="1"/>
    <col min="9" max="9" width="12.140625" style="1" bestFit="1" customWidth="1"/>
    <col min="10" max="10" width="12" style="1" customWidth="1"/>
    <col min="11" max="11" width="10.5703125" style="1" bestFit="1" customWidth="1"/>
    <col min="12" max="12" width="15" style="1" bestFit="1" customWidth="1"/>
    <col min="13" max="13" width="10.7109375" style="1" bestFit="1" customWidth="1"/>
    <col min="14" max="14" width="9.42578125" style="1"/>
    <col min="15" max="15" width="13" style="1" customWidth="1"/>
    <col min="16" max="16" width="15.5703125" style="1" customWidth="1"/>
    <col min="17" max="16384" width="9.42578125" style="1"/>
  </cols>
  <sheetData>
    <row r="1" spans="1:10" s="3" customFormat="1" x14ac:dyDescent="0.25">
      <c r="A1" s="2" t="s">
        <v>170</v>
      </c>
    </row>
    <row r="2" spans="1:10" x14ac:dyDescent="0.25">
      <c r="A2" s="4" t="s">
        <v>0</v>
      </c>
    </row>
    <row r="3" spans="1:10" x14ac:dyDescent="0.25">
      <c r="D3" s="1" t="s">
        <v>107</v>
      </c>
      <c r="E3" s="1" t="s">
        <v>108</v>
      </c>
      <c r="F3" s="1" t="s">
        <v>109</v>
      </c>
      <c r="G3" s="1" t="s">
        <v>110</v>
      </c>
      <c r="H3" s="1" t="s">
        <v>111</v>
      </c>
    </row>
    <row r="4" spans="1:10" x14ac:dyDescent="0.25">
      <c r="A4" s="4" t="s">
        <v>1</v>
      </c>
    </row>
    <row r="5" spans="1:10" x14ac:dyDescent="0.25">
      <c r="A5" s="1" t="s">
        <v>2</v>
      </c>
      <c r="D5" s="5">
        <f>D6*0.25</f>
        <v>46.5</v>
      </c>
      <c r="E5" s="27">
        <f>((1+$I5)*D6)/2</f>
        <v>18.599999999999994</v>
      </c>
      <c r="F5" s="5">
        <f>(1+$I5)*E5</f>
        <v>3.719999999999998</v>
      </c>
      <c r="G5" s="5">
        <f>(1+$I5)*F5</f>
        <v>0.74399999999999944</v>
      </c>
      <c r="H5" s="5">
        <f>(1+$I5)*G5</f>
        <v>0.14879999999999985</v>
      </c>
      <c r="I5" s="6">
        <v>-0.8</v>
      </c>
      <c r="J5" s="1" t="s">
        <v>3</v>
      </c>
    </row>
    <row r="6" spans="1:10" x14ac:dyDescent="0.25">
      <c r="A6" s="1" t="s">
        <v>123</v>
      </c>
      <c r="D6" s="5">
        <v>186</v>
      </c>
      <c r="E6" s="5">
        <f>E5</f>
        <v>18.599999999999994</v>
      </c>
      <c r="F6" s="5">
        <f t="shared" ref="F6:H6" si="0">F5</f>
        <v>3.719999999999998</v>
      </c>
      <c r="G6" s="5">
        <f t="shared" si="0"/>
        <v>0.74399999999999944</v>
      </c>
      <c r="H6" s="5">
        <f t="shared" si="0"/>
        <v>0.14879999999999985</v>
      </c>
      <c r="I6" s="6"/>
    </row>
    <row r="7" spans="1:10" x14ac:dyDescent="0.25">
      <c r="A7" s="1" t="s">
        <v>4</v>
      </c>
      <c r="D7" s="7">
        <v>807</v>
      </c>
      <c r="E7" s="7">
        <f>(1+$I7)*D7</f>
        <v>201.75</v>
      </c>
      <c r="F7" s="7">
        <f>(1+$I7)*E7</f>
        <v>50.4375</v>
      </c>
      <c r="G7" s="7">
        <f>(1+$I7)*F7</f>
        <v>12.609375</v>
      </c>
      <c r="H7" s="7">
        <f>(1+$I7)*G7</f>
        <v>3.15234375</v>
      </c>
      <c r="I7" s="6">
        <v>-0.75</v>
      </c>
      <c r="J7" s="1" t="s">
        <v>3</v>
      </c>
    </row>
    <row r="8" spans="1:10" x14ac:dyDescent="0.25">
      <c r="D8" s="7"/>
      <c r="E8" s="7"/>
      <c r="F8" s="7"/>
      <c r="G8" s="7"/>
      <c r="H8" s="7"/>
      <c r="I8" s="6"/>
    </row>
    <row r="10" spans="1:10" x14ac:dyDescent="0.25">
      <c r="A10" s="4" t="s">
        <v>5</v>
      </c>
    </row>
    <row r="11" spans="1:10" x14ac:dyDescent="0.25">
      <c r="A11" s="1" t="s">
        <v>117</v>
      </c>
      <c r="D11" s="1">
        <v>90</v>
      </c>
      <c r="E11" s="1">
        <v>90</v>
      </c>
      <c r="F11" s="1">
        <v>90</v>
      </c>
      <c r="G11" s="1">
        <v>90</v>
      </c>
      <c r="H11" s="1">
        <v>90</v>
      </c>
      <c r="J11" s="1" t="s">
        <v>86</v>
      </c>
    </row>
    <row r="12" spans="1:10" x14ac:dyDescent="0.25">
      <c r="A12" s="1" t="s">
        <v>87</v>
      </c>
      <c r="D12" s="5">
        <v>45</v>
      </c>
      <c r="E12" s="5">
        <v>45</v>
      </c>
      <c r="F12" s="5">
        <v>45</v>
      </c>
      <c r="G12" s="5">
        <v>45</v>
      </c>
      <c r="H12" s="5">
        <v>45</v>
      </c>
      <c r="I12" s="8"/>
    </row>
    <row r="13" spans="1:10" x14ac:dyDescent="0.25">
      <c r="A13" s="1" t="s">
        <v>6</v>
      </c>
      <c r="D13" s="5">
        <v>30</v>
      </c>
      <c r="E13" s="5">
        <v>30</v>
      </c>
      <c r="F13" s="5">
        <v>30</v>
      </c>
      <c r="G13" s="5">
        <v>30</v>
      </c>
      <c r="H13" s="5">
        <v>30</v>
      </c>
      <c r="J13" s="1" t="s">
        <v>86</v>
      </c>
    </row>
    <row r="14" spans="1:10" x14ac:dyDescent="0.25">
      <c r="D14" s="9"/>
    </row>
    <row r="15" spans="1:10" x14ac:dyDescent="0.25">
      <c r="A15" s="4" t="s">
        <v>7</v>
      </c>
    </row>
    <row r="16" spans="1:10" x14ac:dyDescent="0.25">
      <c r="A16" s="10" t="s">
        <v>8</v>
      </c>
      <c r="D16" s="11">
        <f>(D5)*D7</f>
        <v>37525.5</v>
      </c>
      <c r="E16" s="11">
        <f t="shared" ref="E16:H16" si="1">(E5)*E7</f>
        <v>3752.5499999999988</v>
      </c>
      <c r="F16" s="11">
        <f t="shared" si="1"/>
        <v>187.62749999999988</v>
      </c>
      <c r="G16" s="11">
        <f t="shared" si="1"/>
        <v>9.3813749999999931</v>
      </c>
      <c r="H16" s="11">
        <f t="shared" si="1"/>
        <v>0.46906874999999953</v>
      </c>
      <c r="I16" s="12">
        <v>1.8</v>
      </c>
      <c r="J16" s="1" t="s">
        <v>9</v>
      </c>
    </row>
    <row r="17" spans="1:10" x14ac:dyDescent="0.25">
      <c r="A17" s="1" t="s">
        <v>122</v>
      </c>
      <c r="D17" s="11">
        <f>D6*(D7/2)</f>
        <v>75051</v>
      </c>
      <c r="E17" s="11">
        <f t="shared" ref="E17:H17" si="2">E6*(E7/2)</f>
        <v>1876.2749999999994</v>
      </c>
      <c r="F17" s="11">
        <f t="shared" si="2"/>
        <v>93.813749999999942</v>
      </c>
      <c r="G17" s="11">
        <f t="shared" si="2"/>
        <v>4.6906874999999966</v>
      </c>
      <c r="H17" s="11">
        <f t="shared" si="2"/>
        <v>0.23453437499999977</v>
      </c>
    </row>
    <row r="18" spans="1:10" x14ac:dyDescent="0.25">
      <c r="A18" s="1" t="s">
        <v>124</v>
      </c>
      <c r="D18" s="11">
        <f>((D6*$I$18)*D7)*$J$18</f>
        <v>1125.7650000000001</v>
      </c>
      <c r="E18" s="11">
        <f>((E6*$I$18)*E7)*$J$18</f>
        <v>28.144124999999992</v>
      </c>
      <c r="F18" s="11">
        <f>((F6*$I$18)*F7)*$J$18</f>
        <v>1.4072062499999991</v>
      </c>
      <c r="G18" s="11">
        <f>((G6*$I$18)*G7)*$J$18</f>
        <v>7.0360312499999939E-2</v>
      </c>
      <c r="H18" s="11">
        <f>((H6*$I$18)*H7)*$J$18</f>
        <v>3.518015624999996E-3</v>
      </c>
      <c r="I18" s="1">
        <v>0.03</v>
      </c>
      <c r="J18" s="1">
        <v>0.25</v>
      </c>
    </row>
    <row r="19" spans="1:10" x14ac:dyDescent="0.25">
      <c r="A19" s="1" t="s">
        <v>11</v>
      </c>
      <c r="D19" s="13">
        <f>(D5)*269</f>
        <v>12508.5</v>
      </c>
      <c r="E19" s="13">
        <f t="shared" ref="E19:H19" si="3">(E5)*269</f>
        <v>5003.3999999999987</v>
      </c>
      <c r="F19" s="13">
        <f t="shared" si="3"/>
        <v>1000.6799999999995</v>
      </c>
      <c r="G19" s="13">
        <f t="shared" si="3"/>
        <v>200.13599999999985</v>
      </c>
      <c r="H19" s="13">
        <f t="shared" si="3"/>
        <v>40.027199999999958</v>
      </c>
    </row>
    <row r="20" spans="1:10" x14ac:dyDescent="0.25">
      <c r="A20" s="10"/>
      <c r="D20" s="13"/>
      <c r="E20" s="13"/>
      <c r="F20" s="13"/>
      <c r="G20" s="13"/>
    </row>
    <row r="21" spans="1:10" x14ac:dyDescent="0.25">
      <c r="A21" s="1" t="s">
        <v>12</v>
      </c>
      <c r="D21" s="13"/>
      <c r="E21" s="13"/>
      <c r="F21" s="13"/>
      <c r="G21" s="13"/>
    </row>
    <row r="22" spans="1:10" x14ac:dyDescent="0.25">
      <c r="B22" s="1" t="s">
        <v>127</v>
      </c>
      <c r="D22" s="13">
        <f>[1]Mortgage!C14</f>
        <v>2820.1058358016035</v>
      </c>
      <c r="E22" s="13">
        <f>[1]Mortgage!C28</f>
        <v>2971.7764484221329</v>
      </c>
      <c r="F22" s="13">
        <f>[1]Mortgage!C42</f>
        <v>3131.6041927505094</v>
      </c>
      <c r="G22" s="13">
        <f>[1]Mortgage!C56</f>
        <v>3300.0277747202599</v>
      </c>
      <c r="H22" s="13">
        <f>[1]Mortgage!C70</f>
        <v>3477.5094946977406</v>
      </c>
    </row>
    <row r="23" spans="1:10" x14ac:dyDescent="0.25">
      <c r="B23" s="1" t="s">
        <v>14</v>
      </c>
      <c r="D23" s="13">
        <v>30000</v>
      </c>
      <c r="E23" s="13">
        <v>30000</v>
      </c>
      <c r="F23" s="13">
        <v>30000</v>
      </c>
      <c r="G23" s="13">
        <v>30000</v>
      </c>
      <c r="H23" s="13">
        <v>30000</v>
      </c>
      <c r="I23" s="14" t="s">
        <v>169</v>
      </c>
    </row>
    <row r="24" spans="1:10" x14ac:dyDescent="0.25">
      <c r="B24" s="1" t="s">
        <v>118</v>
      </c>
      <c r="D24" s="13">
        <f>((D5+D6)*D7)*($I$24)</f>
        <v>9381.375</v>
      </c>
      <c r="E24" s="13">
        <f>((E5+E6)*E7)*($I$24)</f>
        <v>375.25499999999988</v>
      </c>
      <c r="F24" s="13">
        <f>((F5+F6)*F7)*($I$24)</f>
        <v>18.76274999999999</v>
      </c>
      <c r="G24" s="13">
        <f>((G5+G6)*G7)*($I$24)</f>
        <v>0.9381374999999994</v>
      </c>
      <c r="H24" s="13">
        <f>((H5+H6)*H7)*($I$24)</f>
        <v>4.6906874999999959E-2</v>
      </c>
      <c r="I24" s="6">
        <v>0.05</v>
      </c>
      <c r="J24" s="1" t="s">
        <v>120</v>
      </c>
    </row>
    <row r="25" spans="1:10" x14ac:dyDescent="0.25">
      <c r="D25" s="13"/>
      <c r="E25" s="13"/>
      <c r="F25" s="13"/>
      <c r="G25" s="13"/>
    </row>
    <row r="26" spans="1:10" x14ac:dyDescent="0.25">
      <c r="A26" s="1" t="s">
        <v>99</v>
      </c>
      <c r="D26" s="11">
        <f>D46/$I26</f>
        <v>2857.1428571428573</v>
      </c>
      <c r="E26" s="11">
        <f>E46/$I26</f>
        <v>2857.1428571428573</v>
      </c>
      <c r="F26" s="11">
        <f>F46/$I26</f>
        <v>2857.1428571428573</v>
      </c>
      <c r="G26" s="11">
        <f>G46/$I26</f>
        <v>2857.1428571428573</v>
      </c>
      <c r="H26" s="11">
        <f>H46/$I26</f>
        <v>2857.1428571428573</v>
      </c>
      <c r="I26" s="1">
        <v>7</v>
      </c>
      <c r="J26" s="1" t="s">
        <v>16</v>
      </c>
    </row>
    <row r="27" spans="1:10" x14ac:dyDescent="0.25">
      <c r="A27" s="1" t="s">
        <v>129</v>
      </c>
      <c r="D27" s="11">
        <f>$D$43/$I$27</f>
        <v>6666.666666666667</v>
      </c>
      <c r="E27" s="11">
        <f>$D$43/$I$27</f>
        <v>6666.666666666667</v>
      </c>
      <c r="F27" s="11">
        <f>$D$43/$I$27</f>
        <v>6666.666666666667</v>
      </c>
      <c r="G27" s="11">
        <f>$D$43/$I$27</f>
        <v>6666.666666666667</v>
      </c>
      <c r="H27" s="11">
        <f>$D$43/$I$27</f>
        <v>6666.666666666667</v>
      </c>
      <c r="I27" s="1">
        <v>30</v>
      </c>
      <c r="J27" s="1" t="s">
        <v>130</v>
      </c>
    </row>
    <row r="28" spans="1:10" x14ac:dyDescent="0.25">
      <c r="D28" s="13"/>
      <c r="E28" s="13"/>
      <c r="F28" s="13"/>
      <c r="G28" s="13"/>
      <c r="I28" s="14"/>
    </row>
    <row r="29" spans="1:10" x14ac:dyDescent="0.25">
      <c r="A29" s="1" t="s">
        <v>126</v>
      </c>
      <c r="D29" s="13">
        <f>[1]Mortgage!D14</f>
        <v>10432.783015603958</v>
      </c>
      <c r="E29" s="13">
        <f>[1]Mortgage!D28</f>
        <v>10281.112402983428</v>
      </c>
      <c r="F29" s="13">
        <v>10121</v>
      </c>
      <c r="G29" s="13">
        <f>[1]Mortgage!D56</f>
        <v>9952.8610766852998</v>
      </c>
      <c r="H29" s="13">
        <f>[1]Mortgage!D70</f>
        <v>9775.379356707821</v>
      </c>
      <c r="I29" s="14"/>
    </row>
    <row r="30" spans="1:10" x14ac:dyDescent="0.25">
      <c r="A30" s="1" t="s">
        <v>101</v>
      </c>
      <c r="D30" s="13">
        <f>$I$30*D64</f>
        <v>3100.8300000000031</v>
      </c>
      <c r="E30" s="13">
        <f>$I$30*E64</f>
        <v>4487.2762202679678</v>
      </c>
      <c r="F30" s="13">
        <f>$I$30*F64</f>
        <v>7087.2320462134239</v>
      </c>
      <c r="G30" s="13">
        <f>$I$30*G64</f>
        <v>9435.3827400961891</v>
      </c>
      <c r="H30" s="13">
        <f>$I$30*H64</f>
        <v>12589.428187954507</v>
      </c>
      <c r="I30" s="6">
        <v>0.03</v>
      </c>
      <c r="J30" s="1" t="s">
        <v>91</v>
      </c>
    </row>
    <row r="31" spans="1:10" x14ac:dyDescent="0.25">
      <c r="D31" s="13"/>
      <c r="E31" s="13"/>
      <c r="F31" s="13"/>
      <c r="G31" s="13"/>
    </row>
    <row r="32" spans="1:10" x14ac:dyDescent="0.25">
      <c r="A32" s="1" t="s">
        <v>92</v>
      </c>
      <c r="D32" s="11">
        <f>SUM(D16:D18)-SUM(D19:D30)</f>
        <v>35934.861624784913</v>
      </c>
      <c r="E32" s="11">
        <f t="shared" ref="E32:H32" si="4">SUM(E16:E18)-SUM(E19:E30)</f>
        <v>-56985.660470483053</v>
      </c>
      <c r="F32" s="11">
        <f t="shared" si="4"/>
        <v>-60600.240056523449</v>
      </c>
      <c r="G32" s="11">
        <f t="shared" si="4"/>
        <v>-62399.01282999877</v>
      </c>
      <c r="H32" s="11">
        <f t="shared" si="4"/>
        <v>-65405.493548903964</v>
      </c>
      <c r="I32" s="6"/>
    </row>
    <row r="33" spans="1:12" x14ac:dyDescent="0.25">
      <c r="A33" s="24" t="s">
        <v>93</v>
      </c>
      <c r="D33" s="13">
        <f>IF(D32&lt;0,0,D32*0.25)</f>
        <v>8983.7154061962283</v>
      </c>
      <c r="E33" s="13">
        <f>IF(E32&lt;0,0,E32*0.25)</f>
        <v>0</v>
      </c>
      <c r="F33" s="13">
        <f>IF(F32&lt;0,0,F32*0.25)</f>
        <v>0</v>
      </c>
      <c r="G33" s="13">
        <f>IF(G32&lt;0,0,G32*0.25)</f>
        <v>0</v>
      </c>
      <c r="H33" s="13">
        <f t="shared" ref="H33" si="5">IF(H32&lt;0,0,H32*0.25)</f>
        <v>0</v>
      </c>
    </row>
    <row r="34" spans="1:12" x14ac:dyDescent="0.25">
      <c r="A34" s="1" t="s">
        <v>94</v>
      </c>
      <c r="D34" s="15">
        <f>D32-D33</f>
        <v>26951.146218588685</v>
      </c>
      <c r="E34" s="15">
        <f>E32-E33</f>
        <v>-56985.660470483053</v>
      </c>
      <c r="F34" s="15">
        <f>F32-F33</f>
        <v>-60600.240056523449</v>
      </c>
      <c r="G34" s="15">
        <f>G32-G33</f>
        <v>-62399.01282999877</v>
      </c>
      <c r="H34" s="15">
        <f t="shared" ref="H34" si="6">H32-H33</f>
        <v>-65405.493548903964</v>
      </c>
    </row>
    <row r="36" spans="1:12" x14ac:dyDescent="0.25">
      <c r="A36" s="4" t="s">
        <v>17</v>
      </c>
    </row>
    <row r="37" spans="1:12" x14ac:dyDescent="0.25">
      <c r="A37" s="4" t="s">
        <v>18</v>
      </c>
      <c r="J37" s="1" t="s">
        <v>171</v>
      </c>
      <c r="K37" s="1" t="s">
        <v>173</v>
      </c>
      <c r="L37" s="1" t="s">
        <v>174</v>
      </c>
    </row>
    <row r="38" spans="1:12" x14ac:dyDescent="0.25">
      <c r="B38" s="1" t="s">
        <v>96</v>
      </c>
      <c r="D38" s="13">
        <v>5000</v>
      </c>
      <c r="E38" s="13">
        <v>5000</v>
      </c>
      <c r="F38" s="13">
        <v>5000</v>
      </c>
      <c r="G38" s="13">
        <v>5000</v>
      </c>
      <c r="H38" s="13">
        <v>5000</v>
      </c>
      <c r="I38" s="11"/>
      <c r="J38" s="6">
        <v>1</v>
      </c>
      <c r="L38" s="15">
        <f>J38*H38</f>
        <v>5000</v>
      </c>
    </row>
    <row r="39" spans="1:12" x14ac:dyDescent="0.25">
      <c r="B39" s="1" t="s">
        <v>97</v>
      </c>
      <c r="D39" s="13">
        <v>32525.75252740474</v>
      </c>
      <c r="E39" s="13">
        <v>10462.167524999473</v>
      </c>
      <c r="F39" s="13">
        <v>40311</v>
      </c>
      <c r="G39" s="13">
        <v>49129</v>
      </c>
      <c r="H39" s="11">
        <v>81579</v>
      </c>
      <c r="I39" s="11"/>
      <c r="J39" s="6">
        <v>1</v>
      </c>
      <c r="L39" s="15">
        <f>J39*H39</f>
        <v>81579</v>
      </c>
    </row>
    <row r="40" spans="1:12" x14ac:dyDescent="0.25">
      <c r="B40" s="1" t="s">
        <v>19</v>
      </c>
      <c r="D40" s="11">
        <f>((D16/365)*D11)/2</f>
        <v>4626.4315068493152</v>
      </c>
      <c r="E40" s="11">
        <f t="shared" ref="E40:H40" si="7">((E16/365)*E11)/2</f>
        <v>462.64315068493136</v>
      </c>
      <c r="F40" s="11">
        <f t="shared" si="7"/>
        <v>23.132157534246563</v>
      </c>
      <c r="G40" s="11">
        <f t="shared" si="7"/>
        <v>1.156607876712328</v>
      </c>
      <c r="H40" s="11">
        <f t="shared" si="7"/>
        <v>5.7830393835616382E-2</v>
      </c>
      <c r="J40" s="6">
        <v>0.6</v>
      </c>
      <c r="L40" s="15">
        <f>J40*H40</f>
        <v>3.4698236301369825E-2</v>
      </c>
    </row>
    <row r="41" spans="1:12" x14ac:dyDescent="0.25">
      <c r="B41" s="1" t="s">
        <v>125</v>
      </c>
      <c r="D41" s="11">
        <f>D12*(D19/365)</f>
        <v>1542.1438356164385</v>
      </c>
      <c r="E41" s="11">
        <f t="shared" ref="E41:H41" si="8">E12*(E19/365)</f>
        <v>616.85753424657526</v>
      </c>
      <c r="F41" s="11">
        <f t="shared" si="8"/>
        <v>123.37150684931501</v>
      </c>
      <c r="G41" s="11">
        <f t="shared" si="8"/>
        <v>24.674301369862995</v>
      </c>
      <c r="H41" s="11">
        <f t="shared" si="8"/>
        <v>4.934860273972598</v>
      </c>
      <c r="J41" s="6">
        <v>0.6</v>
      </c>
      <c r="L41" s="15">
        <f>J41*H41</f>
        <v>2.9609161643835589</v>
      </c>
    </row>
    <row r="42" spans="1:12" x14ac:dyDescent="0.25">
      <c r="D42" s="26"/>
      <c r="E42" s="26"/>
      <c r="F42" s="26"/>
      <c r="G42" s="26"/>
      <c r="H42" s="26"/>
      <c r="J42" s="6"/>
    </row>
    <row r="43" spans="1:12" x14ac:dyDescent="0.25">
      <c r="B43" s="1" t="s">
        <v>128</v>
      </c>
      <c r="D43" s="11">
        <f>[1]Mortgage!$I$6</f>
        <v>200000</v>
      </c>
      <c r="E43" s="11">
        <f>[1]Mortgage!$I$6</f>
        <v>200000</v>
      </c>
      <c r="F43" s="11">
        <f>[1]Mortgage!$I$6</f>
        <v>200000</v>
      </c>
      <c r="G43" s="11">
        <f>[1]Mortgage!$I$6</f>
        <v>200000</v>
      </c>
      <c r="H43" s="11">
        <f>[1]Mortgage!$I$6</f>
        <v>200000</v>
      </c>
      <c r="J43" s="6">
        <v>0.85</v>
      </c>
      <c r="K43" s="15">
        <f>J43*H43</f>
        <v>170000</v>
      </c>
    </row>
    <row r="44" spans="1:12" x14ac:dyDescent="0.25">
      <c r="B44" s="1" t="s">
        <v>22</v>
      </c>
      <c r="D44" s="26">
        <f>D27+C27</f>
        <v>6666.666666666667</v>
      </c>
      <c r="E44" s="26">
        <f>E27+D44</f>
        <v>13333.333333333334</v>
      </c>
      <c r="F44" s="26">
        <f t="shared" ref="F44:H44" si="9">F27+E44</f>
        <v>20000</v>
      </c>
      <c r="G44" s="26">
        <f t="shared" si="9"/>
        <v>26666.666666666668</v>
      </c>
      <c r="H44" s="26">
        <f t="shared" si="9"/>
        <v>33333.333333333336</v>
      </c>
      <c r="J44" s="6"/>
    </row>
    <row r="45" spans="1:12" x14ac:dyDescent="0.25">
      <c r="B45" s="1" t="s">
        <v>102</v>
      </c>
      <c r="D45" s="11">
        <v>300000</v>
      </c>
      <c r="E45" s="11">
        <v>300000</v>
      </c>
      <c r="F45" s="11">
        <v>300000</v>
      </c>
      <c r="G45" s="11">
        <v>300000</v>
      </c>
      <c r="H45" s="11">
        <v>300000</v>
      </c>
      <c r="J45" s="6">
        <v>0.85</v>
      </c>
      <c r="K45" s="15">
        <f>J45*H45</f>
        <v>255000</v>
      </c>
    </row>
    <row r="46" spans="1:12" x14ac:dyDescent="0.25">
      <c r="B46" s="1" t="s">
        <v>119</v>
      </c>
      <c r="D46" s="11">
        <v>20000</v>
      </c>
      <c r="E46" s="11">
        <f>D46</f>
        <v>20000</v>
      </c>
      <c r="F46" s="11">
        <f>E46</f>
        <v>20000</v>
      </c>
      <c r="G46" s="11">
        <f>F46</f>
        <v>20000</v>
      </c>
      <c r="H46" s="11">
        <f t="shared" ref="H46" si="10">G46</f>
        <v>20000</v>
      </c>
      <c r="J46" s="6">
        <v>0.5</v>
      </c>
      <c r="L46" s="15">
        <f>J46*H46</f>
        <v>10000</v>
      </c>
    </row>
    <row r="47" spans="1:12" x14ac:dyDescent="0.25">
      <c r="B47" s="1" t="s">
        <v>22</v>
      </c>
      <c r="D47" s="13">
        <f>D26</f>
        <v>2857.1428571428573</v>
      </c>
      <c r="E47" s="13">
        <f t="shared" ref="E47:H47" si="11">D47+E26</f>
        <v>5714.2857142857147</v>
      </c>
      <c r="F47" s="13">
        <f t="shared" si="11"/>
        <v>8571.4285714285725</v>
      </c>
      <c r="G47" s="13">
        <f t="shared" si="11"/>
        <v>11428.571428571429</v>
      </c>
      <c r="H47" s="13">
        <f t="shared" si="11"/>
        <v>14285.714285714286</v>
      </c>
    </row>
    <row r="48" spans="1:12" x14ac:dyDescent="0.25">
      <c r="D48" s="13"/>
      <c r="E48" s="13"/>
      <c r="F48" s="13"/>
      <c r="G48" s="13"/>
      <c r="H48" s="13"/>
      <c r="I48" s="1" t="s">
        <v>179</v>
      </c>
      <c r="K48" s="1">
        <f>SUM(K38:K47)</f>
        <v>425000</v>
      </c>
    </row>
    <row r="49" spans="1:20" x14ac:dyDescent="0.25">
      <c r="D49" s="13"/>
      <c r="E49" s="13"/>
      <c r="F49" s="13"/>
      <c r="G49" s="13"/>
      <c r="H49" s="13"/>
      <c r="I49" s="1" t="s">
        <v>180</v>
      </c>
    </row>
    <row r="50" spans="1:20" x14ac:dyDescent="0.25">
      <c r="D50" s="13"/>
      <c r="E50" s="13"/>
      <c r="F50" s="13"/>
      <c r="G50" s="13"/>
      <c r="H50" s="13"/>
      <c r="I50" s="1" t="s">
        <v>181</v>
      </c>
      <c r="L50" s="1">
        <v>-2000</v>
      </c>
    </row>
    <row r="51" spans="1:20" x14ac:dyDescent="0.25">
      <c r="D51" s="13"/>
      <c r="E51" s="13"/>
      <c r="F51" s="13"/>
      <c r="G51" s="13"/>
      <c r="H51" s="13"/>
      <c r="I51" s="1" t="s">
        <v>179</v>
      </c>
      <c r="L51" s="15">
        <f>SUM(L38:L50)</f>
        <v>94581.995614400686</v>
      </c>
    </row>
    <row r="52" spans="1:20" x14ac:dyDescent="0.25">
      <c r="D52" s="13"/>
      <c r="E52" s="13"/>
      <c r="F52" s="13"/>
      <c r="G52" s="13"/>
      <c r="H52" s="13"/>
    </row>
    <row r="53" spans="1:20" x14ac:dyDescent="0.25">
      <c r="D53" s="13"/>
      <c r="E53" s="13"/>
      <c r="F53" s="13"/>
      <c r="G53" s="13"/>
      <c r="H53" s="13"/>
    </row>
    <row r="54" spans="1:20" x14ac:dyDescent="0.25">
      <c r="D54" s="13"/>
      <c r="E54" s="13"/>
      <c r="F54" s="13"/>
      <c r="G54" s="13"/>
      <c r="H54" s="13"/>
    </row>
    <row r="55" spans="1:20" x14ac:dyDescent="0.25">
      <c r="B55" s="1" t="s">
        <v>168</v>
      </c>
      <c r="D55" s="13">
        <v>20000</v>
      </c>
      <c r="E55" s="13">
        <f>D55</f>
        <v>20000</v>
      </c>
      <c r="F55" s="13">
        <f t="shared" ref="F55:H55" si="12">E55</f>
        <v>20000</v>
      </c>
      <c r="G55" s="13">
        <f t="shared" si="12"/>
        <v>20000</v>
      </c>
      <c r="H55" s="13">
        <f t="shared" si="12"/>
        <v>20000</v>
      </c>
    </row>
    <row r="57" spans="1:20" x14ac:dyDescent="0.25">
      <c r="A57" s="4" t="s">
        <v>106</v>
      </c>
      <c r="D57" s="15">
        <f>SUM(D38:D46)-D47+D55</f>
        <v>587503.85167939437</v>
      </c>
      <c r="E57" s="15">
        <f t="shared" ref="E57:H57" si="13">SUM(E38:E46)-E47+E55</f>
        <v>564160.71582897869</v>
      </c>
      <c r="F57" s="15">
        <f t="shared" si="13"/>
        <v>596886.07509295503</v>
      </c>
      <c r="G57" s="15">
        <f t="shared" si="13"/>
        <v>609392.92614734184</v>
      </c>
      <c r="H57" s="15">
        <f t="shared" si="13"/>
        <v>645631.6117382868</v>
      </c>
      <c r="I57" s="15"/>
      <c r="Q57" s="29"/>
      <c r="T57" s="29"/>
    </row>
    <row r="58" spans="1:20" x14ac:dyDescent="0.25">
      <c r="A58" s="4"/>
      <c r="D58" s="15"/>
      <c r="E58" s="15"/>
      <c r="F58" s="15"/>
      <c r="G58" s="15"/>
      <c r="L58" s="8"/>
      <c r="Q58" s="29"/>
      <c r="T58" s="8"/>
    </row>
    <row r="59" spans="1:20" x14ac:dyDescent="0.25">
      <c r="A59" s="4" t="s">
        <v>23</v>
      </c>
      <c r="L59" s="8"/>
      <c r="T59" s="8"/>
    </row>
    <row r="60" spans="1:20" x14ac:dyDescent="0.25">
      <c r="A60" s="1" t="s">
        <v>88</v>
      </c>
      <c r="D60" s="13"/>
      <c r="E60" s="13"/>
      <c r="F60" s="13"/>
      <c r="G60" s="13"/>
      <c r="L60" s="14"/>
      <c r="T60" s="30"/>
    </row>
    <row r="61" spans="1:20" x14ac:dyDescent="0.25">
      <c r="B61" s="1" t="s">
        <v>95</v>
      </c>
      <c r="D61" s="13">
        <f t="shared" ref="D61:H61" si="14">D19/365*D13</f>
        <v>1028.0958904109589</v>
      </c>
      <c r="E61" s="13">
        <f t="shared" si="14"/>
        <v>411.23835616438345</v>
      </c>
      <c r="F61" s="13">
        <f t="shared" si="14"/>
        <v>82.247671232876669</v>
      </c>
      <c r="G61" s="13">
        <f t="shared" si="14"/>
        <v>16.449534246575329</v>
      </c>
      <c r="H61" s="13">
        <f t="shared" si="14"/>
        <v>3.2899068493150652</v>
      </c>
    </row>
    <row r="62" spans="1:20" x14ac:dyDescent="0.25">
      <c r="B62" s="1" t="s">
        <v>24</v>
      </c>
      <c r="D62" s="13">
        <f t="shared" ref="D62:H62" si="15">D33</f>
        <v>8983.7154061962283</v>
      </c>
      <c r="E62" s="13">
        <f t="shared" si="15"/>
        <v>0</v>
      </c>
      <c r="F62" s="13">
        <f t="shared" si="15"/>
        <v>0</v>
      </c>
      <c r="G62" s="13">
        <f t="shared" si="15"/>
        <v>0</v>
      </c>
      <c r="H62" s="13">
        <f t="shared" si="15"/>
        <v>0</v>
      </c>
    </row>
    <row r="63" spans="1:20" x14ac:dyDescent="0.25">
      <c r="D63" s="13"/>
      <c r="E63" s="13"/>
      <c r="F63" s="13"/>
      <c r="G63" s="13"/>
      <c r="K63" s="1" t="s">
        <v>172</v>
      </c>
      <c r="L63" s="15" t="s">
        <v>182</v>
      </c>
      <c r="M63" s="1" t="s">
        <v>183</v>
      </c>
      <c r="N63" s="1" t="s">
        <v>174</v>
      </c>
      <c r="O63" s="1" t="s">
        <v>184</v>
      </c>
      <c r="P63" s="1" t="s">
        <v>185</v>
      </c>
      <c r="R63" s="30"/>
      <c r="S63" s="31"/>
    </row>
    <row r="64" spans="1:20" x14ac:dyDescent="0.25">
      <c r="B64" s="1" t="s">
        <v>103</v>
      </c>
      <c r="D64" s="13">
        <v>103361.0000000001</v>
      </c>
      <c r="E64" s="13">
        <v>149575.87400893227</v>
      </c>
      <c r="F64" s="13">
        <v>236241.06820711415</v>
      </c>
      <c r="G64" s="13">
        <v>314512.75800320634</v>
      </c>
      <c r="H64" s="11">
        <v>419647.60626515024</v>
      </c>
      <c r="J64" s="1" t="s">
        <v>186</v>
      </c>
      <c r="K64" s="15">
        <f>H65</f>
        <v>184298.97625360781</v>
      </c>
      <c r="L64" s="1">
        <v>0</v>
      </c>
      <c r="M64" s="1">
        <f>L64/L66</f>
        <v>0</v>
      </c>
      <c r="O64" s="15">
        <f>N64+K64</f>
        <v>184298.97625360781</v>
      </c>
      <c r="P64" s="7">
        <f>O64/H65</f>
        <v>1</v>
      </c>
      <c r="R64" s="30"/>
      <c r="S64" s="31"/>
    </row>
    <row r="65" spans="1:19" x14ac:dyDescent="0.25">
      <c r="B65" s="1" t="s">
        <v>104</v>
      </c>
      <c r="D65" s="13">
        <f>[1]Mortgage!F13</f>
        <v>197179.89416419846</v>
      </c>
      <c r="E65" s="13">
        <f>[1]Mortgage!F27</f>
        <v>194208.11771577634</v>
      </c>
      <c r="F65" s="13">
        <f>[1]Mortgage!F41</f>
        <v>191076.51352302585</v>
      </c>
      <c r="G65" s="13">
        <f>[1]Mortgage!F55</f>
        <v>187776.48574830554</v>
      </c>
      <c r="H65" s="11">
        <f>[1]Mortgage!F69</f>
        <v>184298.97625360781</v>
      </c>
      <c r="J65" s="1" t="s">
        <v>187</v>
      </c>
      <c r="K65" s="15">
        <f>K48-K64</f>
        <v>240701.02374639219</v>
      </c>
      <c r="L65" s="15">
        <f>H64-K65</f>
        <v>178946.58251875805</v>
      </c>
      <c r="M65" s="6">
        <f>L65/L66</f>
        <v>1</v>
      </c>
      <c r="N65" s="15">
        <f>L51</f>
        <v>94581.995614400686</v>
      </c>
      <c r="O65" s="15">
        <f>N65+K65</f>
        <v>335283.01936079288</v>
      </c>
      <c r="P65" s="7">
        <f>O65/H64</f>
        <v>0.79896325954245428</v>
      </c>
    </row>
    <row r="66" spans="1:19" x14ac:dyDescent="0.25">
      <c r="D66" s="13"/>
      <c r="E66" s="13"/>
      <c r="F66" s="13"/>
      <c r="G66" s="13"/>
      <c r="L66" s="11">
        <f>SUM(L64:L65)</f>
        <v>178946.58251875805</v>
      </c>
      <c r="R66" s="30"/>
      <c r="S66" s="31"/>
    </row>
    <row r="67" spans="1:19" x14ac:dyDescent="0.25">
      <c r="A67" s="1" t="s">
        <v>89</v>
      </c>
      <c r="E67" s="13"/>
      <c r="F67" s="13"/>
      <c r="G67" s="13"/>
    </row>
    <row r="68" spans="1:19" x14ac:dyDescent="0.25">
      <c r="B68" s="1" t="s">
        <v>90</v>
      </c>
      <c r="D68" s="13">
        <v>250000</v>
      </c>
      <c r="E68" s="13">
        <f>D68</f>
        <v>250000</v>
      </c>
      <c r="F68" s="13">
        <f t="shared" ref="F68:H68" si="16">E68</f>
        <v>250000</v>
      </c>
      <c r="G68" s="13">
        <f t="shared" si="16"/>
        <v>250000</v>
      </c>
      <c r="H68" s="13">
        <f t="shared" si="16"/>
        <v>250000</v>
      </c>
    </row>
    <row r="69" spans="1:19" x14ac:dyDescent="0.25">
      <c r="B69" s="1" t="s">
        <v>25</v>
      </c>
      <c r="C69" s="13"/>
      <c r="D69" s="13">
        <f t="shared" ref="D69:H69" si="17">C69+D34</f>
        <v>26951.146218588685</v>
      </c>
      <c r="E69" s="13">
        <f t="shared" si="17"/>
        <v>-30034.514251894368</v>
      </c>
      <c r="F69" s="13">
        <f t="shared" si="17"/>
        <v>-90634.754308417818</v>
      </c>
      <c r="G69" s="13">
        <f t="shared" si="17"/>
        <v>-153033.76713841659</v>
      </c>
      <c r="H69" s="13">
        <f t="shared" si="17"/>
        <v>-218439.26068732055</v>
      </c>
      <c r="P69" s="6"/>
      <c r="S69" s="31"/>
    </row>
    <row r="70" spans="1:19" x14ac:dyDescent="0.25">
      <c r="D70" s="13"/>
      <c r="E70" s="13"/>
      <c r="F70" s="13"/>
      <c r="G70" s="13"/>
    </row>
    <row r="71" spans="1:19" x14ac:dyDescent="0.25">
      <c r="A71" s="4" t="s">
        <v>105</v>
      </c>
      <c r="D71" s="13">
        <f t="shared" ref="D71:H71" si="18">SUM(D61:D69)</f>
        <v>587503.85167939437</v>
      </c>
      <c r="E71" s="13">
        <f t="shared" si="18"/>
        <v>564160.71582897869</v>
      </c>
      <c r="F71" s="13">
        <f t="shared" si="18"/>
        <v>586765.07509295514</v>
      </c>
      <c r="G71" s="13">
        <f t="shared" si="18"/>
        <v>599271.92614734196</v>
      </c>
      <c r="H71" s="13">
        <f t="shared" si="18"/>
        <v>635510.61173828691</v>
      </c>
    </row>
    <row r="73" spans="1:19" x14ac:dyDescent="0.25">
      <c r="A73" s="25" t="s">
        <v>98</v>
      </c>
      <c r="D73" s="15">
        <f t="shared" ref="D73:H73" si="19">D57-D71</f>
        <v>0</v>
      </c>
      <c r="E73" s="15">
        <f t="shared" si="19"/>
        <v>0</v>
      </c>
      <c r="F73" s="15">
        <f t="shared" si="19"/>
        <v>10120.999999999884</v>
      </c>
      <c r="G73" s="15">
        <f t="shared" si="19"/>
        <v>10120.999999999884</v>
      </c>
      <c r="H73" s="15">
        <f t="shared" si="19"/>
        <v>10120.999999999884</v>
      </c>
    </row>
    <row r="74" spans="1:19" s="28" customFormat="1" x14ac:dyDescent="0.25"/>
    <row r="75" spans="1:19" x14ac:dyDescent="0.25">
      <c r="A75" s="1" t="s">
        <v>104</v>
      </c>
    </row>
    <row r="76" spans="1:19" x14ac:dyDescent="0.25">
      <c r="A76" s="25"/>
      <c r="B76" s="1" t="s">
        <v>175</v>
      </c>
      <c r="C76" s="15">
        <f>-(D65-C65)</f>
        <v>-197179.89416419846</v>
      </c>
      <c r="D76" s="15">
        <f t="shared" ref="D76:G76" si="20">-(E65-D65)</f>
        <v>2971.7764484221116</v>
      </c>
      <c r="E76" s="15">
        <f t="shared" si="20"/>
        <v>3131.6041927504994</v>
      </c>
      <c r="F76" s="15">
        <f t="shared" si="20"/>
        <v>3300.0277747203072</v>
      </c>
      <c r="G76" s="15">
        <f t="shared" si="20"/>
        <v>3477.5094946977333</v>
      </c>
      <c r="H76" s="15">
        <f>O64</f>
        <v>184298.97625360781</v>
      </c>
    </row>
    <row r="77" spans="1:19" x14ac:dyDescent="0.25">
      <c r="B77" s="1" t="s">
        <v>176</v>
      </c>
      <c r="D77" s="15">
        <f>D29</f>
        <v>10432.783015603958</v>
      </c>
      <c r="E77" s="15">
        <f t="shared" ref="E77:H77" si="21">E29</f>
        <v>10281.112402983428</v>
      </c>
      <c r="F77" s="15">
        <f t="shared" si="21"/>
        <v>10121</v>
      </c>
      <c r="G77" s="15">
        <f t="shared" si="21"/>
        <v>9952.8610766852998</v>
      </c>
      <c r="H77" s="15">
        <f t="shared" si="21"/>
        <v>9775.379356707821</v>
      </c>
    </row>
    <row r="78" spans="1:19" x14ac:dyDescent="0.25">
      <c r="A78" s="25"/>
      <c r="B78" s="1" t="s">
        <v>177</v>
      </c>
      <c r="C78" s="15">
        <f>SUM(C76:C77)</f>
        <v>-197179.89416419846</v>
      </c>
      <c r="D78" s="15">
        <f t="shared" ref="D78:H78" si="22">SUM(D76:D77)</f>
        <v>13404.55946402607</v>
      </c>
      <c r="E78" s="15">
        <f t="shared" si="22"/>
        <v>13412.716595733928</v>
      </c>
      <c r="F78" s="15">
        <f t="shared" si="22"/>
        <v>13421.027774720307</v>
      </c>
      <c r="G78" s="15">
        <f t="shared" si="22"/>
        <v>13430.370571383033</v>
      </c>
      <c r="H78" s="15">
        <f t="shared" si="22"/>
        <v>194074.35561031563</v>
      </c>
    </row>
    <row r="79" spans="1:19" x14ac:dyDescent="0.25">
      <c r="B79" s="1" t="s">
        <v>150</v>
      </c>
      <c r="C79" s="34">
        <f>IRR(C78:H78)</f>
        <v>5.2967854403356496E-2</v>
      </c>
      <c r="D79" s="11"/>
      <c r="E79" s="11"/>
      <c r="F79" s="11"/>
      <c r="G79" s="11"/>
      <c r="H79" s="11"/>
    </row>
    <row r="80" spans="1:19" x14ac:dyDescent="0.25">
      <c r="D80" s="11"/>
      <c r="E80" s="11"/>
      <c r="F80" s="11"/>
      <c r="G80" s="11"/>
      <c r="H80" s="11"/>
    </row>
    <row r="81" spans="1:10" x14ac:dyDescent="0.25">
      <c r="A81" s="1" t="s">
        <v>103</v>
      </c>
    </row>
    <row r="82" spans="1:10" x14ac:dyDescent="0.25">
      <c r="B82" s="1" t="s">
        <v>178</v>
      </c>
      <c r="C82" s="15">
        <f t="shared" ref="C82:G82" si="23">-(D64-C64)</f>
        <v>-103361.0000000001</v>
      </c>
      <c r="D82" s="15">
        <f t="shared" si="23"/>
        <v>-46214.874008932165</v>
      </c>
      <c r="E82" s="15">
        <f t="shared" si="23"/>
        <v>-86665.194198181882</v>
      </c>
      <c r="F82" s="15">
        <f t="shared" si="23"/>
        <v>-78271.689796092192</v>
      </c>
      <c r="G82" s="15">
        <f t="shared" si="23"/>
        <v>-105134.8482619439</v>
      </c>
      <c r="H82" s="15">
        <f>O65</f>
        <v>335283.01936079288</v>
      </c>
    </row>
    <row r="83" spans="1:10" x14ac:dyDescent="0.25">
      <c r="A83" s="25"/>
      <c r="B83" s="1" t="s">
        <v>176</v>
      </c>
      <c r="D83" s="11">
        <f>D30</f>
        <v>3100.8300000000031</v>
      </c>
      <c r="E83" s="11">
        <f t="shared" ref="E83:H83" si="24">E30</f>
        <v>4487.2762202679678</v>
      </c>
      <c r="F83" s="11">
        <f t="shared" si="24"/>
        <v>7087.2320462134239</v>
      </c>
      <c r="G83" s="11">
        <f t="shared" si="24"/>
        <v>9435.3827400961891</v>
      </c>
      <c r="H83" s="11">
        <f t="shared" si="24"/>
        <v>12589.428187954507</v>
      </c>
    </row>
    <row r="84" spans="1:10" x14ac:dyDescent="0.25">
      <c r="B84" s="1" t="s">
        <v>177</v>
      </c>
      <c r="C84" s="15">
        <f>C83+C82</f>
        <v>-103361.0000000001</v>
      </c>
      <c r="D84" s="15">
        <f t="shared" ref="D84:H84" si="25">D83+D82</f>
        <v>-43114.044008932164</v>
      </c>
      <c r="E84" s="15">
        <f t="shared" si="25"/>
        <v>-82177.917977913909</v>
      </c>
      <c r="F84" s="15">
        <f t="shared" si="25"/>
        <v>-71184.457749878769</v>
      </c>
      <c r="G84" s="15">
        <f t="shared" si="25"/>
        <v>-95699.465521847713</v>
      </c>
      <c r="H84" s="15">
        <f t="shared" si="25"/>
        <v>347872.44754874741</v>
      </c>
    </row>
    <row r="85" spans="1:10" x14ac:dyDescent="0.25">
      <c r="A85" s="25"/>
      <c r="B85" s="1" t="s">
        <v>150</v>
      </c>
      <c r="C85" s="31">
        <f>IRR(C84:H84)</f>
        <v>-4.3062078256908998E-2</v>
      </c>
    </row>
    <row r="86" spans="1:10" x14ac:dyDescent="0.25">
      <c r="A86" s="25"/>
    </row>
    <row r="87" spans="1:10" x14ac:dyDescent="0.25">
      <c r="C87" s="15"/>
      <c r="D87" s="15"/>
      <c r="E87" s="15"/>
      <c r="F87" s="15"/>
      <c r="G87" s="15"/>
      <c r="H87" s="15"/>
    </row>
    <row r="88" spans="1:10" x14ac:dyDescent="0.25">
      <c r="J88" s="15"/>
    </row>
    <row r="89" spans="1:10" x14ac:dyDescent="0.25">
      <c r="J89" s="15"/>
    </row>
    <row r="91" spans="1:10" x14ac:dyDescent="0.25">
      <c r="C91" s="15"/>
      <c r="D91" s="15"/>
      <c r="E91" s="15"/>
      <c r="F91" s="15"/>
      <c r="G91" s="15"/>
      <c r="H91" s="15"/>
      <c r="J91" s="15"/>
    </row>
    <row r="92" spans="1:10" x14ac:dyDescent="0.25">
      <c r="J92" s="15"/>
    </row>
    <row r="95" spans="1:10" x14ac:dyDescent="0.25">
      <c r="C95" s="15"/>
      <c r="D95" s="15"/>
      <c r="E95" s="15"/>
      <c r="F95" s="15"/>
      <c r="G95" s="15"/>
      <c r="H95" s="15"/>
      <c r="J95" s="15"/>
    </row>
    <row r="96" spans="1:10" x14ac:dyDescent="0.25">
      <c r="J96" s="15"/>
    </row>
    <row r="99" spans="1:8" x14ac:dyDescent="0.25">
      <c r="A99" s="25"/>
    </row>
    <row r="100" spans="1:8" x14ac:dyDescent="0.25">
      <c r="C100" s="15"/>
      <c r="D100" s="15"/>
      <c r="E100" s="15"/>
      <c r="F100" s="15"/>
      <c r="G100" s="15"/>
      <c r="H100" s="15"/>
    </row>
    <row r="101" spans="1:8" x14ac:dyDescent="0.25">
      <c r="C101" s="15"/>
      <c r="D101" s="15"/>
      <c r="E101" s="15"/>
      <c r="F101" s="15"/>
      <c r="G101" s="15"/>
      <c r="H101" s="15"/>
    </row>
    <row r="102" spans="1:8" x14ac:dyDescent="0.25">
      <c r="C102" s="15"/>
      <c r="D102" s="15"/>
      <c r="E102" s="15"/>
      <c r="F102" s="15"/>
      <c r="G102" s="15"/>
      <c r="H102" s="15"/>
    </row>
    <row r="103" spans="1:8" x14ac:dyDescent="0.25">
      <c r="C103" s="15"/>
      <c r="D103" s="15"/>
      <c r="E103" s="15"/>
      <c r="F103" s="15"/>
      <c r="G103" s="15"/>
      <c r="H103" s="15"/>
    </row>
    <row r="104" spans="1:8" x14ac:dyDescent="0.25">
      <c r="C104" s="15"/>
      <c r="D104" s="15"/>
      <c r="E104" s="15"/>
      <c r="F104" s="15"/>
      <c r="G104" s="15"/>
      <c r="H104" s="15"/>
    </row>
    <row r="106" spans="1:8" x14ac:dyDescent="0.25">
      <c r="A106" s="25"/>
      <c r="C106" s="11"/>
      <c r="D106" s="11"/>
      <c r="E106" s="11"/>
      <c r="F106" s="11"/>
      <c r="G106" s="11"/>
      <c r="H106" s="11"/>
    </row>
    <row r="107" spans="1:8" x14ac:dyDescent="0.25">
      <c r="A107" s="25"/>
      <c r="C107" s="8"/>
    </row>
    <row r="108" spans="1:8" x14ac:dyDescent="0.25">
      <c r="A108" s="25"/>
      <c r="C108" s="31"/>
    </row>
    <row r="109" spans="1:8" x14ac:dyDescent="0.25">
      <c r="A109" s="25"/>
      <c r="C109" s="33"/>
    </row>
    <row r="111" spans="1:8" x14ac:dyDescent="0.25">
      <c r="C111" s="25"/>
    </row>
    <row r="112" spans="1:8" x14ac:dyDescent="0.25">
      <c r="C112" s="25"/>
    </row>
  </sheetData>
  <sheetProtection selectLockedCells="1" selectUnlockedCells="1"/>
  <dataConsolidate/>
  <pageMargins left="0.7" right="0.7" top="0.75" bottom="0.75" header="0.51180555555555551" footer="0.51180555555555551"/>
  <pageSetup scale="53" firstPageNumber="0" fitToHeight="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4"/>
  <sheetViews>
    <sheetView workbookViewId="0">
      <selection activeCell="D42" sqref="D42"/>
    </sheetView>
  </sheetViews>
  <sheetFormatPr defaultColWidth="11.5703125" defaultRowHeight="12.75" x14ac:dyDescent="0.2"/>
  <cols>
    <col min="1" max="1" width="30.140625" customWidth="1"/>
    <col min="2" max="3" width="12.7109375" customWidth="1"/>
    <col min="4" max="4" width="12.85546875" customWidth="1"/>
    <col min="5" max="5" width="13.5703125" customWidth="1"/>
    <col min="6" max="6" width="12.42578125" customWidth="1"/>
  </cols>
  <sheetData>
    <row r="1" spans="1:9" x14ac:dyDescent="0.2">
      <c r="B1" t="s">
        <v>26</v>
      </c>
      <c r="C1" t="s">
        <v>27</v>
      </c>
      <c r="D1" t="s">
        <v>28</v>
      </c>
      <c r="E1" t="s">
        <v>29</v>
      </c>
      <c r="F1" t="s">
        <v>30</v>
      </c>
      <c r="H1" t="s">
        <v>31</v>
      </c>
      <c r="I1" s="16">
        <v>5.2499999999999998E-2</v>
      </c>
    </row>
    <row r="2" spans="1:9" x14ac:dyDescent="0.2">
      <c r="A2" s="17" t="s">
        <v>32</v>
      </c>
      <c r="B2" s="18">
        <f>I6</f>
        <v>200000</v>
      </c>
      <c r="C2" s="18">
        <f t="shared" ref="C2:C13" si="0">+E2-D2</f>
        <v>229.40740428379684</v>
      </c>
      <c r="D2" s="18">
        <f t="shared" ref="D2:D13" si="1">B2*$I$2</f>
        <v>874.99999999999989</v>
      </c>
      <c r="E2" s="18">
        <f t="shared" ref="E2:E13" si="2">-$I$8</f>
        <v>1104.4074042837967</v>
      </c>
      <c r="F2" s="18">
        <f t="shared" ref="F2:F13" si="3">+B2-C2</f>
        <v>199770.59259571621</v>
      </c>
      <c r="H2" t="s">
        <v>33</v>
      </c>
      <c r="I2" s="16">
        <f>+I1/12</f>
        <v>4.3749999999999995E-3</v>
      </c>
    </row>
    <row r="3" spans="1:9" x14ac:dyDescent="0.2">
      <c r="A3" s="17" t="s">
        <v>34</v>
      </c>
      <c r="B3" s="18">
        <f t="shared" ref="B3:B13" si="4">+F2</f>
        <v>199770.59259571621</v>
      </c>
      <c r="C3" s="18">
        <f t="shared" si="0"/>
        <v>230.41106167753844</v>
      </c>
      <c r="D3" s="18">
        <f t="shared" si="1"/>
        <v>873.99634260625828</v>
      </c>
      <c r="E3" s="18">
        <f t="shared" si="2"/>
        <v>1104.4074042837967</v>
      </c>
      <c r="F3" s="18">
        <f t="shared" si="3"/>
        <v>199540.18153403868</v>
      </c>
      <c r="H3" t="s">
        <v>35</v>
      </c>
      <c r="I3" s="19">
        <v>0</v>
      </c>
    </row>
    <row r="4" spans="1:9" x14ac:dyDescent="0.2">
      <c r="A4" s="17" t="s">
        <v>36</v>
      </c>
      <c r="B4" s="18">
        <f t="shared" si="4"/>
        <v>199540.18153403868</v>
      </c>
      <c r="C4" s="18">
        <f t="shared" si="0"/>
        <v>231.41911007237763</v>
      </c>
      <c r="D4" s="18">
        <f t="shared" si="1"/>
        <v>872.98829421141909</v>
      </c>
      <c r="E4" s="18">
        <f t="shared" si="2"/>
        <v>1104.4074042837967</v>
      </c>
      <c r="F4" s="18">
        <f t="shared" si="3"/>
        <v>199308.76242396631</v>
      </c>
      <c r="H4" t="s">
        <v>37</v>
      </c>
      <c r="I4" s="20">
        <f>12*30</f>
        <v>360</v>
      </c>
    </row>
    <row r="5" spans="1:9" x14ac:dyDescent="0.2">
      <c r="A5" s="17" t="s">
        <v>38</v>
      </c>
      <c r="B5" s="18">
        <f t="shared" si="4"/>
        <v>199308.76242396631</v>
      </c>
      <c r="C5" s="18">
        <f t="shared" si="0"/>
        <v>232.43156867894425</v>
      </c>
      <c r="D5" s="18">
        <f t="shared" si="1"/>
        <v>871.97583560485248</v>
      </c>
      <c r="E5" s="18">
        <f t="shared" si="2"/>
        <v>1104.4074042837967</v>
      </c>
      <c r="F5" s="18">
        <f t="shared" si="3"/>
        <v>199076.33085528738</v>
      </c>
      <c r="H5" t="s">
        <v>39</v>
      </c>
      <c r="I5">
        <v>0</v>
      </c>
    </row>
    <row r="6" spans="1:9" x14ac:dyDescent="0.2">
      <c r="A6" s="17" t="s">
        <v>40</v>
      </c>
      <c r="B6" s="18">
        <f t="shared" si="4"/>
        <v>199076.33085528738</v>
      </c>
      <c r="C6" s="18">
        <f t="shared" si="0"/>
        <v>233.44845679191451</v>
      </c>
      <c r="D6" s="18">
        <f t="shared" si="1"/>
        <v>870.95894749188221</v>
      </c>
      <c r="E6" s="18">
        <f t="shared" si="2"/>
        <v>1104.4074042837967</v>
      </c>
      <c r="F6" s="18">
        <f t="shared" si="3"/>
        <v>198842.88239849545</v>
      </c>
      <c r="H6" t="s">
        <v>41</v>
      </c>
      <c r="I6" s="19">
        <v>200000</v>
      </c>
    </row>
    <row r="7" spans="1:9" x14ac:dyDescent="0.2">
      <c r="A7" s="17" t="s">
        <v>42</v>
      </c>
      <c r="B7" s="18">
        <f t="shared" si="4"/>
        <v>198842.88239849545</v>
      </c>
      <c r="C7" s="18">
        <f t="shared" si="0"/>
        <v>234.46979379037919</v>
      </c>
      <c r="D7" s="18">
        <f t="shared" si="1"/>
        <v>869.93761049341754</v>
      </c>
      <c r="E7" s="18">
        <f t="shared" si="2"/>
        <v>1104.4074042837967</v>
      </c>
      <c r="F7" s="18">
        <f t="shared" si="3"/>
        <v>198608.41260470508</v>
      </c>
    </row>
    <row r="8" spans="1:9" x14ac:dyDescent="0.2">
      <c r="A8" s="17" t="s">
        <v>43</v>
      </c>
      <c r="B8" s="18">
        <f t="shared" si="4"/>
        <v>198608.41260470508</v>
      </c>
      <c r="C8" s="18">
        <f t="shared" si="0"/>
        <v>235.49559913821213</v>
      </c>
      <c r="D8" s="18">
        <f t="shared" si="1"/>
        <v>868.91180514558459</v>
      </c>
      <c r="E8" s="18">
        <f t="shared" si="2"/>
        <v>1104.4074042837967</v>
      </c>
      <c r="F8" s="18">
        <f t="shared" si="3"/>
        <v>198372.91700556688</v>
      </c>
      <c r="H8" t="s">
        <v>29</v>
      </c>
      <c r="I8" s="19">
        <f>PMT(I2,I4,I6,I3,I5)</f>
        <v>-1104.4074042837967</v>
      </c>
    </row>
    <row r="9" spans="1:9" x14ac:dyDescent="0.2">
      <c r="A9" s="17" t="s">
        <v>44</v>
      </c>
      <c r="B9" s="18">
        <f t="shared" si="4"/>
        <v>198372.91700556688</v>
      </c>
      <c r="C9" s="18">
        <f t="shared" si="0"/>
        <v>236.5258923844417</v>
      </c>
      <c r="D9" s="18">
        <f t="shared" si="1"/>
        <v>867.88151189935502</v>
      </c>
      <c r="E9" s="18">
        <f t="shared" si="2"/>
        <v>1104.4074042837967</v>
      </c>
      <c r="F9" s="18">
        <f t="shared" si="3"/>
        <v>198136.39111318244</v>
      </c>
    </row>
    <row r="10" spans="1:9" x14ac:dyDescent="0.2">
      <c r="A10" s="17" t="s">
        <v>45</v>
      </c>
      <c r="B10" s="18">
        <f t="shared" si="4"/>
        <v>198136.39111318244</v>
      </c>
      <c r="C10" s="18">
        <f t="shared" si="0"/>
        <v>237.56069316362368</v>
      </c>
      <c r="D10" s="18">
        <f t="shared" si="1"/>
        <v>866.84671112017304</v>
      </c>
      <c r="E10" s="18">
        <f t="shared" si="2"/>
        <v>1104.4074042837967</v>
      </c>
      <c r="F10" s="18">
        <f t="shared" si="3"/>
        <v>197898.83042001881</v>
      </c>
    </row>
    <row r="11" spans="1:9" x14ac:dyDescent="0.2">
      <c r="A11" s="17" t="s">
        <v>46</v>
      </c>
      <c r="B11" s="18">
        <f t="shared" si="4"/>
        <v>197898.83042001881</v>
      </c>
      <c r="C11" s="18">
        <f t="shared" si="0"/>
        <v>238.60002119621447</v>
      </c>
      <c r="D11" s="18">
        <f t="shared" si="1"/>
        <v>865.80738308758225</v>
      </c>
      <c r="E11" s="18">
        <f t="shared" si="2"/>
        <v>1104.4074042837967</v>
      </c>
      <c r="F11" s="18">
        <f t="shared" si="3"/>
        <v>197660.2303988226</v>
      </c>
    </row>
    <row r="12" spans="1:9" x14ac:dyDescent="0.2">
      <c r="A12" s="17" t="s">
        <v>47</v>
      </c>
      <c r="B12" s="18">
        <f t="shared" si="4"/>
        <v>197660.2303988226</v>
      </c>
      <c r="C12" s="18">
        <f t="shared" si="0"/>
        <v>239.64389628894787</v>
      </c>
      <c r="D12" s="18">
        <f t="shared" si="1"/>
        <v>864.76350799484885</v>
      </c>
      <c r="E12" s="18">
        <f t="shared" si="2"/>
        <v>1104.4074042837967</v>
      </c>
      <c r="F12" s="18">
        <f t="shared" si="3"/>
        <v>197420.58650253367</v>
      </c>
    </row>
    <row r="13" spans="1:9" x14ac:dyDescent="0.2">
      <c r="A13" s="17" t="s">
        <v>48</v>
      </c>
      <c r="B13" s="18">
        <f t="shared" si="4"/>
        <v>197420.58650253367</v>
      </c>
      <c r="C13" s="18">
        <f t="shared" si="0"/>
        <v>240.69233833521207</v>
      </c>
      <c r="D13" s="18">
        <f t="shared" si="1"/>
        <v>863.71506594858465</v>
      </c>
      <c r="E13" s="18">
        <f t="shared" si="2"/>
        <v>1104.4074042837967</v>
      </c>
      <c r="F13" s="21">
        <f t="shared" si="3"/>
        <v>197179.89416419846</v>
      </c>
    </row>
    <row r="14" spans="1:9" x14ac:dyDescent="0.2">
      <c r="A14" s="22" t="s">
        <v>49</v>
      </c>
      <c r="B14" s="22"/>
      <c r="C14" s="21">
        <f>SUM(C2:C13)</f>
        <v>2820.1058358016035</v>
      </c>
      <c r="D14" s="21">
        <f>SUM(D2:D13)</f>
        <v>10432.783015603958</v>
      </c>
      <c r="E14" s="18"/>
      <c r="F14" s="18"/>
    </row>
    <row r="15" spans="1:9" x14ac:dyDescent="0.2">
      <c r="A15" s="17"/>
      <c r="B15" s="17"/>
      <c r="C15" s="18"/>
      <c r="D15" s="18"/>
      <c r="E15" s="18"/>
      <c r="F15" s="18"/>
    </row>
    <row r="16" spans="1:9" x14ac:dyDescent="0.2">
      <c r="A16" s="17" t="s">
        <v>50</v>
      </c>
      <c r="B16" s="18">
        <f>+F13</f>
        <v>197179.89416419846</v>
      </c>
      <c r="C16" s="18">
        <f t="shared" ref="C16:C27" si="5">+E16-D16</f>
        <v>241.74536731542855</v>
      </c>
      <c r="D16" s="18">
        <f t="shared" ref="D16:D27" si="6">B16*$I$2</f>
        <v>862.66203696836817</v>
      </c>
      <c r="E16" s="18">
        <f t="shared" ref="E16:E27" si="7">-$I$8</f>
        <v>1104.4074042837967</v>
      </c>
      <c r="F16" s="18">
        <f t="shared" ref="F16:F27" si="8">+B16-C16</f>
        <v>196938.14879688303</v>
      </c>
    </row>
    <row r="17" spans="1:6" x14ac:dyDescent="0.2">
      <c r="A17" s="17" t="s">
        <v>51</v>
      </c>
      <c r="B17" s="18">
        <f t="shared" ref="B17:B27" si="9">+F16</f>
        <v>196938.14879688303</v>
      </c>
      <c r="C17" s="18">
        <f t="shared" si="5"/>
        <v>242.80300329743352</v>
      </c>
      <c r="D17" s="18">
        <f t="shared" si="6"/>
        <v>861.6044009863632</v>
      </c>
      <c r="E17" s="18">
        <f t="shared" si="7"/>
        <v>1104.4074042837967</v>
      </c>
      <c r="F17" s="18">
        <f t="shared" si="8"/>
        <v>196695.34579358561</v>
      </c>
    </row>
    <row r="18" spans="1:6" x14ac:dyDescent="0.2">
      <c r="A18" s="17" t="s">
        <v>52</v>
      </c>
      <c r="B18" s="18">
        <f t="shared" si="9"/>
        <v>196695.34579358561</v>
      </c>
      <c r="C18" s="18">
        <f t="shared" si="5"/>
        <v>243.86526643685977</v>
      </c>
      <c r="D18" s="18">
        <f t="shared" si="6"/>
        <v>860.54213784693695</v>
      </c>
      <c r="E18" s="18">
        <f t="shared" si="7"/>
        <v>1104.4074042837967</v>
      </c>
      <c r="F18" s="18">
        <f t="shared" si="8"/>
        <v>196451.48052714876</v>
      </c>
    </row>
    <row r="19" spans="1:6" x14ac:dyDescent="0.2">
      <c r="A19" s="17" t="s">
        <v>53</v>
      </c>
      <c r="B19" s="18">
        <f t="shared" si="9"/>
        <v>196451.48052714876</v>
      </c>
      <c r="C19" s="18">
        <f t="shared" si="5"/>
        <v>244.93217697752095</v>
      </c>
      <c r="D19" s="18">
        <f t="shared" si="6"/>
        <v>859.47522730627577</v>
      </c>
      <c r="E19" s="18">
        <f t="shared" si="7"/>
        <v>1104.4074042837967</v>
      </c>
      <c r="F19" s="18">
        <f t="shared" si="8"/>
        <v>196206.54835017124</v>
      </c>
    </row>
    <row r="20" spans="1:6" x14ac:dyDescent="0.2">
      <c r="A20" s="17" t="s">
        <v>54</v>
      </c>
      <c r="B20" s="18">
        <f t="shared" si="9"/>
        <v>196206.54835017124</v>
      </c>
      <c r="C20" s="18">
        <f t="shared" si="5"/>
        <v>246.00375525179766</v>
      </c>
      <c r="D20" s="18">
        <f t="shared" si="6"/>
        <v>858.40364903199907</v>
      </c>
      <c r="E20" s="18">
        <f t="shared" si="7"/>
        <v>1104.4074042837967</v>
      </c>
      <c r="F20" s="18">
        <f t="shared" si="8"/>
        <v>195960.54459491945</v>
      </c>
    </row>
    <row r="21" spans="1:6" x14ac:dyDescent="0.2">
      <c r="A21" s="17" t="s">
        <v>55</v>
      </c>
      <c r="B21" s="18">
        <f t="shared" si="9"/>
        <v>195960.54459491945</v>
      </c>
      <c r="C21" s="18">
        <f t="shared" si="5"/>
        <v>247.08002168102416</v>
      </c>
      <c r="D21" s="18">
        <f t="shared" si="6"/>
        <v>857.32738260277256</v>
      </c>
      <c r="E21" s="18">
        <f t="shared" si="7"/>
        <v>1104.4074042837967</v>
      </c>
      <c r="F21" s="18">
        <f t="shared" si="8"/>
        <v>195713.46457323842</v>
      </c>
    </row>
    <row r="22" spans="1:6" x14ac:dyDescent="0.2">
      <c r="A22" s="17" t="s">
        <v>56</v>
      </c>
      <c r="B22" s="18">
        <f t="shared" si="9"/>
        <v>195713.46457323842</v>
      </c>
      <c r="C22" s="18">
        <f t="shared" si="5"/>
        <v>248.16099677587874</v>
      </c>
      <c r="D22" s="18">
        <f t="shared" si="6"/>
        <v>856.24640750791798</v>
      </c>
      <c r="E22" s="18">
        <f t="shared" si="7"/>
        <v>1104.4074042837967</v>
      </c>
      <c r="F22" s="18">
        <f t="shared" si="8"/>
        <v>195465.30357646255</v>
      </c>
    </row>
    <row r="23" spans="1:6" x14ac:dyDescent="0.2">
      <c r="A23" s="17" t="s">
        <v>57</v>
      </c>
      <c r="B23" s="18">
        <f t="shared" si="9"/>
        <v>195465.30357646255</v>
      </c>
      <c r="C23" s="18">
        <f t="shared" si="5"/>
        <v>249.24670113677314</v>
      </c>
      <c r="D23" s="18">
        <f t="shared" si="6"/>
        <v>855.16070314702358</v>
      </c>
      <c r="E23" s="18">
        <f t="shared" si="7"/>
        <v>1104.4074042837967</v>
      </c>
      <c r="F23" s="18">
        <f t="shared" si="8"/>
        <v>195216.05687532577</v>
      </c>
    </row>
    <row r="24" spans="1:6" x14ac:dyDescent="0.2">
      <c r="A24" s="17" t="s">
        <v>58</v>
      </c>
      <c r="B24" s="18">
        <f t="shared" si="9"/>
        <v>195216.05687532577</v>
      </c>
      <c r="C24" s="18">
        <f t="shared" si="5"/>
        <v>250.33715545424661</v>
      </c>
      <c r="D24" s="18">
        <f t="shared" si="6"/>
        <v>854.07024882955011</v>
      </c>
      <c r="E24" s="18">
        <f t="shared" si="7"/>
        <v>1104.4074042837967</v>
      </c>
      <c r="F24" s="18">
        <f t="shared" si="8"/>
        <v>194965.71971987153</v>
      </c>
    </row>
    <row r="25" spans="1:6" x14ac:dyDescent="0.2">
      <c r="A25" s="17" t="s">
        <v>59</v>
      </c>
      <c r="B25" s="18">
        <f t="shared" si="9"/>
        <v>194965.71971987153</v>
      </c>
      <c r="C25" s="18">
        <f t="shared" si="5"/>
        <v>251.43238050935884</v>
      </c>
      <c r="D25" s="18">
        <f t="shared" si="6"/>
        <v>852.97502377443789</v>
      </c>
      <c r="E25" s="18">
        <f t="shared" si="7"/>
        <v>1104.4074042837967</v>
      </c>
      <c r="F25" s="18">
        <f t="shared" si="8"/>
        <v>194714.28733936217</v>
      </c>
    </row>
    <row r="26" spans="1:6" x14ac:dyDescent="0.2">
      <c r="A26" s="17" t="s">
        <v>60</v>
      </c>
      <c r="B26" s="18">
        <f t="shared" si="9"/>
        <v>194714.28733936217</v>
      </c>
      <c r="C26" s="18">
        <f t="shared" si="5"/>
        <v>252.53239717408735</v>
      </c>
      <c r="D26" s="18">
        <f t="shared" si="6"/>
        <v>851.87500710970937</v>
      </c>
      <c r="E26" s="18">
        <f t="shared" si="7"/>
        <v>1104.4074042837967</v>
      </c>
      <c r="F26" s="18">
        <f t="shared" si="8"/>
        <v>194461.75494218807</v>
      </c>
    </row>
    <row r="27" spans="1:6" x14ac:dyDescent="0.2">
      <c r="A27" s="17" t="s">
        <v>61</v>
      </c>
      <c r="B27" s="18">
        <f t="shared" si="9"/>
        <v>194461.75494218807</v>
      </c>
      <c r="C27" s="18">
        <f t="shared" si="5"/>
        <v>253.63722641172399</v>
      </c>
      <c r="D27" s="18">
        <f t="shared" si="6"/>
        <v>850.77017787207274</v>
      </c>
      <c r="E27" s="18">
        <f t="shared" si="7"/>
        <v>1104.4074042837967</v>
      </c>
      <c r="F27" s="21">
        <f t="shared" si="8"/>
        <v>194208.11771577634</v>
      </c>
    </row>
    <row r="28" spans="1:6" x14ac:dyDescent="0.2">
      <c r="A28" s="22" t="s">
        <v>49</v>
      </c>
      <c r="B28" s="22"/>
      <c r="C28" s="21">
        <f>SUM(C16:C27)</f>
        <v>2971.7764484221329</v>
      </c>
      <c r="D28" s="21">
        <f>SUM(D16:D27)</f>
        <v>10281.112402983428</v>
      </c>
      <c r="E28" s="18"/>
      <c r="F28" s="18"/>
    </row>
    <row r="29" spans="1:6" x14ac:dyDescent="0.2">
      <c r="A29" s="17"/>
      <c r="B29" s="17"/>
      <c r="C29" s="18"/>
      <c r="D29" s="18"/>
      <c r="E29" s="18"/>
      <c r="F29" s="18"/>
    </row>
    <row r="30" spans="1:6" x14ac:dyDescent="0.2">
      <c r="A30" s="17" t="s">
        <v>62</v>
      </c>
      <c r="B30" s="18">
        <f>+F27</f>
        <v>194208.11771577634</v>
      </c>
      <c r="C30" s="18">
        <f t="shared" ref="C30:C41" si="10">+E30-D30</f>
        <v>254.74688927727527</v>
      </c>
      <c r="D30" s="18">
        <f t="shared" ref="D30:D41" si="11">B30*$I$2</f>
        <v>849.66051500652145</v>
      </c>
      <c r="E30" s="18">
        <f t="shared" ref="E30:E41" si="12">-$I$8</f>
        <v>1104.4074042837967</v>
      </c>
      <c r="F30" s="18">
        <f t="shared" ref="F30:F41" si="13">+B30-C30</f>
        <v>193953.37082649907</v>
      </c>
    </row>
    <row r="31" spans="1:6" x14ac:dyDescent="0.2">
      <c r="A31" s="17" t="s">
        <v>63</v>
      </c>
      <c r="B31" s="18">
        <f t="shared" ref="B31:B41" si="14">+F30</f>
        <v>193953.37082649907</v>
      </c>
      <c r="C31" s="18">
        <f t="shared" si="10"/>
        <v>255.86140691786341</v>
      </c>
      <c r="D31" s="18">
        <f t="shared" si="11"/>
        <v>848.54599736593332</v>
      </c>
      <c r="E31" s="18">
        <f t="shared" si="12"/>
        <v>1104.4074042837967</v>
      </c>
      <c r="F31" s="18">
        <f t="shared" si="13"/>
        <v>193697.50941958121</v>
      </c>
    </row>
    <row r="32" spans="1:6" x14ac:dyDescent="0.2">
      <c r="A32" s="17" t="s">
        <v>64</v>
      </c>
      <c r="B32" s="18">
        <f t="shared" si="14"/>
        <v>193697.50941958121</v>
      </c>
      <c r="C32" s="18">
        <f t="shared" si="10"/>
        <v>256.98080057312905</v>
      </c>
      <c r="D32" s="18">
        <f t="shared" si="11"/>
        <v>847.42660371066768</v>
      </c>
      <c r="E32" s="18">
        <f t="shared" si="12"/>
        <v>1104.4074042837967</v>
      </c>
      <c r="F32" s="18">
        <f t="shared" si="13"/>
        <v>193440.52861900808</v>
      </c>
    </row>
    <row r="33" spans="1:6" x14ac:dyDescent="0.2">
      <c r="A33" s="17" t="s">
        <v>65</v>
      </c>
      <c r="B33" s="18">
        <f t="shared" si="14"/>
        <v>193440.52861900808</v>
      </c>
      <c r="C33" s="18">
        <f t="shared" si="10"/>
        <v>258.10509157563649</v>
      </c>
      <c r="D33" s="18">
        <f t="shared" si="11"/>
        <v>846.30231270816023</v>
      </c>
      <c r="E33" s="18">
        <f t="shared" si="12"/>
        <v>1104.4074042837967</v>
      </c>
      <c r="F33" s="18">
        <f t="shared" si="13"/>
        <v>193182.42352743243</v>
      </c>
    </row>
    <row r="34" spans="1:6" x14ac:dyDescent="0.2">
      <c r="A34" s="17" t="s">
        <v>66</v>
      </c>
      <c r="B34" s="18">
        <f t="shared" si="14"/>
        <v>193182.42352743243</v>
      </c>
      <c r="C34" s="18">
        <f t="shared" si="10"/>
        <v>259.2343013512799</v>
      </c>
      <c r="D34" s="18">
        <f t="shared" si="11"/>
        <v>845.17310293251683</v>
      </c>
      <c r="E34" s="18">
        <f t="shared" si="12"/>
        <v>1104.4074042837967</v>
      </c>
      <c r="F34" s="18">
        <f t="shared" si="13"/>
        <v>192923.18922608116</v>
      </c>
    </row>
    <row r="35" spans="1:6" x14ac:dyDescent="0.2">
      <c r="A35" s="17" t="s">
        <v>67</v>
      </c>
      <c r="B35" s="18">
        <f t="shared" si="14"/>
        <v>192923.18922608116</v>
      </c>
      <c r="C35" s="18">
        <f t="shared" si="10"/>
        <v>260.36845141969172</v>
      </c>
      <c r="D35" s="18">
        <f t="shared" si="11"/>
        <v>844.038952864105</v>
      </c>
      <c r="E35" s="18">
        <f t="shared" si="12"/>
        <v>1104.4074042837967</v>
      </c>
      <c r="F35" s="18">
        <f t="shared" si="13"/>
        <v>192662.82077466146</v>
      </c>
    </row>
    <row r="36" spans="1:6" x14ac:dyDescent="0.2">
      <c r="A36" s="17" t="s">
        <v>68</v>
      </c>
      <c r="B36" s="18">
        <f t="shared" si="14"/>
        <v>192662.82077466146</v>
      </c>
      <c r="C36" s="18">
        <f t="shared" si="10"/>
        <v>261.50756339465295</v>
      </c>
      <c r="D36" s="18">
        <f t="shared" si="11"/>
        <v>842.89984088914377</v>
      </c>
      <c r="E36" s="18">
        <f t="shared" si="12"/>
        <v>1104.4074042837967</v>
      </c>
      <c r="F36" s="18">
        <f t="shared" si="13"/>
        <v>192401.31321126682</v>
      </c>
    </row>
    <row r="37" spans="1:6" x14ac:dyDescent="0.2">
      <c r="A37" s="17" t="s">
        <v>69</v>
      </c>
      <c r="B37" s="18">
        <f t="shared" si="14"/>
        <v>192401.31321126682</v>
      </c>
      <c r="C37" s="18">
        <f t="shared" si="10"/>
        <v>262.65165898450448</v>
      </c>
      <c r="D37" s="18">
        <f t="shared" si="11"/>
        <v>841.75574529929224</v>
      </c>
      <c r="E37" s="18">
        <f t="shared" si="12"/>
        <v>1104.4074042837967</v>
      </c>
      <c r="F37" s="18">
        <f t="shared" si="13"/>
        <v>192138.66155228231</v>
      </c>
    </row>
    <row r="38" spans="1:6" x14ac:dyDescent="0.2">
      <c r="A38" s="17" t="s">
        <v>70</v>
      </c>
      <c r="B38" s="18">
        <f t="shared" si="14"/>
        <v>192138.66155228231</v>
      </c>
      <c r="C38" s="18">
        <f t="shared" si="10"/>
        <v>263.80075999256167</v>
      </c>
      <c r="D38" s="18">
        <f t="shared" si="11"/>
        <v>840.60664429123506</v>
      </c>
      <c r="E38" s="18">
        <f t="shared" si="12"/>
        <v>1104.4074042837967</v>
      </c>
      <c r="F38" s="18">
        <f t="shared" si="13"/>
        <v>191874.86079228975</v>
      </c>
    </row>
    <row r="39" spans="1:6" x14ac:dyDescent="0.2">
      <c r="A39" s="17" t="s">
        <v>71</v>
      </c>
      <c r="B39" s="18">
        <f t="shared" si="14"/>
        <v>191874.86079228975</v>
      </c>
      <c r="C39" s="18">
        <f t="shared" si="10"/>
        <v>264.95488831752914</v>
      </c>
      <c r="D39" s="18">
        <f t="shared" si="11"/>
        <v>839.45251596626758</v>
      </c>
      <c r="E39" s="18">
        <f t="shared" si="12"/>
        <v>1104.4074042837967</v>
      </c>
      <c r="F39" s="18">
        <f t="shared" si="13"/>
        <v>191609.90590397222</v>
      </c>
    </row>
    <row r="40" spans="1:6" x14ac:dyDescent="0.2">
      <c r="A40" s="17" t="s">
        <v>72</v>
      </c>
      <c r="B40" s="18">
        <f t="shared" si="14"/>
        <v>191609.90590397222</v>
      </c>
      <c r="C40" s="18">
        <f t="shared" si="10"/>
        <v>266.11406595391838</v>
      </c>
      <c r="D40" s="18">
        <f t="shared" si="11"/>
        <v>838.29333832987834</v>
      </c>
      <c r="E40" s="18">
        <f t="shared" si="12"/>
        <v>1104.4074042837967</v>
      </c>
      <c r="F40" s="18">
        <f t="shared" si="13"/>
        <v>191343.79183801831</v>
      </c>
    </row>
    <row r="41" spans="1:6" x14ac:dyDescent="0.2">
      <c r="A41" s="17" t="s">
        <v>73</v>
      </c>
      <c r="B41" s="18">
        <f t="shared" si="14"/>
        <v>191343.79183801831</v>
      </c>
      <c r="C41" s="18">
        <f t="shared" si="10"/>
        <v>267.27831499246668</v>
      </c>
      <c r="D41" s="18">
        <f t="shared" si="11"/>
        <v>837.12908929133005</v>
      </c>
      <c r="E41" s="18">
        <f t="shared" si="12"/>
        <v>1104.4074042837967</v>
      </c>
      <c r="F41" s="21">
        <f t="shared" si="13"/>
        <v>191076.51352302585</v>
      </c>
    </row>
    <row r="42" spans="1:6" x14ac:dyDescent="0.2">
      <c r="A42" s="22" t="s">
        <v>49</v>
      </c>
      <c r="B42" s="22"/>
      <c r="C42" s="21">
        <f>SUM(C30:C41)</f>
        <v>3131.6041927505094</v>
      </c>
      <c r="D42" s="21">
        <f>SUM(D30:D41)</f>
        <v>10121.284658655051</v>
      </c>
      <c r="E42" s="18"/>
      <c r="F42" s="18"/>
    </row>
    <row r="43" spans="1:6" x14ac:dyDescent="0.2">
      <c r="A43" s="17"/>
      <c r="B43" s="17"/>
      <c r="C43" s="18"/>
      <c r="D43" s="18"/>
      <c r="E43" s="18"/>
      <c r="F43" s="18"/>
    </row>
    <row r="44" spans="1:6" x14ac:dyDescent="0.2">
      <c r="A44" s="17" t="s">
        <v>74</v>
      </c>
      <c r="B44" s="18">
        <f>+F41</f>
        <v>191076.51352302585</v>
      </c>
      <c r="C44" s="18">
        <f t="shared" ref="C44:C55" si="15">+E44-D44</f>
        <v>268.44765762055874</v>
      </c>
      <c r="D44" s="18">
        <f t="shared" ref="D44:D55" si="16">B44*$I$2</f>
        <v>835.95974666323798</v>
      </c>
      <c r="E44" s="18">
        <f t="shared" ref="E44:E55" si="17">-$I$8</f>
        <v>1104.4074042837967</v>
      </c>
      <c r="F44" s="18">
        <f t="shared" ref="F44:F55" si="18">+B44-C44</f>
        <v>190808.06586540528</v>
      </c>
    </row>
    <row r="45" spans="1:6" x14ac:dyDescent="0.2">
      <c r="A45" s="17" t="s">
        <v>75</v>
      </c>
      <c r="B45" s="18">
        <f t="shared" ref="B45:B55" si="19">+F44</f>
        <v>190808.06586540528</v>
      </c>
      <c r="C45" s="18">
        <f t="shared" si="15"/>
        <v>269.62211612264866</v>
      </c>
      <c r="D45" s="18">
        <f t="shared" si="16"/>
        <v>834.78528816114806</v>
      </c>
      <c r="E45" s="18">
        <f t="shared" si="17"/>
        <v>1104.4074042837967</v>
      </c>
      <c r="F45" s="18">
        <f t="shared" si="18"/>
        <v>190538.44374928263</v>
      </c>
    </row>
    <row r="46" spans="1:6" x14ac:dyDescent="0.2">
      <c r="A46" s="17" t="s">
        <v>76</v>
      </c>
      <c r="B46" s="18">
        <f t="shared" si="19"/>
        <v>190538.44374928263</v>
      </c>
      <c r="C46" s="18">
        <f t="shared" si="15"/>
        <v>270.80171288068527</v>
      </c>
      <c r="D46" s="18">
        <f t="shared" si="16"/>
        <v>833.60569140311145</v>
      </c>
      <c r="E46" s="18">
        <f t="shared" si="17"/>
        <v>1104.4074042837967</v>
      </c>
      <c r="F46" s="18">
        <f t="shared" si="18"/>
        <v>190267.64203640193</v>
      </c>
    </row>
    <row r="47" spans="1:6" x14ac:dyDescent="0.2">
      <c r="A47" s="17" t="s">
        <v>77</v>
      </c>
      <c r="B47" s="18">
        <f t="shared" si="19"/>
        <v>190267.64203640193</v>
      </c>
      <c r="C47" s="18">
        <f t="shared" si="15"/>
        <v>271.98647037453838</v>
      </c>
      <c r="D47" s="18">
        <f t="shared" si="16"/>
        <v>832.42093390925834</v>
      </c>
      <c r="E47" s="18">
        <f t="shared" si="17"/>
        <v>1104.4074042837967</v>
      </c>
      <c r="F47" s="18">
        <f t="shared" si="18"/>
        <v>189995.65556602739</v>
      </c>
    </row>
    <row r="48" spans="1:6" x14ac:dyDescent="0.2">
      <c r="A48" s="17" t="s">
        <v>78</v>
      </c>
      <c r="B48" s="18">
        <f t="shared" si="19"/>
        <v>189995.65556602739</v>
      </c>
      <c r="C48" s="18">
        <f t="shared" si="15"/>
        <v>273.17641118242693</v>
      </c>
      <c r="D48" s="18">
        <f t="shared" si="16"/>
        <v>831.23099310136979</v>
      </c>
      <c r="E48" s="18">
        <f t="shared" si="17"/>
        <v>1104.4074042837967</v>
      </c>
      <c r="F48" s="18">
        <f t="shared" si="18"/>
        <v>189722.47915484497</v>
      </c>
    </row>
    <row r="49" spans="1:7" x14ac:dyDescent="0.2">
      <c r="A49" s="17" t="s">
        <v>79</v>
      </c>
      <c r="B49" s="18">
        <f t="shared" si="19"/>
        <v>189722.47915484497</v>
      </c>
      <c r="C49" s="18">
        <f t="shared" si="15"/>
        <v>274.37155798135007</v>
      </c>
      <c r="D49" s="18">
        <f t="shared" si="16"/>
        <v>830.03584630244666</v>
      </c>
      <c r="E49" s="18">
        <f t="shared" si="17"/>
        <v>1104.4074042837967</v>
      </c>
      <c r="F49" s="18">
        <f t="shared" si="18"/>
        <v>189448.10759686361</v>
      </c>
    </row>
    <row r="50" spans="1:7" x14ac:dyDescent="0.2">
      <c r="A50" s="17" t="s">
        <v>80</v>
      </c>
      <c r="B50" s="18">
        <f t="shared" si="19"/>
        <v>189448.10759686361</v>
      </c>
      <c r="C50" s="18">
        <f t="shared" si="15"/>
        <v>275.57193354751848</v>
      </c>
      <c r="D50" s="18">
        <f t="shared" si="16"/>
        <v>828.83547073627824</v>
      </c>
      <c r="E50" s="18">
        <f t="shared" si="17"/>
        <v>1104.4074042837967</v>
      </c>
      <c r="F50" s="18">
        <f t="shared" si="18"/>
        <v>189172.53566331608</v>
      </c>
    </row>
    <row r="51" spans="1:7" x14ac:dyDescent="0.2">
      <c r="A51" s="17" t="s">
        <v>81</v>
      </c>
      <c r="B51" s="18">
        <f t="shared" si="19"/>
        <v>189172.53566331608</v>
      </c>
      <c r="C51" s="18">
        <f t="shared" si="15"/>
        <v>276.77756075678894</v>
      </c>
      <c r="D51" s="18">
        <f t="shared" si="16"/>
        <v>827.62984352700778</v>
      </c>
      <c r="E51" s="18">
        <f t="shared" si="17"/>
        <v>1104.4074042837967</v>
      </c>
      <c r="F51" s="18">
        <f t="shared" si="18"/>
        <v>188895.75810255931</v>
      </c>
    </row>
    <row r="52" spans="1:7" x14ac:dyDescent="0.2">
      <c r="A52" s="17" t="s">
        <v>82</v>
      </c>
      <c r="B52" s="18">
        <f t="shared" si="19"/>
        <v>188895.75810255931</v>
      </c>
      <c r="C52" s="18">
        <f t="shared" si="15"/>
        <v>277.9884625850998</v>
      </c>
      <c r="D52" s="18">
        <f t="shared" si="16"/>
        <v>826.41894169869693</v>
      </c>
      <c r="E52" s="18">
        <f t="shared" si="17"/>
        <v>1104.4074042837967</v>
      </c>
      <c r="F52" s="18">
        <f t="shared" si="18"/>
        <v>188617.7696399742</v>
      </c>
    </row>
    <row r="53" spans="1:7" x14ac:dyDescent="0.2">
      <c r="A53" s="17" t="s">
        <v>83</v>
      </c>
      <c r="B53" s="18">
        <f t="shared" si="19"/>
        <v>188617.7696399742</v>
      </c>
      <c r="C53" s="18">
        <f t="shared" si="15"/>
        <v>279.2046621089097</v>
      </c>
      <c r="D53" s="18">
        <f t="shared" si="16"/>
        <v>825.20274217488702</v>
      </c>
      <c r="E53" s="18">
        <f t="shared" si="17"/>
        <v>1104.4074042837967</v>
      </c>
      <c r="F53" s="18">
        <f t="shared" si="18"/>
        <v>188338.56497786529</v>
      </c>
    </row>
    <row r="54" spans="1:7" x14ac:dyDescent="0.2">
      <c r="A54" s="17" t="s">
        <v>84</v>
      </c>
      <c r="B54" s="18">
        <f t="shared" si="19"/>
        <v>188338.56497786529</v>
      </c>
      <c r="C54" s="18">
        <f t="shared" si="15"/>
        <v>280.42618250563612</v>
      </c>
      <c r="D54" s="18">
        <f t="shared" si="16"/>
        <v>823.9812217781606</v>
      </c>
      <c r="E54" s="18">
        <f t="shared" si="17"/>
        <v>1104.4074042837967</v>
      </c>
      <c r="F54" s="18">
        <f t="shared" si="18"/>
        <v>188058.13879535964</v>
      </c>
    </row>
    <row r="55" spans="1:7" x14ac:dyDescent="0.2">
      <c r="A55" s="17" t="s">
        <v>85</v>
      </c>
      <c r="B55" s="18">
        <f t="shared" si="19"/>
        <v>188058.13879535964</v>
      </c>
      <c r="C55" s="18">
        <f t="shared" si="15"/>
        <v>281.65304705409835</v>
      </c>
      <c r="D55" s="18">
        <f t="shared" si="16"/>
        <v>822.75435722969837</v>
      </c>
      <c r="E55" s="18">
        <f t="shared" si="17"/>
        <v>1104.4074042837967</v>
      </c>
      <c r="F55" s="21">
        <f t="shared" si="18"/>
        <v>187776.48574830554</v>
      </c>
      <c r="G55" s="18"/>
    </row>
    <row r="56" spans="1:7" x14ac:dyDescent="0.2">
      <c r="A56" s="22" t="s">
        <v>49</v>
      </c>
      <c r="B56" s="23"/>
      <c r="C56" s="21">
        <f>SUM(C44:C55)</f>
        <v>3300.0277747202599</v>
      </c>
      <c r="D56" s="21">
        <f>SUM(D44:D55)</f>
        <v>9952.8610766852998</v>
      </c>
    </row>
    <row r="58" spans="1:7" x14ac:dyDescent="0.2">
      <c r="A58" s="17" t="s">
        <v>74</v>
      </c>
      <c r="B58" s="18">
        <f>+F55</f>
        <v>187776.48574830554</v>
      </c>
      <c r="C58" s="18">
        <f t="shared" ref="C58:C69" si="20">+E58-D58</f>
        <v>282.88527913496011</v>
      </c>
      <c r="D58" s="18">
        <f t="shared" ref="D58:D69" si="21">B58*$I$2</f>
        <v>821.52212514883661</v>
      </c>
      <c r="E58" s="18">
        <f t="shared" ref="E58:E69" si="22">-$I$8</f>
        <v>1104.4074042837967</v>
      </c>
      <c r="F58" s="18">
        <f t="shared" ref="F58:F69" si="23">+B58-C58</f>
        <v>187493.60046917057</v>
      </c>
    </row>
    <row r="59" spans="1:7" x14ac:dyDescent="0.2">
      <c r="A59" s="17" t="s">
        <v>75</v>
      </c>
      <c r="B59" s="18">
        <f t="shared" ref="B59:B69" si="24">+F58</f>
        <v>187493.60046917057</v>
      </c>
      <c r="C59" s="18">
        <f t="shared" si="20"/>
        <v>284.12290223117554</v>
      </c>
      <c r="D59" s="18">
        <f t="shared" si="21"/>
        <v>820.28450205262118</v>
      </c>
      <c r="E59" s="18">
        <f t="shared" si="22"/>
        <v>1104.4074042837967</v>
      </c>
      <c r="F59" s="18">
        <f t="shared" si="23"/>
        <v>187209.4775669394</v>
      </c>
    </row>
    <row r="60" spans="1:7" x14ac:dyDescent="0.2">
      <c r="A60" s="17" t="s">
        <v>76</v>
      </c>
      <c r="B60" s="18">
        <f t="shared" si="24"/>
        <v>187209.4775669394</v>
      </c>
      <c r="C60" s="18">
        <f t="shared" si="20"/>
        <v>285.36593992843689</v>
      </c>
      <c r="D60" s="18">
        <f t="shared" si="21"/>
        <v>819.04146435535984</v>
      </c>
      <c r="E60" s="18">
        <f t="shared" si="22"/>
        <v>1104.4074042837967</v>
      </c>
      <c r="F60" s="18">
        <f t="shared" si="23"/>
        <v>186924.11162701098</v>
      </c>
    </row>
    <row r="61" spans="1:7" x14ac:dyDescent="0.2">
      <c r="A61" s="17" t="s">
        <v>77</v>
      </c>
      <c r="B61" s="18">
        <f t="shared" si="24"/>
        <v>186924.11162701098</v>
      </c>
      <c r="C61" s="18">
        <f t="shared" si="20"/>
        <v>286.61441591562379</v>
      </c>
      <c r="D61" s="18">
        <f t="shared" si="21"/>
        <v>817.79298836817293</v>
      </c>
      <c r="E61" s="18">
        <f t="shared" si="22"/>
        <v>1104.4074042837967</v>
      </c>
      <c r="F61" s="18">
        <f t="shared" si="23"/>
        <v>186637.49721109535</v>
      </c>
    </row>
    <row r="62" spans="1:7" x14ac:dyDescent="0.2">
      <c r="A62" s="17" t="s">
        <v>78</v>
      </c>
      <c r="B62" s="18">
        <f t="shared" si="24"/>
        <v>186637.49721109535</v>
      </c>
      <c r="C62" s="18">
        <f t="shared" si="20"/>
        <v>287.86835398525466</v>
      </c>
      <c r="D62" s="18">
        <f t="shared" si="21"/>
        <v>816.53905029854207</v>
      </c>
      <c r="E62" s="18">
        <f t="shared" si="22"/>
        <v>1104.4074042837967</v>
      </c>
      <c r="F62" s="18">
        <f t="shared" si="23"/>
        <v>186349.6288571101</v>
      </c>
    </row>
    <row r="63" spans="1:7" x14ac:dyDescent="0.2">
      <c r="A63" s="17" t="s">
        <v>79</v>
      </c>
      <c r="B63" s="18">
        <f t="shared" si="24"/>
        <v>186349.6288571101</v>
      </c>
      <c r="C63" s="18">
        <f t="shared" si="20"/>
        <v>289.1277780339401</v>
      </c>
      <c r="D63" s="18">
        <f t="shared" si="21"/>
        <v>815.27962624985662</v>
      </c>
      <c r="E63" s="18">
        <f t="shared" si="22"/>
        <v>1104.4074042837967</v>
      </c>
      <c r="F63" s="18">
        <f t="shared" si="23"/>
        <v>186060.50107907617</v>
      </c>
    </row>
    <row r="64" spans="1:7" x14ac:dyDescent="0.2">
      <c r="A64" s="17" t="s">
        <v>80</v>
      </c>
      <c r="B64" s="18">
        <f t="shared" si="24"/>
        <v>186060.50107907617</v>
      </c>
      <c r="C64" s="18">
        <f t="shared" si="20"/>
        <v>290.39271206283854</v>
      </c>
      <c r="D64" s="18">
        <f t="shared" si="21"/>
        <v>814.01469222095818</v>
      </c>
      <c r="E64" s="18">
        <f t="shared" si="22"/>
        <v>1104.4074042837967</v>
      </c>
      <c r="F64" s="18">
        <f t="shared" si="23"/>
        <v>185770.10836701334</v>
      </c>
    </row>
    <row r="65" spans="1:6" x14ac:dyDescent="0.2">
      <c r="A65" s="17" t="s">
        <v>81</v>
      </c>
      <c r="B65" s="18">
        <f t="shared" si="24"/>
        <v>185770.10836701334</v>
      </c>
      <c r="C65" s="18">
        <f t="shared" si="20"/>
        <v>291.66318017811341</v>
      </c>
      <c r="D65" s="18">
        <f t="shared" si="21"/>
        <v>812.74422410568332</v>
      </c>
      <c r="E65" s="18">
        <f t="shared" si="22"/>
        <v>1104.4074042837967</v>
      </c>
      <c r="F65" s="18">
        <f t="shared" si="23"/>
        <v>185478.44518683522</v>
      </c>
    </row>
    <row r="66" spans="1:6" x14ac:dyDescent="0.2">
      <c r="A66" s="17" t="s">
        <v>82</v>
      </c>
      <c r="B66" s="18">
        <f t="shared" si="24"/>
        <v>185478.44518683522</v>
      </c>
      <c r="C66" s="18">
        <f t="shared" si="20"/>
        <v>292.93920659139269</v>
      </c>
      <c r="D66" s="18">
        <f t="shared" si="21"/>
        <v>811.46819769240403</v>
      </c>
      <c r="E66" s="18">
        <f t="shared" si="22"/>
        <v>1104.4074042837967</v>
      </c>
      <c r="F66" s="18">
        <f t="shared" si="23"/>
        <v>185185.50598024382</v>
      </c>
    </row>
    <row r="67" spans="1:6" x14ac:dyDescent="0.2">
      <c r="A67" s="17" t="s">
        <v>83</v>
      </c>
      <c r="B67" s="18">
        <f t="shared" si="24"/>
        <v>185185.50598024382</v>
      </c>
      <c r="C67" s="18">
        <f t="shared" si="20"/>
        <v>294.22081562023004</v>
      </c>
      <c r="D67" s="18">
        <f t="shared" si="21"/>
        <v>810.18658866356668</v>
      </c>
      <c r="E67" s="18">
        <f t="shared" si="22"/>
        <v>1104.4074042837967</v>
      </c>
      <c r="F67" s="18">
        <f t="shared" si="23"/>
        <v>184891.28516462358</v>
      </c>
    </row>
    <row r="68" spans="1:6" x14ac:dyDescent="0.2">
      <c r="A68" s="17" t="s">
        <v>84</v>
      </c>
      <c r="B68" s="18">
        <f t="shared" si="24"/>
        <v>184891.28516462358</v>
      </c>
      <c r="C68" s="18">
        <f t="shared" si="20"/>
        <v>295.50803168856862</v>
      </c>
      <c r="D68" s="18">
        <f t="shared" si="21"/>
        <v>808.8993725952281</v>
      </c>
      <c r="E68" s="18">
        <f t="shared" si="22"/>
        <v>1104.4074042837967</v>
      </c>
      <c r="F68" s="18">
        <f t="shared" si="23"/>
        <v>184595.77713293501</v>
      </c>
    </row>
    <row r="69" spans="1:6" x14ac:dyDescent="0.2">
      <c r="A69" s="17" t="s">
        <v>85</v>
      </c>
      <c r="B69" s="18">
        <f t="shared" si="24"/>
        <v>184595.77713293501</v>
      </c>
      <c r="C69" s="18">
        <f t="shared" si="20"/>
        <v>296.80087932720619</v>
      </c>
      <c r="D69" s="18">
        <f t="shared" si="21"/>
        <v>807.60652495659053</v>
      </c>
      <c r="E69" s="18">
        <f t="shared" si="22"/>
        <v>1104.4074042837967</v>
      </c>
      <c r="F69" s="21">
        <f t="shared" si="23"/>
        <v>184298.97625360781</v>
      </c>
    </row>
    <row r="70" spans="1:6" x14ac:dyDescent="0.2">
      <c r="A70" s="22" t="s">
        <v>49</v>
      </c>
      <c r="B70" s="23"/>
      <c r="C70" s="21">
        <f>SUM(C58:C69)</f>
        <v>3477.5094946977406</v>
      </c>
      <c r="D70" s="21">
        <f>SUM(D58:D69)</f>
        <v>9775.379356707821</v>
      </c>
    </row>
    <row r="72" spans="1:6" x14ac:dyDescent="0.2">
      <c r="A72" s="17" t="s">
        <v>74</v>
      </c>
      <c r="B72" s="18">
        <f>+F69</f>
        <v>184298.97625360781</v>
      </c>
      <c r="C72" s="18">
        <f t="shared" ref="C72:C83" si="25">+E72-D72</f>
        <v>298.0993831742627</v>
      </c>
      <c r="D72" s="18">
        <f t="shared" ref="D72:D83" si="26">B72*$I$2</f>
        <v>806.30802110953402</v>
      </c>
      <c r="E72" s="18">
        <f t="shared" ref="E72:E83" si="27">-$I$8</f>
        <v>1104.4074042837967</v>
      </c>
      <c r="F72" s="18">
        <f t="shared" ref="F72:F83" si="28">+B72-C72</f>
        <v>184000.87687043354</v>
      </c>
    </row>
    <row r="73" spans="1:6" x14ac:dyDescent="0.2">
      <c r="A73" s="17" t="s">
        <v>75</v>
      </c>
      <c r="B73" s="18">
        <f t="shared" ref="B73:B83" si="29">+F72</f>
        <v>184000.87687043354</v>
      </c>
      <c r="C73" s="18">
        <f t="shared" si="25"/>
        <v>299.40356797565005</v>
      </c>
      <c r="D73" s="18">
        <f t="shared" si="26"/>
        <v>805.00383630814667</v>
      </c>
      <c r="E73" s="18">
        <f t="shared" si="27"/>
        <v>1104.4074042837967</v>
      </c>
      <c r="F73" s="18">
        <f t="shared" si="28"/>
        <v>183701.47330245789</v>
      </c>
    </row>
    <row r="74" spans="1:6" x14ac:dyDescent="0.2">
      <c r="A74" s="17" t="s">
        <v>76</v>
      </c>
      <c r="B74" s="18">
        <f t="shared" si="29"/>
        <v>183701.47330245789</v>
      </c>
      <c r="C74" s="18">
        <f t="shared" si="25"/>
        <v>300.71345858554355</v>
      </c>
      <c r="D74" s="18">
        <f t="shared" si="26"/>
        <v>803.69394569825317</v>
      </c>
      <c r="E74" s="18">
        <f t="shared" si="27"/>
        <v>1104.4074042837967</v>
      </c>
      <c r="F74" s="18">
        <f t="shared" si="28"/>
        <v>183400.75984387234</v>
      </c>
    </row>
    <row r="75" spans="1:6" x14ac:dyDescent="0.2">
      <c r="A75" s="17" t="s">
        <v>77</v>
      </c>
      <c r="B75" s="18">
        <f t="shared" si="29"/>
        <v>183400.75984387234</v>
      </c>
      <c r="C75" s="18">
        <f t="shared" si="25"/>
        <v>302.02907996685531</v>
      </c>
      <c r="D75" s="18">
        <f t="shared" si="26"/>
        <v>802.37832431694142</v>
      </c>
      <c r="E75" s="18">
        <f t="shared" si="27"/>
        <v>1104.4074042837967</v>
      </c>
      <c r="F75" s="18">
        <f t="shared" si="28"/>
        <v>183098.73076390548</v>
      </c>
    </row>
    <row r="76" spans="1:6" x14ac:dyDescent="0.2">
      <c r="A76" s="17" t="s">
        <v>78</v>
      </c>
      <c r="B76" s="18">
        <f t="shared" si="29"/>
        <v>183098.73076390548</v>
      </c>
      <c r="C76" s="18">
        <f t="shared" si="25"/>
        <v>303.35045719171035</v>
      </c>
      <c r="D76" s="18">
        <f t="shared" si="26"/>
        <v>801.05694709208638</v>
      </c>
      <c r="E76" s="18">
        <f t="shared" si="27"/>
        <v>1104.4074042837967</v>
      </c>
      <c r="F76" s="18">
        <f t="shared" si="28"/>
        <v>182795.38030671378</v>
      </c>
    </row>
    <row r="77" spans="1:6" x14ac:dyDescent="0.2">
      <c r="A77" s="17" t="s">
        <v>79</v>
      </c>
      <c r="B77" s="18">
        <f t="shared" si="29"/>
        <v>182795.38030671378</v>
      </c>
      <c r="C77" s="18">
        <f t="shared" si="25"/>
        <v>304.67761544192399</v>
      </c>
      <c r="D77" s="18">
        <f t="shared" si="26"/>
        <v>799.72978884187273</v>
      </c>
      <c r="E77" s="18">
        <f t="shared" si="27"/>
        <v>1104.4074042837967</v>
      </c>
      <c r="F77" s="18">
        <f t="shared" si="28"/>
        <v>182490.70269127184</v>
      </c>
    </row>
    <row r="78" spans="1:6" x14ac:dyDescent="0.2">
      <c r="A78" s="17" t="s">
        <v>80</v>
      </c>
      <c r="B78" s="18">
        <f t="shared" si="29"/>
        <v>182490.70269127184</v>
      </c>
      <c r="C78" s="18">
        <f t="shared" si="25"/>
        <v>306.01058000948251</v>
      </c>
      <c r="D78" s="18">
        <f t="shared" si="26"/>
        <v>798.39682427431421</v>
      </c>
      <c r="E78" s="18">
        <f t="shared" si="27"/>
        <v>1104.4074042837967</v>
      </c>
      <c r="F78" s="18">
        <f t="shared" si="28"/>
        <v>182184.69211126235</v>
      </c>
    </row>
    <row r="79" spans="1:6" x14ac:dyDescent="0.2">
      <c r="A79" s="17" t="s">
        <v>81</v>
      </c>
      <c r="B79" s="18">
        <f t="shared" si="29"/>
        <v>182184.69211126235</v>
      </c>
      <c r="C79" s="18">
        <f t="shared" si="25"/>
        <v>307.34937629702404</v>
      </c>
      <c r="D79" s="18">
        <f t="shared" si="26"/>
        <v>797.05802798677269</v>
      </c>
      <c r="E79" s="18">
        <f t="shared" si="27"/>
        <v>1104.4074042837967</v>
      </c>
      <c r="F79" s="18">
        <f t="shared" si="28"/>
        <v>181877.34273496532</v>
      </c>
    </row>
    <row r="80" spans="1:6" x14ac:dyDescent="0.2">
      <c r="A80" s="17" t="s">
        <v>82</v>
      </c>
      <c r="B80" s="18">
        <f t="shared" si="29"/>
        <v>181877.34273496532</v>
      </c>
      <c r="C80" s="18">
        <f t="shared" si="25"/>
        <v>308.69402981832354</v>
      </c>
      <c r="D80" s="18">
        <f t="shared" si="26"/>
        <v>795.71337446547318</v>
      </c>
      <c r="E80" s="18">
        <f t="shared" si="27"/>
        <v>1104.4074042837967</v>
      </c>
      <c r="F80" s="18">
        <f t="shared" si="28"/>
        <v>181568.648705147</v>
      </c>
    </row>
    <row r="81" spans="1:6" x14ac:dyDescent="0.2">
      <c r="A81" s="17" t="s">
        <v>83</v>
      </c>
      <c r="B81" s="18">
        <f t="shared" si="29"/>
        <v>181568.648705147</v>
      </c>
      <c r="C81" s="18">
        <f t="shared" si="25"/>
        <v>310.04456619877863</v>
      </c>
      <c r="D81" s="18">
        <f t="shared" si="26"/>
        <v>794.3628380850181</v>
      </c>
      <c r="E81" s="18">
        <f t="shared" si="27"/>
        <v>1104.4074042837967</v>
      </c>
      <c r="F81" s="18">
        <f t="shared" si="28"/>
        <v>181258.60413894823</v>
      </c>
    </row>
    <row r="82" spans="1:6" x14ac:dyDescent="0.2">
      <c r="A82" s="17" t="s">
        <v>84</v>
      </c>
      <c r="B82" s="18">
        <f t="shared" si="29"/>
        <v>181258.60413894823</v>
      </c>
      <c r="C82" s="18">
        <f t="shared" si="25"/>
        <v>311.40101117589836</v>
      </c>
      <c r="D82" s="18">
        <f t="shared" si="26"/>
        <v>793.00639310789836</v>
      </c>
      <c r="E82" s="18">
        <f t="shared" si="27"/>
        <v>1104.4074042837967</v>
      </c>
      <c r="F82" s="18">
        <f t="shared" si="28"/>
        <v>180947.20312777231</v>
      </c>
    </row>
    <row r="83" spans="1:6" x14ac:dyDescent="0.2">
      <c r="A83" s="17" t="s">
        <v>85</v>
      </c>
      <c r="B83" s="18">
        <f t="shared" si="29"/>
        <v>180947.20312777231</v>
      </c>
      <c r="C83" s="18">
        <f t="shared" si="25"/>
        <v>312.76339059979296</v>
      </c>
      <c r="D83" s="18">
        <f t="shared" si="26"/>
        <v>791.64401368400377</v>
      </c>
      <c r="E83" s="18">
        <f t="shared" si="27"/>
        <v>1104.4074042837967</v>
      </c>
      <c r="F83" s="21">
        <f t="shared" si="28"/>
        <v>180634.43973717254</v>
      </c>
    </row>
    <row r="84" spans="1:6" x14ac:dyDescent="0.2">
      <c r="A84" s="22" t="s">
        <v>49</v>
      </c>
      <c r="B84" s="23"/>
      <c r="C84" s="21">
        <f>SUM(C72:C83)</f>
        <v>3664.5365164352461</v>
      </c>
      <c r="D84" s="21">
        <f>SUM(D72:D83)</f>
        <v>9588.3523349703137</v>
      </c>
    </row>
    <row r="85" spans="1:6" x14ac:dyDescent="0.2">
      <c r="B85" s="17"/>
      <c r="C85" s="18"/>
      <c r="D85" s="18"/>
      <c r="E85" s="18"/>
      <c r="F85" s="18"/>
    </row>
    <row r="86" spans="1:6" x14ac:dyDescent="0.2">
      <c r="A86" s="17" t="s">
        <v>74</v>
      </c>
      <c r="B86" s="18">
        <f>+F83</f>
        <v>180634.43973717254</v>
      </c>
      <c r="C86" s="18">
        <f t="shared" ref="C86:C97" si="30">+E86-D86</f>
        <v>314.13173043366692</v>
      </c>
      <c r="D86" s="18">
        <f t="shared" ref="D86:D97" si="31">B86*$I$2</f>
        <v>790.27567385012981</v>
      </c>
      <c r="E86" s="18">
        <f t="shared" ref="E86:E97" si="32">-$I$8</f>
        <v>1104.4074042837967</v>
      </c>
      <c r="F86" s="18">
        <f t="shared" ref="F86:F97" si="33">+B86-C86</f>
        <v>180320.30800673887</v>
      </c>
    </row>
    <row r="87" spans="1:6" x14ac:dyDescent="0.2">
      <c r="A87" s="17" t="s">
        <v>75</v>
      </c>
      <c r="B87" s="18">
        <f t="shared" ref="B87:B97" si="34">+F86</f>
        <v>180320.30800673887</v>
      </c>
      <c r="C87" s="18">
        <f t="shared" si="30"/>
        <v>315.50605675431427</v>
      </c>
      <c r="D87" s="18">
        <f t="shared" si="31"/>
        <v>788.90134752948245</v>
      </c>
      <c r="E87" s="18">
        <f t="shared" si="32"/>
        <v>1104.4074042837967</v>
      </c>
      <c r="F87" s="18">
        <f t="shared" si="33"/>
        <v>180004.80194998454</v>
      </c>
    </row>
    <row r="88" spans="1:6" x14ac:dyDescent="0.2">
      <c r="A88" s="17" t="s">
        <v>76</v>
      </c>
      <c r="B88" s="18">
        <f t="shared" si="34"/>
        <v>180004.80194998454</v>
      </c>
      <c r="C88" s="18">
        <f t="shared" si="30"/>
        <v>316.88639575261448</v>
      </c>
      <c r="D88" s="18">
        <f t="shared" si="31"/>
        <v>787.52100853118225</v>
      </c>
      <c r="E88" s="18">
        <f t="shared" si="32"/>
        <v>1104.4074042837967</v>
      </c>
      <c r="F88" s="18">
        <f t="shared" si="33"/>
        <v>179687.91555423193</v>
      </c>
    </row>
    <row r="89" spans="1:6" x14ac:dyDescent="0.2">
      <c r="A89" s="17" t="s">
        <v>77</v>
      </c>
      <c r="B89" s="18">
        <f t="shared" si="34"/>
        <v>179687.91555423193</v>
      </c>
      <c r="C89" s="18">
        <f t="shared" si="30"/>
        <v>318.27277373403206</v>
      </c>
      <c r="D89" s="18">
        <f t="shared" si="31"/>
        <v>786.13463054976467</v>
      </c>
      <c r="E89" s="18">
        <f t="shared" si="32"/>
        <v>1104.4074042837967</v>
      </c>
      <c r="F89" s="18">
        <f t="shared" si="33"/>
        <v>179369.6427804979</v>
      </c>
    </row>
    <row r="90" spans="1:6" x14ac:dyDescent="0.2">
      <c r="A90" s="17" t="s">
        <v>78</v>
      </c>
      <c r="B90" s="18">
        <f t="shared" si="34"/>
        <v>179369.6427804979</v>
      </c>
      <c r="C90" s="18">
        <f t="shared" si="30"/>
        <v>319.66521711911844</v>
      </c>
      <c r="D90" s="18">
        <f t="shared" si="31"/>
        <v>784.74218716467828</v>
      </c>
      <c r="E90" s="18">
        <f t="shared" si="32"/>
        <v>1104.4074042837967</v>
      </c>
      <c r="F90" s="18">
        <f t="shared" si="33"/>
        <v>179049.97756337878</v>
      </c>
    </row>
    <row r="91" spans="1:6" x14ac:dyDescent="0.2">
      <c r="A91" s="17" t="s">
        <v>79</v>
      </c>
      <c r="B91" s="18">
        <f t="shared" si="34"/>
        <v>179049.97756337878</v>
      </c>
      <c r="C91" s="18">
        <f t="shared" si="30"/>
        <v>321.06375244401465</v>
      </c>
      <c r="D91" s="18">
        <f t="shared" si="31"/>
        <v>783.34365183978207</v>
      </c>
      <c r="E91" s="18">
        <f t="shared" si="32"/>
        <v>1104.4074042837967</v>
      </c>
      <c r="F91" s="18">
        <f t="shared" si="33"/>
        <v>178728.91381093476</v>
      </c>
    </row>
    <row r="92" spans="1:6" x14ac:dyDescent="0.2">
      <c r="A92" s="17" t="s">
        <v>80</v>
      </c>
      <c r="B92" s="18">
        <f t="shared" si="34"/>
        <v>178728.91381093476</v>
      </c>
      <c r="C92" s="18">
        <f t="shared" si="30"/>
        <v>322.46840636095726</v>
      </c>
      <c r="D92" s="18">
        <f t="shared" si="31"/>
        <v>781.93899792283946</v>
      </c>
      <c r="E92" s="18">
        <f t="shared" si="32"/>
        <v>1104.4074042837967</v>
      </c>
      <c r="F92" s="18">
        <f t="shared" si="33"/>
        <v>178406.44540457381</v>
      </c>
    </row>
    <row r="93" spans="1:6" x14ac:dyDescent="0.2">
      <c r="A93" s="17" t="s">
        <v>81</v>
      </c>
      <c r="B93" s="18">
        <f t="shared" si="34"/>
        <v>178406.44540457381</v>
      </c>
      <c r="C93" s="18">
        <f t="shared" si="30"/>
        <v>323.8792056387864</v>
      </c>
      <c r="D93" s="18">
        <f t="shared" si="31"/>
        <v>780.52819864501032</v>
      </c>
      <c r="E93" s="18">
        <f t="shared" si="32"/>
        <v>1104.4074042837967</v>
      </c>
      <c r="F93" s="18">
        <f t="shared" si="33"/>
        <v>178082.56619893503</v>
      </c>
    </row>
    <row r="94" spans="1:6" x14ac:dyDescent="0.2">
      <c r="A94" s="17" t="s">
        <v>82</v>
      </c>
      <c r="B94" s="18">
        <f t="shared" si="34"/>
        <v>178082.56619893503</v>
      </c>
      <c r="C94" s="18">
        <f t="shared" si="30"/>
        <v>325.29617716345604</v>
      </c>
      <c r="D94" s="18">
        <f t="shared" si="31"/>
        <v>779.11122712034069</v>
      </c>
      <c r="E94" s="18">
        <f t="shared" si="32"/>
        <v>1104.4074042837967</v>
      </c>
      <c r="F94" s="18">
        <f t="shared" si="33"/>
        <v>177757.27002177158</v>
      </c>
    </row>
    <row r="95" spans="1:6" x14ac:dyDescent="0.2">
      <c r="A95" s="17" t="s">
        <v>83</v>
      </c>
      <c r="B95" s="18">
        <f t="shared" si="34"/>
        <v>177757.27002177158</v>
      </c>
      <c r="C95" s="18">
        <f t="shared" si="30"/>
        <v>326.71934793854621</v>
      </c>
      <c r="D95" s="18">
        <f t="shared" si="31"/>
        <v>777.68805634525052</v>
      </c>
      <c r="E95" s="18">
        <f t="shared" si="32"/>
        <v>1104.4074042837967</v>
      </c>
      <c r="F95" s="18">
        <f t="shared" si="33"/>
        <v>177430.55067383303</v>
      </c>
    </row>
    <row r="96" spans="1:6" x14ac:dyDescent="0.2">
      <c r="A96" s="17" t="s">
        <v>84</v>
      </c>
      <c r="B96" s="18">
        <f t="shared" si="34"/>
        <v>177430.55067383303</v>
      </c>
      <c r="C96" s="18">
        <f t="shared" si="30"/>
        <v>328.14874508577725</v>
      </c>
      <c r="D96" s="18">
        <f t="shared" si="31"/>
        <v>776.25865919801947</v>
      </c>
      <c r="E96" s="18">
        <f t="shared" si="32"/>
        <v>1104.4074042837967</v>
      </c>
      <c r="F96" s="18">
        <f t="shared" si="33"/>
        <v>177102.40192874725</v>
      </c>
    </row>
    <row r="97" spans="1:6" x14ac:dyDescent="0.2">
      <c r="A97" s="17" t="s">
        <v>85</v>
      </c>
      <c r="B97" s="18">
        <f t="shared" si="34"/>
        <v>177102.40192874725</v>
      </c>
      <c r="C97" s="18">
        <f t="shared" si="30"/>
        <v>329.58439584552764</v>
      </c>
      <c r="D97" s="18">
        <f t="shared" si="31"/>
        <v>774.82300843826908</v>
      </c>
      <c r="E97" s="18">
        <f t="shared" si="32"/>
        <v>1104.4074042837967</v>
      </c>
      <c r="F97" s="21">
        <f t="shared" si="33"/>
        <v>176772.81753290171</v>
      </c>
    </row>
    <row r="98" spans="1:6" x14ac:dyDescent="0.2">
      <c r="A98" s="22" t="s">
        <v>49</v>
      </c>
      <c r="B98" s="23"/>
      <c r="C98" s="21">
        <f>SUM(C86:C97)</f>
        <v>3861.6222042708114</v>
      </c>
      <c r="D98" s="21">
        <f>SUM(D86:D97)</f>
        <v>9391.2666471347475</v>
      </c>
    </row>
    <row r="99" spans="1:6" x14ac:dyDescent="0.2">
      <c r="B99" s="17"/>
      <c r="C99" s="18"/>
      <c r="D99" s="18"/>
      <c r="E99" s="18"/>
      <c r="F99" s="18"/>
    </row>
    <row r="100" spans="1:6" x14ac:dyDescent="0.2">
      <c r="A100" s="17" t="s">
        <v>74</v>
      </c>
      <c r="B100" s="18">
        <f>+F97</f>
        <v>176772.81753290171</v>
      </c>
      <c r="C100" s="18">
        <f t="shared" ref="C100:C111" si="35">+E100-D100</f>
        <v>331.02632757735182</v>
      </c>
      <c r="D100" s="18">
        <f t="shared" ref="D100:D111" si="36">B100*$I$2</f>
        <v>773.3810767064449</v>
      </c>
      <c r="E100" s="18">
        <f t="shared" ref="E100:E111" si="37">-$I$8</f>
        <v>1104.4074042837967</v>
      </c>
      <c r="F100" s="18">
        <f t="shared" ref="F100:F111" si="38">+B100-C100</f>
        <v>176441.79120532435</v>
      </c>
    </row>
    <row r="101" spans="1:6" x14ac:dyDescent="0.2">
      <c r="A101" s="17" t="s">
        <v>75</v>
      </c>
      <c r="B101" s="18">
        <f t="shared" ref="B101:B111" si="39">+F100</f>
        <v>176441.79120532435</v>
      </c>
      <c r="C101" s="18">
        <f t="shared" si="35"/>
        <v>332.47456776050274</v>
      </c>
      <c r="D101" s="18">
        <f t="shared" si="36"/>
        <v>771.93283652329399</v>
      </c>
      <c r="E101" s="18">
        <f t="shared" si="37"/>
        <v>1104.4074042837967</v>
      </c>
      <c r="F101" s="18">
        <f t="shared" si="38"/>
        <v>176109.31663756384</v>
      </c>
    </row>
    <row r="102" spans="1:6" x14ac:dyDescent="0.2">
      <c r="A102" s="17" t="s">
        <v>76</v>
      </c>
      <c r="B102" s="18">
        <f t="shared" si="39"/>
        <v>176109.31663756384</v>
      </c>
      <c r="C102" s="18">
        <f t="shared" si="35"/>
        <v>333.92914399445499</v>
      </c>
      <c r="D102" s="18">
        <f t="shared" si="36"/>
        <v>770.47826028934173</v>
      </c>
      <c r="E102" s="18">
        <f t="shared" si="37"/>
        <v>1104.4074042837967</v>
      </c>
      <c r="F102" s="18">
        <f t="shared" si="38"/>
        <v>175775.38749356937</v>
      </c>
    </row>
    <row r="103" spans="1:6" x14ac:dyDescent="0.2">
      <c r="A103" s="17" t="s">
        <v>77</v>
      </c>
      <c r="B103" s="18">
        <f t="shared" si="39"/>
        <v>175775.38749356937</v>
      </c>
      <c r="C103" s="18">
        <f t="shared" si="35"/>
        <v>335.39008399943077</v>
      </c>
      <c r="D103" s="18">
        <f t="shared" si="36"/>
        <v>769.01732028436595</v>
      </c>
      <c r="E103" s="18">
        <f t="shared" si="37"/>
        <v>1104.4074042837967</v>
      </c>
      <c r="F103" s="18">
        <f t="shared" si="38"/>
        <v>175439.99740956994</v>
      </c>
    </row>
    <row r="104" spans="1:6" x14ac:dyDescent="0.2">
      <c r="A104" s="17" t="s">
        <v>78</v>
      </c>
      <c r="B104" s="18">
        <f t="shared" si="39"/>
        <v>175439.99740956994</v>
      </c>
      <c r="C104" s="18">
        <f t="shared" si="35"/>
        <v>336.85741561692828</v>
      </c>
      <c r="D104" s="18">
        <f t="shared" si="36"/>
        <v>767.54998866686844</v>
      </c>
      <c r="E104" s="18">
        <f t="shared" si="37"/>
        <v>1104.4074042837967</v>
      </c>
      <c r="F104" s="18">
        <f t="shared" si="38"/>
        <v>175103.13999395302</v>
      </c>
    </row>
    <row r="105" spans="1:6" x14ac:dyDescent="0.2">
      <c r="A105" s="17" t="s">
        <v>79</v>
      </c>
      <c r="B105" s="18">
        <f t="shared" si="39"/>
        <v>175103.13999395302</v>
      </c>
      <c r="C105" s="18">
        <f t="shared" si="35"/>
        <v>338.33116681025228</v>
      </c>
      <c r="D105" s="18">
        <f t="shared" si="36"/>
        <v>766.07623747354444</v>
      </c>
      <c r="E105" s="18">
        <f t="shared" si="37"/>
        <v>1104.4074042837967</v>
      </c>
      <c r="F105" s="18">
        <f t="shared" si="38"/>
        <v>174764.80882714278</v>
      </c>
    </row>
    <row r="106" spans="1:6" x14ac:dyDescent="0.2">
      <c r="A106" s="17" t="s">
        <v>80</v>
      </c>
      <c r="B106" s="18">
        <f t="shared" si="39"/>
        <v>174764.80882714278</v>
      </c>
      <c r="C106" s="18">
        <f t="shared" si="35"/>
        <v>339.81136566504711</v>
      </c>
      <c r="D106" s="18">
        <f t="shared" si="36"/>
        <v>764.59603861874962</v>
      </c>
      <c r="E106" s="18">
        <f t="shared" si="37"/>
        <v>1104.4074042837967</v>
      </c>
      <c r="F106" s="18">
        <f t="shared" si="38"/>
        <v>174424.99746147773</v>
      </c>
    </row>
    <row r="107" spans="1:6" x14ac:dyDescent="0.2">
      <c r="A107" s="17" t="s">
        <v>81</v>
      </c>
      <c r="B107" s="18">
        <f t="shared" si="39"/>
        <v>174424.99746147773</v>
      </c>
      <c r="C107" s="18">
        <f t="shared" si="35"/>
        <v>341.29804038983173</v>
      </c>
      <c r="D107" s="18">
        <f t="shared" si="36"/>
        <v>763.109363893965</v>
      </c>
      <c r="E107" s="18">
        <f t="shared" si="37"/>
        <v>1104.4074042837967</v>
      </c>
      <c r="F107" s="18">
        <f t="shared" si="38"/>
        <v>174083.69942108789</v>
      </c>
    </row>
    <row r="108" spans="1:6" x14ac:dyDescent="0.2">
      <c r="A108" s="17" t="s">
        <v>82</v>
      </c>
      <c r="B108" s="18">
        <f t="shared" si="39"/>
        <v>174083.69942108789</v>
      </c>
      <c r="C108" s="18">
        <f t="shared" si="35"/>
        <v>342.79121931653731</v>
      </c>
      <c r="D108" s="18">
        <f t="shared" si="36"/>
        <v>761.61618496725941</v>
      </c>
      <c r="E108" s="18">
        <f t="shared" si="37"/>
        <v>1104.4074042837967</v>
      </c>
      <c r="F108" s="18">
        <f t="shared" si="38"/>
        <v>173740.90820177135</v>
      </c>
    </row>
    <row r="109" spans="1:6" x14ac:dyDescent="0.2">
      <c r="A109" s="17" t="s">
        <v>83</v>
      </c>
      <c r="B109" s="18">
        <f t="shared" si="39"/>
        <v>173740.90820177135</v>
      </c>
      <c r="C109" s="18">
        <f t="shared" si="35"/>
        <v>344.29093090104709</v>
      </c>
      <c r="D109" s="18">
        <f t="shared" si="36"/>
        <v>760.11647338274963</v>
      </c>
      <c r="E109" s="18">
        <f t="shared" si="37"/>
        <v>1104.4074042837967</v>
      </c>
      <c r="F109" s="18">
        <f t="shared" si="38"/>
        <v>173396.61727087031</v>
      </c>
    </row>
    <row r="110" spans="1:6" x14ac:dyDescent="0.2">
      <c r="A110" s="17" t="s">
        <v>84</v>
      </c>
      <c r="B110" s="18">
        <f t="shared" si="39"/>
        <v>173396.61727087031</v>
      </c>
      <c r="C110" s="18">
        <f t="shared" si="35"/>
        <v>345.79720372373924</v>
      </c>
      <c r="D110" s="18">
        <f t="shared" si="36"/>
        <v>758.61020056005748</v>
      </c>
      <c r="E110" s="18">
        <f t="shared" si="37"/>
        <v>1104.4074042837967</v>
      </c>
      <c r="F110" s="18">
        <f t="shared" si="38"/>
        <v>173050.82006714656</v>
      </c>
    </row>
    <row r="111" spans="1:6" x14ac:dyDescent="0.2">
      <c r="A111" s="17" t="s">
        <v>85</v>
      </c>
      <c r="B111" s="18">
        <f t="shared" si="39"/>
        <v>173050.82006714656</v>
      </c>
      <c r="C111" s="18">
        <f t="shared" si="35"/>
        <v>347.31006649003064</v>
      </c>
      <c r="D111" s="18">
        <f t="shared" si="36"/>
        <v>757.09733779376609</v>
      </c>
      <c r="E111" s="18">
        <f t="shared" si="37"/>
        <v>1104.4074042837967</v>
      </c>
      <c r="F111" s="21">
        <f t="shared" si="38"/>
        <v>172703.51000065653</v>
      </c>
    </row>
    <row r="112" spans="1:6" x14ac:dyDescent="0.2">
      <c r="A112" s="22" t="s">
        <v>49</v>
      </c>
      <c r="B112" s="23"/>
      <c r="C112" s="21">
        <f>SUM(C100:C111)</f>
        <v>4069.3075322451546</v>
      </c>
      <c r="D112" s="21">
        <f>SUM(D100:D111)</f>
        <v>9183.5813191604066</v>
      </c>
    </row>
    <row r="114" spans="1:6" x14ac:dyDescent="0.2">
      <c r="A114" s="17" t="s">
        <v>74</v>
      </c>
      <c r="B114" s="18">
        <f>+F111</f>
        <v>172703.51000065653</v>
      </c>
      <c r="C114" s="18">
        <f t="shared" ref="C114:C125" si="40">+E114-D114</f>
        <v>348.82954803092446</v>
      </c>
      <c r="D114" s="18">
        <f t="shared" ref="D114:D125" si="41">B114*$I$2</f>
        <v>755.57785625287227</v>
      </c>
      <c r="E114" s="18">
        <f t="shared" ref="E114:E125" si="42">-$I$8</f>
        <v>1104.4074042837967</v>
      </c>
      <c r="F114" s="18">
        <f t="shared" ref="F114:F125" si="43">+B114-C114</f>
        <v>172354.68045262562</v>
      </c>
    </row>
    <row r="115" spans="1:6" x14ac:dyDescent="0.2">
      <c r="A115" s="17" t="s">
        <v>75</v>
      </c>
      <c r="B115" s="18">
        <f t="shared" ref="B115:B125" si="44">+F114</f>
        <v>172354.68045262562</v>
      </c>
      <c r="C115" s="18">
        <f t="shared" si="40"/>
        <v>350.35567730355967</v>
      </c>
      <c r="D115" s="18">
        <f t="shared" si="41"/>
        <v>754.05172698023705</v>
      </c>
      <c r="E115" s="18">
        <f t="shared" si="42"/>
        <v>1104.4074042837967</v>
      </c>
      <c r="F115" s="18">
        <f t="shared" si="43"/>
        <v>172004.32477532205</v>
      </c>
    </row>
    <row r="116" spans="1:6" x14ac:dyDescent="0.2">
      <c r="A116" s="17" t="s">
        <v>76</v>
      </c>
      <c r="B116" s="18">
        <f t="shared" si="44"/>
        <v>172004.32477532205</v>
      </c>
      <c r="C116" s="18">
        <f t="shared" si="40"/>
        <v>351.88848339176286</v>
      </c>
      <c r="D116" s="18">
        <f t="shared" si="41"/>
        <v>752.51892089203386</v>
      </c>
      <c r="E116" s="18">
        <f t="shared" si="42"/>
        <v>1104.4074042837967</v>
      </c>
      <c r="F116" s="18">
        <f t="shared" si="43"/>
        <v>171652.43629193029</v>
      </c>
    </row>
    <row r="117" spans="1:6" x14ac:dyDescent="0.2">
      <c r="A117" s="17" t="s">
        <v>77</v>
      </c>
      <c r="B117" s="18">
        <f t="shared" si="44"/>
        <v>171652.43629193029</v>
      </c>
      <c r="C117" s="18">
        <f t="shared" si="40"/>
        <v>353.42799550660175</v>
      </c>
      <c r="D117" s="18">
        <f t="shared" si="41"/>
        <v>750.97940877719498</v>
      </c>
      <c r="E117" s="18">
        <f t="shared" si="42"/>
        <v>1104.4074042837967</v>
      </c>
      <c r="F117" s="18">
        <f t="shared" si="43"/>
        <v>171299.00829642368</v>
      </c>
    </row>
    <row r="118" spans="1:6" x14ac:dyDescent="0.2">
      <c r="A118" s="17" t="s">
        <v>78</v>
      </c>
      <c r="B118" s="18">
        <f t="shared" si="44"/>
        <v>171299.00829642368</v>
      </c>
      <c r="C118" s="18">
        <f t="shared" si="40"/>
        <v>354.97424298694318</v>
      </c>
      <c r="D118" s="18">
        <f t="shared" si="41"/>
        <v>749.43316129685354</v>
      </c>
      <c r="E118" s="18">
        <f t="shared" si="42"/>
        <v>1104.4074042837967</v>
      </c>
      <c r="F118" s="18">
        <f t="shared" si="43"/>
        <v>170944.03405343674</v>
      </c>
    </row>
    <row r="119" spans="1:6" x14ac:dyDescent="0.2">
      <c r="A119" s="17" t="s">
        <v>79</v>
      </c>
      <c r="B119" s="18">
        <f t="shared" si="44"/>
        <v>170944.03405343674</v>
      </c>
      <c r="C119" s="18">
        <f t="shared" si="40"/>
        <v>356.52725530001101</v>
      </c>
      <c r="D119" s="18">
        <f t="shared" si="41"/>
        <v>747.88014898378572</v>
      </c>
      <c r="E119" s="18">
        <f t="shared" si="42"/>
        <v>1104.4074042837967</v>
      </c>
      <c r="F119" s="18">
        <f t="shared" si="43"/>
        <v>170587.50679813672</v>
      </c>
    </row>
    <row r="120" spans="1:6" x14ac:dyDescent="0.2">
      <c r="A120" s="17" t="s">
        <v>80</v>
      </c>
      <c r="B120" s="18">
        <f t="shared" si="44"/>
        <v>170587.50679813672</v>
      </c>
      <c r="C120" s="18">
        <f t="shared" si="40"/>
        <v>358.08706204194868</v>
      </c>
      <c r="D120" s="18">
        <f t="shared" si="41"/>
        <v>746.32034224184804</v>
      </c>
      <c r="E120" s="18">
        <f t="shared" si="42"/>
        <v>1104.4074042837967</v>
      </c>
      <c r="F120" s="18">
        <f t="shared" si="43"/>
        <v>170229.41973609477</v>
      </c>
    </row>
    <row r="121" spans="1:6" x14ac:dyDescent="0.2">
      <c r="A121" s="17" t="s">
        <v>81</v>
      </c>
      <c r="B121" s="18">
        <f t="shared" si="44"/>
        <v>170229.41973609477</v>
      </c>
      <c r="C121" s="18">
        <f t="shared" si="40"/>
        <v>359.65369293838216</v>
      </c>
      <c r="D121" s="18">
        <f t="shared" si="41"/>
        <v>744.75371134541456</v>
      </c>
      <c r="E121" s="18">
        <f t="shared" si="42"/>
        <v>1104.4074042837967</v>
      </c>
      <c r="F121" s="18">
        <f t="shared" si="43"/>
        <v>169869.76604315639</v>
      </c>
    </row>
    <row r="122" spans="1:6" x14ac:dyDescent="0.2">
      <c r="A122" s="17" t="s">
        <v>82</v>
      </c>
      <c r="B122" s="18">
        <f t="shared" si="44"/>
        <v>169869.76604315639</v>
      </c>
      <c r="C122" s="18">
        <f t="shared" si="40"/>
        <v>361.22717784498764</v>
      </c>
      <c r="D122" s="18">
        <f t="shared" si="41"/>
        <v>743.18022643880909</v>
      </c>
      <c r="E122" s="18">
        <f t="shared" si="42"/>
        <v>1104.4074042837967</v>
      </c>
      <c r="F122" s="18">
        <f t="shared" si="43"/>
        <v>169508.53886531139</v>
      </c>
    </row>
    <row r="123" spans="1:6" x14ac:dyDescent="0.2">
      <c r="A123" s="17" t="s">
        <v>83</v>
      </c>
      <c r="B123" s="18">
        <f t="shared" si="44"/>
        <v>169508.53886531139</v>
      </c>
      <c r="C123" s="18">
        <f t="shared" si="40"/>
        <v>362.80754674805951</v>
      </c>
      <c r="D123" s="18">
        <f t="shared" si="41"/>
        <v>741.59985753573721</v>
      </c>
      <c r="E123" s="18">
        <f t="shared" si="42"/>
        <v>1104.4074042837967</v>
      </c>
      <c r="F123" s="18">
        <f t="shared" si="43"/>
        <v>169145.73131856334</v>
      </c>
    </row>
    <row r="124" spans="1:6" x14ac:dyDescent="0.2">
      <c r="A124" s="17" t="s">
        <v>84</v>
      </c>
      <c r="B124" s="18">
        <f t="shared" si="44"/>
        <v>169145.73131856334</v>
      </c>
      <c r="C124" s="18">
        <f t="shared" si="40"/>
        <v>364.39482976508214</v>
      </c>
      <c r="D124" s="18">
        <f t="shared" si="41"/>
        <v>740.01257451871459</v>
      </c>
      <c r="E124" s="18">
        <f t="shared" si="42"/>
        <v>1104.4074042837967</v>
      </c>
      <c r="F124" s="18">
        <f t="shared" si="43"/>
        <v>168781.33648879826</v>
      </c>
    </row>
    <row r="125" spans="1:6" x14ac:dyDescent="0.2">
      <c r="A125" s="17" t="s">
        <v>85</v>
      </c>
      <c r="B125" s="18">
        <f t="shared" si="44"/>
        <v>168781.33648879826</v>
      </c>
      <c r="C125" s="18">
        <f t="shared" si="40"/>
        <v>365.9890571453044</v>
      </c>
      <c r="D125" s="18">
        <f t="shared" si="41"/>
        <v>738.41834713849232</v>
      </c>
      <c r="E125" s="18">
        <f t="shared" si="42"/>
        <v>1104.4074042837967</v>
      </c>
      <c r="F125" s="21">
        <f t="shared" si="43"/>
        <v>168415.34743165295</v>
      </c>
    </row>
    <row r="126" spans="1:6" x14ac:dyDescent="0.2">
      <c r="A126" s="22" t="s">
        <v>49</v>
      </c>
      <c r="B126" s="23"/>
      <c r="C126" s="21">
        <f>SUM(C114:C125)</f>
        <v>4288.1625690035671</v>
      </c>
      <c r="D126" s="21">
        <f>SUM(D114:D125)</f>
        <v>8964.7262824019945</v>
      </c>
    </row>
    <row r="128" spans="1:6" x14ac:dyDescent="0.2">
      <c r="A128" s="17" t="s">
        <v>74</v>
      </c>
      <c r="B128" s="18">
        <f>+F125</f>
        <v>168415.34743165295</v>
      </c>
      <c r="C128" s="18">
        <f t="shared" ref="C128:C139" si="45">+E128-D128</f>
        <v>367.59025927031519</v>
      </c>
      <c r="D128" s="18">
        <f t="shared" ref="D128:D139" si="46">B128*$I$2</f>
        <v>736.81714501348154</v>
      </c>
      <c r="E128" s="18">
        <f t="shared" ref="E128:E139" si="47">-$I$8</f>
        <v>1104.4074042837967</v>
      </c>
      <c r="F128" s="18">
        <f t="shared" ref="F128:F139" si="48">+B128-C128</f>
        <v>168047.75717238264</v>
      </c>
    </row>
    <row r="129" spans="1:6" x14ac:dyDescent="0.2">
      <c r="A129" s="17" t="s">
        <v>75</v>
      </c>
      <c r="B129" s="18">
        <f t="shared" ref="B129:B139" si="49">+F128</f>
        <v>168047.75717238264</v>
      </c>
      <c r="C129" s="18">
        <f t="shared" si="45"/>
        <v>369.19846665462273</v>
      </c>
      <c r="D129" s="18">
        <f t="shared" si="46"/>
        <v>735.20893762917399</v>
      </c>
      <c r="E129" s="18">
        <f t="shared" si="47"/>
        <v>1104.4074042837967</v>
      </c>
      <c r="F129" s="18">
        <f t="shared" si="48"/>
        <v>167678.55870572801</v>
      </c>
    </row>
    <row r="130" spans="1:6" x14ac:dyDescent="0.2">
      <c r="A130" s="17" t="s">
        <v>76</v>
      </c>
      <c r="B130" s="18">
        <f t="shared" si="49"/>
        <v>167678.55870572801</v>
      </c>
      <c r="C130" s="18">
        <f t="shared" si="45"/>
        <v>370.81370994623683</v>
      </c>
      <c r="D130" s="18">
        <f t="shared" si="46"/>
        <v>733.5936943375599</v>
      </c>
      <c r="E130" s="18">
        <f t="shared" si="47"/>
        <v>1104.4074042837967</v>
      </c>
      <c r="F130" s="18">
        <f t="shared" si="48"/>
        <v>167307.74499578177</v>
      </c>
    </row>
    <row r="131" spans="1:6" x14ac:dyDescent="0.2">
      <c r="A131" s="17" t="s">
        <v>77</v>
      </c>
      <c r="B131" s="18">
        <f t="shared" si="49"/>
        <v>167307.74499578177</v>
      </c>
      <c r="C131" s="18">
        <f t="shared" si="45"/>
        <v>372.43601992725155</v>
      </c>
      <c r="D131" s="18">
        <f t="shared" si="46"/>
        <v>731.97138435654517</v>
      </c>
      <c r="E131" s="18">
        <f t="shared" si="47"/>
        <v>1104.4074042837967</v>
      </c>
      <c r="F131" s="18">
        <f t="shared" si="48"/>
        <v>166935.30897585451</v>
      </c>
    </row>
    <row r="132" spans="1:6" x14ac:dyDescent="0.2">
      <c r="A132" s="17" t="s">
        <v>78</v>
      </c>
      <c r="B132" s="18">
        <f t="shared" si="49"/>
        <v>166935.30897585451</v>
      </c>
      <c r="C132" s="18">
        <f t="shared" si="45"/>
        <v>374.06542751443328</v>
      </c>
      <c r="D132" s="18">
        <f t="shared" si="46"/>
        <v>730.34197676936344</v>
      </c>
      <c r="E132" s="18">
        <f t="shared" si="47"/>
        <v>1104.4074042837967</v>
      </c>
      <c r="F132" s="18">
        <f t="shared" si="48"/>
        <v>166561.24354834008</v>
      </c>
    </row>
    <row r="133" spans="1:6" x14ac:dyDescent="0.2">
      <c r="A133" s="17" t="s">
        <v>79</v>
      </c>
      <c r="B133" s="18">
        <f t="shared" si="49"/>
        <v>166561.24354834008</v>
      </c>
      <c r="C133" s="18">
        <f t="shared" si="45"/>
        <v>375.70196375980902</v>
      </c>
      <c r="D133" s="18">
        <f t="shared" si="46"/>
        <v>728.7054405239877</v>
      </c>
      <c r="E133" s="18">
        <f t="shared" si="47"/>
        <v>1104.4074042837967</v>
      </c>
      <c r="F133" s="18">
        <f t="shared" si="48"/>
        <v>166185.54158458026</v>
      </c>
    </row>
    <row r="134" spans="1:6" x14ac:dyDescent="0.2">
      <c r="A134" s="17" t="s">
        <v>80</v>
      </c>
      <c r="B134" s="18">
        <f t="shared" si="49"/>
        <v>166185.54158458026</v>
      </c>
      <c r="C134" s="18">
        <f t="shared" si="45"/>
        <v>377.34565985125812</v>
      </c>
      <c r="D134" s="18">
        <f t="shared" si="46"/>
        <v>727.0617444325386</v>
      </c>
      <c r="E134" s="18">
        <f t="shared" si="47"/>
        <v>1104.4074042837967</v>
      </c>
      <c r="F134" s="18">
        <f t="shared" si="48"/>
        <v>165808.19592472899</v>
      </c>
    </row>
    <row r="135" spans="1:6" x14ac:dyDescent="0.2">
      <c r="A135" s="17" t="s">
        <v>81</v>
      </c>
      <c r="B135" s="18">
        <f t="shared" si="49"/>
        <v>165808.19592472899</v>
      </c>
      <c r="C135" s="18">
        <f t="shared" si="45"/>
        <v>378.99654711310745</v>
      </c>
      <c r="D135" s="18">
        <f t="shared" si="46"/>
        <v>725.41085717068927</v>
      </c>
      <c r="E135" s="18">
        <f t="shared" si="47"/>
        <v>1104.4074042837967</v>
      </c>
      <c r="F135" s="18">
        <f t="shared" si="48"/>
        <v>165429.19937761588</v>
      </c>
    </row>
    <row r="136" spans="1:6" x14ac:dyDescent="0.2">
      <c r="A136" s="17" t="s">
        <v>82</v>
      </c>
      <c r="B136" s="18">
        <f t="shared" si="49"/>
        <v>165429.19937761588</v>
      </c>
      <c r="C136" s="18">
        <f t="shared" si="45"/>
        <v>380.65465700672735</v>
      </c>
      <c r="D136" s="18">
        <f t="shared" si="46"/>
        <v>723.75274727706937</v>
      </c>
      <c r="E136" s="18">
        <f t="shared" si="47"/>
        <v>1104.4074042837967</v>
      </c>
      <c r="F136" s="18">
        <f t="shared" si="48"/>
        <v>165048.54472060915</v>
      </c>
    </row>
    <row r="137" spans="1:6" x14ac:dyDescent="0.2">
      <c r="A137" s="17" t="s">
        <v>83</v>
      </c>
      <c r="B137" s="18">
        <f t="shared" si="49"/>
        <v>165048.54472060915</v>
      </c>
      <c r="C137" s="18">
        <f t="shared" si="45"/>
        <v>382.32002113113174</v>
      </c>
      <c r="D137" s="18">
        <f t="shared" si="46"/>
        <v>722.08738315266498</v>
      </c>
      <c r="E137" s="18">
        <f t="shared" si="47"/>
        <v>1104.4074042837967</v>
      </c>
      <c r="F137" s="18">
        <f t="shared" si="48"/>
        <v>164666.22469947801</v>
      </c>
    </row>
    <row r="138" spans="1:6" x14ac:dyDescent="0.2">
      <c r="A138" s="17" t="s">
        <v>84</v>
      </c>
      <c r="B138" s="18">
        <f t="shared" si="49"/>
        <v>164666.22469947801</v>
      </c>
      <c r="C138" s="18">
        <f t="shared" si="45"/>
        <v>383.99267122358049</v>
      </c>
      <c r="D138" s="18">
        <f t="shared" si="46"/>
        <v>720.41473306021624</v>
      </c>
      <c r="E138" s="18">
        <f t="shared" si="47"/>
        <v>1104.4074042837967</v>
      </c>
      <c r="F138" s="18">
        <f t="shared" si="48"/>
        <v>164282.23202825442</v>
      </c>
    </row>
    <row r="139" spans="1:6" x14ac:dyDescent="0.2">
      <c r="A139" s="17" t="s">
        <v>85</v>
      </c>
      <c r="B139" s="18">
        <f t="shared" si="49"/>
        <v>164282.23202825442</v>
      </c>
      <c r="C139" s="18">
        <f t="shared" si="45"/>
        <v>385.67263916018373</v>
      </c>
      <c r="D139" s="18">
        <f t="shared" si="46"/>
        <v>718.73476512361299</v>
      </c>
      <c r="E139" s="18">
        <f t="shared" si="47"/>
        <v>1104.4074042837967</v>
      </c>
      <c r="F139" s="21">
        <f t="shared" si="48"/>
        <v>163896.55938909424</v>
      </c>
    </row>
    <row r="140" spans="1:6" x14ac:dyDescent="0.2">
      <c r="A140" s="22" t="s">
        <v>49</v>
      </c>
      <c r="B140" s="23"/>
      <c r="C140" s="21">
        <f>SUM(C128:C139)</f>
        <v>4518.7880425586573</v>
      </c>
      <c r="D140" s="21">
        <f>SUM(D128:D139)</f>
        <v>8734.1008088469025</v>
      </c>
    </row>
    <row r="141" spans="1:6" x14ac:dyDescent="0.2">
      <c r="B141" s="17"/>
      <c r="C141" s="18"/>
      <c r="D141" s="18"/>
      <c r="E141" s="18"/>
      <c r="F141" s="18"/>
    </row>
    <row r="142" spans="1:6" x14ac:dyDescent="0.2">
      <c r="A142" s="17" t="s">
        <v>74</v>
      </c>
      <c r="B142" s="18">
        <f>+F139</f>
        <v>163896.55938909424</v>
      </c>
      <c r="C142" s="18">
        <f t="shared" ref="C142:C153" si="50">+E142-D142</f>
        <v>387.35995695650945</v>
      </c>
      <c r="D142" s="18">
        <f t="shared" ref="D142:D153" si="51">B142*$I$2</f>
        <v>717.04744732728727</v>
      </c>
      <c r="E142" s="18">
        <f t="shared" ref="E142:E153" si="52">-$I$8</f>
        <v>1104.4074042837967</v>
      </c>
      <c r="F142" s="18">
        <f t="shared" ref="F142:F153" si="53">+B142-C142</f>
        <v>163509.19943213774</v>
      </c>
    </row>
    <row r="143" spans="1:6" x14ac:dyDescent="0.2">
      <c r="A143" s="17" t="s">
        <v>75</v>
      </c>
      <c r="B143" s="18">
        <f t="shared" ref="B143:B153" si="54">+F142</f>
        <v>163509.19943213774</v>
      </c>
      <c r="C143" s="18">
        <f t="shared" si="50"/>
        <v>389.05465676819415</v>
      </c>
      <c r="D143" s="18">
        <f t="shared" si="51"/>
        <v>715.35274751560257</v>
      </c>
      <c r="E143" s="18">
        <f t="shared" si="52"/>
        <v>1104.4074042837967</v>
      </c>
      <c r="F143" s="18">
        <f t="shared" si="53"/>
        <v>163120.14477536955</v>
      </c>
    </row>
    <row r="144" spans="1:6" x14ac:dyDescent="0.2">
      <c r="A144" s="17" t="s">
        <v>76</v>
      </c>
      <c r="B144" s="18">
        <f t="shared" si="54"/>
        <v>163120.14477536955</v>
      </c>
      <c r="C144" s="18">
        <f t="shared" si="50"/>
        <v>390.75677089155499</v>
      </c>
      <c r="D144" s="18">
        <f t="shared" si="51"/>
        <v>713.65063339224173</v>
      </c>
      <c r="E144" s="18">
        <f t="shared" si="52"/>
        <v>1104.4074042837967</v>
      </c>
      <c r="F144" s="18">
        <f t="shared" si="53"/>
        <v>162729.38800447801</v>
      </c>
    </row>
    <row r="145" spans="1:6" x14ac:dyDescent="0.2">
      <c r="A145" s="17" t="s">
        <v>77</v>
      </c>
      <c r="B145" s="18">
        <f t="shared" si="54"/>
        <v>162729.38800447801</v>
      </c>
      <c r="C145" s="18">
        <f t="shared" si="50"/>
        <v>392.46633176420551</v>
      </c>
      <c r="D145" s="18">
        <f t="shared" si="51"/>
        <v>711.94107251959122</v>
      </c>
      <c r="E145" s="18">
        <f t="shared" si="52"/>
        <v>1104.4074042837967</v>
      </c>
      <c r="F145" s="18">
        <f t="shared" si="53"/>
        <v>162336.9216727138</v>
      </c>
    </row>
    <row r="146" spans="1:6" x14ac:dyDescent="0.2">
      <c r="A146" s="17" t="s">
        <v>78</v>
      </c>
      <c r="B146" s="18">
        <f t="shared" si="54"/>
        <v>162336.9216727138</v>
      </c>
      <c r="C146" s="18">
        <f t="shared" si="50"/>
        <v>394.18337196567393</v>
      </c>
      <c r="D146" s="18">
        <f t="shared" si="51"/>
        <v>710.2240323181228</v>
      </c>
      <c r="E146" s="18">
        <f t="shared" si="52"/>
        <v>1104.4074042837967</v>
      </c>
      <c r="F146" s="18">
        <f t="shared" si="53"/>
        <v>161942.73830074811</v>
      </c>
    </row>
    <row r="147" spans="1:6" x14ac:dyDescent="0.2">
      <c r="A147" s="17" t="s">
        <v>79</v>
      </c>
      <c r="B147" s="18">
        <f t="shared" si="54"/>
        <v>161942.73830074811</v>
      </c>
      <c r="C147" s="18">
        <f t="shared" si="50"/>
        <v>395.90792421802382</v>
      </c>
      <c r="D147" s="18">
        <f t="shared" si="51"/>
        <v>708.4994800657729</v>
      </c>
      <c r="E147" s="18">
        <f t="shared" si="52"/>
        <v>1104.4074042837967</v>
      </c>
      <c r="F147" s="18">
        <f t="shared" si="53"/>
        <v>161546.8303765301</v>
      </c>
    </row>
    <row r="148" spans="1:6" x14ac:dyDescent="0.2">
      <c r="A148" s="17" t="s">
        <v>80</v>
      </c>
      <c r="B148" s="18">
        <f t="shared" si="54"/>
        <v>161546.8303765301</v>
      </c>
      <c r="C148" s="18">
        <f t="shared" si="50"/>
        <v>397.64002138647766</v>
      </c>
      <c r="D148" s="18">
        <f t="shared" si="51"/>
        <v>706.76738289731907</v>
      </c>
      <c r="E148" s="18">
        <f t="shared" si="52"/>
        <v>1104.4074042837967</v>
      </c>
      <c r="F148" s="18">
        <f t="shared" si="53"/>
        <v>161149.19035514363</v>
      </c>
    </row>
    <row r="149" spans="1:6" x14ac:dyDescent="0.2">
      <c r="A149" s="17" t="s">
        <v>81</v>
      </c>
      <c r="B149" s="18">
        <f t="shared" si="54"/>
        <v>161149.19035514363</v>
      </c>
      <c r="C149" s="18">
        <f t="shared" si="50"/>
        <v>399.37969648004344</v>
      </c>
      <c r="D149" s="18">
        <f t="shared" si="51"/>
        <v>705.02770780375329</v>
      </c>
      <c r="E149" s="18">
        <f t="shared" si="52"/>
        <v>1104.4074042837967</v>
      </c>
      <c r="F149" s="18">
        <f t="shared" si="53"/>
        <v>160749.81065866357</v>
      </c>
    </row>
    <row r="150" spans="1:6" x14ac:dyDescent="0.2">
      <c r="A150" s="17" t="s">
        <v>82</v>
      </c>
      <c r="B150" s="18">
        <f t="shared" si="54"/>
        <v>160749.81065866357</v>
      </c>
      <c r="C150" s="18">
        <f t="shared" si="50"/>
        <v>401.12698265214362</v>
      </c>
      <c r="D150" s="18">
        <f t="shared" si="51"/>
        <v>703.2804216316531</v>
      </c>
      <c r="E150" s="18">
        <f t="shared" si="52"/>
        <v>1104.4074042837967</v>
      </c>
      <c r="F150" s="18">
        <f t="shared" si="53"/>
        <v>160348.68367601142</v>
      </c>
    </row>
    <row r="151" spans="1:6" x14ac:dyDescent="0.2">
      <c r="A151" s="17" t="s">
        <v>83</v>
      </c>
      <c r="B151" s="18">
        <f t="shared" si="54"/>
        <v>160348.68367601142</v>
      </c>
      <c r="C151" s="18">
        <f t="shared" si="50"/>
        <v>402.88191320124679</v>
      </c>
      <c r="D151" s="18">
        <f t="shared" si="51"/>
        <v>701.52549108254993</v>
      </c>
      <c r="E151" s="18">
        <f t="shared" si="52"/>
        <v>1104.4074042837967</v>
      </c>
      <c r="F151" s="18">
        <f t="shared" si="53"/>
        <v>159945.80176281018</v>
      </c>
    </row>
    <row r="152" spans="1:6" x14ac:dyDescent="0.2">
      <c r="A152" s="17" t="s">
        <v>84</v>
      </c>
      <c r="B152" s="18">
        <f t="shared" si="54"/>
        <v>159945.80176281018</v>
      </c>
      <c r="C152" s="18">
        <f t="shared" si="50"/>
        <v>404.64452157150231</v>
      </c>
      <c r="D152" s="18">
        <f t="shared" si="51"/>
        <v>699.76288271229441</v>
      </c>
      <c r="E152" s="18">
        <f t="shared" si="52"/>
        <v>1104.4074042837967</v>
      </c>
      <c r="F152" s="18">
        <f t="shared" si="53"/>
        <v>159541.15724123869</v>
      </c>
    </row>
    <row r="153" spans="1:6" x14ac:dyDescent="0.2">
      <c r="A153" s="17" t="s">
        <v>85</v>
      </c>
      <c r="B153" s="18">
        <f t="shared" si="54"/>
        <v>159541.15724123869</v>
      </c>
      <c r="C153" s="18">
        <f t="shared" si="50"/>
        <v>406.41484135337748</v>
      </c>
      <c r="D153" s="18">
        <f t="shared" si="51"/>
        <v>697.99256293041924</v>
      </c>
      <c r="E153" s="18">
        <f t="shared" si="52"/>
        <v>1104.4074042837967</v>
      </c>
      <c r="F153" s="21">
        <f t="shared" si="53"/>
        <v>159134.74239988532</v>
      </c>
    </row>
    <row r="154" spans="1:6" x14ac:dyDescent="0.2">
      <c r="A154" s="22" t="s">
        <v>49</v>
      </c>
      <c r="B154" s="23"/>
      <c r="C154" s="21">
        <f>SUM(C142:C153)</f>
        <v>4761.8169892089527</v>
      </c>
      <c r="D154" s="21">
        <f>SUM(D142:D153)</f>
        <v>8491.071862196608</v>
      </c>
    </row>
    <row r="155" spans="1:6" x14ac:dyDescent="0.2">
      <c r="B155" s="17"/>
      <c r="C155" s="18"/>
      <c r="D155" s="18"/>
      <c r="E155" s="18"/>
      <c r="F155" s="18"/>
    </row>
    <row r="156" spans="1:6" x14ac:dyDescent="0.2">
      <c r="A156" s="17" t="s">
        <v>74</v>
      </c>
      <c r="B156" s="18">
        <f>+F153</f>
        <v>159134.74239988532</v>
      </c>
      <c r="C156" s="18">
        <f t="shared" ref="C156:C167" si="55">+E156-D156</f>
        <v>408.19290628429849</v>
      </c>
      <c r="D156" s="18">
        <f t="shared" ref="D156:D167" si="56">B156*$I$2</f>
        <v>696.21449799949824</v>
      </c>
      <c r="E156" s="18">
        <f t="shared" ref="E156:E167" si="57">-$I$8</f>
        <v>1104.4074042837967</v>
      </c>
      <c r="F156" s="18">
        <f t="shared" ref="F156:F167" si="58">+B156-C156</f>
        <v>158726.54949360102</v>
      </c>
    </row>
    <row r="157" spans="1:6" x14ac:dyDescent="0.2">
      <c r="A157" s="17" t="s">
        <v>75</v>
      </c>
      <c r="B157" s="18">
        <f t="shared" ref="B157:B167" si="59">+F156</f>
        <v>158726.54949360102</v>
      </c>
      <c r="C157" s="18">
        <f t="shared" si="55"/>
        <v>409.97875024929237</v>
      </c>
      <c r="D157" s="18">
        <f t="shared" si="56"/>
        <v>694.42865403450435</v>
      </c>
      <c r="E157" s="18">
        <f t="shared" si="57"/>
        <v>1104.4074042837967</v>
      </c>
      <c r="F157" s="18">
        <f t="shared" si="58"/>
        <v>158316.57074335174</v>
      </c>
    </row>
    <row r="158" spans="1:6" x14ac:dyDescent="0.2">
      <c r="A158" s="17" t="s">
        <v>76</v>
      </c>
      <c r="B158" s="18">
        <f t="shared" si="59"/>
        <v>158316.57074335174</v>
      </c>
      <c r="C158" s="18">
        <f t="shared" si="55"/>
        <v>411.77240728163292</v>
      </c>
      <c r="D158" s="18">
        <f t="shared" si="56"/>
        <v>692.6349970021638</v>
      </c>
      <c r="E158" s="18">
        <f t="shared" si="57"/>
        <v>1104.4074042837967</v>
      </c>
      <c r="F158" s="18">
        <f t="shared" si="58"/>
        <v>157904.79833607012</v>
      </c>
    </row>
    <row r="159" spans="1:6" x14ac:dyDescent="0.2">
      <c r="A159" s="17" t="s">
        <v>77</v>
      </c>
      <c r="B159" s="18">
        <f t="shared" si="59"/>
        <v>157904.79833607012</v>
      </c>
      <c r="C159" s="18">
        <f t="shared" si="55"/>
        <v>413.57391156349001</v>
      </c>
      <c r="D159" s="18">
        <f t="shared" si="56"/>
        <v>690.83349272030671</v>
      </c>
      <c r="E159" s="18">
        <f t="shared" si="57"/>
        <v>1104.4074042837967</v>
      </c>
      <c r="F159" s="18">
        <f t="shared" si="58"/>
        <v>157491.22442450662</v>
      </c>
    </row>
    <row r="160" spans="1:6" x14ac:dyDescent="0.2">
      <c r="A160" s="17" t="s">
        <v>78</v>
      </c>
      <c r="B160" s="18">
        <f t="shared" si="59"/>
        <v>157491.22442450662</v>
      </c>
      <c r="C160" s="18">
        <f t="shared" si="55"/>
        <v>415.38329742658027</v>
      </c>
      <c r="D160" s="18">
        <f t="shared" si="56"/>
        <v>689.02410685721645</v>
      </c>
      <c r="E160" s="18">
        <f t="shared" si="57"/>
        <v>1104.4074042837967</v>
      </c>
      <c r="F160" s="18">
        <f t="shared" si="58"/>
        <v>157075.84112708006</v>
      </c>
    </row>
    <row r="161" spans="1:6" x14ac:dyDescent="0.2">
      <c r="A161" s="17" t="s">
        <v>79</v>
      </c>
      <c r="B161" s="18">
        <f t="shared" si="59"/>
        <v>157075.84112708006</v>
      </c>
      <c r="C161" s="18">
        <f t="shared" si="55"/>
        <v>417.20059935282154</v>
      </c>
      <c r="D161" s="18">
        <f t="shared" si="56"/>
        <v>687.20680493097518</v>
      </c>
      <c r="E161" s="18">
        <f t="shared" si="57"/>
        <v>1104.4074042837967</v>
      </c>
      <c r="F161" s="18">
        <f t="shared" si="58"/>
        <v>156658.64052772723</v>
      </c>
    </row>
    <row r="162" spans="1:6" x14ac:dyDescent="0.2">
      <c r="A162" s="17" t="s">
        <v>80</v>
      </c>
      <c r="B162" s="18">
        <f t="shared" si="59"/>
        <v>156658.64052772723</v>
      </c>
      <c r="C162" s="18">
        <f t="shared" si="55"/>
        <v>419.02585197499013</v>
      </c>
      <c r="D162" s="18">
        <f t="shared" si="56"/>
        <v>685.38155230880659</v>
      </c>
      <c r="E162" s="18">
        <f t="shared" si="57"/>
        <v>1104.4074042837967</v>
      </c>
      <c r="F162" s="18">
        <f t="shared" si="58"/>
        <v>156239.61467575224</v>
      </c>
    </row>
    <row r="163" spans="1:6" x14ac:dyDescent="0.2">
      <c r="A163" s="17" t="s">
        <v>81</v>
      </c>
      <c r="B163" s="18">
        <f t="shared" si="59"/>
        <v>156239.61467575224</v>
      </c>
      <c r="C163" s="18">
        <f t="shared" si="55"/>
        <v>420.85909007738076</v>
      </c>
      <c r="D163" s="18">
        <f t="shared" si="56"/>
        <v>683.54831420641597</v>
      </c>
      <c r="E163" s="18">
        <f t="shared" si="57"/>
        <v>1104.4074042837967</v>
      </c>
      <c r="F163" s="18">
        <f t="shared" si="58"/>
        <v>155818.75558567487</v>
      </c>
    </row>
    <row r="164" spans="1:6" x14ac:dyDescent="0.2">
      <c r="A164" s="17" t="s">
        <v>82</v>
      </c>
      <c r="B164" s="18">
        <f t="shared" si="59"/>
        <v>155818.75558567487</v>
      </c>
      <c r="C164" s="18">
        <f t="shared" si="55"/>
        <v>422.70034859646921</v>
      </c>
      <c r="D164" s="18">
        <f t="shared" si="56"/>
        <v>681.70705568732751</v>
      </c>
      <c r="E164" s="18">
        <f t="shared" si="57"/>
        <v>1104.4074042837967</v>
      </c>
      <c r="F164" s="18">
        <f t="shared" si="58"/>
        <v>155396.0552370784</v>
      </c>
    </row>
    <row r="165" spans="1:6" x14ac:dyDescent="0.2">
      <c r="A165" s="17" t="s">
        <v>83</v>
      </c>
      <c r="B165" s="18">
        <f t="shared" si="59"/>
        <v>155396.0552370784</v>
      </c>
      <c r="C165" s="18">
        <f t="shared" si="55"/>
        <v>424.54966262157882</v>
      </c>
      <c r="D165" s="18">
        <f t="shared" si="56"/>
        <v>679.8577416622179</v>
      </c>
      <c r="E165" s="18">
        <f t="shared" si="57"/>
        <v>1104.4074042837967</v>
      </c>
      <c r="F165" s="18">
        <f t="shared" si="58"/>
        <v>154971.50557445682</v>
      </c>
    </row>
    <row r="166" spans="1:6" x14ac:dyDescent="0.2">
      <c r="A166" s="17" t="s">
        <v>84</v>
      </c>
      <c r="B166" s="18">
        <f t="shared" si="59"/>
        <v>154971.50557445682</v>
      </c>
      <c r="C166" s="18">
        <f t="shared" si="55"/>
        <v>426.40706739554821</v>
      </c>
      <c r="D166" s="18">
        <f t="shared" si="56"/>
        <v>678.00033688824851</v>
      </c>
      <c r="E166" s="18">
        <f t="shared" si="57"/>
        <v>1104.4074042837967</v>
      </c>
      <c r="F166" s="18">
        <f t="shared" si="58"/>
        <v>154545.09850706128</v>
      </c>
    </row>
    <row r="167" spans="1:6" x14ac:dyDescent="0.2">
      <c r="A167" s="17" t="s">
        <v>85</v>
      </c>
      <c r="B167" s="18">
        <f t="shared" si="59"/>
        <v>154545.09850706128</v>
      </c>
      <c r="C167" s="18">
        <f t="shared" si="55"/>
        <v>428.27259831540368</v>
      </c>
      <c r="D167" s="18">
        <f t="shared" si="56"/>
        <v>676.13480596839304</v>
      </c>
      <c r="E167" s="18">
        <f t="shared" si="57"/>
        <v>1104.4074042837967</v>
      </c>
      <c r="F167" s="21">
        <f t="shared" si="58"/>
        <v>154116.82590874587</v>
      </c>
    </row>
    <row r="168" spans="1:6" x14ac:dyDescent="0.2">
      <c r="A168" s="22" t="s">
        <v>49</v>
      </c>
      <c r="B168" s="23"/>
      <c r="C168" s="21">
        <f>SUM(C156:C167)</f>
        <v>5017.9164911394855</v>
      </c>
      <c r="D168" s="21">
        <f>SUM(D156:D167)</f>
        <v>8234.9723602660742</v>
      </c>
    </row>
    <row r="170" spans="1:6" x14ac:dyDescent="0.2">
      <c r="A170" s="17" t="s">
        <v>74</v>
      </c>
      <c r="B170" s="18">
        <f>+F167</f>
        <v>154116.82590874587</v>
      </c>
      <c r="C170" s="18">
        <f t="shared" ref="C170:C181" si="60">+E170-D170</f>
        <v>430.14629093303358</v>
      </c>
      <c r="D170" s="18">
        <f t="shared" ref="D170:D181" si="61">B170*$I$2</f>
        <v>674.26111335076314</v>
      </c>
      <c r="E170" s="18">
        <f t="shared" ref="E170:E181" si="62">-$I$8</f>
        <v>1104.4074042837967</v>
      </c>
      <c r="F170" s="18">
        <f t="shared" ref="F170:F181" si="63">+B170-C170</f>
        <v>153686.67961781283</v>
      </c>
    </row>
    <row r="171" spans="1:6" x14ac:dyDescent="0.2">
      <c r="A171" s="17" t="s">
        <v>75</v>
      </c>
      <c r="B171" s="18">
        <f t="shared" ref="B171:B181" si="64">+F170</f>
        <v>153686.67961781283</v>
      </c>
      <c r="C171" s="18">
        <f t="shared" si="60"/>
        <v>432.02818095586565</v>
      </c>
      <c r="D171" s="18">
        <f t="shared" si="61"/>
        <v>672.37922332793107</v>
      </c>
      <c r="E171" s="18">
        <f t="shared" si="62"/>
        <v>1104.4074042837967</v>
      </c>
      <c r="F171" s="18">
        <f t="shared" si="63"/>
        <v>153254.65143685695</v>
      </c>
    </row>
    <row r="172" spans="1:6" x14ac:dyDescent="0.2">
      <c r="A172" s="17" t="s">
        <v>76</v>
      </c>
      <c r="B172" s="18">
        <f t="shared" si="64"/>
        <v>153254.65143685695</v>
      </c>
      <c r="C172" s="18">
        <f t="shared" si="60"/>
        <v>433.91830424754767</v>
      </c>
      <c r="D172" s="18">
        <f t="shared" si="61"/>
        <v>670.48910003624906</v>
      </c>
      <c r="E172" s="18">
        <f t="shared" si="62"/>
        <v>1104.4074042837967</v>
      </c>
      <c r="F172" s="18">
        <f t="shared" si="63"/>
        <v>152820.7331326094</v>
      </c>
    </row>
    <row r="173" spans="1:6" x14ac:dyDescent="0.2">
      <c r="A173" s="17" t="s">
        <v>77</v>
      </c>
      <c r="B173" s="18">
        <f t="shared" si="64"/>
        <v>152820.7331326094</v>
      </c>
      <c r="C173" s="18">
        <f t="shared" si="60"/>
        <v>435.81669682863071</v>
      </c>
      <c r="D173" s="18">
        <f t="shared" si="61"/>
        <v>668.59070745516601</v>
      </c>
      <c r="E173" s="18">
        <f t="shared" si="62"/>
        <v>1104.4074042837967</v>
      </c>
      <c r="F173" s="18">
        <f t="shared" si="63"/>
        <v>152384.91643578076</v>
      </c>
    </row>
    <row r="174" spans="1:6" x14ac:dyDescent="0.2">
      <c r="A174" s="17" t="s">
        <v>78</v>
      </c>
      <c r="B174" s="18">
        <f t="shared" si="64"/>
        <v>152384.91643578076</v>
      </c>
      <c r="C174" s="18">
        <f t="shared" si="60"/>
        <v>437.72339487725594</v>
      </c>
      <c r="D174" s="18">
        <f t="shared" si="61"/>
        <v>666.68400940654078</v>
      </c>
      <c r="E174" s="18">
        <f t="shared" si="62"/>
        <v>1104.4074042837967</v>
      </c>
      <c r="F174" s="18">
        <f t="shared" si="63"/>
        <v>151947.19304090351</v>
      </c>
    </row>
    <row r="175" spans="1:6" x14ac:dyDescent="0.2">
      <c r="A175" s="17" t="s">
        <v>79</v>
      </c>
      <c r="B175" s="18">
        <f t="shared" si="64"/>
        <v>151947.19304090351</v>
      </c>
      <c r="C175" s="18">
        <f t="shared" si="60"/>
        <v>439.63843472984388</v>
      </c>
      <c r="D175" s="18">
        <f t="shared" si="61"/>
        <v>664.76896955395284</v>
      </c>
      <c r="E175" s="18">
        <f t="shared" si="62"/>
        <v>1104.4074042837967</v>
      </c>
      <c r="F175" s="18">
        <f t="shared" si="63"/>
        <v>151507.55460617368</v>
      </c>
    </row>
    <row r="176" spans="1:6" x14ac:dyDescent="0.2">
      <c r="A176" s="17" t="s">
        <v>80</v>
      </c>
      <c r="B176" s="18">
        <f t="shared" si="64"/>
        <v>151507.55460617368</v>
      </c>
      <c r="C176" s="18">
        <f t="shared" si="60"/>
        <v>441.56185288178688</v>
      </c>
      <c r="D176" s="18">
        <f t="shared" si="61"/>
        <v>662.84555140200985</v>
      </c>
      <c r="E176" s="18">
        <f t="shared" si="62"/>
        <v>1104.4074042837967</v>
      </c>
      <c r="F176" s="18">
        <f t="shared" si="63"/>
        <v>151065.99275329188</v>
      </c>
    </row>
    <row r="177" spans="1:6" x14ac:dyDescent="0.2">
      <c r="A177" s="17" t="s">
        <v>81</v>
      </c>
      <c r="B177" s="18">
        <f t="shared" si="64"/>
        <v>151065.99275329188</v>
      </c>
      <c r="C177" s="18">
        <f t="shared" si="60"/>
        <v>443.49368598814476</v>
      </c>
      <c r="D177" s="18">
        <f t="shared" si="61"/>
        <v>660.91371829565196</v>
      </c>
      <c r="E177" s="18">
        <f t="shared" si="62"/>
        <v>1104.4074042837967</v>
      </c>
      <c r="F177" s="18">
        <f t="shared" si="63"/>
        <v>150622.49906730372</v>
      </c>
    </row>
    <row r="178" spans="1:6" x14ac:dyDescent="0.2">
      <c r="A178" s="17" t="s">
        <v>82</v>
      </c>
      <c r="B178" s="18">
        <f t="shared" si="64"/>
        <v>150622.49906730372</v>
      </c>
      <c r="C178" s="18">
        <f t="shared" si="60"/>
        <v>445.433970864343</v>
      </c>
      <c r="D178" s="18">
        <f t="shared" si="61"/>
        <v>658.97343341945373</v>
      </c>
      <c r="E178" s="18">
        <f t="shared" si="62"/>
        <v>1104.4074042837967</v>
      </c>
      <c r="F178" s="18">
        <f t="shared" si="63"/>
        <v>150177.06509643939</v>
      </c>
    </row>
    <row r="179" spans="1:6" x14ac:dyDescent="0.2">
      <c r="A179" s="17" t="s">
        <v>83</v>
      </c>
      <c r="B179" s="18">
        <f t="shared" si="64"/>
        <v>150177.06509643939</v>
      </c>
      <c r="C179" s="18">
        <f t="shared" si="60"/>
        <v>447.38274448687446</v>
      </c>
      <c r="D179" s="18">
        <f t="shared" si="61"/>
        <v>657.02465979692226</v>
      </c>
      <c r="E179" s="18">
        <f t="shared" si="62"/>
        <v>1104.4074042837967</v>
      </c>
      <c r="F179" s="18">
        <f t="shared" si="63"/>
        <v>149729.68235195251</v>
      </c>
    </row>
    <row r="180" spans="1:6" x14ac:dyDescent="0.2">
      <c r="A180" s="17" t="s">
        <v>84</v>
      </c>
      <c r="B180" s="18">
        <f t="shared" si="64"/>
        <v>149729.68235195251</v>
      </c>
      <c r="C180" s="18">
        <f t="shared" si="60"/>
        <v>449.34004399400453</v>
      </c>
      <c r="D180" s="18">
        <f t="shared" si="61"/>
        <v>655.06736028979219</v>
      </c>
      <c r="E180" s="18">
        <f t="shared" si="62"/>
        <v>1104.4074042837967</v>
      </c>
      <c r="F180" s="18">
        <f t="shared" si="63"/>
        <v>149280.34230795849</v>
      </c>
    </row>
    <row r="181" spans="1:6" x14ac:dyDescent="0.2">
      <c r="A181" s="17" t="s">
        <v>85</v>
      </c>
      <c r="B181" s="18">
        <f t="shared" si="64"/>
        <v>149280.34230795849</v>
      </c>
      <c r="C181" s="18">
        <f t="shared" si="60"/>
        <v>451.30590668647835</v>
      </c>
      <c r="D181" s="18">
        <f t="shared" si="61"/>
        <v>653.10149759731837</v>
      </c>
      <c r="E181" s="18">
        <f t="shared" si="62"/>
        <v>1104.4074042837967</v>
      </c>
      <c r="F181" s="21">
        <f t="shared" si="63"/>
        <v>148829.03640127202</v>
      </c>
    </row>
    <row r="182" spans="1:6" x14ac:dyDescent="0.2">
      <c r="A182" s="22" t="s">
        <v>49</v>
      </c>
      <c r="B182" s="23"/>
      <c r="C182" s="21">
        <f>SUM(C170:C181)</f>
        <v>5287.789507473809</v>
      </c>
      <c r="D182" s="21">
        <f>SUM(D170:D181)</f>
        <v>7965.0993439317517</v>
      </c>
    </row>
    <row r="184" spans="1:6" x14ac:dyDescent="0.2">
      <c r="B184" s="18"/>
      <c r="C184" s="18"/>
      <c r="D184" s="18"/>
      <c r="E184" s="18"/>
      <c r="F184" s="18"/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firstPageNumber="0" orientation="portrait" horizontalDpi="300" verticalDpi="300"/>
  <headerFooter alignWithMargins="0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workbookViewId="0">
      <selection activeCell="B26" sqref="B26"/>
    </sheetView>
  </sheetViews>
  <sheetFormatPr defaultRowHeight="12.75" x14ac:dyDescent="0.2"/>
  <sheetData>
    <row r="1" spans="1:5" x14ac:dyDescent="0.2">
      <c r="A1">
        <v>250</v>
      </c>
    </row>
    <row r="2" spans="1:5" x14ac:dyDescent="0.2">
      <c r="A2">
        <v>395</v>
      </c>
    </row>
    <row r="3" spans="1:5" x14ac:dyDescent="0.2">
      <c r="A3">
        <v>1150</v>
      </c>
    </row>
    <row r="4" spans="1:5" x14ac:dyDescent="0.2">
      <c r="A4">
        <v>200</v>
      </c>
    </row>
    <row r="5" spans="1:5" x14ac:dyDescent="0.2">
      <c r="A5">
        <v>995</v>
      </c>
    </row>
    <row r="6" spans="1:5" x14ac:dyDescent="0.2">
      <c r="A6">
        <v>175</v>
      </c>
    </row>
    <row r="7" spans="1:5" x14ac:dyDescent="0.2">
      <c r="A7">
        <v>1200</v>
      </c>
    </row>
    <row r="8" spans="1:5" x14ac:dyDescent="0.2">
      <c r="A8">
        <v>800</v>
      </c>
    </row>
    <row r="9" spans="1:5" x14ac:dyDescent="0.2">
      <c r="A9">
        <v>375</v>
      </c>
    </row>
    <row r="10" spans="1:5" x14ac:dyDescent="0.2">
      <c r="A10">
        <v>295</v>
      </c>
    </row>
    <row r="11" spans="1:5" x14ac:dyDescent="0.2">
      <c r="A11">
        <v>1400</v>
      </c>
    </row>
    <row r="12" spans="1:5" x14ac:dyDescent="0.2">
      <c r="A12">
        <v>565</v>
      </c>
    </row>
    <row r="13" spans="1:5" x14ac:dyDescent="0.2">
      <c r="A13">
        <v>1500</v>
      </c>
    </row>
    <row r="14" spans="1:5" x14ac:dyDescent="0.2">
      <c r="A14">
        <v>2000</v>
      </c>
    </row>
    <row r="15" spans="1:5" x14ac:dyDescent="0.2">
      <c r="C15">
        <f>150000/A16</f>
        <v>185.84070796460179</v>
      </c>
    </row>
    <row r="16" spans="1:5" x14ac:dyDescent="0.2">
      <c r="A16">
        <f>AVERAGE(A1:A14)</f>
        <v>807.14285714285711</v>
      </c>
      <c r="C16">
        <f>C15/30</f>
        <v>6.1946902654867264</v>
      </c>
      <c r="E16">
        <f>365/2</f>
        <v>182.5</v>
      </c>
    </row>
    <row r="17" spans="1:2" x14ac:dyDescent="0.2">
      <c r="B17">
        <f>(A16*3.5)*52</f>
        <v>146900</v>
      </c>
    </row>
    <row r="18" spans="1:2" x14ac:dyDescent="0.2">
      <c r="A18">
        <f>A16/3</f>
        <v>269.04761904761904</v>
      </c>
    </row>
    <row r="19" spans="1:2" x14ac:dyDescent="0.2">
      <c r="B19">
        <f>186/2</f>
        <v>93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workbookViewId="0"/>
  </sheetViews>
  <sheetFormatPr defaultColWidth="9.42578125" defaultRowHeight="15" x14ac:dyDescent="0.25"/>
  <cols>
    <col min="1" max="1" width="4.85546875" style="1" customWidth="1"/>
    <col min="2" max="2" width="25.85546875" style="1" customWidth="1"/>
    <col min="3" max="3" width="10.85546875" style="1" customWidth="1"/>
    <col min="4" max="4" width="14.140625" style="1" customWidth="1"/>
    <col min="5" max="5" width="12" style="1" customWidth="1"/>
    <col min="6" max="6" width="12.42578125" style="1" customWidth="1"/>
    <col min="7" max="7" width="14.140625" style="1" customWidth="1"/>
    <col min="8" max="8" width="10.28515625" style="1" customWidth="1"/>
    <col min="9" max="16384" width="9.42578125" style="1"/>
  </cols>
  <sheetData>
    <row r="1" spans="1:8" x14ac:dyDescent="0.25">
      <c r="D1" s="1" t="s">
        <v>107</v>
      </c>
      <c r="E1" s="1" t="s">
        <v>108</v>
      </c>
      <c r="F1" s="1" t="s">
        <v>109</v>
      </c>
      <c r="G1" s="1" t="s">
        <v>110</v>
      </c>
    </row>
    <row r="2" spans="1:8" x14ac:dyDescent="0.25">
      <c r="A2" s="4" t="s">
        <v>7</v>
      </c>
    </row>
    <row r="3" spans="1:8" x14ac:dyDescent="0.25">
      <c r="A3" s="10" t="s">
        <v>8</v>
      </c>
      <c r="D3" s="11">
        <f>Answer!D16</f>
        <v>37525.5</v>
      </c>
      <c r="E3" s="11">
        <f>Answer!E16</f>
        <v>77128.036425000013</v>
      </c>
      <c r="F3" s="11">
        <f>Answer!F16</f>
        <v>79262.554833061906</v>
      </c>
      <c r="G3" s="11">
        <f>Answer!G16</f>
        <v>81456.146038066887</v>
      </c>
      <c r="H3" s="12"/>
    </row>
    <row r="4" spans="1:8" x14ac:dyDescent="0.25">
      <c r="A4" s="10" t="s">
        <v>10</v>
      </c>
      <c r="D4" s="11" t="e">
        <f>Answer!#REF!</f>
        <v>#REF!</v>
      </c>
      <c r="E4" s="11" t="e">
        <f>Answer!#REF!</f>
        <v>#REF!</v>
      </c>
      <c r="F4" s="11" t="e">
        <f>Answer!#REF!</f>
        <v>#REF!</v>
      </c>
      <c r="G4" s="11" t="e">
        <f>Answer!#REF!</f>
        <v>#REF!</v>
      </c>
      <c r="H4" s="12"/>
    </row>
    <row r="6" spans="1:8" x14ac:dyDescent="0.25">
      <c r="A6" s="1" t="s">
        <v>11</v>
      </c>
      <c r="D6" s="11">
        <f>Answer!D19</f>
        <v>12508.5</v>
      </c>
      <c r="E6" s="11">
        <f>Answer!E19</f>
        <v>25454.797500000004</v>
      </c>
      <c r="F6" s="11">
        <f>Answer!F19</f>
        <v>25900.256456250005</v>
      </c>
      <c r="G6" s="11">
        <f>Answer!G19</f>
        <v>26353.510944234382</v>
      </c>
    </row>
    <row r="7" spans="1:8" x14ac:dyDescent="0.25">
      <c r="A7" s="10"/>
      <c r="D7" s="13"/>
      <c r="E7" s="13"/>
      <c r="F7" s="13"/>
      <c r="G7" s="13"/>
    </row>
    <row r="8" spans="1:8" x14ac:dyDescent="0.25">
      <c r="A8" s="1" t="s">
        <v>12</v>
      </c>
      <c r="D8" s="13"/>
      <c r="E8" s="13"/>
      <c r="F8" s="13"/>
      <c r="G8" s="13"/>
    </row>
    <row r="9" spans="1:8" x14ac:dyDescent="0.25">
      <c r="B9" s="1" t="s">
        <v>13</v>
      </c>
      <c r="D9" s="11" t="e">
        <f>Answer!#REF!</f>
        <v>#REF!</v>
      </c>
      <c r="E9" s="11" t="e">
        <f>Answer!#REF!</f>
        <v>#REF!</v>
      </c>
      <c r="F9" s="11" t="e">
        <f>Answer!#REF!</f>
        <v>#REF!</v>
      </c>
      <c r="G9" s="11" t="e">
        <f>Answer!#REF!</f>
        <v>#REF!</v>
      </c>
    </row>
    <row r="10" spans="1:8" x14ac:dyDescent="0.25">
      <c r="B10" s="1" t="s">
        <v>14</v>
      </c>
      <c r="D10" s="11">
        <f>Answer!D22</f>
        <v>30000</v>
      </c>
      <c r="E10" s="11">
        <f>Answer!E22</f>
        <v>30000</v>
      </c>
      <c r="F10" s="11">
        <f>Answer!F22</f>
        <v>30000</v>
      </c>
      <c r="G10" s="11">
        <f>Answer!G22</f>
        <v>30000</v>
      </c>
      <c r="H10" s="14"/>
    </row>
    <row r="11" spans="1:8" x14ac:dyDescent="0.25">
      <c r="B11" s="1" t="s">
        <v>15</v>
      </c>
      <c r="D11" s="11">
        <f>Answer!D23</f>
        <v>9381.375</v>
      </c>
      <c r="E11" s="11">
        <f>Answer!E23</f>
        <v>7712.8036425000018</v>
      </c>
      <c r="F11" s="11">
        <f>Answer!F23</f>
        <v>7926.2554833061913</v>
      </c>
      <c r="G11" s="11">
        <f>Answer!G23</f>
        <v>8145.614603806689</v>
      </c>
      <c r="H11" s="6"/>
    </row>
    <row r="12" spans="1:8" x14ac:dyDescent="0.25">
      <c r="D12" s="13"/>
      <c r="E12" s="13"/>
      <c r="F12" s="13"/>
      <c r="G12" s="13"/>
    </row>
    <row r="13" spans="1:8" x14ac:dyDescent="0.25">
      <c r="A13" s="1" t="s">
        <v>99</v>
      </c>
      <c r="D13" s="11">
        <f>Answer!D25</f>
        <v>2857.1428571428573</v>
      </c>
      <c r="E13" s="11">
        <f>Answer!E25</f>
        <v>2857.1428571428573</v>
      </c>
      <c r="F13" s="11">
        <f>Answer!F25</f>
        <v>2857.1428571428573</v>
      </c>
      <c r="G13" s="11">
        <f>Answer!G25</f>
        <v>2857.1428571428573</v>
      </c>
    </row>
    <row r="14" spans="1:8" x14ac:dyDescent="0.25">
      <c r="D14" s="13"/>
      <c r="E14" s="13"/>
      <c r="F14" s="13"/>
      <c r="G14" s="13"/>
      <c r="H14" s="14"/>
    </row>
    <row r="15" spans="1:8" x14ac:dyDescent="0.25">
      <c r="A15" s="1" t="s">
        <v>100</v>
      </c>
      <c r="D15" s="11" t="e">
        <f>Answer!#REF!</f>
        <v>#REF!</v>
      </c>
      <c r="E15" s="11" t="e">
        <f>Answer!#REF!</f>
        <v>#REF!</v>
      </c>
      <c r="F15" s="11" t="e">
        <f>Answer!#REF!</f>
        <v>#REF!</v>
      </c>
      <c r="G15" s="11" t="e">
        <f>Answer!#REF!</f>
        <v>#REF!</v>
      </c>
      <c r="H15" s="14"/>
    </row>
    <row r="16" spans="1:8" x14ac:dyDescent="0.25">
      <c r="A16" s="1" t="s">
        <v>101</v>
      </c>
      <c r="D16" s="11">
        <f>Answer!D29</f>
        <v>1595.2879887668205</v>
      </c>
      <c r="E16" s="11">
        <f>Answer!E29</f>
        <v>890.904521364159</v>
      </c>
      <c r="F16" s="11">
        <f>Answer!F29</f>
        <v>0</v>
      </c>
      <c r="G16" s="11">
        <f>Answer!G29</f>
        <v>0</v>
      </c>
      <c r="H16" s="6"/>
    </row>
    <row r="17" spans="1:8" x14ac:dyDescent="0.25">
      <c r="D17" s="13"/>
      <c r="E17" s="13"/>
      <c r="F17" s="13"/>
      <c r="G17" s="13"/>
    </row>
    <row r="18" spans="1:8" x14ac:dyDescent="0.25">
      <c r="A18" s="1" t="s">
        <v>92</v>
      </c>
      <c r="D18" s="11">
        <f>Answer!D31</f>
        <v>40260.509471819692</v>
      </c>
      <c r="E18" s="11">
        <f>Answer!E31</f>
        <v>32407.087320030405</v>
      </c>
      <c r="F18" s="11">
        <f>Answer!F31</f>
        <v>36016.695288820047</v>
      </c>
      <c r="G18" s="11">
        <f>Answer!G31</f>
        <v>38819.344003849939</v>
      </c>
      <c r="H18" s="6"/>
    </row>
    <row r="19" spans="1:8" x14ac:dyDescent="0.25">
      <c r="A19" s="24" t="s">
        <v>93</v>
      </c>
      <c r="D19" s="11">
        <f>Answer!D32</f>
        <v>10065.127367954923</v>
      </c>
      <c r="E19" s="11">
        <f>Answer!E32</f>
        <v>8101.7718300076012</v>
      </c>
      <c r="F19" s="11">
        <f>Answer!F32</f>
        <v>9004.1738222050117</v>
      </c>
      <c r="G19" s="11">
        <f>Answer!G32</f>
        <v>9704.8360009624848</v>
      </c>
    </row>
    <row r="20" spans="1:8" x14ac:dyDescent="0.25">
      <c r="A20" s="1" t="s">
        <v>94</v>
      </c>
      <c r="D20" s="11">
        <f>Answer!D33</f>
        <v>30195.382103864769</v>
      </c>
      <c r="E20" s="11">
        <f>Answer!E33</f>
        <v>24305.315490022804</v>
      </c>
      <c r="F20" s="11">
        <f>Answer!F33</f>
        <v>27012.521466615035</v>
      </c>
      <c r="G20" s="11">
        <f>Answer!G33</f>
        <v>29114.508002887454</v>
      </c>
    </row>
    <row r="22" spans="1:8" x14ac:dyDescent="0.25">
      <c r="A22" s="4" t="s">
        <v>17</v>
      </c>
    </row>
    <row r="23" spans="1:8" x14ac:dyDescent="0.25">
      <c r="A23" s="4" t="s">
        <v>18</v>
      </c>
    </row>
    <row r="24" spans="1:8" x14ac:dyDescent="0.25">
      <c r="B24" s="1" t="s">
        <v>96</v>
      </c>
      <c r="D24" s="11">
        <f>Answer!D37</f>
        <v>5000</v>
      </c>
      <c r="E24" s="11">
        <f>Answer!E37</f>
        <v>5000</v>
      </c>
      <c r="F24" s="11">
        <f>Answer!F37</f>
        <v>5000</v>
      </c>
      <c r="G24" s="11">
        <f>Answer!G37</f>
        <v>5000</v>
      </c>
      <c r="H24" s="11"/>
    </row>
    <row r="25" spans="1:8" x14ac:dyDescent="0.25">
      <c r="B25" s="1" t="s">
        <v>97</v>
      </c>
      <c r="D25" s="11">
        <f>Answer!D38</f>
        <v>0</v>
      </c>
      <c r="E25" s="11">
        <f>Answer!E38</f>
        <v>0</v>
      </c>
      <c r="F25" s="11">
        <f>Answer!F38</f>
        <v>4329</v>
      </c>
      <c r="G25" s="11">
        <f>Answer!G38</f>
        <v>40079</v>
      </c>
      <c r="H25" s="11"/>
    </row>
    <row r="26" spans="1:8" x14ac:dyDescent="0.25">
      <c r="B26" s="1" t="s">
        <v>19</v>
      </c>
      <c r="D26" s="11">
        <f>Answer!D39</f>
        <v>4626.4315068493152</v>
      </c>
      <c r="E26" s="11">
        <f>Answer!E39</f>
        <v>9508.9359976027408</v>
      </c>
      <c r="F26" s="11">
        <f>Answer!F39</f>
        <v>9772.0958013363997</v>
      </c>
      <c r="G26" s="11">
        <f>Answer!G39</f>
        <v>10042.538552638383</v>
      </c>
    </row>
    <row r="27" spans="1:8" x14ac:dyDescent="0.25">
      <c r="B27" s="1" t="s">
        <v>20</v>
      </c>
      <c r="D27" s="11">
        <f>Answer!D40</f>
        <v>1542.1438356164385</v>
      </c>
      <c r="E27" s="11">
        <f>Answer!E40</f>
        <v>3138.262705479453</v>
      </c>
      <c r="F27" s="11">
        <f>Answer!F40</f>
        <v>3193.182302825343</v>
      </c>
      <c r="G27" s="11">
        <f>Answer!G40</f>
        <v>3249.0629931247868</v>
      </c>
    </row>
    <row r="29" spans="1:8" x14ac:dyDescent="0.25">
      <c r="B29" s="1" t="s">
        <v>102</v>
      </c>
      <c r="D29" s="11">
        <f>Answer!D44</f>
        <v>20000</v>
      </c>
      <c r="E29" s="11">
        <f>Answer!E44</f>
        <v>20000</v>
      </c>
      <c r="F29" s="11">
        <f>Answer!F44</f>
        <v>20000</v>
      </c>
      <c r="G29" s="11">
        <f>Answer!G44</f>
        <v>20000</v>
      </c>
    </row>
    <row r="30" spans="1:8" x14ac:dyDescent="0.25">
      <c r="B30" s="1" t="s">
        <v>21</v>
      </c>
      <c r="D30" s="11" t="e">
        <f>Answer!#REF!</f>
        <v>#REF!</v>
      </c>
      <c r="E30" s="11" t="e">
        <f>Answer!#REF!</f>
        <v>#REF!</v>
      </c>
      <c r="F30" s="11" t="e">
        <f>Answer!#REF!</f>
        <v>#REF!</v>
      </c>
      <c r="G30" s="11" t="e">
        <f>Answer!#REF!</f>
        <v>#REF!</v>
      </c>
    </row>
    <row r="31" spans="1:8" x14ac:dyDescent="0.25">
      <c r="B31" s="1" t="s">
        <v>22</v>
      </c>
      <c r="D31" s="11">
        <f>Answer!D45</f>
        <v>2857.1428571428573</v>
      </c>
      <c r="E31" s="11">
        <f>Answer!E45</f>
        <v>5714.2857142857147</v>
      </c>
      <c r="F31" s="11">
        <f>Answer!F45</f>
        <v>8571.4285714285725</v>
      </c>
      <c r="G31" s="11">
        <f>Answer!G45</f>
        <v>11428.571428571429</v>
      </c>
    </row>
    <row r="33" spans="1:7" x14ac:dyDescent="0.25">
      <c r="A33" s="4" t="s">
        <v>106</v>
      </c>
      <c r="D33" s="11">
        <f>Answer!D50</f>
        <v>541644.76581865619</v>
      </c>
      <c r="E33" s="11">
        <f>Answer!E50</f>
        <v>538599.57965546311</v>
      </c>
      <c r="F33" s="11">
        <f>Answer!F50</f>
        <v>533722.84953273321</v>
      </c>
      <c r="G33" s="11">
        <f>Answer!G50</f>
        <v>560275.3634505251</v>
      </c>
    </row>
    <row r="34" spans="1:7" x14ac:dyDescent="0.25">
      <c r="A34" s="4"/>
      <c r="D34" s="15"/>
      <c r="E34" s="15"/>
      <c r="F34" s="15"/>
      <c r="G34" s="15"/>
    </row>
    <row r="35" spans="1:7" x14ac:dyDescent="0.25">
      <c r="A35" s="4" t="s">
        <v>23</v>
      </c>
    </row>
    <row r="36" spans="1:7" x14ac:dyDescent="0.25">
      <c r="A36" s="1" t="s">
        <v>88</v>
      </c>
      <c r="D36" s="13"/>
      <c r="E36" s="13"/>
      <c r="F36" s="13"/>
      <c r="G36" s="13"/>
    </row>
    <row r="37" spans="1:7" x14ac:dyDescent="0.25">
      <c r="B37" s="1" t="s">
        <v>95</v>
      </c>
      <c r="D37" s="11">
        <f>Answer!D54</f>
        <v>1028.0958904109589</v>
      </c>
      <c r="E37" s="11">
        <f>Answer!E54</f>
        <v>2092.1751369863018</v>
      </c>
      <c r="F37" s="11">
        <f>Answer!F54</f>
        <v>2128.7882018835617</v>
      </c>
      <c r="G37" s="11">
        <f>Answer!G54</f>
        <v>2166.0419954165245</v>
      </c>
    </row>
    <row r="38" spans="1:7" x14ac:dyDescent="0.25">
      <c r="B38" s="1" t="s">
        <v>24</v>
      </c>
      <c r="D38" s="11">
        <f>Answer!D55</f>
        <v>10065.127367954923</v>
      </c>
      <c r="E38" s="11">
        <f>Answer!E55</f>
        <v>8101.7718300076012</v>
      </c>
      <c r="F38" s="11">
        <f>Answer!F55</f>
        <v>9004.1738222050117</v>
      </c>
      <c r="G38" s="11">
        <f>Answer!G55</f>
        <v>9704.8360009624848</v>
      </c>
    </row>
    <row r="39" spans="1:7" x14ac:dyDescent="0.25">
      <c r="D39" s="13"/>
      <c r="E39" s="13"/>
      <c r="F39" s="13"/>
      <c r="G39" s="13"/>
    </row>
    <row r="40" spans="1:7" x14ac:dyDescent="0.25">
      <c r="B40" s="1" t="s">
        <v>104</v>
      </c>
      <c r="D40" s="11" t="e">
        <f>Answer!#REF!</f>
        <v>#REF!</v>
      </c>
      <c r="E40" s="11" t="e">
        <f>Answer!#REF!</f>
        <v>#REF!</v>
      </c>
      <c r="F40" s="11" t="e">
        <f>Answer!#REF!</f>
        <v>#REF!</v>
      </c>
      <c r="G40" s="11" t="e">
        <f>Answer!#REF!</f>
        <v>#REF!</v>
      </c>
    </row>
    <row r="41" spans="1:7" x14ac:dyDescent="0.25">
      <c r="B41" s="1" t="s">
        <v>103</v>
      </c>
      <c r="D41" s="11">
        <f>Answer!D57</f>
        <v>53176.266292227352</v>
      </c>
      <c r="E41" s="11">
        <f>Answer!E57</f>
        <v>29696.817378805303</v>
      </c>
      <c r="F41" s="11">
        <f>Answer!F57</f>
        <v>0</v>
      </c>
      <c r="G41" s="11">
        <f>Answer!G57</f>
        <v>0</v>
      </c>
    </row>
    <row r="42" spans="1:7" x14ac:dyDescent="0.25">
      <c r="D42" s="13"/>
      <c r="E42" s="13"/>
      <c r="F42" s="13"/>
      <c r="G42" s="13"/>
    </row>
    <row r="43" spans="1:7" x14ac:dyDescent="0.25">
      <c r="A43" s="1" t="s">
        <v>89</v>
      </c>
      <c r="D43" s="13"/>
      <c r="E43" s="13"/>
      <c r="F43" s="13"/>
      <c r="G43" s="13"/>
    </row>
    <row r="44" spans="1:7" x14ac:dyDescent="0.25">
      <c r="B44" s="1" t="s">
        <v>90</v>
      </c>
      <c r="D44" s="11" t="e">
        <f>Answer!#REF!</f>
        <v>#REF!</v>
      </c>
      <c r="E44" s="11" t="e">
        <f>Answer!#REF!</f>
        <v>#REF!</v>
      </c>
      <c r="F44" s="11" t="e">
        <f>Answer!#REF!</f>
        <v>#REF!</v>
      </c>
      <c r="G44" s="11" t="e">
        <f>Answer!#REF!</f>
        <v>#REF!</v>
      </c>
    </row>
    <row r="45" spans="1:7" x14ac:dyDescent="0.25">
      <c r="B45" s="1" t="s">
        <v>25</v>
      </c>
      <c r="C45" s="13"/>
      <c r="D45" s="11">
        <f>Answer!D62</f>
        <v>30195.382103864769</v>
      </c>
      <c r="E45" s="11">
        <f>Answer!E62</f>
        <v>54500.697593887569</v>
      </c>
      <c r="F45" s="11">
        <f>Answer!F62</f>
        <v>81513.219060502597</v>
      </c>
      <c r="G45" s="11">
        <f>Answer!G62</f>
        <v>110627.72706339005</v>
      </c>
    </row>
    <row r="46" spans="1:7" x14ac:dyDescent="0.25">
      <c r="D46" s="13"/>
      <c r="E46" s="13"/>
      <c r="F46" s="13"/>
      <c r="G46" s="13"/>
    </row>
    <row r="47" spans="1:7" x14ac:dyDescent="0.25">
      <c r="A47" s="4" t="s">
        <v>105</v>
      </c>
      <c r="D47" s="11">
        <f>Answer!D64</f>
        <v>541644.76581865642</v>
      </c>
      <c r="E47" s="11">
        <f>Answer!E64</f>
        <v>538599.57965546311</v>
      </c>
      <c r="F47" s="11">
        <f>Answer!F64</f>
        <v>533722.69460761698</v>
      </c>
      <c r="G47" s="11">
        <f>Answer!G64</f>
        <v>560275.09080807457</v>
      </c>
    </row>
    <row r="49" spans="1:7" x14ac:dyDescent="0.25">
      <c r="A49" s="25"/>
      <c r="D49" s="15"/>
      <c r="E49" s="15"/>
      <c r="F49" s="15"/>
      <c r="G49" s="15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Answer</vt:lpstr>
      <vt:lpstr>Bankruptcy</vt:lpstr>
      <vt:lpstr>Mortgage</vt:lpstr>
      <vt:lpstr>Sheet1</vt:lpstr>
      <vt:lpstr>Sheet2</vt:lpstr>
      <vt:lpstr>Sheet3</vt:lpstr>
      <vt:lpstr>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2014-07-21T18:02:32Z</dcterms:created>
  <dcterms:modified xsi:type="dcterms:W3CDTF">2019-08-23T21:06:19Z</dcterms:modified>
</cp:coreProperties>
</file>