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60" windowWidth="20490" windowHeight="7095"/>
  </bookViews>
  <sheets>
    <sheet name="Good Forecast" sheetId="1" r:id="rId1"/>
    <sheet name="Mortgage" sheetId="3" r:id="rId2"/>
    <sheet name="Sources" sheetId="2" r:id="rId3"/>
    <sheet name="Bankruptcy Forecast" sheetId="5" r:id="rId4"/>
    <sheet name="Mortgage " sheetId="6" r:id="rId5"/>
  </sheets>
  <externalReferences>
    <externalReference r:id="rId6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M63" i="1"/>
  <c r="M62" i="1"/>
  <c r="L63" i="1"/>
  <c r="L62" i="1"/>
  <c r="I1" i="6" l="1"/>
  <c r="I2" i="6" s="1"/>
  <c r="D2" i="6" s="1"/>
  <c r="I4" i="6"/>
  <c r="I6" i="6"/>
  <c r="B2" i="6" s="1"/>
  <c r="C98" i="5"/>
  <c r="E95" i="5"/>
  <c r="D95" i="5"/>
  <c r="D93" i="5"/>
  <c r="D96" i="5" s="1"/>
  <c r="C93" i="5"/>
  <c r="C96" i="5" s="1"/>
  <c r="Q78" i="5"/>
  <c r="Q63" i="5"/>
  <c r="E63" i="5"/>
  <c r="D63" i="5"/>
  <c r="E62" i="5"/>
  <c r="Q62" i="5" s="1"/>
  <c r="E60" i="5"/>
  <c r="P60" i="5" s="1"/>
  <c r="P59" i="5"/>
  <c r="P71" i="5" s="1"/>
  <c r="P77" i="5" s="1"/>
  <c r="D57" i="5"/>
  <c r="E56" i="5"/>
  <c r="Q53" i="5"/>
  <c r="E44" i="5"/>
  <c r="D44" i="5"/>
  <c r="D41" i="5"/>
  <c r="E41" i="5" s="1"/>
  <c r="D40" i="5"/>
  <c r="D64" i="5" s="1"/>
  <c r="D37" i="5"/>
  <c r="E37" i="5" s="1"/>
  <c r="O36" i="5"/>
  <c r="D36" i="5"/>
  <c r="E36" i="5" s="1"/>
  <c r="E35" i="5"/>
  <c r="D35" i="5"/>
  <c r="D32" i="5"/>
  <c r="D69" i="5" s="1"/>
  <c r="D29" i="5"/>
  <c r="D27" i="5"/>
  <c r="E26" i="5"/>
  <c r="D26" i="5"/>
  <c r="D55" i="5" s="1"/>
  <c r="E18" i="5"/>
  <c r="E17" i="5"/>
  <c r="E16" i="5"/>
  <c r="E29" i="5" s="1"/>
  <c r="D16" i="5"/>
  <c r="E14" i="5"/>
  <c r="D13" i="5"/>
  <c r="D28" i="5" s="1"/>
  <c r="E11" i="5"/>
  <c r="E10" i="5"/>
  <c r="E9" i="5"/>
  <c r="E27" i="5" s="1"/>
  <c r="E7" i="5"/>
  <c r="E6" i="5"/>
  <c r="E5" i="5"/>
  <c r="E32" i="5" s="1"/>
  <c r="C89" i="5" l="1"/>
  <c r="I8" i="6"/>
  <c r="E69" i="5"/>
  <c r="E57" i="5"/>
  <c r="Q57" i="5" s="1"/>
  <c r="E55" i="5"/>
  <c r="Q55" i="5" s="1"/>
  <c r="E40" i="5"/>
  <c r="E64" i="5" s="1"/>
  <c r="E13" i="5"/>
  <c r="E28" i="5" s="1"/>
  <c r="E30" i="5" s="1"/>
  <c r="D61" i="5"/>
  <c r="D38" i="5"/>
  <c r="E38" i="5" s="1"/>
  <c r="D56" i="5" s="1"/>
  <c r="D30" i="5"/>
  <c r="D37" i="1"/>
  <c r="D35" i="1"/>
  <c r="D38" i="1"/>
  <c r="M112" i="1"/>
  <c r="M108" i="1"/>
  <c r="P71" i="1"/>
  <c r="P70" i="1"/>
  <c r="E2" i="6" l="1"/>
  <c r="C2" i="6" s="1"/>
  <c r="E7" i="6"/>
  <c r="E10" i="6"/>
  <c r="E18" i="6"/>
  <c r="E22" i="6"/>
  <c r="E26" i="6"/>
  <c r="E30" i="6"/>
  <c r="E34" i="6"/>
  <c r="E38" i="6"/>
  <c r="E46" i="6"/>
  <c r="E50" i="6"/>
  <c r="E54" i="6"/>
  <c r="E58" i="6"/>
  <c r="E62" i="6"/>
  <c r="E66" i="6"/>
  <c r="E74" i="6"/>
  <c r="E5" i="6"/>
  <c r="E8" i="6"/>
  <c r="E11" i="6"/>
  <c r="E19" i="6"/>
  <c r="E23" i="6"/>
  <c r="E27" i="6"/>
  <c r="E31" i="6"/>
  <c r="E35" i="6"/>
  <c r="E39" i="6"/>
  <c r="E47" i="6"/>
  <c r="E51" i="6"/>
  <c r="E55" i="6"/>
  <c r="E59" i="6"/>
  <c r="E63" i="6"/>
  <c r="E67" i="6"/>
  <c r="E75" i="6"/>
  <c r="E4" i="6"/>
  <c r="E9" i="6"/>
  <c r="E17" i="6"/>
  <c r="E25" i="6"/>
  <c r="E33" i="6"/>
  <c r="E41" i="6"/>
  <c r="E49" i="6"/>
  <c r="E65" i="6"/>
  <c r="E73" i="6"/>
  <c r="E80" i="6"/>
  <c r="E88" i="6"/>
  <c r="E92" i="6"/>
  <c r="E96" i="6"/>
  <c r="E100" i="6"/>
  <c r="E104" i="6"/>
  <c r="E108" i="6"/>
  <c r="E3" i="6"/>
  <c r="E16" i="6"/>
  <c r="E24" i="6"/>
  <c r="E32" i="6"/>
  <c r="E40" i="6"/>
  <c r="E48" i="6"/>
  <c r="E64" i="6"/>
  <c r="E72" i="6"/>
  <c r="E81" i="6"/>
  <c r="E89" i="6"/>
  <c r="E93" i="6"/>
  <c r="E97" i="6"/>
  <c r="E101" i="6"/>
  <c r="E105" i="6"/>
  <c r="E109" i="6"/>
  <c r="E117" i="6"/>
  <c r="E121" i="6"/>
  <c r="E125" i="6"/>
  <c r="E129" i="6"/>
  <c r="E133" i="6"/>
  <c r="E137" i="6"/>
  <c r="E6" i="6"/>
  <c r="E36" i="6"/>
  <c r="E44" i="6"/>
  <c r="E68" i="6"/>
  <c r="E76" i="6"/>
  <c r="E83" i="6"/>
  <c r="E91" i="6"/>
  <c r="E107" i="6"/>
  <c r="E115" i="6"/>
  <c r="E134" i="6"/>
  <c r="E135" i="6"/>
  <c r="E136" i="6"/>
  <c r="E20" i="6"/>
  <c r="E52" i="6"/>
  <c r="E60" i="6"/>
  <c r="E95" i="6"/>
  <c r="E111" i="6"/>
  <c r="E118" i="6"/>
  <c r="E120" i="6"/>
  <c r="E128" i="6"/>
  <c r="E78" i="6"/>
  <c r="E86" i="6"/>
  <c r="E94" i="6"/>
  <c r="E102" i="6"/>
  <c r="E138" i="6"/>
  <c r="E37" i="6"/>
  <c r="E45" i="6"/>
  <c r="E69" i="6"/>
  <c r="E77" i="6"/>
  <c r="E82" i="6"/>
  <c r="E90" i="6"/>
  <c r="E106" i="6"/>
  <c r="E114" i="6"/>
  <c r="E122" i="6"/>
  <c r="E123" i="6"/>
  <c r="E124" i="6"/>
  <c r="E130" i="6"/>
  <c r="E131" i="6"/>
  <c r="E132" i="6"/>
  <c r="E12" i="6"/>
  <c r="E79" i="6"/>
  <c r="E87" i="6"/>
  <c r="E103" i="6"/>
  <c r="E119" i="6"/>
  <c r="E13" i="6"/>
  <c r="E21" i="6"/>
  <c r="E53" i="6"/>
  <c r="E61" i="6"/>
  <c r="E110" i="6"/>
  <c r="E116" i="6"/>
  <c r="E139" i="6"/>
  <c r="D66" i="5"/>
  <c r="E61" i="5"/>
  <c r="E66" i="5" s="1"/>
  <c r="Q69" i="5"/>
  <c r="Q71" i="5" s="1"/>
  <c r="Q74" i="5" s="1"/>
  <c r="D36" i="1"/>
  <c r="F2" i="6" l="1"/>
  <c r="B3" i="6" s="1"/>
  <c r="E63" i="1"/>
  <c r="F63" i="1"/>
  <c r="F112" i="1" s="1"/>
  <c r="G63" i="1"/>
  <c r="H63" i="1"/>
  <c r="G112" i="1" s="1"/>
  <c r="I63" i="1"/>
  <c r="J63" i="1"/>
  <c r="I112" i="1" s="1"/>
  <c r="K63" i="1"/>
  <c r="M113" i="1" s="1"/>
  <c r="D63" i="1"/>
  <c r="C112" i="1" s="1"/>
  <c r="O113" i="1"/>
  <c r="E112" i="1"/>
  <c r="K112" i="1"/>
  <c r="L112" i="1"/>
  <c r="B114" i="1"/>
  <c r="B113" i="1"/>
  <c r="B112" i="1"/>
  <c r="L108" i="1"/>
  <c r="C108" i="1"/>
  <c r="D3" i="6" l="1"/>
  <c r="J112" i="1"/>
  <c r="D112" i="1"/>
  <c r="O114" i="1"/>
  <c r="M114" i="1" s="1"/>
  <c r="H112" i="1"/>
  <c r="O101" i="1"/>
  <c r="D100" i="1"/>
  <c r="E100" i="1"/>
  <c r="F100" i="1"/>
  <c r="G100" i="1"/>
  <c r="H100" i="1"/>
  <c r="I100" i="1"/>
  <c r="J100" i="1"/>
  <c r="K100" i="1"/>
  <c r="L100" i="1"/>
  <c r="M100" i="1"/>
  <c r="M101" i="1" s="1"/>
  <c r="C104" i="1"/>
  <c r="C100" i="1"/>
  <c r="D91" i="1"/>
  <c r="E91" i="1"/>
  <c r="F91" i="1"/>
  <c r="G91" i="1"/>
  <c r="H91" i="1"/>
  <c r="I91" i="1"/>
  <c r="J91" i="1"/>
  <c r="K91" i="1"/>
  <c r="L91" i="1"/>
  <c r="M91" i="1"/>
  <c r="D92" i="1"/>
  <c r="E92" i="1"/>
  <c r="F92" i="1"/>
  <c r="G92" i="1"/>
  <c r="H92" i="1"/>
  <c r="I92" i="1"/>
  <c r="J92" i="1"/>
  <c r="K92" i="1"/>
  <c r="L92" i="1"/>
  <c r="M92" i="1"/>
  <c r="C92" i="1"/>
  <c r="C91" i="1"/>
  <c r="B96" i="1"/>
  <c r="B92" i="1"/>
  <c r="B93" i="1"/>
  <c r="B95" i="1"/>
  <c r="B91" i="1"/>
  <c r="N74" i="1"/>
  <c r="N71" i="1"/>
  <c r="C3" i="6" l="1"/>
  <c r="O102" i="1"/>
  <c r="M102" i="1" s="1"/>
  <c r="F3" i="6" l="1"/>
  <c r="B4" i="6" s="1"/>
  <c r="E60" i="1"/>
  <c r="D41" i="1"/>
  <c r="H41" i="1" s="1"/>
  <c r="I4" i="3"/>
  <c r="I6" i="3"/>
  <c r="B2" i="3" s="1"/>
  <c r="I1" i="3"/>
  <c r="I2" i="3" s="1"/>
  <c r="D4" i="6" l="1"/>
  <c r="F60" i="1"/>
  <c r="D104" i="1"/>
  <c r="D61" i="1"/>
  <c r="E41" i="1"/>
  <c r="J41" i="1"/>
  <c r="F41" i="1"/>
  <c r="M41" i="1"/>
  <c r="I41" i="1"/>
  <c r="K41" i="1"/>
  <c r="G41" i="1"/>
  <c r="L41" i="1"/>
  <c r="I8" i="3"/>
  <c r="D2" i="3"/>
  <c r="C4" i="6" l="1"/>
  <c r="G60" i="1"/>
  <c r="E104" i="1"/>
  <c r="E61" i="1"/>
  <c r="F61" i="1" s="1"/>
  <c r="G61" i="1" s="1"/>
  <c r="H61" i="1" s="1"/>
  <c r="I61" i="1" s="1"/>
  <c r="J61" i="1" s="1"/>
  <c r="K61" i="1" s="1"/>
  <c r="L61" i="1" s="1"/>
  <c r="M61" i="1" s="1"/>
  <c r="E68" i="3"/>
  <c r="E136" i="3"/>
  <c r="E132" i="3"/>
  <c r="E128" i="3"/>
  <c r="E123" i="3"/>
  <c r="E119" i="3"/>
  <c r="E115" i="3"/>
  <c r="E110" i="3"/>
  <c r="E106" i="3"/>
  <c r="E102" i="3"/>
  <c r="E97" i="3"/>
  <c r="E93" i="3"/>
  <c r="E89" i="3"/>
  <c r="E81" i="3"/>
  <c r="E77" i="3"/>
  <c r="E73" i="3"/>
  <c r="E139" i="3"/>
  <c r="E135" i="3"/>
  <c r="E131" i="3"/>
  <c r="E122" i="3"/>
  <c r="E118" i="3"/>
  <c r="E114" i="3"/>
  <c r="E109" i="3"/>
  <c r="E105" i="3"/>
  <c r="E101" i="3"/>
  <c r="E96" i="3"/>
  <c r="E92" i="3"/>
  <c r="E88" i="3"/>
  <c r="E80" i="3"/>
  <c r="E76" i="3"/>
  <c r="E72" i="3"/>
  <c r="E138" i="3"/>
  <c r="E134" i="3"/>
  <c r="E130" i="3"/>
  <c r="E125" i="3"/>
  <c r="E121" i="3"/>
  <c r="E117" i="3"/>
  <c r="E108" i="3"/>
  <c r="E104" i="3"/>
  <c r="E100" i="3"/>
  <c r="E95" i="3"/>
  <c r="E91" i="3"/>
  <c r="E87" i="3"/>
  <c r="E83" i="3"/>
  <c r="E79" i="3"/>
  <c r="E75" i="3"/>
  <c r="E137" i="3"/>
  <c r="E133" i="3"/>
  <c r="E129" i="3"/>
  <c r="E124" i="3"/>
  <c r="E120" i="3"/>
  <c r="E116" i="3"/>
  <c r="E111" i="3"/>
  <c r="E107" i="3"/>
  <c r="E103" i="3"/>
  <c r="E94" i="3"/>
  <c r="E90" i="3"/>
  <c r="E86" i="3"/>
  <c r="E82" i="3"/>
  <c r="E78" i="3"/>
  <c r="E74" i="3"/>
  <c r="E8" i="3"/>
  <c r="E2" i="3"/>
  <c r="C2" i="3" s="1"/>
  <c r="F2" i="3" s="1"/>
  <c r="B3" i="3" s="1"/>
  <c r="E27" i="3"/>
  <c r="E3" i="3"/>
  <c r="E37" i="3"/>
  <c r="E54" i="3"/>
  <c r="E63" i="3"/>
  <c r="E18" i="3"/>
  <c r="E11" i="3"/>
  <c r="E13" i="3"/>
  <c r="E10" i="3"/>
  <c r="E50" i="3"/>
  <c r="E17" i="3"/>
  <c r="E53" i="3"/>
  <c r="E47" i="3"/>
  <c r="E60" i="3"/>
  <c r="E31" i="3"/>
  <c r="E39" i="3"/>
  <c r="E49" i="3"/>
  <c r="E66" i="3"/>
  <c r="E52" i="3"/>
  <c r="E30" i="3"/>
  <c r="E38" i="3"/>
  <c r="E12" i="3"/>
  <c r="E22" i="3"/>
  <c r="E34" i="3"/>
  <c r="E44" i="3"/>
  <c r="E33" i="3"/>
  <c r="E69" i="3"/>
  <c r="E59" i="3"/>
  <c r="E7" i="3"/>
  <c r="E4" i="3"/>
  <c r="E24" i="3"/>
  <c r="E46" i="3"/>
  <c r="E36" i="3"/>
  <c r="E26" i="3"/>
  <c r="E16" i="3"/>
  <c r="E6" i="3"/>
  <c r="E21" i="3"/>
  <c r="E41" i="3"/>
  <c r="E61" i="3"/>
  <c r="E58" i="3"/>
  <c r="E51" i="3"/>
  <c r="E67" i="3"/>
  <c r="E64" i="3"/>
  <c r="E19" i="3"/>
  <c r="E32" i="3"/>
  <c r="E23" i="3"/>
  <c r="E20" i="3"/>
  <c r="E35" i="3"/>
  <c r="E40" i="3"/>
  <c r="E5" i="3"/>
  <c r="E9" i="3"/>
  <c r="E25" i="3"/>
  <c r="E45" i="3"/>
  <c r="E65" i="3"/>
  <c r="E62" i="3"/>
  <c r="E55" i="3"/>
  <c r="E48" i="3"/>
  <c r="F4" i="6" l="1"/>
  <c r="B5" i="6" s="1"/>
  <c r="H60" i="1"/>
  <c r="F104" i="1"/>
  <c r="D3" i="3"/>
  <c r="D5" i="6" l="1"/>
  <c r="I60" i="1"/>
  <c r="G104" i="1"/>
  <c r="C3" i="3"/>
  <c r="C5" i="6" l="1"/>
  <c r="J60" i="1"/>
  <c r="H104" i="1"/>
  <c r="F3" i="3"/>
  <c r="B4" i="3" s="1"/>
  <c r="F5" i="6" l="1"/>
  <c r="B6" i="6" s="1"/>
  <c r="K60" i="1"/>
  <c r="I104" i="1"/>
  <c r="D4" i="3"/>
  <c r="D6" i="6" l="1"/>
  <c r="C6" i="6" s="1"/>
  <c r="F6" i="6" s="1"/>
  <c r="B7" i="6" s="1"/>
  <c r="L60" i="1"/>
  <c r="J104" i="1"/>
  <c r="C4" i="3"/>
  <c r="D7" i="6" l="1"/>
  <c r="C7" i="6" s="1"/>
  <c r="F7" i="6" s="1"/>
  <c r="B8" i="6" s="1"/>
  <c r="M60" i="1"/>
  <c r="O105" i="1" s="1"/>
  <c r="K104" i="1"/>
  <c r="F4" i="3"/>
  <c r="B5" i="3" s="1"/>
  <c r="D8" i="6" l="1"/>
  <c r="C8" i="6" s="1"/>
  <c r="F8" i="6" s="1"/>
  <c r="B9" i="6" s="1"/>
  <c r="L104" i="1"/>
  <c r="M104" i="1"/>
  <c r="D5" i="3"/>
  <c r="D9" i="6" l="1"/>
  <c r="C9" i="6" s="1"/>
  <c r="F9" i="6" s="1"/>
  <c r="B10" i="6" s="1"/>
  <c r="M105" i="1"/>
  <c r="O106" i="1" s="1"/>
  <c r="M106" i="1" s="1"/>
  <c r="C5" i="3"/>
  <c r="D10" i="6" l="1"/>
  <c r="C10" i="6" s="1"/>
  <c r="F10" i="6" s="1"/>
  <c r="B11" i="6" s="1"/>
  <c r="F5" i="3"/>
  <c r="B6" i="3" s="1"/>
  <c r="D11" i="6" l="1"/>
  <c r="C11" i="6" s="1"/>
  <c r="F11" i="6" s="1"/>
  <c r="B12" i="6" s="1"/>
  <c r="D6" i="3"/>
  <c r="C6" i="3" s="1"/>
  <c r="F6" i="3" s="1"/>
  <c r="B7" i="3" s="1"/>
  <c r="D12" i="6" l="1"/>
  <c r="C12" i="6" s="1"/>
  <c r="F12" i="6" s="1"/>
  <c r="B13" i="6" s="1"/>
  <c r="D7" i="3"/>
  <c r="C7" i="3" s="1"/>
  <c r="F7" i="3" s="1"/>
  <c r="B8" i="3" s="1"/>
  <c r="D13" i="6" l="1"/>
  <c r="D8" i="3"/>
  <c r="C8" i="3" s="1"/>
  <c r="F8" i="3" s="1"/>
  <c r="B9" i="3" s="1"/>
  <c r="C13" i="6" l="1"/>
  <c r="D14" i="6"/>
  <c r="D43" i="5" s="1"/>
  <c r="D9" i="3"/>
  <c r="C9" i="3" s="1"/>
  <c r="F9" i="3" s="1"/>
  <c r="B10" i="3" s="1"/>
  <c r="D86" i="5" l="1"/>
  <c r="D46" i="5"/>
  <c r="C14" i="6"/>
  <c r="F13" i="6"/>
  <c r="D10" i="3"/>
  <c r="C10" i="3" s="1"/>
  <c r="F10" i="3" s="1"/>
  <c r="B11" i="3" s="1"/>
  <c r="D47" i="5" l="1"/>
  <c r="D72" i="5" s="1"/>
  <c r="B16" i="6"/>
  <c r="D70" i="5"/>
  <c r="D11" i="3"/>
  <c r="C11" i="3" s="1"/>
  <c r="F11" i="3" s="1"/>
  <c r="B12" i="3" s="1"/>
  <c r="D49" i="5" l="1"/>
  <c r="D75" i="5" s="1"/>
  <c r="C84" i="5"/>
  <c r="C87" i="5" s="1"/>
  <c r="D77" i="5"/>
  <c r="D79" i="5" s="1"/>
  <c r="D16" i="6"/>
  <c r="D12" i="3"/>
  <c r="C12" i="3" s="1"/>
  <c r="F12" i="3" s="1"/>
  <c r="B13" i="3" s="1"/>
  <c r="C16" i="6" l="1"/>
  <c r="D13" i="3"/>
  <c r="F16" i="6" l="1"/>
  <c r="B17" i="6" s="1"/>
  <c r="C13" i="3"/>
  <c r="D14" i="3"/>
  <c r="D43" i="1" s="1"/>
  <c r="D17" i="6" l="1"/>
  <c r="C14" i="3"/>
  <c r="F13" i="3"/>
  <c r="D70" i="1" s="1"/>
  <c r="C17" i="6" l="1"/>
  <c r="B16" i="3"/>
  <c r="D16" i="3" s="1"/>
  <c r="F17" i="6" l="1"/>
  <c r="B18" i="6" s="1"/>
  <c r="C16" i="3"/>
  <c r="D18" i="6" l="1"/>
  <c r="F16" i="3"/>
  <c r="B17" i="3" s="1"/>
  <c r="C18" i="6" l="1"/>
  <c r="D17" i="3"/>
  <c r="F18" i="6" l="1"/>
  <c r="B19" i="6" s="1"/>
  <c r="C17" i="3"/>
  <c r="D19" i="6" l="1"/>
  <c r="F17" i="3"/>
  <c r="B18" i="3" s="1"/>
  <c r="C19" i="6" l="1"/>
  <c r="D18" i="3"/>
  <c r="F19" i="6" l="1"/>
  <c r="B20" i="6" s="1"/>
  <c r="C18" i="3"/>
  <c r="D20" i="6" l="1"/>
  <c r="F18" i="3"/>
  <c r="B19" i="3" s="1"/>
  <c r="C20" i="6" l="1"/>
  <c r="D19" i="3"/>
  <c r="F20" i="6" l="1"/>
  <c r="B21" i="6" s="1"/>
  <c r="C19" i="3"/>
  <c r="D21" i="6" l="1"/>
  <c r="C21" i="6" s="1"/>
  <c r="F21" i="6" s="1"/>
  <c r="B22" i="6" s="1"/>
  <c r="F19" i="3"/>
  <c r="B20" i="3" s="1"/>
  <c r="D22" i="6" l="1"/>
  <c r="C22" i="6" s="1"/>
  <c r="F22" i="6" s="1"/>
  <c r="B23" i="6" s="1"/>
  <c r="D20" i="3"/>
  <c r="D23" i="6" l="1"/>
  <c r="C23" i="6" s="1"/>
  <c r="F23" i="6" s="1"/>
  <c r="B24" i="6" s="1"/>
  <c r="C20" i="3"/>
  <c r="D24" i="6" l="1"/>
  <c r="C24" i="6" s="1"/>
  <c r="F24" i="6" s="1"/>
  <c r="B25" i="6" s="1"/>
  <c r="F20" i="3"/>
  <c r="B21" i="3" s="1"/>
  <c r="D25" i="6" l="1"/>
  <c r="C25" i="6" s="1"/>
  <c r="F25" i="6" s="1"/>
  <c r="B26" i="6" s="1"/>
  <c r="D21" i="3"/>
  <c r="C21" i="3" s="1"/>
  <c r="F21" i="3" s="1"/>
  <c r="B22" i="3" s="1"/>
  <c r="D26" i="6" l="1"/>
  <c r="C26" i="6" s="1"/>
  <c r="F26" i="6" s="1"/>
  <c r="B27" i="6" s="1"/>
  <c r="D22" i="3"/>
  <c r="C22" i="3" s="1"/>
  <c r="F22" i="3" s="1"/>
  <c r="B23" i="3" s="1"/>
  <c r="D27" i="6" l="1"/>
  <c r="D23" i="3"/>
  <c r="C23" i="3" s="1"/>
  <c r="F23" i="3" s="1"/>
  <c r="B24" i="3" s="1"/>
  <c r="C27" i="6" l="1"/>
  <c r="D28" i="6"/>
  <c r="E43" i="5" s="1"/>
  <c r="D24" i="3"/>
  <c r="C24" i="3" s="1"/>
  <c r="F24" i="3" s="1"/>
  <c r="B25" i="3" s="1"/>
  <c r="E86" i="5" l="1"/>
  <c r="E46" i="5"/>
  <c r="C28" i="6"/>
  <c r="F27" i="6"/>
  <c r="D25" i="3"/>
  <c r="C25" i="3" s="1"/>
  <c r="F25" i="3" s="1"/>
  <c r="B26" i="3" s="1"/>
  <c r="B30" i="6" l="1"/>
  <c r="E70" i="5"/>
  <c r="E47" i="5"/>
  <c r="E72" i="5" s="1"/>
  <c r="E49" i="5"/>
  <c r="E75" i="5" s="1"/>
  <c r="E77" i="5" s="1"/>
  <c r="E79" i="5" s="1"/>
  <c r="D26" i="3"/>
  <c r="C26" i="3" s="1"/>
  <c r="F26" i="3" s="1"/>
  <c r="B27" i="3" s="1"/>
  <c r="D84" i="5" l="1"/>
  <c r="D87" i="5" s="1"/>
  <c r="E67" i="5"/>
  <c r="Q77" i="5"/>
  <c r="D30" i="6"/>
  <c r="D27" i="3"/>
  <c r="Q79" i="5" l="1"/>
  <c r="R78" i="5" s="1"/>
  <c r="S78" i="5" s="1"/>
  <c r="T78" i="5" s="1"/>
  <c r="R77" i="5"/>
  <c r="S77" i="5" s="1"/>
  <c r="T77" i="5" s="1"/>
  <c r="C30" i="6"/>
  <c r="C27" i="3"/>
  <c r="D28" i="3"/>
  <c r="E43" i="1" s="1"/>
  <c r="F30" i="6" l="1"/>
  <c r="B31" i="6" s="1"/>
  <c r="U77" i="5"/>
  <c r="E85" i="5"/>
  <c r="E87" i="5" s="1"/>
  <c r="C88" i="5" s="1"/>
  <c r="C90" i="5" s="1"/>
  <c r="E94" i="5"/>
  <c r="E96" i="5" s="1"/>
  <c r="C97" i="5" s="1"/>
  <c r="C99" i="5" s="1"/>
  <c r="U78" i="5"/>
  <c r="C28" i="3"/>
  <c r="F27" i="3"/>
  <c r="E70" i="1" s="1"/>
  <c r="D31" i="6" l="1"/>
  <c r="B30" i="3"/>
  <c r="D30" i="3" s="1"/>
  <c r="C31" i="6" l="1"/>
  <c r="C30" i="3"/>
  <c r="F31" i="6" l="1"/>
  <c r="B32" i="6" s="1"/>
  <c r="F30" i="3"/>
  <c r="B31" i="3" s="1"/>
  <c r="D32" i="6" l="1"/>
  <c r="D31" i="3"/>
  <c r="C32" i="6" l="1"/>
  <c r="C31" i="3"/>
  <c r="F32" i="6" l="1"/>
  <c r="B33" i="6" s="1"/>
  <c r="F31" i="3"/>
  <c r="B32" i="3" s="1"/>
  <c r="D33" i="6" l="1"/>
  <c r="D32" i="3"/>
  <c r="C33" i="6" l="1"/>
  <c r="C32" i="3"/>
  <c r="F33" i="6" l="1"/>
  <c r="B34" i="6" s="1"/>
  <c r="F32" i="3"/>
  <c r="B33" i="3" s="1"/>
  <c r="D34" i="6" l="1"/>
  <c r="D33" i="3"/>
  <c r="C34" i="6" l="1"/>
  <c r="C33" i="3"/>
  <c r="F34" i="6" l="1"/>
  <c r="B35" i="6" s="1"/>
  <c r="F33" i="3"/>
  <c r="B34" i="3" s="1"/>
  <c r="D35" i="6" l="1"/>
  <c r="C35" i="6" s="1"/>
  <c r="F35" i="6" s="1"/>
  <c r="B36" i="6" s="1"/>
  <c r="D34" i="3"/>
  <c r="D36" i="6" l="1"/>
  <c r="C36" i="6" s="1"/>
  <c r="F36" i="6" s="1"/>
  <c r="B37" i="6" s="1"/>
  <c r="C34" i="3"/>
  <c r="D37" i="6" l="1"/>
  <c r="C37" i="6" s="1"/>
  <c r="F37" i="6" s="1"/>
  <c r="B38" i="6" s="1"/>
  <c r="F34" i="3"/>
  <c r="B35" i="3" s="1"/>
  <c r="D38" i="6" l="1"/>
  <c r="C38" i="6" s="1"/>
  <c r="F38" i="6" s="1"/>
  <c r="B39" i="6" s="1"/>
  <c r="D35" i="3"/>
  <c r="C35" i="3" s="1"/>
  <c r="F35" i="3" s="1"/>
  <c r="B36" i="3" s="1"/>
  <c r="D39" i="6" l="1"/>
  <c r="C39" i="6" s="1"/>
  <c r="F39" i="6" s="1"/>
  <c r="B40" i="6" s="1"/>
  <c r="D36" i="3"/>
  <c r="C36" i="3" s="1"/>
  <c r="F36" i="3" s="1"/>
  <c r="B37" i="3" s="1"/>
  <c r="D40" i="6" l="1"/>
  <c r="C40" i="6" s="1"/>
  <c r="F40" i="6" s="1"/>
  <c r="B41" i="6" s="1"/>
  <c r="D37" i="3"/>
  <c r="C37" i="3" s="1"/>
  <c r="F37" i="3" s="1"/>
  <c r="B38" i="3" s="1"/>
  <c r="D41" i="6" l="1"/>
  <c r="D38" i="3"/>
  <c r="C38" i="3" s="1"/>
  <c r="F38" i="3" s="1"/>
  <c r="B39" i="3" s="1"/>
  <c r="C41" i="6" l="1"/>
  <c r="D42" i="6"/>
  <c r="D39" i="3"/>
  <c r="C39" i="3" s="1"/>
  <c r="F39" i="3" s="1"/>
  <c r="B40" i="3" s="1"/>
  <c r="C42" i="6" l="1"/>
  <c r="F41" i="6"/>
  <c r="B44" i="6" s="1"/>
  <c r="D40" i="3"/>
  <c r="C40" i="3" s="1"/>
  <c r="F40" i="3" s="1"/>
  <c r="B41" i="3" s="1"/>
  <c r="D44" i="6" l="1"/>
  <c r="D41" i="3"/>
  <c r="C44" i="6" l="1"/>
  <c r="C41" i="3"/>
  <c r="D42" i="3"/>
  <c r="F43" i="1" s="1"/>
  <c r="F44" i="6" l="1"/>
  <c r="B45" i="6" s="1"/>
  <c r="C42" i="3"/>
  <c r="F41" i="3"/>
  <c r="F70" i="1" s="1"/>
  <c r="D45" i="6" l="1"/>
  <c r="B44" i="3"/>
  <c r="D44" i="3" s="1"/>
  <c r="C45" i="6" l="1"/>
  <c r="C44" i="3"/>
  <c r="F45" i="6" l="1"/>
  <c r="B46" i="6" s="1"/>
  <c r="F44" i="3"/>
  <c r="B45" i="3" s="1"/>
  <c r="D46" i="6" l="1"/>
  <c r="D45" i="3"/>
  <c r="C46" i="6" l="1"/>
  <c r="C45" i="3"/>
  <c r="F46" i="6" l="1"/>
  <c r="B47" i="6" s="1"/>
  <c r="F45" i="3"/>
  <c r="B46" i="3" s="1"/>
  <c r="D47" i="6" l="1"/>
  <c r="D46" i="3"/>
  <c r="C47" i="6" l="1"/>
  <c r="C46" i="3"/>
  <c r="F47" i="6" l="1"/>
  <c r="B48" i="6" s="1"/>
  <c r="F46" i="3"/>
  <c r="B47" i="3" s="1"/>
  <c r="D48" i="6" l="1"/>
  <c r="D47" i="3"/>
  <c r="C48" i="6" l="1"/>
  <c r="C47" i="3"/>
  <c r="F48" i="6" l="1"/>
  <c r="B49" i="6" s="1"/>
  <c r="F47" i="3"/>
  <c r="B48" i="3" s="1"/>
  <c r="D49" i="6" l="1"/>
  <c r="C49" i="6" s="1"/>
  <c r="F49" i="6" s="1"/>
  <c r="B50" i="6" s="1"/>
  <c r="D48" i="3"/>
  <c r="D50" i="6" l="1"/>
  <c r="C50" i="6" s="1"/>
  <c r="F50" i="6" s="1"/>
  <c r="B51" i="6" s="1"/>
  <c r="C48" i="3"/>
  <c r="D51" i="6" l="1"/>
  <c r="C51" i="6" s="1"/>
  <c r="F51" i="6" s="1"/>
  <c r="B52" i="6" s="1"/>
  <c r="F48" i="3"/>
  <c r="B49" i="3" s="1"/>
  <c r="D52" i="6" l="1"/>
  <c r="C52" i="6" s="1"/>
  <c r="F52" i="6" s="1"/>
  <c r="B53" i="6" s="1"/>
  <c r="D49" i="3"/>
  <c r="C49" i="3" s="1"/>
  <c r="F49" i="3" s="1"/>
  <c r="B50" i="3" s="1"/>
  <c r="D53" i="6" l="1"/>
  <c r="C53" i="6" s="1"/>
  <c r="F53" i="6" s="1"/>
  <c r="B54" i="6" s="1"/>
  <c r="D50" i="3"/>
  <c r="C50" i="3" s="1"/>
  <c r="F50" i="3" s="1"/>
  <c r="B51" i="3" s="1"/>
  <c r="D54" i="6" l="1"/>
  <c r="C54" i="6" s="1"/>
  <c r="F54" i="6" s="1"/>
  <c r="B55" i="6" s="1"/>
  <c r="D51" i="3"/>
  <c r="C51" i="3" s="1"/>
  <c r="F51" i="3" s="1"/>
  <c r="B52" i="3" s="1"/>
  <c r="D55" i="6" l="1"/>
  <c r="D52" i="3"/>
  <c r="C52" i="3" s="1"/>
  <c r="F52" i="3" s="1"/>
  <c r="B53" i="3" s="1"/>
  <c r="C55" i="6" l="1"/>
  <c r="D56" i="6"/>
  <c r="D53" i="3"/>
  <c r="C53" i="3" s="1"/>
  <c r="F53" i="3" s="1"/>
  <c r="B54" i="3" s="1"/>
  <c r="C56" i="6" l="1"/>
  <c r="F55" i="6"/>
  <c r="B58" i="6" s="1"/>
  <c r="D54" i="3"/>
  <c r="C54" i="3" s="1"/>
  <c r="F54" i="3" s="1"/>
  <c r="B55" i="3" s="1"/>
  <c r="D58" i="6" l="1"/>
  <c r="D55" i="3"/>
  <c r="C58" i="6" l="1"/>
  <c r="C55" i="3"/>
  <c r="D56" i="3"/>
  <c r="G43" i="1" s="1"/>
  <c r="F58" i="6" l="1"/>
  <c r="B59" i="6" s="1"/>
  <c r="C56" i="3"/>
  <c r="F55" i="3"/>
  <c r="G70" i="1" s="1"/>
  <c r="D59" i="6" l="1"/>
  <c r="B58" i="3"/>
  <c r="D58" i="3" s="1"/>
  <c r="C59" i="6" l="1"/>
  <c r="C58" i="3"/>
  <c r="F59" i="6" l="1"/>
  <c r="B60" i="6" s="1"/>
  <c r="F58" i="3"/>
  <c r="B59" i="3" s="1"/>
  <c r="D60" i="6" l="1"/>
  <c r="D59" i="3"/>
  <c r="C60" i="6" l="1"/>
  <c r="C59" i="3"/>
  <c r="F60" i="6" l="1"/>
  <c r="B61" i="6" s="1"/>
  <c r="F59" i="3"/>
  <c r="B60" i="3" s="1"/>
  <c r="D61" i="6" l="1"/>
  <c r="D60" i="3"/>
  <c r="C61" i="6" l="1"/>
  <c r="C60" i="3"/>
  <c r="F61" i="6" l="1"/>
  <c r="B62" i="6" s="1"/>
  <c r="F60" i="3"/>
  <c r="B61" i="3" s="1"/>
  <c r="D62" i="6" l="1"/>
  <c r="D61" i="3"/>
  <c r="C62" i="6" l="1"/>
  <c r="C61" i="3"/>
  <c r="F62" i="6" l="1"/>
  <c r="B63" i="6" s="1"/>
  <c r="F61" i="3"/>
  <c r="B62" i="3" s="1"/>
  <c r="D63" i="6" l="1"/>
  <c r="C63" i="6" s="1"/>
  <c r="F63" i="6" s="1"/>
  <c r="B64" i="6" s="1"/>
  <c r="D62" i="3"/>
  <c r="D64" i="6" l="1"/>
  <c r="C64" i="6" s="1"/>
  <c r="F64" i="6" s="1"/>
  <c r="B65" i="6" s="1"/>
  <c r="C62" i="3"/>
  <c r="D65" i="6" l="1"/>
  <c r="C65" i="6" s="1"/>
  <c r="F65" i="6" s="1"/>
  <c r="B66" i="6" s="1"/>
  <c r="F62" i="3"/>
  <c r="B63" i="3" s="1"/>
  <c r="D66" i="6" l="1"/>
  <c r="C66" i="6" s="1"/>
  <c r="F66" i="6" s="1"/>
  <c r="B67" i="6" s="1"/>
  <c r="D63" i="3"/>
  <c r="C63" i="3" s="1"/>
  <c r="F63" i="3" s="1"/>
  <c r="B64" i="3" s="1"/>
  <c r="D67" i="6" l="1"/>
  <c r="C67" i="6" s="1"/>
  <c r="F67" i="6" s="1"/>
  <c r="B68" i="6" s="1"/>
  <c r="D64" i="3"/>
  <c r="C64" i="3" s="1"/>
  <c r="F64" i="3" s="1"/>
  <c r="B65" i="3" s="1"/>
  <c r="D68" i="6" l="1"/>
  <c r="C68" i="6" s="1"/>
  <c r="F68" i="6" s="1"/>
  <c r="B69" i="6" s="1"/>
  <c r="D65" i="3"/>
  <c r="C65" i="3" s="1"/>
  <c r="F65" i="3" s="1"/>
  <c r="B66" i="3" s="1"/>
  <c r="D69" i="6" l="1"/>
  <c r="D66" i="3"/>
  <c r="C66" i="3" s="1"/>
  <c r="F66" i="3" s="1"/>
  <c r="B67" i="3" s="1"/>
  <c r="C69" i="6" l="1"/>
  <c r="D70" i="6"/>
  <c r="D67" i="3"/>
  <c r="C67" i="3" s="1"/>
  <c r="F67" i="3" s="1"/>
  <c r="B68" i="3" s="1"/>
  <c r="C70" i="6" l="1"/>
  <c r="F69" i="6"/>
  <c r="B72" i="6" s="1"/>
  <c r="D68" i="3"/>
  <c r="C68" i="3" s="1"/>
  <c r="F68" i="3" s="1"/>
  <c r="B69" i="3" s="1"/>
  <c r="D72" i="6" l="1"/>
  <c r="D69" i="3"/>
  <c r="C72" i="6" l="1"/>
  <c r="C69" i="3"/>
  <c r="D70" i="3"/>
  <c r="H43" i="1" s="1"/>
  <c r="F72" i="6" l="1"/>
  <c r="B73" i="6" s="1"/>
  <c r="C70" i="3"/>
  <c r="F69" i="3"/>
  <c r="H70" i="1" s="1"/>
  <c r="D73" i="6" l="1"/>
  <c r="B72" i="3"/>
  <c r="D72" i="3" s="1"/>
  <c r="C73" i="6" l="1"/>
  <c r="C72" i="3"/>
  <c r="F73" i="6" l="1"/>
  <c r="B74" i="6" s="1"/>
  <c r="F72" i="3"/>
  <c r="B73" i="3" s="1"/>
  <c r="D74" i="6" l="1"/>
  <c r="D73" i="3"/>
  <c r="C74" i="6" l="1"/>
  <c r="C73" i="3"/>
  <c r="F74" i="6" l="1"/>
  <c r="B75" i="6" s="1"/>
  <c r="F73" i="3"/>
  <c r="B74" i="3" s="1"/>
  <c r="D75" i="6" l="1"/>
  <c r="D74" i="3"/>
  <c r="C75" i="6" l="1"/>
  <c r="C74" i="3"/>
  <c r="F75" i="6" l="1"/>
  <c r="B76" i="6" s="1"/>
  <c r="F74" i="3"/>
  <c r="B75" i="3" s="1"/>
  <c r="D76" i="6" l="1"/>
  <c r="D75" i="3"/>
  <c r="C76" i="6" l="1"/>
  <c r="C75" i="3"/>
  <c r="F76" i="6" l="1"/>
  <c r="B77" i="6" s="1"/>
  <c r="F75" i="3"/>
  <c r="B76" i="3" s="1"/>
  <c r="D77" i="6" l="1"/>
  <c r="C77" i="6" s="1"/>
  <c r="F77" i="6" s="1"/>
  <c r="B78" i="6" s="1"/>
  <c r="D76" i="3"/>
  <c r="D26" i="1"/>
  <c r="D78" i="6" l="1"/>
  <c r="C78" i="6" s="1"/>
  <c r="F78" i="6" s="1"/>
  <c r="B79" i="6" s="1"/>
  <c r="C76" i="3"/>
  <c r="F62" i="1"/>
  <c r="G62" i="1"/>
  <c r="F108" i="1" s="1"/>
  <c r="H62" i="1"/>
  <c r="I62" i="1"/>
  <c r="J62" i="1"/>
  <c r="K62" i="1"/>
  <c r="E62" i="1"/>
  <c r="D108" i="1" s="1"/>
  <c r="L84" i="1"/>
  <c r="M84" i="1"/>
  <c r="D79" i="6" l="1"/>
  <c r="C79" i="6" s="1"/>
  <c r="F79" i="6" s="1"/>
  <c r="B80" i="6" s="1"/>
  <c r="H108" i="1"/>
  <c r="G108" i="1"/>
  <c r="K108" i="1"/>
  <c r="M109" i="1"/>
  <c r="O110" i="1" s="1"/>
  <c r="M110" i="1" s="1"/>
  <c r="J108" i="1"/>
  <c r="I108" i="1"/>
  <c r="E108" i="1"/>
  <c r="F76" i="3"/>
  <c r="B77" i="3" s="1"/>
  <c r="D77" i="3" s="1"/>
  <c r="C77" i="3" s="1"/>
  <c r="F77" i="3" s="1"/>
  <c r="B78" i="3" s="1"/>
  <c r="D78" i="3" s="1"/>
  <c r="C78" i="3" s="1"/>
  <c r="F78" i="3" s="1"/>
  <c r="B79" i="3" s="1"/>
  <c r="D79" i="3" s="1"/>
  <c r="C79" i="3" s="1"/>
  <c r="F79" i="3" s="1"/>
  <c r="B80" i="3" s="1"/>
  <c r="E18" i="1"/>
  <c r="F18" i="1" s="1"/>
  <c r="G18" i="1" s="1"/>
  <c r="H18" i="1" s="1"/>
  <c r="I18" i="1" s="1"/>
  <c r="J18" i="1" s="1"/>
  <c r="K18" i="1" s="1"/>
  <c r="L18" i="1" s="1"/>
  <c r="M18" i="1" s="1"/>
  <c r="E17" i="1"/>
  <c r="F17" i="1" s="1"/>
  <c r="G17" i="1" s="1"/>
  <c r="H17" i="1" s="1"/>
  <c r="I17" i="1" s="1"/>
  <c r="J17" i="1" s="1"/>
  <c r="K17" i="1" s="1"/>
  <c r="L17" i="1" s="1"/>
  <c r="M17" i="1" s="1"/>
  <c r="E14" i="1"/>
  <c r="F14" i="1" s="1"/>
  <c r="G14" i="1" s="1"/>
  <c r="H14" i="1" s="1"/>
  <c r="I14" i="1" s="1"/>
  <c r="J14" i="1" s="1"/>
  <c r="K14" i="1" s="1"/>
  <c r="L14" i="1" s="1"/>
  <c r="M14" i="1" s="1"/>
  <c r="E11" i="1"/>
  <c r="F11" i="1" s="1"/>
  <c r="G11" i="1" s="1"/>
  <c r="H11" i="1" s="1"/>
  <c r="I11" i="1" s="1"/>
  <c r="J11" i="1" s="1"/>
  <c r="K11" i="1" s="1"/>
  <c r="L11" i="1" s="1"/>
  <c r="M11" i="1" s="1"/>
  <c r="E9" i="1"/>
  <c r="F9" i="1" s="1"/>
  <c r="G9" i="1" s="1"/>
  <c r="H9" i="1" s="1"/>
  <c r="I9" i="1" s="1"/>
  <c r="J9" i="1" s="1"/>
  <c r="K9" i="1" s="1"/>
  <c r="L9" i="1" s="1"/>
  <c r="M9" i="1" s="1"/>
  <c r="E7" i="1"/>
  <c r="F7" i="1" s="1"/>
  <c r="E6" i="1"/>
  <c r="F6" i="1" s="1"/>
  <c r="G6" i="1" s="1"/>
  <c r="H6" i="1" s="1"/>
  <c r="I6" i="1" s="1"/>
  <c r="J6" i="1" s="1"/>
  <c r="K6" i="1" s="1"/>
  <c r="L6" i="1" s="1"/>
  <c r="M6" i="1" s="1"/>
  <c r="D80" i="6" l="1"/>
  <c r="C80" i="6" s="1"/>
  <c r="F80" i="6" s="1"/>
  <c r="B81" i="6" s="1"/>
  <c r="G7" i="1"/>
  <c r="F40" i="1"/>
  <c r="F84" i="1" s="1"/>
  <c r="D80" i="3"/>
  <c r="C80" i="3" s="1"/>
  <c r="F80" i="3" s="1"/>
  <c r="B81" i="3" s="1"/>
  <c r="D81" i="3" s="1"/>
  <c r="C81" i="3" s="1"/>
  <c r="F81" i="3" s="1"/>
  <c r="B82" i="3" s="1"/>
  <c r="D82" i="3" s="1"/>
  <c r="C82" i="3" s="1"/>
  <c r="F82" i="3" s="1"/>
  <c r="B83" i="3" s="1"/>
  <c r="E44" i="1"/>
  <c r="F44" i="1"/>
  <c r="G44" i="1"/>
  <c r="H44" i="1"/>
  <c r="D44" i="1"/>
  <c r="D40" i="1"/>
  <c r="O36" i="1"/>
  <c r="E10" i="1"/>
  <c r="F10" i="1" s="1"/>
  <c r="G10" i="1" s="1"/>
  <c r="H10" i="1" s="1"/>
  <c r="I10" i="1" s="1"/>
  <c r="J10" i="1" s="1"/>
  <c r="K10" i="1" s="1"/>
  <c r="L10" i="1" s="1"/>
  <c r="M10" i="1" s="1"/>
  <c r="E5" i="1"/>
  <c r="F5" i="1" s="1"/>
  <c r="G5" i="1" s="1"/>
  <c r="H5" i="1" s="1"/>
  <c r="I5" i="1" s="1"/>
  <c r="J5" i="1" s="1"/>
  <c r="K5" i="1" s="1"/>
  <c r="L5" i="1" s="1"/>
  <c r="M5" i="1" s="1"/>
  <c r="E37" i="1"/>
  <c r="F37" i="1" s="1"/>
  <c r="G37" i="1" s="1"/>
  <c r="H37" i="1" s="1"/>
  <c r="I37" i="1" s="1"/>
  <c r="J37" i="1" s="1"/>
  <c r="K37" i="1" s="1"/>
  <c r="L37" i="1" s="1"/>
  <c r="M37" i="1" s="1"/>
  <c r="E35" i="1"/>
  <c r="F35" i="1" s="1"/>
  <c r="G35" i="1" s="1"/>
  <c r="H35" i="1" s="1"/>
  <c r="I35" i="1" s="1"/>
  <c r="J35" i="1" s="1"/>
  <c r="K35" i="1" s="1"/>
  <c r="L35" i="1" s="1"/>
  <c r="M35" i="1" s="1"/>
  <c r="E36" i="1"/>
  <c r="F36" i="1" s="1"/>
  <c r="G36" i="1" s="1"/>
  <c r="H36" i="1" s="1"/>
  <c r="I36" i="1" s="1"/>
  <c r="J36" i="1" s="1"/>
  <c r="K36" i="1" s="1"/>
  <c r="L36" i="1" s="1"/>
  <c r="M36" i="1" s="1"/>
  <c r="D16" i="1"/>
  <c r="D27" i="1"/>
  <c r="D13" i="1"/>
  <c r="D81" i="6" l="1"/>
  <c r="C81" i="6" s="1"/>
  <c r="F81" i="6" s="1"/>
  <c r="B82" i="6" s="1"/>
  <c r="E13" i="1"/>
  <c r="F13" i="1" s="1"/>
  <c r="G13" i="1" s="1"/>
  <c r="H13" i="1" s="1"/>
  <c r="I13" i="1" s="1"/>
  <c r="J13" i="1" s="1"/>
  <c r="K13" i="1" s="1"/>
  <c r="L13" i="1" s="1"/>
  <c r="M13" i="1" s="1"/>
  <c r="E38" i="1"/>
  <c r="D64" i="1"/>
  <c r="D84" i="1"/>
  <c r="D83" i="3"/>
  <c r="H7" i="1"/>
  <c r="G40" i="1"/>
  <c r="G84" i="1" s="1"/>
  <c r="D29" i="1"/>
  <c r="D55" i="1" s="1"/>
  <c r="C93" i="1" s="1"/>
  <c r="E16" i="1"/>
  <c r="F16" i="1" s="1"/>
  <c r="G16" i="1" s="1"/>
  <c r="H16" i="1" s="1"/>
  <c r="I16" i="1" s="1"/>
  <c r="J16" i="1" s="1"/>
  <c r="K16" i="1" s="1"/>
  <c r="L16" i="1" s="1"/>
  <c r="M16" i="1" s="1"/>
  <c r="D32" i="1"/>
  <c r="E26" i="1"/>
  <c r="D28" i="1"/>
  <c r="D30" i="1" s="1"/>
  <c r="D83" i="1" s="1"/>
  <c r="E28" i="1"/>
  <c r="E27" i="1"/>
  <c r="E40" i="1"/>
  <c r="D82" i="6" l="1"/>
  <c r="C82" i="6" s="1"/>
  <c r="F82" i="6" s="1"/>
  <c r="B83" i="6" s="1"/>
  <c r="D56" i="1"/>
  <c r="C94" i="1" s="1"/>
  <c r="F38" i="1"/>
  <c r="D46" i="1"/>
  <c r="E64" i="1"/>
  <c r="F64" i="1" s="1"/>
  <c r="G64" i="1" s="1"/>
  <c r="E84" i="1"/>
  <c r="D57" i="1"/>
  <c r="D69" i="1"/>
  <c r="C96" i="1" s="1"/>
  <c r="I7" i="1"/>
  <c r="H40" i="1"/>
  <c r="C83" i="3"/>
  <c r="D84" i="3"/>
  <c r="I43" i="1" s="1"/>
  <c r="G26" i="1"/>
  <c r="E32" i="1"/>
  <c r="E69" i="1" s="1"/>
  <c r="F32" i="1"/>
  <c r="F69" i="1" s="1"/>
  <c r="E29" i="1"/>
  <c r="E30" i="1" s="1"/>
  <c r="E83" i="1" s="1"/>
  <c r="M26" i="1"/>
  <c r="H26" i="1"/>
  <c r="F26" i="1"/>
  <c r="L26" i="1"/>
  <c r="J26" i="1"/>
  <c r="F29" i="1"/>
  <c r="I26" i="1"/>
  <c r="K26" i="1"/>
  <c r="G29" i="1"/>
  <c r="F28" i="1"/>
  <c r="G32" i="1"/>
  <c r="F27" i="1"/>
  <c r="D83" i="6" l="1"/>
  <c r="G38" i="1"/>
  <c r="E56" i="1"/>
  <c r="D94" i="1" s="1"/>
  <c r="D96" i="1"/>
  <c r="E85" i="1"/>
  <c r="E86" i="1" s="1"/>
  <c r="E87" i="1" s="1"/>
  <c r="H64" i="1"/>
  <c r="H84" i="1"/>
  <c r="D85" i="1"/>
  <c r="D86" i="1" s="1"/>
  <c r="C97" i="1" s="1"/>
  <c r="E96" i="1"/>
  <c r="D66" i="1"/>
  <c r="C95" i="1"/>
  <c r="E46" i="1"/>
  <c r="E55" i="1"/>
  <c r="D93" i="1" s="1"/>
  <c r="C84" i="3"/>
  <c r="F83" i="3"/>
  <c r="I70" i="1" s="1"/>
  <c r="J7" i="1"/>
  <c r="I40" i="1"/>
  <c r="F55" i="1"/>
  <c r="F57" i="1"/>
  <c r="E57" i="1"/>
  <c r="D95" i="1" s="1"/>
  <c r="D47" i="1"/>
  <c r="G69" i="1"/>
  <c r="F96" i="1" s="1"/>
  <c r="G57" i="1"/>
  <c r="F95" i="1" s="1"/>
  <c r="F30" i="1"/>
  <c r="F83" i="1" s="1"/>
  <c r="G28" i="1"/>
  <c r="H32" i="1"/>
  <c r="G27" i="1"/>
  <c r="G55" i="1" s="1"/>
  <c r="H29" i="1"/>
  <c r="C83" i="6" l="1"/>
  <c r="D84" i="6"/>
  <c r="H38" i="1"/>
  <c r="F56" i="1"/>
  <c r="E94" i="1" s="1"/>
  <c r="C118" i="1"/>
  <c r="D97" i="1"/>
  <c r="E93" i="1"/>
  <c r="I64" i="1"/>
  <c r="I84" i="1"/>
  <c r="F46" i="1"/>
  <c r="F47" i="1" s="1"/>
  <c r="F72" i="1" s="1"/>
  <c r="F85" i="1"/>
  <c r="F86" i="1" s="1"/>
  <c r="F93" i="1"/>
  <c r="E95" i="1"/>
  <c r="D87" i="1"/>
  <c r="E66" i="1"/>
  <c r="D72" i="1"/>
  <c r="B86" i="3"/>
  <c r="D86" i="3" s="1"/>
  <c r="I44" i="1"/>
  <c r="K7" i="1"/>
  <c r="J40" i="1"/>
  <c r="D49" i="1"/>
  <c r="H69" i="1"/>
  <c r="G96" i="1" s="1"/>
  <c r="H57" i="1"/>
  <c r="G95" i="1" s="1"/>
  <c r="E47" i="1"/>
  <c r="G30" i="1"/>
  <c r="G83" i="1" s="1"/>
  <c r="H28" i="1"/>
  <c r="I29" i="1"/>
  <c r="H27" i="1"/>
  <c r="H55" i="1" s="1"/>
  <c r="G93" i="1" s="1"/>
  <c r="C84" i="6" l="1"/>
  <c r="F83" i="6"/>
  <c r="B86" i="6" s="1"/>
  <c r="F66" i="1"/>
  <c r="D118" i="1"/>
  <c r="I38" i="1"/>
  <c r="G56" i="1"/>
  <c r="J64" i="1"/>
  <c r="J84" i="1"/>
  <c r="F87" i="1"/>
  <c r="E97" i="1"/>
  <c r="E118" i="1" s="1"/>
  <c r="E121" i="1" s="1"/>
  <c r="G46" i="1"/>
  <c r="G47" i="1" s="1"/>
  <c r="G49" i="1" s="1"/>
  <c r="G85" i="1"/>
  <c r="G86" i="1" s="1"/>
  <c r="L7" i="1"/>
  <c r="M7" i="1" s="1"/>
  <c r="K40" i="1"/>
  <c r="C86" i="3"/>
  <c r="D75" i="1"/>
  <c r="F49" i="1"/>
  <c r="E72" i="1"/>
  <c r="E49" i="1"/>
  <c r="H30" i="1"/>
  <c r="H83" i="1" s="1"/>
  <c r="I27" i="1"/>
  <c r="I55" i="1" s="1"/>
  <c r="H93" i="1" s="1"/>
  <c r="I28" i="1"/>
  <c r="I32" i="1"/>
  <c r="J29" i="1"/>
  <c r="J32" i="1"/>
  <c r="D86" i="6" l="1"/>
  <c r="D121" i="1"/>
  <c r="F94" i="1"/>
  <c r="G66" i="1"/>
  <c r="J38" i="1"/>
  <c r="H56" i="1"/>
  <c r="H46" i="1"/>
  <c r="H85" i="1"/>
  <c r="H86" i="1" s="1"/>
  <c r="G87" i="1"/>
  <c r="F97" i="1"/>
  <c r="K64" i="1"/>
  <c r="K84" i="1"/>
  <c r="D77" i="1"/>
  <c r="D79" i="1" s="1"/>
  <c r="F86" i="3"/>
  <c r="B87" i="3" s="1"/>
  <c r="E75" i="1"/>
  <c r="F75" i="1" s="1"/>
  <c r="F77" i="1" s="1"/>
  <c r="F79" i="1" s="1"/>
  <c r="J69" i="1"/>
  <c r="J57" i="1"/>
  <c r="I69" i="1"/>
  <c r="H96" i="1" s="1"/>
  <c r="I57" i="1"/>
  <c r="G72" i="1"/>
  <c r="J28" i="1"/>
  <c r="K29" i="1"/>
  <c r="I30" i="1"/>
  <c r="I83" i="1" s="1"/>
  <c r="J27" i="1"/>
  <c r="J55" i="1" s="1"/>
  <c r="I93" i="1" s="1"/>
  <c r="C86" i="6" l="1"/>
  <c r="F118" i="1"/>
  <c r="F121" i="1" s="1"/>
  <c r="K38" i="1"/>
  <c r="I56" i="1"/>
  <c r="H94" i="1" s="1"/>
  <c r="G94" i="1"/>
  <c r="H66" i="1"/>
  <c r="I95" i="1"/>
  <c r="I96" i="1"/>
  <c r="H87" i="1"/>
  <c r="G97" i="1"/>
  <c r="I46" i="1"/>
  <c r="I47" i="1" s="1"/>
  <c r="I72" i="1" s="1"/>
  <c r="I85" i="1"/>
  <c r="I86" i="1" s="1"/>
  <c r="I66" i="1"/>
  <c r="H95" i="1"/>
  <c r="E77" i="1"/>
  <c r="E79" i="1" s="1"/>
  <c r="D87" i="3"/>
  <c r="H47" i="1"/>
  <c r="H72" i="1" s="1"/>
  <c r="G75" i="1"/>
  <c r="J30" i="1"/>
  <c r="K28" i="1"/>
  <c r="L32" i="1"/>
  <c r="K27" i="1"/>
  <c r="K55" i="1" s="1"/>
  <c r="J93" i="1" s="1"/>
  <c r="K32" i="1"/>
  <c r="L29" i="1"/>
  <c r="F86" i="6" l="1"/>
  <c r="B87" i="6" s="1"/>
  <c r="G118" i="1"/>
  <c r="J83" i="1"/>
  <c r="J85" i="1" s="1"/>
  <c r="J86" i="1" s="1"/>
  <c r="I97" i="1" s="1"/>
  <c r="L38" i="1"/>
  <c r="J56" i="1"/>
  <c r="I87" i="1"/>
  <c r="H97" i="1"/>
  <c r="H118" i="1" s="1"/>
  <c r="H121" i="1" s="1"/>
  <c r="C87" i="3"/>
  <c r="I49" i="1"/>
  <c r="H49" i="1"/>
  <c r="H75" i="1" s="1"/>
  <c r="H77" i="1" s="1"/>
  <c r="H79" i="1" s="1"/>
  <c r="K69" i="1"/>
  <c r="J96" i="1" s="1"/>
  <c r="K57" i="1"/>
  <c r="L57" i="1"/>
  <c r="L69" i="1"/>
  <c r="K30" i="1"/>
  <c r="G77" i="1"/>
  <c r="G79" i="1" s="1"/>
  <c r="M32" i="1"/>
  <c r="L27" i="1"/>
  <c r="L55" i="1" s="1"/>
  <c r="M29" i="1"/>
  <c r="L28" i="1"/>
  <c r="D87" i="6" l="1"/>
  <c r="J87" i="1"/>
  <c r="G121" i="1"/>
  <c r="M38" i="1"/>
  <c r="L56" i="1" s="1"/>
  <c r="L66" i="1" s="1"/>
  <c r="K56" i="1"/>
  <c r="J94" i="1" s="1"/>
  <c r="I94" i="1"/>
  <c r="I118" i="1" s="1"/>
  <c r="I121" i="1" s="1"/>
  <c r="J66" i="1"/>
  <c r="K83" i="1"/>
  <c r="K85" i="1" s="1"/>
  <c r="K86" i="1" s="1"/>
  <c r="J97" i="1" s="1"/>
  <c r="K95" i="1"/>
  <c r="K96" i="1"/>
  <c r="K93" i="1"/>
  <c r="J95" i="1"/>
  <c r="F87" i="3"/>
  <c r="B88" i="3" s="1"/>
  <c r="I75" i="1"/>
  <c r="I77" i="1" s="1"/>
  <c r="I79" i="1" s="1"/>
  <c r="M69" i="1"/>
  <c r="M57" i="1"/>
  <c r="L30" i="1"/>
  <c r="M27" i="1"/>
  <c r="M55" i="1" s="1"/>
  <c r="M28" i="1"/>
  <c r="C87" i="6" l="1"/>
  <c r="K66" i="1"/>
  <c r="L83" i="1"/>
  <c r="L85" i="1" s="1"/>
  <c r="L86" i="1" s="1"/>
  <c r="K97" i="1" s="1"/>
  <c r="K87" i="1"/>
  <c r="M56" i="1"/>
  <c r="M66" i="1" s="1"/>
  <c r="K94" i="1"/>
  <c r="J118" i="1"/>
  <c r="J121" i="1" s="1"/>
  <c r="L93" i="1"/>
  <c r="M93" i="1"/>
  <c r="L95" i="1"/>
  <c r="M95" i="1"/>
  <c r="M96" i="1"/>
  <c r="L96" i="1"/>
  <c r="D88" i="3"/>
  <c r="M30" i="1"/>
  <c r="F87" i="6" l="1"/>
  <c r="B88" i="6" s="1"/>
  <c r="K118" i="1"/>
  <c r="K121" i="1" s="1"/>
  <c r="L87" i="1"/>
  <c r="M94" i="1"/>
  <c r="L94" i="1"/>
  <c r="M83" i="1"/>
  <c r="C88" i="3"/>
  <c r="D88" i="6" l="1"/>
  <c r="M85" i="1"/>
  <c r="M86" i="1" s="1"/>
  <c r="M87" i="1" s="1"/>
  <c r="F88" i="3"/>
  <c r="B89" i="3" s="1"/>
  <c r="C88" i="6" l="1"/>
  <c r="L97" i="1"/>
  <c r="L118" i="1" s="1"/>
  <c r="L121" i="1" s="1"/>
  <c r="M97" i="1"/>
  <c r="M118" i="1" s="1"/>
  <c r="D89" i="3"/>
  <c r="F88" i="6" l="1"/>
  <c r="B89" i="6" s="1"/>
  <c r="M121" i="1"/>
  <c r="C119" i="1"/>
  <c r="C89" i="3"/>
  <c r="D89" i="6" l="1"/>
  <c r="F89" i="3"/>
  <c r="B90" i="3" s="1"/>
  <c r="C89" i="6" l="1"/>
  <c r="D90" i="3"/>
  <c r="F89" i="6" l="1"/>
  <c r="B90" i="6" s="1"/>
  <c r="C90" i="3"/>
  <c r="D90" i="6" l="1"/>
  <c r="F90" i="3"/>
  <c r="B91" i="3" s="1"/>
  <c r="C90" i="6" l="1"/>
  <c r="D91" i="3"/>
  <c r="C91" i="3" s="1"/>
  <c r="F91" i="3" s="1"/>
  <c r="B92" i="3" s="1"/>
  <c r="D92" i="3" s="1"/>
  <c r="C92" i="3" s="1"/>
  <c r="F92" i="3" s="1"/>
  <c r="B93" i="3" s="1"/>
  <c r="D93" i="3" s="1"/>
  <c r="C93" i="3" s="1"/>
  <c r="F93" i="3" s="1"/>
  <c r="B94" i="3" s="1"/>
  <c r="F90" i="6" l="1"/>
  <c r="B91" i="6" s="1"/>
  <c r="D94" i="3"/>
  <c r="C94" i="3" s="1"/>
  <c r="F94" i="3" s="1"/>
  <c r="B95" i="3" s="1"/>
  <c r="D91" i="6" l="1"/>
  <c r="C91" i="6" s="1"/>
  <c r="F91" i="6" s="1"/>
  <c r="B92" i="6" s="1"/>
  <c r="D95" i="3"/>
  <c r="C95" i="3" s="1"/>
  <c r="F95" i="3" s="1"/>
  <c r="B96" i="3" s="1"/>
  <c r="D96" i="3" s="1"/>
  <c r="C96" i="3" s="1"/>
  <c r="F96" i="3" s="1"/>
  <c r="B97" i="3" s="1"/>
  <c r="D92" i="6" l="1"/>
  <c r="C92" i="6" s="1"/>
  <c r="F92" i="6" s="1"/>
  <c r="B93" i="6" s="1"/>
  <c r="D97" i="3"/>
  <c r="D93" i="6" l="1"/>
  <c r="C93" i="6" s="1"/>
  <c r="F93" i="6" s="1"/>
  <c r="B94" i="6" s="1"/>
  <c r="C97" i="3"/>
  <c r="D98" i="3"/>
  <c r="J43" i="1" s="1"/>
  <c r="D94" i="6" l="1"/>
  <c r="C94" i="6" s="1"/>
  <c r="F94" i="6" s="1"/>
  <c r="B95" i="6" s="1"/>
  <c r="C98" i="3"/>
  <c r="F97" i="3"/>
  <c r="J70" i="1" s="1"/>
  <c r="D95" i="6" l="1"/>
  <c r="C95" i="6" s="1"/>
  <c r="F95" i="6" s="1"/>
  <c r="B96" i="6" s="1"/>
  <c r="B100" i="3"/>
  <c r="D100" i="3" s="1"/>
  <c r="J44" i="1"/>
  <c r="J46" i="1" s="1"/>
  <c r="D96" i="6" l="1"/>
  <c r="C96" i="6" s="1"/>
  <c r="F96" i="6" s="1"/>
  <c r="B97" i="6" s="1"/>
  <c r="J47" i="1"/>
  <c r="J72" i="1" s="1"/>
  <c r="C100" i="3"/>
  <c r="D97" i="6" l="1"/>
  <c r="J49" i="1"/>
  <c r="J75" i="1" s="1"/>
  <c r="J77" i="1" s="1"/>
  <c r="J79" i="1" s="1"/>
  <c r="F100" i="3"/>
  <c r="B101" i="3" s="1"/>
  <c r="C97" i="6" l="1"/>
  <c r="D98" i="6"/>
  <c r="D101" i="3"/>
  <c r="C98" i="6" l="1"/>
  <c r="F97" i="6"/>
  <c r="B100" i="6" s="1"/>
  <c r="C101" i="3"/>
  <c r="D100" i="6" l="1"/>
  <c r="F101" i="3"/>
  <c r="B102" i="3" s="1"/>
  <c r="C100" i="6" l="1"/>
  <c r="D102" i="3"/>
  <c r="F100" i="6" l="1"/>
  <c r="B101" i="6" s="1"/>
  <c r="C102" i="3"/>
  <c r="D101" i="6" l="1"/>
  <c r="F102" i="3"/>
  <c r="B103" i="3" s="1"/>
  <c r="C101" i="6" l="1"/>
  <c r="D103" i="3"/>
  <c r="F101" i="6" l="1"/>
  <c r="B102" i="6" s="1"/>
  <c r="C103" i="3"/>
  <c r="D102" i="6" l="1"/>
  <c r="F103" i="3"/>
  <c r="B104" i="3" s="1"/>
  <c r="D104" i="3" s="1"/>
  <c r="C102" i="6" l="1"/>
  <c r="C104" i="3"/>
  <c r="F102" i="6" l="1"/>
  <c r="B103" i="6" s="1"/>
  <c r="F104" i="3"/>
  <c r="B105" i="3" s="1"/>
  <c r="D105" i="3" s="1"/>
  <c r="C105" i="3" s="1"/>
  <c r="F105" i="3" s="1"/>
  <c r="B106" i="3" s="1"/>
  <c r="D103" i="6" l="1"/>
  <c r="D106" i="3"/>
  <c r="C106" i="3" s="1"/>
  <c r="F106" i="3" s="1"/>
  <c r="B107" i="3" s="1"/>
  <c r="C103" i="6" l="1"/>
  <c r="D107" i="3"/>
  <c r="C107" i="3" s="1"/>
  <c r="F107" i="3" s="1"/>
  <c r="B108" i="3" s="1"/>
  <c r="F103" i="6" l="1"/>
  <c r="B104" i="6" s="1"/>
  <c r="D108" i="3"/>
  <c r="C108" i="3" s="1"/>
  <c r="F108" i="3" s="1"/>
  <c r="B109" i="3" s="1"/>
  <c r="D109" i="3" s="1"/>
  <c r="C109" i="3" s="1"/>
  <c r="F109" i="3" s="1"/>
  <c r="B110" i="3" s="1"/>
  <c r="D110" i="3" s="1"/>
  <c r="C110" i="3" s="1"/>
  <c r="F110" i="3" s="1"/>
  <c r="B111" i="3" s="1"/>
  <c r="D104" i="6" l="1"/>
  <c r="D111" i="3"/>
  <c r="C104" i="6" l="1"/>
  <c r="C111" i="3"/>
  <c r="D112" i="3"/>
  <c r="K43" i="1" s="1"/>
  <c r="F104" i="6" l="1"/>
  <c r="B105" i="6" s="1"/>
  <c r="C112" i="3"/>
  <c r="F111" i="3"/>
  <c r="K70" i="1" s="1"/>
  <c r="D105" i="6" l="1"/>
  <c r="C105" i="6" s="1"/>
  <c r="F105" i="6" s="1"/>
  <c r="B106" i="6" s="1"/>
  <c r="B114" i="3"/>
  <c r="D114" i="3" s="1"/>
  <c r="K44" i="1"/>
  <c r="K46" i="1" s="1"/>
  <c r="D106" i="6" l="1"/>
  <c r="C106" i="6" s="1"/>
  <c r="F106" i="6" s="1"/>
  <c r="B107" i="6" s="1"/>
  <c r="K47" i="1"/>
  <c r="K72" i="1" s="1"/>
  <c r="C114" i="3"/>
  <c r="D107" i="6" l="1"/>
  <c r="C107" i="6" s="1"/>
  <c r="F107" i="6" s="1"/>
  <c r="B108" i="6" s="1"/>
  <c r="K49" i="1"/>
  <c r="K75" i="1" s="1"/>
  <c r="K77" i="1" s="1"/>
  <c r="K79" i="1" s="1"/>
  <c r="F114" i="3"/>
  <c r="B115" i="3" s="1"/>
  <c r="D108" i="6" l="1"/>
  <c r="C108" i="6" s="1"/>
  <c r="F108" i="6" s="1"/>
  <c r="B109" i="6" s="1"/>
  <c r="D115" i="3"/>
  <c r="D109" i="6" l="1"/>
  <c r="C109" i="6" s="1"/>
  <c r="F109" i="6" s="1"/>
  <c r="B110" i="6" s="1"/>
  <c r="C115" i="3"/>
  <c r="D110" i="6" l="1"/>
  <c r="C110" i="6" s="1"/>
  <c r="F110" i="6" s="1"/>
  <c r="B111" i="6" s="1"/>
  <c r="F115" i="3"/>
  <c r="B116" i="3" s="1"/>
  <c r="D111" i="6" l="1"/>
  <c r="D116" i="3"/>
  <c r="C111" i="6" l="1"/>
  <c r="D112" i="6"/>
  <c r="C116" i="3"/>
  <c r="C112" i="6" l="1"/>
  <c r="F111" i="6"/>
  <c r="B114" i="6" s="1"/>
  <c r="F116" i="3"/>
  <c r="B117" i="3" s="1"/>
  <c r="D114" i="6" l="1"/>
  <c r="D117" i="3"/>
  <c r="C114" i="6" l="1"/>
  <c r="C117" i="3"/>
  <c r="F114" i="6" l="1"/>
  <c r="B115" i="6" s="1"/>
  <c r="F117" i="3"/>
  <c r="B118" i="3" s="1"/>
  <c r="D118" i="3" s="1"/>
  <c r="D115" i="6" l="1"/>
  <c r="C118" i="3"/>
  <c r="C115" i="6" l="1"/>
  <c r="F118" i="3"/>
  <c r="B119" i="3" s="1"/>
  <c r="F115" i="6" l="1"/>
  <c r="B116" i="6" s="1"/>
  <c r="D119" i="3"/>
  <c r="C119" i="3" s="1"/>
  <c r="F119" i="3" s="1"/>
  <c r="B120" i="3" s="1"/>
  <c r="D120" i="3" s="1"/>
  <c r="C120" i="3" s="1"/>
  <c r="F120" i="3" s="1"/>
  <c r="B121" i="3" s="1"/>
  <c r="D121" i="3" s="1"/>
  <c r="C121" i="3" s="1"/>
  <c r="F121" i="3" s="1"/>
  <c r="B122" i="3" s="1"/>
  <c r="D116" i="6" l="1"/>
  <c r="D122" i="3"/>
  <c r="C122" i="3" s="1"/>
  <c r="F122" i="3" s="1"/>
  <c r="B123" i="3" s="1"/>
  <c r="C116" i="6" l="1"/>
  <c r="D123" i="3"/>
  <c r="C123" i="3" s="1"/>
  <c r="F123" i="3" s="1"/>
  <c r="B124" i="3" s="1"/>
  <c r="D124" i="3" s="1"/>
  <c r="C124" i="3" s="1"/>
  <c r="F124" i="3" s="1"/>
  <c r="B125" i="3" s="1"/>
  <c r="F116" i="6" l="1"/>
  <c r="B117" i="6" s="1"/>
  <c r="D125" i="3"/>
  <c r="D117" i="6" l="1"/>
  <c r="C125" i="3"/>
  <c r="D126" i="3"/>
  <c r="L43" i="1" s="1"/>
  <c r="C117" i="6" l="1"/>
  <c r="C126" i="3"/>
  <c r="F125" i="3"/>
  <c r="L70" i="1" s="1"/>
  <c r="F117" i="6" l="1"/>
  <c r="B118" i="6" s="1"/>
  <c r="B128" i="3"/>
  <c r="D128" i="3" s="1"/>
  <c r="L44" i="1"/>
  <c r="L46" i="1" s="1"/>
  <c r="D118" i="6" l="1"/>
  <c r="L47" i="1"/>
  <c r="L72" i="1" s="1"/>
  <c r="C128" i="3"/>
  <c r="C118" i="6" l="1"/>
  <c r="L49" i="1"/>
  <c r="L75" i="1" s="1"/>
  <c r="F128" i="3"/>
  <c r="B129" i="3" s="1"/>
  <c r="F118" i="6" l="1"/>
  <c r="B119" i="6" s="1"/>
  <c r="L77" i="1"/>
  <c r="L79" i="1" s="1"/>
  <c r="D129" i="3"/>
  <c r="D119" i="6" l="1"/>
  <c r="C119" i="6" s="1"/>
  <c r="F119" i="6" s="1"/>
  <c r="B120" i="6" s="1"/>
  <c r="C129" i="3"/>
  <c r="D120" i="6" l="1"/>
  <c r="C120" i="6" s="1"/>
  <c r="F120" i="6" s="1"/>
  <c r="B121" i="6" s="1"/>
  <c r="F129" i="3"/>
  <c r="B130" i="3" s="1"/>
  <c r="D121" i="6" l="1"/>
  <c r="C121" i="6" s="1"/>
  <c r="F121" i="6" s="1"/>
  <c r="B122" i="6" s="1"/>
  <c r="D130" i="3"/>
  <c r="D122" i="6" l="1"/>
  <c r="C122" i="6" s="1"/>
  <c r="F122" i="6" s="1"/>
  <c r="B123" i="6" s="1"/>
  <c r="C130" i="3"/>
  <c r="D123" i="6" l="1"/>
  <c r="C123" i="6" s="1"/>
  <c r="F123" i="6"/>
  <c r="B124" i="6" s="1"/>
  <c r="F130" i="3"/>
  <c r="B131" i="3" s="1"/>
  <c r="D124" i="6" l="1"/>
  <c r="C124" i="6" s="1"/>
  <c r="F124" i="6" s="1"/>
  <c r="B125" i="6" s="1"/>
  <c r="D131" i="3"/>
  <c r="D125" i="6" l="1"/>
  <c r="C131" i="3"/>
  <c r="C125" i="6" l="1"/>
  <c r="D126" i="6"/>
  <c r="F131" i="3"/>
  <c r="B132" i="3" s="1"/>
  <c r="C126" i="6" l="1"/>
  <c r="F125" i="6"/>
  <c r="B128" i="6" s="1"/>
  <c r="D132" i="3"/>
  <c r="D128" i="6" l="1"/>
  <c r="C132" i="3"/>
  <c r="C128" i="6" l="1"/>
  <c r="F132" i="3"/>
  <c r="B133" i="3" s="1"/>
  <c r="D133" i="3" s="1"/>
  <c r="C133" i="3" s="1"/>
  <c r="F133" i="3" s="1"/>
  <c r="B134" i="3" s="1"/>
  <c r="D134" i="3" s="1"/>
  <c r="C134" i="3" s="1"/>
  <c r="F134" i="3" s="1"/>
  <c r="B135" i="3" s="1"/>
  <c r="F128" i="6" l="1"/>
  <c r="B129" i="6" s="1"/>
  <c r="D135" i="3"/>
  <c r="C135" i="3" s="1"/>
  <c r="F135" i="3" s="1"/>
  <c r="B136" i="3" s="1"/>
  <c r="D129" i="6" l="1"/>
  <c r="D136" i="3"/>
  <c r="C136" i="3" s="1"/>
  <c r="F136" i="3" s="1"/>
  <c r="B137" i="3" s="1"/>
  <c r="D137" i="3" s="1"/>
  <c r="C137" i="3" s="1"/>
  <c r="F137" i="3" s="1"/>
  <c r="B138" i="3" s="1"/>
  <c r="D138" i="3" s="1"/>
  <c r="C138" i="3" s="1"/>
  <c r="F138" i="3" s="1"/>
  <c r="B139" i="3" s="1"/>
  <c r="C129" i="6" l="1"/>
  <c r="D139" i="3"/>
  <c r="F129" i="6" l="1"/>
  <c r="B130" i="6" s="1"/>
  <c r="C139" i="3"/>
  <c r="D140" i="3"/>
  <c r="M43" i="1" s="1"/>
  <c r="D130" i="6" l="1"/>
  <c r="C140" i="3"/>
  <c r="F139" i="3"/>
  <c r="M70" i="1" s="1"/>
  <c r="C130" i="6" l="1"/>
  <c r="M44" i="1"/>
  <c r="M46" i="1" s="1"/>
  <c r="M47" i="1" s="1"/>
  <c r="M72" i="1" s="1"/>
  <c r="N70" i="1"/>
  <c r="F130" i="6" l="1"/>
  <c r="B131" i="6" s="1"/>
  <c r="M49" i="1"/>
  <c r="M75" i="1" s="1"/>
  <c r="D131" i="6" l="1"/>
  <c r="N75" i="1"/>
  <c r="M77" i="1"/>
  <c r="M79" i="1" s="1"/>
  <c r="C131" i="6" l="1"/>
  <c r="N77" i="1"/>
  <c r="F131" i="6" l="1"/>
  <c r="B132" i="6" s="1"/>
  <c r="O71" i="1"/>
  <c r="Q71" i="1" s="1"/>
  <c r="R71" i="1" s="1"/>
  <c r="O70" i="1"/>
  <c r="O74" i="1"/>
  <c r="R74" i="1" s="1"/>
  <c r="D132" i="6" l="1"/>
  <c r="P65" i="1"/>
  <c r="Q70" i="1"/>
  <c r="R70" i="1" s="1"/>
  <c r="S67" i="1"/>
  <c r="P74" i="1" s="1"/>
  <c r="Q74" i="1" s="1"/>
  <c r="C132" i="6" l="1"/>
  <c r="R76" i="1"/>
  <c r="C120" i="1" s="1"/>
  <c r="C121" i="1" s="1"/>
  <c r="C122" i="1" s="1"/>
  <c r="F132" i="6" l="1"/>
  <c r="B133" i="6" s="1"/>
  <c r="D133" i="6" l="1"/>
  <c r="C133" i="6" s="1"/>
  <c r="F133" i="6" s="1"/>
  <c r="B134" i="6" s="1"/>
  <c r="D134" i="6" l="1"/>
  <c r="C134" i="6" s="1"/>
  <c r="F134" i="6" s="1"/>
  <c r="B135" i="6" s="1"/>
  <c r="D135" i="6" l="1"/>
  <c r="C135" i="6" s="1"/>
  <c r="F135" i="6" s="1"/>
  <c r="B136" i="6" s="1"/>
  <c r="D136" i="6" l="1"/>
  <c r="C136" i="6" s="1"/>
  <c r="F136" i="6" s="1"/>
  <c r="B137" i="6" s="1"/>
  <c r="D137" i="6" l="1"/>
  <c r="C137" i="6" s="1"/>
  <c r="F137" i="6" s="1"/>
  <c r="B138" i="6" s="1"/>
  <c r="D138" i="6" l="1"/>
  <c r="C138" i="6" s="1"/>
  <c r="F138" i="6" s="1"/>
  <c r="B139" i="6" s="1"/>
  <c r="D139" i="6" l="1"/>
  <c r="C139" i="6" l="1"/>
  <c r="D140" i="6"/>
  <c r="C140" i="6" l="1"/>
  <c r="F139" i="6"/>
</calcChain>
</file>

<file path=xl/sharedStrings.xml><?xml version="1.0" encoding="utf-8"?>
<sst xmlns="http://schemas.openxmlformats.org/spreadsheetml/2006/main" count="337" uniqueCount="163">
  <si>
    <t xml:space="preserve">Cost of Good Sold </t>
  </si>
  <si>
    <t xml:space="preserve">Utilities </t>
  </si>
  <si>
    <t>Sales of Triad Scooters</t>
  </si>
  <si>
    <t xml:space="preserve">Adversting </t>
  </si>
  <si>
    <t xml:space="preserve">Taxable Income </t>
  </si>
  <si>
    <t>Taxes</t>
  </si>
  <si>
    <t xml:space="preserve">Net Income </t>
  </si>
  <si>
    <t xml:space="preserve">Balance Sheet </t>
  </si>
  <si>
    <t>Units of Triad Scooters</t>
  </si>
  <si>
    <t>Cost of Triad Scooters</t>
  </si>
  <si>
    <t xml:space="preserve">Cash </t>
  </si>
  <si>
    <t xml:space="preserve">Extra Cash </t>
  </si>
  <si>
    <t xml:space="preserve">Accounts Receivables </t>
  </si>
  <si>
    <t xml:space="preserve">Inventory </t>
  </si>
  <si>
    <t xml:space="preserve">Income Statement </t>
  </si>
  <si>
    <t>http://kingofcarts.net/product_category/club-car-gas-golf-carts/</t>
  </si>
  <si>
    <t>Price Triad Scooters</t>
  </si>
  <si>
    <t>Units of Carts Rented</t>
  </si>
  <si>
    <t>Price of Regular Carts</t>
  </si>
  <si>
    <t>Cost of Regular Carts</t>
  </si>
  <si>
    <t>Units sold of Custom Carts</t>
  </si>
  <si>
    <t>Average Price of Custom Carts</t>
  </si>
  <si>
    <t>Cost of Custom Carts</t>
  </si>
  <si>
    <t>Rental  Charge</t>
  </si>
  <si>
    <t xml:space="preserve">Wages and Salaries </t>
  </si>
  <si>
    <t>Tax Rate</t>
  </si>
  <si>
    <t xml:space="preserve">Equipment </t>
  </si>
  <si>
    <t xml:space="preserve">Rental Carts </t>
  </si>
  <si>
    <t xml:space="preserve">Days in Account Payable </t>
  </si>
  <si>
    <t xml:space="preserve">Total Assets </t>
  </si>
  <si>
    <t>Accumulation Depreciation</t>
  </si>
  <si>
    <t xml:space="preserve">Accounts payables </t>
  </si>
  <si>
    <t>Extra Bank loan</t>
  </si>
  <si>
    <t xml:space="preserve">Taxes payable </t>
  </si>
  <si>
    <t>Common Stock</t>
  </si>
  <si>
    <t xml:space="preserve">Retained </t>
  </si>
  <si>
    <t xml:space="preserve">Total Liabilities and Equity </t>
  </si>
  <si>
    <t>DFN</t>
  </si>
  <si>
    <t>Rate</t>
  </si>
  <si>
    <t>Central Florida Golf Cart LLC</t>
  </si>
  <si>
    <t>Assumptions</t>
  </si>
  <si>
    <t>http://www.prweb.com/releases/2013/1/prweb10317647.htm</t>
  </si>
  <si>
    <t>http://www.ibisworld.com/industry/golf-cart-manufacturing.html</t>
  </si>
  <si>
    <t xml:space="preserve">Revenue annual growth rate:  2.3% </t>
  </si>
  <si>
    <t>Over the five years to 2017, IBISWorld projects that the number of golf carts sold in the United States will increase at an average annual rate of 3.0% to about 78,570</t>
  </si>
  <si>
    <t>Participation rate is projected to remain stable at about 8.8% of the population.</t>
  </si>
  <si>
    <t>http://www.stateofflorida.com/Portal/DesktopDefault.aspx?tabid=95</t>
  </si>
  <si>
    <t>Estimated population in Florida (2011):  19,057,542</t>
  </si>
  <si>
    <t>Estimated visitors:  87.3 million visitors in 2011</t>
  </si>
  <si>
    <t>http://www.manta.com/mb_45_B123B7VC_10/golf_carts/florida</t>
  </si>
  <si>
    <t>Golf cart companies in Florida:  144</t>
  </si>
  <si>
    <t>Units sold of Regular Carts</t>
  </si>
  <si>
    <t>Growth</t>
  </si>
  <si>
    <t>Inflation</t>
  </si>
  <si>
    <t>http://www.usinflationcalculator.com/inflation/current-inflation-rates/</t>
  </si>
  <si>
    <t>Average inflation rate:  1.5%</t>
  </si>
  <si>
    <t>Increase</t>
  </si>
  <si>
    <t>Inflaion</t>
  </si>
  <si>
    <t xml:space="preserve">Days in Inventory </t>
  </si>
  <si>
    <t xml:space="preserve">Days in Receivales </t>
  </si>
  <si>
    <t>Revenues</t>
  </si>
  <si>
    <t>Sales of Regular Carts</t>
  </si>
  <si>
    <t>Sales of Custom Carts</t>
  </si>
  <si>
    <t xml:space="preserve">Rental Revenue </t>
  </si>
  <si>
    <t>Total Revenues</t>
  </si>
  <si>
    <t xml:space="preserve">Operating Expenses </t>
  </si>
  <si>
    <t>Extra Bank Loan Interest Expense</t>
  </si>
  <si>
    <t>Depreciable Life</t>
  </si>
  <si>
    <t>Assets</t>
  </si>
  <si>
    <t>Liabilities and Stockholders' Equity</t>
  </si>
  <si>
    <t>Land</t>
  </si>
  <si>
    <t>Mortgage Interest Expense</t>
  </si>
  <si>
    <t>Beg Balance</t>
  </si>
  <si>
    <t>Principal</t>
  </si>
  <si>
    <t xml:space="preserve">Interest </t>
  </si>
  <si>
    <t>Payment</t>
  </si>
  <si>
    <t>End Balance</t>
  </si>
  <si>
    <t>Per Rate</t>
  </si>
  <si>
    <t>FV</t>
  </si>
  <si>
    <t>Per</t>
  </si>
  <si>
    <t>Type</t>
  </si>
  <si>
    <t>PV</t>
  </si>
  <si>
    <t>TOTALS</t>
  </si>
  <si>
    <t xml:space="preserve">Mortgage </t>
  </si>
  <si>
    <t xml:space="preserve"> Rate</t>
  </si>
  <si>
    <t>Years</t>
  </si>
  <si>
    <t>Building</t>
  </si>
  <si>
    <t>Depreciation Expense (Bldg)</t>
  </si>
  <si>
    <t>Useful Life</t>
  </si>
  <si>
    <t>Mortgage Loan</t>
  </si>
  <si>
    <t>Less Accumulated Depreciation</t>
  </si>
  <si>
    <t>WACC</t>
  </si>
  <si>
    <t>Ave</t>
  </si>
  <si>
    <t>Weighted</t>
  </si>
  <si>
    <t>CAPM</t>
  </si>
  <si>
    <t>Tbill</t>
  </si>
  <si>
    <t>S&amp;P</t>
  </si>
  <si>
    <t>TOTAL FREE CASH FLOWS</t>
  </si>
  <si>
    <t>IRR</t>
  </si>
  <si>
    <t>PV OF CASH FLOWS</t>
  </si>
  <si>
    <t>NPV</t>
  </si>
  <si>
    <t>FREE CASH FLOWS</t>
  </si>
  <si>
    <t>Cash from Operations</t>
  </si>
  <si>
    <t xml:space="preserve">Operationg Profit </t>
  </si>
  <si>
    <t>Less: Depreciation</t>
  </si>
  <si>
    <t>Taxable Operating Profit</t>
  </si>
  <si>
    <t>Taxes on Operations</t>
  </si>
  <si>
    <t>Total Cash from Operations</t>
  </si>
  <si>
    <t>Cash from Changes in Balance Sheet</t>
  </si>
  <si>
    <t>Working Capital</t>
  </si>
  <si>
    <t>(-)</t>
  </si>
  <si>
    <t>(+)</t>
  </si>
  <si>
    <t>Fixed and Other Assets</t>
  </si>
  <si>
    <t>Adjustment for Resale</t>
  </si>
  <si>
    <t>Taxes on Resale</t>
  </si>
  <si>
    <t>Buildings</t>
  </si>
  <si>
    <t>Goodwill</t>
  </si>
  <si>
    <t>Taxes Payable</t>
  </si>
  <si>
    <t>Change</t>
  </si>
  <si>
    <t>BV</t>
  </si>
  <si>
    <t>Gain</t>
  </si>
  <si>
    <t xml:space="preserve">Insurance </t>
  </si>
  <si>
    <t>Prepaid Insurance</t>
  </si>
  <si>
    <t>Depreciation Expense (Equip &amp; Cart)</t>
  </si>
  <si>
    <t>Equipments</t>
  </si>
  <si>
    <t>Loss</t>
  </si>
  <si>
    <t>Sale</t>
  </si>
  <si>
    <t>BETAS</t>
  </si>
  <si>
    <t>Unlevered</t>
  </si>
  <si>
    <t>Beta</t>
  </si>
  <si>
    <t>Releverd</t>
  </si>
  <si>
    <t>Return</t>
  </si>
  <si>
    <t>NEW</t>
  </si>
  <si>
    <t>Proportion</t>
  </si>
  <si>
    <t>After tax</t>
  </si>
  <si>
    <t>Kim Chan</t>
  </si>
  <si>
    <t>Sean Haire</t>
  </si>
  <si>
    <t>Oscar Valverde</t>
  </si>
  <si>
    <t>% Sale</t>
  </si>
  <si>
    <t>Secured</t>
  </si>
  <si>
    <t>Unsecured</t>
  </si>
  <si>
    <t>Secured Assets</t>
  </si>
  <si>
    <t>Cash</t>
  </si>
  <si>
    <t>Unsecured Assets</t>
  </si>
  <si>
    <t>Cash and Payable</t>
  </si>
  <si>
    <t>A/R</t>
  </si>
  <si>
    <t>Inventory</t>
  </si>
  <si>
    <t>Equip</t>
  </si>
  <si>
    <t>Rental Carts</t>
  </si>
  <si>
    <t>Admin</t>
  </si>
  <si>
    <t>Remaining</t>
  </si>
  <si>
    <t>Prop</t>
  </si>
  <si>
    <t>TOTAL</t>
  </si>
  <si>
    <t>On the $</t>
  </si>
  <si>
    <t>RETURN OF DEBTHOLDERS</t>
  </si>
  <si>
    <t>Mortgage Loan Cash Flows</t>
  </si>
  <si>
    <t>Paid in Bankruptcy</t>
  </si>
  <si>
    <t>Interest Payments</t>
  </si>
  <si>
    <t>Total Cash Flows</t>
  </si>
  <si>
    <t>Prob</t>
  </si>
  <si>
    <t>IRR if not in Bankruptcy</t>
  </si>
  <si>
    <t>Expected IRR</t>
  </si>
  <si>
    <t>Extra Bank Loan Cash 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</si>
</sst>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[$$-409]#,##0.00;[Red]\-[$$-409]#,##0.00"/>
    <numFmt numFmtId="167" formatCode="0.0%"/>
    <numFmt numFmtId="168" formatCode="_(\$* #,##0_);_(\$* \(#,##0\);_(\$* \-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8" fillId="0" borderId="0"/>
  </cellStyleXfs>
  <cellXfs count="82">
    <xf numFmtId="0" fontId="0" fillId="0" borderId="0" xfId="0"/>
    <xf numFmtId="9" fontId="0" fillId="0" borderId="0" xfId="0" applyNumberFormat="1"/>
    <xf numFmtId="1" fontId="0" fillId="0" borderId="0" xfId="0" applyNumberFormat="1"/>
    <xf numFmtId="43" fontId="0" fillId="0" borderId="0" xfId="1" applyFont="1"/>
    <xf numFmtId="0" fontId="4" fillId="0" borderId="0" xfId="0" applyFont="1"/>
    <xf numFmtId="0" fontId="0" fillId="2" borderId="0" xfId="0" applyFill="1"/>
    <xf numFmtId="0" fontId="0" fillId="3" borderId="0" xfId="0" applyFill="1"/>
    <xf numFmtId="0" fontId="1" fillId="3" borderId="0" xfId="0" applyFont="1" applyFill="1"/>
    <xf numFmtId="1" fontId="0" fillId="3" borderId="0" xfId="0" applyNumberFormat="1" applyFill="1"/>
    <xf numFmtId="0" fontId="0" fillId="4" borderId="0" xfId="0" applyFill="1"/>
    <xf numFmtId="0" fontId="0" fillId="3" borderId="0" xfId="0" applyFont="1" applyFill="1"/>
    <xf numFmtId="0" fontId="5" fillId="2" borderId="0" xfId="0" applyFont="1" applyFill="1"/>
    <xf numFmtId="164" fontId="0" fillId="3" borderId="0" xfId="2" applyNumberFormat="1" applyFont="1" applyFill="1"/>
    <xf numFmtId="164" fontId="0" fillId="4" borderId="0" xfId="2" applyNumberFormat="1" applyFont="1" applyFill="1"/>
    <xf numFmtId="164" fontId="0" fillId="2" borderId="0" xfId="2" applyNumberFormat="1" applyFont="1" applyFill="1"/>
    <xf numFmtId="0" fontId="0" fillId="3" borderId="0" xfId="0" applyFill="1" applyAlignment="1">
      <alignment horizontal="left" indent="1"/>
    </xf>
    <xf numFmtId="44" fontId="0" fillId="3" borderId="0" xfId="2" applyNumberFormat="1" applyFont="1" applyFill="1"/>
    <xf numFmtId="0" fontId="1" fillId="3" borderId="0" xfId="0" applyFont="1" applyFill="1" applyAlignment="1">
      <alignment horizontal="center"/>
    </xf>
    <xf numFmtId="9" fontId="0" fillId="5" borderId="0" xfId="0" applyNumberFormat="1" applyFill="1" applyProtection="1">
      <protection locked="0"/>
    </xf>
    <xf numFmtId="0" fontId="0" fillId="0" borderId="0" xfId="0" applyProtection="1">
      <protection locked="0"/>
    </xf>
    <xf numFmtId="9" fontId="0" fillId="0" borderId="0" xfId="0" applyNumberFormat="1" applyProtection="1">
      <protection locked="0"/>
    </xf>
    <xf numFmtId="165" fontId="0" fillId="5" borderId="0" xfId="1" applyNumberFormat="1" applyFont="1" applyFill="1" applyProtection="1">
      <protection locked="0"/>
    </xf>
    <xf numFmtId="0" fontId="6" fillId="0" borderId="0" xfId="4"/>
    <xf numFmtId="10" fontId="6" fillId="0" borderId="0" xfId="4" applyNumberFormat="1"/>
    <xf numFmtId="0" fontId="6" fillId="0" borderId="0" xfId="4" applyFont="1" applyAlignment="1">
      <alignment horizontal="left" wrapText="1"/>
    </xf>
    <xf numFmtId="166" fontId="6" fillId="0" borderId="0" xfId="4" applyNumberFormat="1" applyFont="1" applyAlignment="1">
      <alignment wrapText="1"/>
    </xf>
    <xf numFmtId="166" fontId="6" fillId="0" borderId="0" xfId="4" applyNumberFormat="1"/>
    <xf numFmtId="0" fontId="6" fillId="0" borderId="0" xfId="4" applyNumberFormat="1"/>
    <xf numFmtId="166" fontId="7" fillId="0" borderId="0" xfId="4" applyNumberFormat="1" applyFont="1" applyAlignment="1">
      <alignment wrapText="1"/>
    </xf>
    <xf numFmtId="0" fontId="7" fillId="0" borderId="0" xfId="4" applyFont="1" applyAlignment="1">
      <alignment wrapText="1"/>
    </xf>
    <xf numFmtId="0" fontId="6" fillId="0" borderId="0" xfId="4" applyFont="1" applyAlignment="1">
      <alignment wrapText="1"/>
    </xf>
    <xf numFmtId="0" fontId="7" fillId="0" borderId="0" xfId="4" applyFont="1"/>
    <xf numFmtId="0" fontId="0" fillId="5" borderId="0" xfId="0" applyFill="1"/>
    <xf numFmtId="10" fontId="0" fillId="5" borderId="0" xfId="3" applyNumberFormat="1" applyFont="1" applyFill="1" applyProtection="1">
      <protection locked="0"/>
    </xf>
    <xf numFmtId="164" fontId="0" fillId="0" borderId="0" xfId="0" applyNumberFormat="1"/>
    <xf numFmtId="10" fontId="0" fillId="0" borderId="0" xfId="0" applyNumberFormat="1"/>
    <xf numFmtId="0" fontId="8" fillId="0" borderId="0" xfId="5"/>
    <xf numFmtId="0" fontId="7" fillId="0" borderId="0" xfId="0" applyFont="1"/>
    <xf numFmtId="164" fontId="0" fillId="0" borderId="0" xfId="2" applyNumberFormat="1" applyFont="1"/>
    <xf numFmtId="164" fontId="0" fillId="0" borderId="0" xfId="2" applyNumberFormat="1" applyFont="1" applyFill="1"/>
    <xf numFmtId="44" fontId="0" fillId="0" borderId="0" xfId="0" applyNumberFormat="1"/>
    <xf numFmtId="9" fontId="3" fillId="5" borderId="0" xfId="3" applyFill="1"/>
    <xf numFmtId="8" fontId="0" fillId="0" borderId="0" xfId="0" applyNumberFormat="1"/>
    <xf numFmtId="9" fontId="0" fillId="0" borderId="0" xfId="0" applyNumberFormat="1" applyFill="1" applyProtection="1">
      <protection locked="0"/>
    </xf>
    <xf numFmtId="44" fontId="0" fillId="0" borderId="0" xfId="2" applyFont="1"/>
    <xf numFmtId="2" fontId="8" fillId="0" borderId="0" xfId="5" applyNumberFormat="1"/>
    <xf numFmtId="9" fontId="8" fillId="0" borderId="0" xfId="5" applyNumberFormat="1"/>
    <xf numFmtId="167" fontId="3" fillId="0" borderId="0" xfId="3" applyNumberFormat="1"/>
    <xf numFmtId="10" fontId="8" fillId="0" borderId="0" xfId="5" applyNumberFormat="1"/>
    <xf numFmtId="167" fontId="8" fillId="0" borderId="0" xfId="5" applyNumberFormat="1"/>
    <xf numFmtId="10" fontId="8" fillId="6" borderId="0" xfId="5" applyNumberFormat="1" applyFill="1"/>
    <xf numFmtId="10" fontId="0" fillId="6" borderId="0" xfId="0" applyNumberFormat="1" applyFill="1"/>
    <xf numFmtId="6" fontId="0" fillId="6" borderId="0" xfId="0" applyNumberFormat="1" applyFill="1"/>
    <xf numFmtId="0" fontId="8" fillId="0" borderId="0" xfId="5" applyBorder="1"/>
    <xf numFmtId="9" fontId="8" fillId="5" borderId="0" xfId="5" applyNumberFormat="1" applyFill="1"/>
    <xf numFmtId="9" fontId="3" fillId="0" borderId="0" xfId="3" applyBorder="1"/>
    <xf numFmtId="168" fontId="3" fillId="0" borderId="0" xfId="2" applyNumberFormat="1" applyBorder="1"/>
    <xf numFmtId="168" fontId="8" fillId="0" borderId="0" xfId="5" applyNumberFormat="1" applyBorder="1"/>
    <xf numFmtId="164" fontId="8" fillId="0" borderId="0" xfId="5" applyNumberFormat="1" applyBorder="1"/>
    <xf numFmtId="168" fontId="3" fillId="0" borderId="1" xfId="2" applyNumberFormat="1" applyFill="1" applyBorder="1"/>
    <xf numFmtId="0" fontId="8" fillId="0" borderId="1" xfId="5" applyFill="1" applyBorder="1"/>
    <xf numFmtId="0" fontId="8" fillId="0" borderId="0" xfId="5" applyFill="1" applyBorder="1"/>
    <xf numFmtId="168" fontId="3" fillId="0" borderId="0" xfId="2" applyNumberFormat="1" applyFill="1" applyBorder="1"/>
    <xf numFmtId="168" fontId="8" fillId="0" borderId="0" xfId="5" applyNumberFormat="1" applyFill="1" applyBorder="1"/>
    <xf numFmtId="168" fontId="3" fillId="0" borderId="0" xfId="2" applyNumberFormat="1" applyFill="1"/>
    <xf numFmtId="168" fontId="3" fillId="0" borderId="0" xfId="3" applyNumberFormat="1" applyFill="1" applyBorder="1"/>
    <xf numFmtId="167" fontId="8" fillId="0" borderId="0" xfId="5" applyNumberFormat="1" applyFill="1" applyBorder="1"/>
    <xf numFmtId="44" fontId="3" fillId="6" borderId="0" xfId="2" applyFill="1"/>
    <xf numFmtId="168" fontId="3" fillId="0" borderId="1" xfId="3" applyNumberFormat="1" applyFill="1" applyBorder="1"/>
    <xf numFmtId="167" fontId="3" fillId="0" borderId="0" xfId="3" applyNumberFormat="1" applyFill="1" applyBorder="1"/>
    <xf numFmtId="168" fontId="3" fillId="0" borderId="0" xfId="2" applyNumberFormat="1"/>
    <xf numFmtId="167" fontId="3" fillId="0" borderId="0" xfId="3" applyNumberFormat="1" applyFill="1"/>
    <xf numFmtId="0" fontId="9" fillId="0" borderId="0" xfId="5" applyFont="1" applyBorder="1"/>
    <xf numFmtId="168" fontId="8" fillId="0" borderId="0" xfId="5" applyNumberFormat="1"/>
    <xf numFmtId="10" fontId="3" fillId="0" borderId="0" xfId="3" applyNumberFormat="1"/>
    <xf numFmtId="10" fontId="3" fillId="0" borderId="0" xfId="3" applyNumberFormat="1" applyFill="1"/>
    <xf numFmtId="0" fontId="0" fillId="0" borderId="0" xfId="0" applyFill="1"/>
    <xf numFmtId="10" fontId="8" fillId="0" borderId="0" xfId="5" applyNumberFormat="1" applyFill="1"/>
    <xf numFmtId="9" fontId="3" fillId="0" borderId="0" xfId="3" applyFill="1"/>
    <xf numFmtId="164" fontId="0" fillId="0" borderId="0" xfId="0" applyNumberFormat="1" applyFill="1"/>
    <xf numFmtId="6" fontId="0" fillId="0" borderId="0" xfId="0" applyNumberFormat="1"/>
    <xf numFmtId="0" fontId="2" fillId="2" borderId="0" xfId="0" applyFont="1" applyFill="1" applyAlignment="1">
      <alignment horizontal="center"/>
    </xf>
  </cellXfs>
  <cellStyles count="6">
    <cellStyle name="Comma" xfId="1" builtinId="3"/>
    <cellStyle name="Currency" xfId="2" builtinId="4"/>
    <cellStyle name="Excel Built-in Normal" xfId="5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CCFF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ullerj/AppData/Local/Temp/Central%20Florida%20Golf%20Cart%20Sales%20THE%20BEST%20BANKRUPTC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ortgage"/>
      <sheetName val="Sources"/>
    </sheetNames>
    <sheetDataSet>
      <sheetData sheetId="0">
        <row r="36">
          <cell r="Q36">
            <v>4.1250000000000002E-2</v>
          </cell>
        </row>
        <row r="37">
          <cell r="Q37">
            <v>195000</v>
          </cell>
        </row>
        <row r="38">
          <cell r="Q38">
            <v>30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122"/>
  <sheetViews>
    <sheetView tabSelected="1" zoomScaleNormal="100" workbookViewId="0">
      <selection activeCell="B7" sqref="B7"/>
    </sheetView>
  </sheetViews>
  <sheetFormatPr defaultRowHeight="15" x14ac:dyDescent="0.25"/>
  <cols>
    <col min="1" max="1" width="3.42578125" bestFit="1" customWidth="1"/>
    <col min="2" max="2" width="35.5703125" bestFit="1" customWidth="1"/>
    <col min="3" max="3" width="15.140625" customWidth="1"/>
    <col min="4" max="4" width="14" bestFit="1" customWidth="1"/>
    <col min="5" max="5" width="13.5703125" bestFit="1" customWidth="1"/>
    <col min="6" max="6" width="13.42578125" bestFit="1" customWidth="1"/>
    <col min="7" max="7" width="13.5703125" bestFit="1" customWidth="1"/>
    <col min="8" max="8" width="14" bestFit="1" customWidth="1"/>
    <col min="9" max="9" width="13.5703125" bestFit="1" customWidth="1"/>
    <col min="10" max="10" width="14" bestFit="1" customWidth="1"/>
    <col min="11" max="11" width="14.42578125" bestFit="1" customWidth="1"/>
    <col min="12" max="12" width="14.28515625" bestFit="1" customWidth="1"/>
    <col min="13" max="13" width="15.140625" bestFit="1" customWidth="1"/>
    <col min="14" max="14" width="11.5703125" bestFit="1" customWidth="1"/>
    <col min="15" max="15" width="25.5703125" bestFit="1" customWidth="1"/>
    <col min="16" max="16" width="13.5703125" bestFit="1" customWidth="1"/>
    <col min="17" max="18" width="12.85546875" bestFit="1" customWidth="1"/>
    <col min="20" max="20" width="12.5703125" customWidth="1"/>
  </cols>
  <sheetData>
    <row r="1" spans="2:20" ht="26.25" x14ac:dyDescent="0.4">
      <c r="B1" s="81" t="s">
        <v>39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2:20" ht="15" customHeigh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20" x14ac:dyDescent="0.25">
      <c r="B3" s="9"/>
      <c r="C3" s="9"/>
      <c r="D3" s="9">
        <v>2015</v>
      </c>
      <c r="E3" s="9">
        <v>2016</v>
      </c>
      <c r="F3" s="9">
        <v>2017</v>
      </c>
      <c r="G3" s="9">
        <v>2018</v>
      </c>
      <c r="H3" s="9">
        <v>2019</v>
      </c>
      <c r="I3" s="9">
        <v>2020</v>
      </c>
      <c r="J3" s="9">
        <v>2021</v>
      </c>
      <c r="K3" s="9">
        <v>2022</v>
      </c>
      <c r="L3" s="9">
        <v>2023</v>
      </c>
      <c r="M3" s="9">
        <v>2024</v>
      </c>
    </row>
    <row r="4" spans="2:20" ht="18.75" x14ac:dyDescent="0.3">
      <c r="B4" s="11" t="s">
        <v>40</v>
      </c>
      <c r="C4" s="11"/>
      <c r="D4" s="5"/>
      <c r="E4" s="5"/>
      <c r="F4" s="5"/>
      <c r="G4" s="5"/>
      <c r="H4" s="5"/>
      <c r="I4" s="5"/>
      <c r="J4" s="5"/>
      <c r="K4" s="5"/>
      <c r="L4" s="5"/>
      <c r="M4" s="5"/>
    </row>
    <row r="5" spans="2:20" x14ac:dyDescent="0.25">
      <c r="B5" s="6" t="s">
        <v>51</v>
      </c>
      <c r="C5" s="6"/>
      <c r="D5" s="6">
        <v>75</v>
      </c>
      <c r="E5" s="8">
        <f t="shared" ref="E5:M5" si="0">D5*(1+$N$5)</f>
        <v>77.25</v>
      </c>
      <c r="F5" s="8">
        <f t="shared" si="0"/>
        <v>79.567499999999995</v>
      </c>
      <c r="G5" s="8">
        <f t="shared" si="0"/>
        <v>81.954525000000004</v>
      </c>
      <c r="H5" s="8">
        <f t="shared" si="0"/>
        <v>84.413160750000003</v>
      </c>
      <c r="I5" s="8">
        <f t="shared" si="0"/>
        <v>86.945555572499998</v>
      </c>
      <c r="J5" s="8">
        <f t="shared" si="0"/>
        <v>89.553922239675003</v>
      </c>
      <c r="K5" s="8">
        <f t="shared" si="0"/>
        <v>92.240539906865251</v>
      </c>
      <c r="L5" s="8">
        <f t="shared" si="0"/>
        <v>95.007756104071206</v>
      </c>
      <c r="M5" s="8">
        <f t="shared" si="0"/>
        <v>97.857988787193349</v>
      </c>
      <c r="N5" s="18">
        <v>0.03</v>
      </c>
      <c r="O5" t="s">
        <v>52</v>
      </c>
      <c r="T5" t="s">
        <v>15</v>
      </c>
    </row>
    <row r="6" spans="2:20" x14ac:dyDescent="0.25">
      <c r="B6" s="6" t="s">
        <v>18</v>
      </c>
      <c r="C6" s="6"/>
      <c r="D6" s="12">
        <v>3800</v>
      </c>
      <c r="E6" s="12">
        <f t="shared" ref="E6:M6" si="1">D6*(1+$N$6)</f>
        <v>3990</v>
      </c>
      <c r="F6" s="12">
        <f t="shared" si="1"/>
        <v>4189.5</v>
      </c>
      <c r="G6" s="12">
        <f t="shared" si="1"/>
        <v>4398.9750000000004</v>
      </c>
      <c r="H6" s="12">
        <f t="shared" si="1"/>
        <v>4618.9237500000008</v>
      </c>
      <c r="I6" s="12">
        <f t="shared" si="1"/>
        <v>4849.8699375000015</v>
      </c>
      <c r="J6" s="12">
        <f t="shared" si="1"/>
        <v>5092.3634343750018</v>
      </c>
      <c r="K6" s="12">
        <f t="shared" si="1"/>
        <v>5346.9816060937519</v>
      </c>
      <c r="L6" s="12">
        <f t="shared" si="1"/>
        <v>5614.3306863984399</v>
      </c>
      <c r="M6" s="12">
        <f t="shared" si="1"/>
        <v>5895.047220718362</v>
      </c>
      <c r="N6" s="18">
        <v>0.05</v>
      </c>
      <c r="O6" t="s">
        <v>56</v>
      </c>
    </row>
    <row r="7" spans="2:20" x14ac:dyDescent="0.25">
      <c r="B7" s="6" t="s">
        <v>19</v>
      </c>
      <c r="C7" s="6"/>
      <c r="D7" s="6">
        <v>3000</v>
      </c>
      <c r="E7" s="8">
        <f t="shared" ref="E7:M7" si="2">D7*(1+$N$7)</f>
        <v>3090</v>
      </c>
      <c r="F7" s="8">
        <f t="shared" si="2"/>
        <v>3182.7000000000003</v>
      </c>
      <c r="G7" s="8">
        <f t="shared" si="2"/>
        <v>3278.1810000000005</v>
      </c>
      <c r="H7" s="8">
        <f t="shared" si="2"/>
        <v>3376.5264300000008</v>
      </c>
      <c r="I7" s="8">
        <f t="shared" si="2"/>
        <v>3477.8222229000007</v>
      </c>
      <c r="J7" s="8">
        <f t="shared" si="2"/>
        <v>3582.1568895870009</v>
      </c>
      <c r="K7" s="8">
        <f t="shared" si="2"/>
        <v>3689.621596274611</v>
      </c>
      <c r="L7" s="8">
        <f t="shared" si="2"/>
        <v>3800.3102441628494</v>
      </c>
      <c r="M7" s="8">
        <f t="shared" si="2"/>
        <v>3914.3195514877348</v>
      </c>
      <c r="N7" s="18">
        <v>0.03</v>
      </c>
      <c r="O7" t="s">
        <v>53</v>
      </c>
    </row>
    <row r="8" spans="2:20" x14ac:dyDescent="0.25">
      <c r="B8" s="6"/>
      <c r="C8" s="6"/>
      <c r="D8" s="6"/>
      <c r="E8" s="8"/>
      <c r="F8" s="8"/>
      <c r="G8" s="8"/>
      <c r="H8" s="8"/>
      <c r="I8" s="8"/>
      <c r="J8" s="8"/>
      <c r="K8" s="8"/>
      <c r="L8" s="8"/>
      <c r="M8" s="8"/>
      <c r="N8" s="19"/>
      <c r="Q8" s="1"/>
    </row>
    <row r="9" spans="2:20" x14ac:dyDescent="0.25">
      <c r="B9" s="6" t="s">
        <v>20</v>
      </c>
      <c r="C9" s="6"/>
      <c r="D9" s="6">
        <v>60</v>
      </c>
      <c r="E9" s="8">
        <f t="shared" ref="E9:M9" si="3">D9*(1+$N$9)</f>
        <v>61.800000000000004</v>
      </c>
      <c r="F9" s="8">
        <f t="shared" si="3"/>
        <v>63.654000000000003</v>
      </c>
      <c r="G9" s="8">
        <f t="shared" si="3"/>
        <v>65.56362</v>
      </c>
      <c r="H9" s="8">
        <f t="shared" si="3"/>
        <v>67.530528599999997</v>
      </c>
      <c r="I9" s="8">
        <f t="shared" si="3"/>
        <v>69.556444458000001</v>
      </c>
      <c r="J9" s="8">
        <f t="shared" si="3"/>
        <v>71.643137791740003</v>
      </c>
      <c r="K9" s="8">
        <f t="shared" si="3"/>
        <v>73.79243192549221</v>
      </c>
      <c r="L9" s="8">
        <f t="shared" si="3"/>
        <v>76.006204883256984</v>
      </c>
      <c r="M9" s="8">
        <f t="shared" si="3"/>
        <v>78.286391029754697</v>
      </c>
      <c r="N9" s="18">
        <v>0.03</v>
      </c>
      <c r="O9" t="s">
        <v>52</v>
      </c>
    </row>
    <row r="10" spans="2:20" x14ac:dyDescent="0.25">
      <c r="B10" s="6" t="s">
        <v>21</v>
      </c>
      <c r="C10" s="6"/>
      <c r="D10" s="12">
        <v>7000</v>
      </c>
      <c r="E10" s="12">
        <f t="shared" ref="E10:M10" si="4">D10*(1+$N$5)</f>
        <v>7210</v>
      </c>
      <c r="F10" s="12">
        <f t="shared" si="4"/>
        <v>7426.3</v>
      </c>
      <c r="G10" s="12">
        <f t="shared" si="4"/>
        <v>7649.0889999999999</v>
      </c>
      <c r="H10" s="12">
        <f t="shared" si="4"/>
        <v>7878.56167</v>
      </c>
      <c r="I10" s="12">
        <f t="shared" si="4"/>
        <v>8114.9185201</v>
      </c>
      <c r="J10" s="12">
        <f t="shared" si="4"/>
        <v>8358.3660757030011</v>
      </c>
      <c r="K10" s="12">
        <f t="shared" si="4"/>
        <v>8609.1170579740919</v>
      </c>
      <c r="L10" s="12">
        <f t="shared" si="4"/>
        <v>8867.3905697133141</v>
      </c>
      <c r="M10" s="12">
        <f t="shared" si="4"/>
        <v>9133.4122868047143</v>
      </c>
      <c r="N10" s="18">
        <v>0.05</v>
      </c>
      <c r="O10" t="s">
        <v>56</v>
      </c>
    </row>
    <row r="11" spans="2:20" x14ac:dyDescent="0.25">
      <c r="B11" s="6" t="s">
        <v>22</v>
      </c>
      <c r="C11" s="6"/>
      <c r="D11" s="6">
        <v>5500</v>
      </c>
      <c r="E11" s="8">
        <f t="shared" ref="E11:M11" si="5">D11*(1+$N$11)</f>
        <v>5665</v>
      </c>
      <c r="F11" s="8">
        <f t="shared" si="5"/>
        <v>5834.95</v>
      </c>
      <c r="G11" s="8">
        <f t="shared" si="5"/>
        <v>6009.9984999999997</v>
      </c>
      <c r="H11" s="8">
        <f t="shared" si="5"/>
        <v>6190.2984550000001</v>
      </c>
      <c r="I11" s="8">
        <f t="shared" si="5"/>
        <v>6376.0074086499999</v>
      </c>
      <c r="J11" s="8">
        <f t="shared" si="5"/>
        <v>6567.2876309095</v>
      </c>
      <c r="K11" s="8">
        <f t="shared" si="5"/>
        <v>6764.3062598367851</v>
      </c>
      <c r="L11" s="8">
        <f t="shared" si="5"/>
        <v>6967.2354476318887</v>
      </c>
      <c r="M11" s="8">
        <f t="shared" si="5"/>
        <v>7176.2525110608458</v>
      </c>
      <c r="N11" s="18">
        <v>0.03</v>
      </c>
      <c r="O11" t="s">
        <v>53</v>
      </c>
    </row>
    <row r="12" spans="2:20" x14ac:dyDescent="0.25">
      <c r="B12" s="6"/>
      <c r="C12" s="6"/>
      <c r="D12" s="6"/>
      <c r="E12" s="8"/>
      <c r="F12" s="8"/>
      <c r="G12" s="8"/>
      <c r="H12" s="8"/>
      <c r="I12" s="8"/>
      <c r="J12" s="8"/>
      <c r="K12" s="8"/>
      <c r="L12" s="8"/>
      <c r="M12" s="8"/>
      <c r="N12" s="20"/>
    </row>
    <row r="13" spans="2:20" x14ac:dyDescent="0.25">
      <c r="B13" s="6" t="s">
        <v>17</v>
      </c>
      <c r="C13" s="6"/>
      <c r="D13" s="6">
        <f>15*52</f>
        <v>780</v>
      </c>
      <c r="E13" s="8">
        <f t="shared" ref="E13:M13" si="6">D13*(1+$N$13)</f>
        <v>819</v>
      </c>
      <c r="F13" s="8">
        <f t="shared" si="6"/>
        <v>859.95</v>
      </c>
      <c r="G13" s="8">
        <f t="shared" si="6"/>
        <v>902.9475000000001</v>
      </c>
      <c r="H13" s="8">
        <f t="shared" si="6"/>
        <v>948.09487500000012</v>
      </c>
      <c r="I13" s="8">
        <f t="shared" si="6"/>
        <v>995.4996187500002</v>
      </c>
      <c r="J13" s="8">
        <f t="shared" si="6"/>
        <v>1045.2745996875003</v>
      </c>
      <c r="K13" s="8">
        <f t="shared" si="6"/>
        <v>1097.5383296718753</v>
      </c>
      <c r="L13" s="8">
        <f t="shared" si="6"/>
        <v>1152.415246155469</v>
      </c>
      <c r="M13" s="8">
        <f t="shared" si="6"/>
        <v>1210.0360084632425</v>
      </c>
      <c r="N13" s="18">
        <v>0.05</v>
      </c>
      <c r="O13" t="s">
        <v>52</v>
      </c>
    </row>
    <row r="14" spans="2:20" x14ac:dyDescent="0.25">
      <c r="B14" s="6" t="s">
        <v>23</v>
      </c>
      <c r="C14" s="6"/>
      <c r="D14" s="12">
        <v>240</v>
      </c>
      <c r="E14" s="12">
        <f t="shared" ref="E14:M14" si="7">D14*(1+$N$14)</f>
        <v>252</v>
      </c>
      <c r="F14" s="12">
        <f t="shared" si="7"/>
        <v>264.60000000000002</v>
      </c>
      <c r="G14" s="12">
        <f t="shared" si="7"/>
        <v>277.83000000000004</v>
      </c>
      <c r="H14" s="12">
        <f t="shared" si="7"/>
        <v>291.72150000000005</v>
      </c>
      <c r="I14" s="12">
        <f t="shared" si="7"/>
        <v>306.30757500000004</v>
      </c>
      <c r="J14" s="12">
        <f t="shared" si="7"/>
        <v>321.62295375000008</v>
      </c>
      <c r="K14" s="12">
        <f t="shared" si="7"/>
        <v>337.70410143750007</v>
      </c>
      <c r="L14" s="12">
        <f t="shared" si="7"/>
        <v>354.58930650937509</v>
      </c>
      <c r="M14" s="12">
        <f t="shared" si="7"/>
        <v>372.31877183484386</v>
      </c>
      <c r="N14" s="18">
        <v>0.05</v>
      </c>
      <c r="O14" t="s">
        <v>56</v>
      </c>
    </row>
    <row r="15" spans="2:20" x14ac:dyDescent="0.25">
      <c r="B15" s="6"/>
      <c r="C15" s="6"/>
      <c r="D15" s="6"/>
      <c r="E15" s="8"/>
      <c r="F15" s="8"/>
      <c r="G15" s="8"/>
      <c r="H15" s="8"/>
      <c r="I15" s="8"/>
      <c r="J15" s="8"/>
      <c r="K15" s="8"/>
      <c r="L15" s="8"/>
      <c r="M15" s="8"/>
      <c r="N15" s="20"/>
    </row>
    <row r="16" spans="2:20" x14ac:dyDescent="0.25">
      <c r="B16" s="6" t="s">
        <v>8</v>
      </c>
      <c r="C16" s="6"/>
      <c r="D16" s="6">
        <f>6*12</f>
        <v>72</v>
      </c>
      <c r="E16" s="8">
        <f t="shared" ref="E16:M16" si="8">D16*(1+$N$16)</f>
        <v>72.72</v>
      </c>
      <c r="F16" s="8">
        <f t="shared" si="8"/>
        <v>73.447199999999995</v>
      </c>
      <c r="G16" s="8">
        <f t="shared" si="8"/>
        <v>74.181671999999992</v>
      </c>
      <c r="H16" s="8">
        <f t="shared" si="8"/>
        <v>74.923488719999995</v>
      </c>
      <c r="I16" s="8">
        <f t="shared" si="8"/>
        <v>75.672723607199998</v>
      </c>
      <c r="J16" s="8">
        <f t="shared" si="8"/>
        <v>76.429450843271994</v>
      </c>
      <c r="K16" s="8">
        <f t="shared" si="8"/>
        <v>77.19374535170472</v>
      </c>
      <c r="L16" s="8">
        <f t="shared" si="8"/>
        <v>77.965682805221775</v>
      </c>
      <c r="M16" s="8">
        <f t="shared" si="8"/>
        <v>78.745339633274</v>
      </c>
      <c r="N16" s="18">
        <v>0.01</v>
      </c>
      <c r="O16" t="s">
        <v>52</v>
      </c>
    </row>
    <row r="17" spans="2:17" x14ac:dyDescent="0.25">
      <c r="B17" s="6" t="s">
        <v>16</v>
      </c>
      <c r="C17" s="6"/>
      <c r="D17" s="12">
        <v>4000</v>
      </c>
      <c r="E17" s="12">
        <f t="shared" ref="E17:M17" si="9">D17*(1+$N$17)</f>
        <v>4200</v>
      </c>
      <c r="F17" s="12">
        <f t="shared" si="9"/>
        <v>4410</v>
      </c>
      <c r="G17" s="12">
        <f t="shared" si="9"/>
        <v>4630.5</v>
      </c>
      <c r="H17" s="12">
        <f t="shared" si="9"/>
        <v>4862.0250000000005</v>
      </c>
      <c r="I17" s="12">
        <f t="shared" si="9"/>
        <v>5105.1262500000012</v>
      </c>
      <c r="J17" s="12">
        <f t="shared" si="9"/>
        <v>5360.3825625000018</v>
      </c>
      <c r="K17" s="12">
        <f t="shared" si="9"/>
        <v>5628.4016906250017</v>
      </c>
      <c r="L17" s="12">
        <f t="shared" si="9"/>
        <v>5909.8217751562524</v>
      </c>
      <c r="M17" s="12">
        <f t="shared" si="9"/>
        <v>6205.312863914065</v>
      </c>
      <c r="N17" s="18">
        <v>0.05</v>
      </c>
      <c r="O17" t="s">
        <v>56</v>
      </c>
    </row>
    <row r="18" spans="2:17" x14ac:dyDescent="0.25">
      <c r="B18" s="6" t="s">
        <v>9</v>
      </c>
      <c r="C18" s="6"/>
      <c r="D18" s="6">
        <v>3200</v>
      </c>
      <c r="E18" s="8">
        <f t="shared" ref="E18:M18" si="10">D18*(1+$N$18)</f>
        <v>3296</v>
      </c>
      <c r="F18" s="8">
        <f t="shared" si="10"/>
        <v>3394.88</v>
      </c>
      <c r="G18" s="8">
        <f t="shared" si="10"/>
        <v>3496.7264</v>
      </c>
      <c r="H18" s="8">
        <f t="shared" si="10"/>
        <v>3601.6281920000001</v>
      </c>
      <c r="I18" s="8">
        <f t="shared" si="10"/>
        <v>3709.6770377600001</v>
      </c>
      <c r="J18" s="8">
        <f t="shared" si="10"/>
        <v>3820.9673488928001</v>
      </c>
      <c r="K18" s="8">
        <f t="shared" si="10"/>
        <v>3935.5963693595841</v>
      </c>
      <c r="L18" s="8">
        <f t="shared" si="10"/>
        <v>4053.6642604403719</v>
      </c>
      <c r="M18" s="8">
        <f t="shared" si="10"/>
        <v>4175.2741882535829</v>
      </c>
      <c r="N18" s="18">
        <v>0.03</v>
      </c>
      <c r="O18" t="s">
        <v>57</v>
      </c>
    </row>
    <row r="19" spans="2:17" x14ac:dyDescent="0.25">
      <c r="B19" s="6"/>
      <c r="C19" s="6"/>
      <c r="D19" s="6"/>
      <c r="E19" s="8"/>
      <c r="F19" s="8"/>
      <c r="G19" s="8"/>
      <c r="H19" s="8"/>
      <c r="I19" s="8"/>
      <c r="J19" s="8"/>
      <c r="K19" s="8"/>
      <c r="L19" s="8"/>
      <c r="M19" s="8"/>
      <c r="N19" s="19"/>
      <c r="Q19" s="1"/>
    </row>
    <row r="20" spans="2:17" x14ac:dyDescent="0.25">
      <c r="B20" s="6" t="s">
        <v>59</v>
      </c>
      <c r="C20" s="6"/>
      <c r="D20" s="6">
        <v>30</v>
      </c>
      <c r="E20" s="8">
        <v>30</v>
      </c>
      <c r="F20" s="8">
        <v>30</v>
      </c>
      <c r="G20" s="8">
        <v>30</v>
      </c>
      <c r="H20" s="8">
        <v>30</v>
      </c>
      <c r="I20" s="8">
        <v>30</v>
      </c>
      <c r="J20" s="8">
        <v>30</v>
      </c>
      <c r="K20" s="8">
        <v>30</v>
      </c>
      <c r="L20" s="8">
        <v>30</v>
      </c>
      <c r="M20" s="8">
        <v>30</v>
      </c>
      <c r="N20" s="19"/>
      <c r="Q20" s="1"/>
    </row>
    <row r="21" spans="2:17" x14ac:dyDescent="0.25">
      <c r="B21" s="6" t="s">
        <v>58</v>
      </c>
      <c r="C21" s="6"/>
      <c r="D21" s="6">
        <v>60</v>
      </c>
      <c r="E21" s="6">
        <v>60</v>
      </c>
      <c r="F21" s="6">
        <v>60</v>
      </c>
      <c r="G21" s="6">
        <v>60</v>
      </c>
      <c r="H21" s="6">
        <v>60</v>
      </c>
      <c r="I21" s="6">
        <v>60</v>
      </c>
      <c r="J21" s="6">
        <v>60</v>
      </c>
      <c r="K21" s="6">
        <v>60</v>
      </c>
      <c r="L21" s="6">
        <v>60</v>
      </c>
      <c r="M21" s="6">
        <v>60</v>
      </c>
      <c r="N21" s="19"/>
      <c r="Q21" s="1"/>
    </row>
    <row r="22" spans="2:17" x14ac:dyDescent="0.25">
      <c r="B22" s="6" t="s">
        <v>28</v>
      </c>
      <c r="C22" s="6"/>
      <c r="D22" s="6">
        <v>30</v>
      </c>
      <c r="E22" s="6">
        <v>30</v>
      </c>
      <c r="F22" s="6">
        <v>30</v>
      </c>
      <c r="G22" s="6">
        <v>30</v>
      </c>
      <c r="H22" s="6">
        <v>30</v>
      </c>
      <c r="I22" s="6">
        <v>30</v>
      </c>
      <c r="J22" s="6">
        <v>30</v>
      </c>
      <c r="K22" s="6">
        <v>30</v>
      </c>
      <c r="L22" s="6">
        <v>30</v>
      </c>
      <c r="M22" s="6">
        <v>30</v>
      </c>
      <c r="N22" s="19"/>
      <c r="Q22" s="1"/>
    </row>
    <row r="23" spans="2:17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9"/>
    </row>
    <row r="24" spans="2:17" ht="18.75" x14ac:dyDescent="0.3">
      <c r="B24" s="11" t="s">
        <v>14</v>
      </c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19"/>
    </row>
    <row r="25" spans="2:17" x14ac:dyDescent="0.25">
      <c r="B25" s="6" t="s">
        <v>60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9"/>
    </row>
    <row r="26" spans="2:17" x14ac:dyDescent="0.25">
      <c r="B26" s="15" t="s">
        <v>61</v>
      </c>
      <c r="C26" s="15"/>
      <c r="D26" s="12">
        <f>D5*D6</f>
        <v>285000</v>
      </c>
      <c r="E26" s="12">
        <f t="shared" ref="E26:M26" si="11">E5*E6</f>
        <v>308227.5</v>
      </c>
      <c r="F26" s="12">
        <f t="shared" si="11"/>
        <v>333348.04125000001</v>
      </c>
      <c r="G26" s="12">
        <f t="shared" si="11"/>
        <v>360515.90661187505</v>
      </c>
      <c r="H26" s="12">
        <f t="shared" si="11"/>
        <v>389897.95300074288</v>
      </c>
      <c r="I26" s="12">
        <f t="shared" si="11"/>
        <v>421674.63617030345</v>
      </c>
      <c r="J26" s="12">
        <f t="shared" si="11"/>
        <v>456041.11901818326</v>
      </c>
      <c r="K26" s="12">
        <f t="shared" si="11"/>
        <v>493208.4702181652</v>
      </c>
      <c r="L26" s="12">
        <f t="shared" si="11"/>
        <v>533404.96054094564</v>
      </c>
      <c r="M26" s="12">
        <f t="shared" si="11"/>
        <v>576877.46482503274</v>
      </c>
      <c r="N26" s="19"/>
    </row>
    <row r="27" spans="2:17" x14ac:dyDescent="0.25">
      <c r="B27" s="15" t="s">
        <v>62</v>
      </c>
      <c r="C27" s="15"/>
      <c r="D27" s="12">
        <f t="shared" ref="D27:M27" si="12">D9*D10</f>
        <v>420000</v>
      </c>
      <c r="E27" s="12">
        <f t="shared" si="12"/>
        <v>445578.00000000006</v>
      </c>
      <c r="F27" s="12">
        <f t="shared" si="12"/>
        <v>472713.70020000002</v>
      </c>
      <c r="G27" s="12">
        <f t="shared" si="12"/>
        <v>501501.96454218001</v>
      </c>
      <c r="H27" s="12">
        <f t="shared" si="12"/>
        <v>532043.43418279872</v>
      </c>
      <c r="I27" s="12">
        <f t="shared" si="12"/>
        <v>564444.87932453118</v>
      </c>
      <c r="J27" s="12">
        <f t="shared" si="12"/>
        <v>598819.57247539528</v>
      </c>
      <c r="K27" s="12">
        <f t="shared" si="12"/>
        <v>635287.68443914689</v>
      </c>
      <c r="L27" s="12">
        <f t="shared" si="12"/>
        <v>673976.70442149101</v>
      </c>
      <c r="M27" s="12">
        <f t="shared" si="12"/>
        <v>715021.88572075986</v>
      </c>
      <c r="N27" s="19"/>
    </row>
    <row r="28" spans="2:17" x14ac:dyDescent="0.25">
      <c r="B28" s="15" t="s">
        <v>63</v>
      </c>
      <c r="C28" s="15"/>
      <c r="D28" s="12">
        <f t="shared" ref="D28:M28" si="13">D13*D14</f>
        <v>187200</v>
      </c>
      <c r="E28" s="12">
        <f t="shared" si="13"/>
        <v>206388</v>
      </c>
      <c r="F28" s="12">
        <f t="shared" si="13"/>
        <v>227542.77000000002</v>
      </c>
      <c r="G28" s="12">
        <f t="shared" si="13"/>
        <v>250865.90392500008</v>
      </c>
      <c r="H28" s="12">
        <f t="shared" si="13"/>
        <v>276579.65907731256</v>
      </c>
      <c r="I28" s="12">
        <f t="shared" si="13"/>
        <v>304929.07413273712</v>
      </c>
      <c r="J28" s="12">
        <f t="shared" si="13"/>
        <v>336184.30423134274</v>
      </c>
      <c r="K28" s="12">
        <f t="shared" si="13"/>
        <v>370643.19541505538</v>
      </c>
      <c r="L28" s="12">
        <f t="shared" si="13"/>
        <v>408634.12294509856</v>
      </c>
      <c r="M28" s="12">
        <f t="shared" si="13"/>
        <v>450519.12054697116</v>
      </c>
      <c r="N28" s="19"/>
    </row>
    <row r="29" spans="2:17" x14ac:dyDescent="0.25">
      <c r="B29" s="15" t="s">
        <v>2</v>
      </c>
      <c r="C29" s="15"/>
      <c r="D29" s="12">
        <f t="shared" ref="D29:M29" si="14">D16*D17</f>
        <v>288000</v>
      </c>
      <c r="E29" s="12">
        <f t="shared" si="14"/>
        <v>305424</v>
      </c>
      <c r="F29" s="12">
        <f t="shared" si="14"/>
        <v>323902.152</v>
      </c>
      <c r="G29" s="12">
        <f t="shared" si="14"/>
        <v>343498.23219599994</v>
      </c>
      <c r="H29" s="12">
        <f t="shared" si="14"/>
        <v>364279.87524385803</v>
      </c>
      <c r="I29" s="12">
        <f t="shared" si="14"/>
        <v>386318.8076961115</v>
      </c>
      <c r="J29" s="12">
        <f t="shared" si="14"/>
        <v>409691.09556172625</v>
      </c>
      <c r="K29" s="12">
        <f t="shared" si="14"/>
        <v>434477.40684321069</v>
      </c>
      <c r="L29" s="12">
        <f t="shared" si="14"/>
        <v>460763.28995722503</v>
      </c>
      <c r="M29" s="12">
        <f t="shared" si="14"/>
        <v>488639.46899963723</v>
      </c>
      <c r="N29" s="19"/>
    </row>
    <row r="30" spans="2:17" x14ac:dyDescent="0.25">
      <c r="B30" s="6" t="s">
        <v>64</v>
      </c>
      <c r="C30" s="6"/>
      <c r="D30" s="12">
        <f>SUM(D26:D29)</f>
        <v>1180200</v>
      </c>
      <c r="E30" s="12">
        <f t="shared" ref="E30:M30" si="15">SUM(E26:E29)</f>
        <v>1265617.5</v>
      </c>
      <c r="F30" s="12">
        <f t="shared" si="15"/>
        <v>1357506.6634500001</v>
      </c>
      <c r="G30" s="12">
        <f t="shared" si="15"/>
        <v>1456382.0072750549</v>
      </c>
      <c r="H30" s="12">
        <f t="shared" si="15"/>
        <v>1562800.9215047122</v>
      </c>
      <c r="I30" s="12">
        <f t="shared" si="15"/>
        <v>1677367.3973236834</v>
      </c>
      <c r="J30" s="12">
        <f t="shared" si="15"/>
        <v>1800736.0912866474</v>
      </c>
      <c r="K30" s="12">
        <f t="shared" si="15"/>
        <v>1933616.7569155782</v>
      </c>
      <c r="L30" s="12">
        <f t="shared" si="15"/>
        <v>2076779.0778647603</v>
      </c>
      <c r="M30" s="12">
        <f t="shared" si="15"/>
        <v>2231057.9400924011</v>
      </c>
      <c r="N30" s="19"/>
    </row>
    <row r="31" spans="2:17" x14ac:dyDescent="0.25">
      <c r="B31" s="6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9"/>
    </row>
    <row r="32" spans="2:17" x14ac:dyDescent="0.25">
      <c r="B32" s="6" t="s">
        <v>0</v>
      </c>
      <c r="C32" s="6"/>
      <c r="D32" s="12">
        <f t="shared" ref="D32:M32" si="16">(D5*D7)+(D9*D11)+(D16*D18)</f>
        <v>785400</v>
      </c>
      <c r="E32" s="12">
        <f t="shared" si="16"/>
        <v>828484.62</v>
      </c>
      <c r="F32" s="12">
        <f t="shared" si="16"/>
        <v>874001.8198859999</v>
      </c>
      <c r="G32" s="12">
        <f t="shared" si="16"/>
        <v>922092.03545213584</v>
      </c>
      <c r="H32" s="12">
        <f t="shared" si="16"/>
        <v>972903.94438707305</v>
      </c>
      <c r="I32" s="12">
        <f t="shared" si="16"/>
        <v>1026594.9556863765</v>
      </c>
      <c r="J32" s="12">
        <f t="shared" si="16"/>
        <v>1083331.7283655789</v>
      </c>
      <c r="K32" s="12">
        <f t="shared" si="16"/>
        <v>1143290.7212380243</v>
      </c>
      <c r="L32" s="12">
        <f t="shared" si="16"/>
        <v>1206658.7756281854</v>
      </c>
      <c r="M32" s="12">
        <f t="shared" si="16"/>
        <v>1273633.7330042177</v>
      </c>
      <c r="N32" s="19"/>
    </row>
    <row r="33" spans="2:18" x14ac:dyDescent="0.25">
      <c r="B33" s="6"/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9"/>
    </row>
    <row r="34" spans="2:18" x14ac:dyDescent="0.25">
      <c r="B34" s="7" t="s">
        <v>65</v>
      </c>
      <c r="C34" s="7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9"/>
    </row>
    <row r="35" spans="2:18" x14ac:dyDescent="0.25">
      <c r="B35" s="15" t="s">
        <v>24</v>
      </c>
      <c r="C35" s="15"/>
      <c r="D35" s="12">
        <f>(45000*3)+(30000)+80000+40000</f>
        <v>285000</v>
      </c>
      <c r="E35" s="12">
        <f t="shared" ref="E35:M35" si="17">D35*(1+$N$35)</f>
        <v>293550</v>
      </c>
      <c r="F35" s="12">
        <f t="shared" si="17"/>
        <v>302356.5</v>
      </c>
      <c r="G35" s="12">
        <f t="shared" si="17"/>
        <v>311427.19500000001</v>
      </c>
      <c r="H35" s="12">
        <f t="shared" si="17"/>
        <v>320770.01085000002</v>
      </c>
      <c r="I35" s="12">
        <f t="shared" si="17"/>
        <v>330393.11117550003</v>
      </c>
      <c r="J35" s="12">
        <f t="shared" si="17"/>
        <v>340304.90451076505</v>
      </c>
      <c r="K35" s="12">
        <f t="shared" si="17"/>
        <v>350514.05164608802</v>
      </c>
      <c r="L35" s="12">
        <f t="shared" si="17"/>
        <v>361029.47319547069</v>
      </c>
      <c r="M35" s="12">
        <f t="shared" si="17"/>
        <v>371860.35739133484</v>
      </c>
      <c r="N35" s="18">
        <v>0.03</v>
      </c>
      <c r="O35" s="2" t="s">
        <v>53</v>
      </c>
      <c r="R35" t="s">
        <v>83</v>
      </c>
    </row>
    <row r="36" spans="2:18" x14ac:dyDescent="0.25">
      <c r="B36" s="15" t="s">
        <v>1</v>
      </c>
      <c r="C36" s="15"/>
      <c r="D36" s="12">
        <f>800*12</f>
        <v>9600</v>
      </c>
      <c r="E36" s="12">
        <f t="shared" ref="E36:M36" si="18">D36*(1+$N$36)</f>
        <v>9888</v>
      </c>
      <c r="F36" s="12">
        <f t="shared" si="18"/>
        <v>10184.64</v>
      </c>
      <c r="G36" s="12">
        <f t="shared" si="18"/>
        <v>10490.1792</v>
      </c>
      <c r="H36" s="12">
        <f t="shared" si="18"/>
        <v>10804.884576</v>
      </c>
      <c r="I36" s="12">
        <f t="shared" si="18"/>
        <v>11129.03111328</v>
      </c>
      <c r="J36" s="12">
        <f t="shared" si="18"/>
        <v>11462.9020466784</v>
      </c>
      <c r="K36" s="12">
        <f t="shared" si="18"/>
        <v>11806.789108078752</v>
      </c>
      <c r="L36" s="12">
        <f t="shared" si="18"/>
        <v>12160.992781321114</v>
      </c>
      <c r="M36" s="12">
        <f t="shared" si="18"/>
        <v>12525.822564760749</v>
      </c>
      <c r="N36" s="18">
        <v>0.03</v>
      </c>
      <c r="O36" s="2" t="str">
        <f>O35</f>
        <v>Inflation</v>
      </c>
      <c r="Q36" s="33">
        <v>4.1250000000000002E-2</v>
      </c>
      <c r="R36" s="2" t="s">
        <v>84</v>
      </c>
    </row>
    <row r="37" spans="2:18" x14ac:dyDescent="0.25">
      <c r="B37" s="15" t="s">
        <v>3</v>
      </c>
      <c r="C37" s="15"/>
      <c r="D37" s="12">
        <f>3500*12</f>
        <v>42000</v>
      </c>
      <c r="E37" s="12">
        <f t="shared" ref="E37:M37" si="19">D37*(1+$N$37)</f>
        <v>43260</v>
      </c>
      <c r="F37" s="12">
        <f t="shared" si="19"/>
        <v>44557.8</v>
      </c>
      <c r="G37" s="12">
        <f t="shared" si="19"/>
        <v>45894.534000000007</v>
      </c>
      <c r="H37" s="12">
        <f t="shared" si="19"/>
        <v>47271.370020000009</v>
      </c>
      <c r="I37" s="12">
        <f t="shared" si="19"/>
        <v>48689.511120600007</v>
      </c>
      <c r="J37" s="12">
        <f t="shared" si="19"/>
        <v>50150.196454218007</v>
      </c>
      <c r="K37" s="12">
        <f t="shared" si="19"/>
        <v>51654.702347844548</v>
      </c>
      <c r="L37" s="12">
        <f t="shared" si="19"/>
        <v>53204.343418279888</v>
      </c>
      <c r="M37" s="12">
        <f t="shared" si="19"/>
        <v>54800.47372082829</v>
      </c>
      <c r="N37" s="18">
        <v>0.03</v>
      </c>
      <c r="O37" s="2" t="s">
        <v>53</v>
      </c>
      <c r="Q37" s="32">
        <v>195000</v>
      </c>
      <c r="R37" t="s">
        <v>73</v>
      </c>
    </row>
    <row r="38" spans="2:18" x14ac:dyDescent="0.25">
      <c r="B38" s="15" t="s">
        <v>121</v>
      </c>
      <c r="C38" s="15"/>
      <c r="D38" s="12">
        <f>80*D13</f>
        <v>62400</v>
      </c>
      <c r="E38" s="12">
        <f>D38*(1+$N$38)</f>
        <v>64272</v>
      </c>
      <c r="F38" s="12">
        <f t="shared" ref="F38:M38" si="20">E38*(1+$N$38)</f>
        <v>66200.160000000003</v>
      </c>
      <c r="G38" s="12">
        <f t="shared" si="20"/>
        <v>68186.164799999999</v>
      </c>
      <c r="H38" s="12">
        <f t="shared" si="20"/>
        <v>70231.749744000001</v>
      </c>
      <c r="I38" s="12">
        <f t="shared" si="20"/>
        <v>72338.702236320009</v>
      </c>
      <c r="J38" s="12">
        <f t="shared" si="20"/>
        <v>74508.863303409613</v>
      </c>
      <c r="K38" s="12">
        <f t="shared" si="20"/>
        <v>76744.129202511904</v>
      </c>
      <c r="L38" s="12">
        <f t="shared" si="20"/>
        <v>79046.453078587263</v>
      </c>
      <c r="M38" s="12">
        <f t="shared" si="20"/>
        <v>81417.846670944884</v>
      </c>
      <c r="N38" s="18">
        <v>0.03</v>
      </c>
      <c r="O38" s="2" t="s">
        <v>53</v>
      </c>
      <c r="Q38" s="32">
        <v>30</v>
      </c>
      <c r="R38" t="s">
        <v>85</v>
      </c>
    </row>
    <row r="39" spans="2:18" x14ac:dyDescent="0.25">
      <c r="B39" s="15"/>
      <c r="C39" s="15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43"/>
      <c r="O39" s="2"/>
    </row>
    <row r="40" spans="2:18" x14ac:dyDescent="0.25">
      <c r="B40" s="6" t="s">
        <v>123</v>
      </c>
      <c r="C40" s="6"/>
      <c r="D40" s="12">
        <f>((D63+D62)/$N$40)</f>
        <v>23125</v>
      </c>
      <c r="E40" s="12">
        <f t="shared" ref="E40:K40" si="21">(E63+E62)/$N$40</f>
        <v>23125</v>
      </c>
      <c r="F40" s="12">
        <f t="shared" si="21"/>
        <v>23125</v>
      </c>
      <c r="G40" s="12">
        <f t="shared" si="21"/>
        <v>23125</v>
      </c>
      <c r="H40" s="12">
        <f t="shared" si="21"/>
        <v>23125</v>
      </c>
      <c r="I40" s="12">
        <f t="shared" si="21"/>
        <v>23125</v>
      </c>
      <c r="J40" s="12">
        <f t="shared" si="21"/>
        <v>23125</v>
      </c>
      <c r="K40" s="12">
        <f t="shared" si="21"/>
        <v>23125</v>
      </c>
      <c r="L40" s="12">
        <v>0</v>
      </c>
      <c r="M40" s="12">
        <v>0</v>
      </c>
      <c r="N40" s="21">
        <v>8</v>
      </c>
      <c r="O40" s="2" t="s">
        <v>67</v>
      </c>
      <c r="P40" s="3"/>
    </row>
    <row r="41" spans="2:18" x14ac:dyDescent="0.25">
      <c r="B41" s="6" t="s">
        <v>87</v>
      </c>
      <c r="C41" s="6"/>
      <c r="D41" s="12">
        <f>D60/50</f>
        <v>2000</v>
      </c>
      <c r="E41" s="12">
        <f t="shared" ref="E41:M41" si="22">$D$41</f>
        <v>2000</v>
      </c>
      <c r="F41" s="12">
        <f t="shared" si="22"/>
        <v>2000</v>
      </c>
      <c r="G41" s="12">
        <f t="shared" si="22"/>
        <v>2000</v>
      </c>
      <c r="H41" s="12">
        <f t="shared" si="22"/>
        <v>2000</v>
      </c>
      <c r="I41" s="12">
        <f t="shared" si="22"/>
        <v>2000</v>
      </c>
      <c r="J41" s="12">
        <f t="shared" si="22"/>
        <v>2000</v>
      </c>
      <c r="K41" s="12">
        <f t="shared" si="22"/>
        <v>2000</v>
      </c>
      <c r="L41" s="12">
        <f t="shared" si="22"/>
        <v>2000</v>
      </c>
      <c r="M41" s="12">
        <f t="shared" si="22"/>
        <v>2000</v>
      </c>
      <c r="N41" s="21">
        <v>50</v>
      </c>
      <c r="O41" s="2" t="s">
        <v>88</v>
      </c>
    </row>
    <row r="42" spans="2:18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2:18" x14ac:dyDescent="0.25">
      <c r="B43" s="6" t="s">
        <v>71</v>
      </c>
      <c r="C43" s="6"/>
      <c r="D43" s="8">
        <f>Mortgage!D14</f>
        <v>7980.6952685850993</v>
      </c>
      <c r="E43" s="8">
        <f>Mortgage!D28</f>
        <v>7839.4400432992725</v>
      </c>
      <c r="F43" s="8">
        <f>Mortgage!D42</f>
        <v>7692.2466053522767</v>
      </c>
      <c r="G43" s="8">
        <f>Mortgage!D56</f>
        <v>7538.8653188843546</v>
      </c>
      <c r="H43" s="8">
        <f>Mortgage!D70</f>
        <v>7379.0360536216831</v>
      </c>
      <c r="I43" s="8">
        <f>Mortgage!D84</f>
        <v>7212.4877437028754</v>
      </c>
      <c r="J43" s="8">
        <f>Mortgage!D98</f>
        <v>7038.9379279590275</v>
      </c>
      <c r="K43" s="8">
        <f>Mortgage!D112</f>
        <v>6858.092270867659</v>
      </c>
      <c r="L43" s="8">
        <f>Mortgage!D126</f>
        <v>6669.6440633680868</v>
      </c>
      <c r="M43" s="8">
        <f>Mortgage!D140</f>
        <v>6473.2737026916393</v>
      </c>
    </row>
    <row r="44" spans="2:18" x14ac:dyDescent="0.25">
      <c r="B44" s="6" t="s">
        <v>66</v>
      </c>
      <c r="C44" s="6"/>
      <c r="D44" s="12">
        <f>$N$44*D71</f>
        <v>29553.629639350194</v>
      </c>
      <c r="E44" s="12">
        <f>$N$44*E71</f>
        <v>32403.011369526237</v>
      </c>
      <c r="F44" s="12">
        <f t="shared" ref="F44:M44" si="23">$N$44*F70</f>
        <v>18448.997069587695</v>
      </c>
      <c r="G44" s="12">
        <f t="shared" si="23"/>
        <v>18068.803227430803</v>
      </c>
      <c r="H44" s="12">
        <f t="shared" si="23"/>
        <v>17672.626458747643</v>
      </c>
      <c r="I44" s="12">
        <f t="shared" si="23"/>
        <v>17259.794859072605</v>
      </c>
      <c r="J44" s="12">
        <f t="shared" si="23"/>
        <v>16829.60827782319</v>
      </c>
      <c r="K44" s="12">
        <f t="shared" si="23"/>
        <v>16381.337130864626</v>
      </c>
      <c r="L44" s="12">
        <f t="shared" si="23"/>
        <v>15914.221163156111</v>
      </c>
      <c r="M44" s="12">
        <f t="shared" si="23"/>
        <v>15427.468159379951</v>
      </c>
      <c r="N44" s="18">
        <v>0.1</v>
      </c>
      <c r="O44" s="2" t="s">
        <v>38</v>
      </c>
    </row>
    <row r="45" spans="2:18" x14ac:dyDescent="0.25">
      <c r="B45" s="6"/>
      <c r="C45" s="6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9"/>
      <c r="P45" s="1"/>
    </row>
    <row r="46" spans="2:18" x14ac:dyDescent="0.25">
      <c r="B46" s="6" t="s">
        <v>4</v>
      </c>
      <c r="C46" s="6"/>
      <c r="D46" s="12">
        <f t="shared" ref="D46:M46" si="24">D30-D32-SUM(D35:D38)-D40-D44-D41-D43</f>
        <v>-66859.324907935297</v>
      </c>
      <c r="E46" s="12">
        <f t="shared" si="24"/>
        <v>-39204.571412825506</v>
      </c>
      <c r="F46" s="12">
        <f t="shared" si="24"/>
        <v>8939.4998890602656</v>
      </c>
      <c r="G46" s="12">
        <f t="shared" si="24"/>
        <v>47559.230276603957</v>
      </c>
      <c r="H46" s="12">
        <f t="shared" si="24"/>
        <v>90642.29941526975</v>
      </c>
      <c r="I46" s="12">
        <f t="shared" si="24"/>
        <v>138624.80338883135</v>
      </c>
      <c r="J46" s="12">
        <f t="shared" si="24"/>
        <v>191983.95040021517</v>
      </c>
      <c r="K46" s="12">
        <f t="shared" si="24"/>
        <v>251241.93397129833</v>
      </c>
      <c r="L46" s="12">
        <f t="shared" si="24"/>
        <v>340095.1745363918</v>
      </c>
      <c r="M46" s="12">
        <f t="shared" si="24"/>
        <v>412918.96487824299</v>
      </c>
      <c r="N46" s="19"/>
    </row>
    <row r="47" spans="2:18" x14ac:dyDescent="0.25">
      <c r="B47" s="6" t="s">
        <v>5</v>
      </c>
      <c r="C47" s="6"/>
      <c r="D47" s="12">
        <f t="shared" ref="D47:M47" si="25">IF(D46&lt;0,0,D46*$N$47)</f>
        <v>0</v>
      </c>
      <c r="E47" s="12">
        <f t="shared" si="25"/>
        <v>0</v>
      </c>
      <c r="F47" s="12">
        <f t="shared" si="25"/>
        <v>2234.8749722650664</v>
      </c>
      <c r="G47" s="12">
        <f t="shared" si="25"/>
        <v>11889.807569150989</v>
      </c>
      <c r="H47" s="12">
        <f t="shared" si="25"/>
        <v>22660.574853817438</v>
      </c>
      <c r="I47" s="12">
        <f t="shared" si="25"/>
        <v>34656.200847207838</v>
      </c>
      <c r="J47" s="12">
        <f t="shared" si="25"/>
        <v>47995.987600053792</v>
      </c>
      <c r="K47" s="12">
        <f t="shared" si="25"/>
        <v>62810.483492824584</v>
      </c>
      <c r="L47" s="12">
        <f t="shared" si="25"/>
        <v>85023.79363409795</v>
      </c>
      <c r="M47" s="12">
        <f t="shared" si="25"/>
        <v>103229.74121956075</v>
      </c>
      <c r="N47" s="18">
        <v>0.25</v>
      </c>
      <c r="O47" t="s">
        <v>25</v>
      </c>
    </row>
    <row r="48" spans="2:18" x14ac:dyDescent="0.25">
      <c r="B48" s="6"/>
      <c r="C48" s="6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"/>
    </row>
    <row r="49" spans="2:23" x14ac:dyDescent="0.25">
      <c r="B49" s="6" t="s">
        <v>6</v>
      </c>
      <c r="C49" s="6"/>
      <c r="D49" s="12">
        <f>D46-D47</f>
        <v>-66859.324907935297</v>
      </c>
      <c r="E49" s="12">
        <f t="shared" ref="E49:L49" si="26">E46-E47</f>
        <v>-39204.571412825506</v>
      </c>
      <c r="F49" s="12">
        <f t="shared" si="26"/>
        <v>6704.6249167951992</v>
      </c>
      <c r="G49" s="12">
        <f t="shared" si="26"/>
        <v>35669.42270745297</v>
      </c>
      <c r="H49" s="12">
        <f t="shared" si="26"/>
        <v>67981.724561452313</v>
      </c>
      <c r="I49" s="12">
        <f t="shared" si="26"/>
        <v>103968.60254162352</v>
      </c>
      <c r="J49" s="12">
        <f t="shared" si="26"/>
        <v>143987.96280016139</v>
      </c>
      <c r="K49" s="12">
        <f t="shared" si="26"/>
        <v>188431.45047847374</v>
      </c>
      <c r="L49" s="12">
        <f t="shared" si="26"/>
        <v>255071.38090229384</v>
      </c>
      <c r="M49" s="12">
        <f>M46-M47</f>
        <v>309689.22365868225</v>
      </c>
    </row>
    <row r="50" spans="2:23" x14ac:dyDescent="0.25">
      <c r="B50" s="9"/>
      <c r="C50" s="9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2:23" ht="18.75" x14ac:dyDescent="0.3">
      <c r="B51" s="11" t="s">
        <v>7</v>
      </c>
      <c r="C51" s="11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2:23" x14ac:dyDescent="0.25">
      <c r="B52" s="17" t="s">
        <v>68</v>
      </c>
      <c r="C52" s="17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23" x14ac:dyDescent="0.25">
      <c r="B53" s="10" t="s">
        <v>10</v>
      </c>
      <c r="C53" s="10"/>
      <c r="D53" s="12">
        <v>5000</v>
      </c>
      <c r="E53" s="12">
        <v>5000</v>
      </c>
      <c r="F53" s="12">
        <v>5000</v>
      </c>
      <c r="G53" s="12">
        <v>5000</v>
      </c>
      <c r="H53" s="12">
        <v>5000</v>
      </c>
      <c r="I53" s="12">
        <v>5000</v>
      </c>
      <c r="J53" s="12">
        <v>5000</v>
      </c>
      <c r="K53" s="12">
        <v>5000</v>
      </c>
      <c r="L53" s="12">
        <v>5000</v>
      </c>
      <c r="M53" s="12">
        <v>5000</v>
      </c>
    </row>
    <row r="54" spans="2:23" x14ac:dyDescent="0.25">
      <c r="B54" s="10" t="s">
        <v>11</v>
      </c>
      <c r="C54" s="10"/>
      <c r="D54" s="12"/>
      <c r="E54" s="12"/>
      <c r="F54" s="12"/>
      <c r="G54" s="12"/>
      <c r="H54" s="12"/>
      <c r="I54" s="12"/>
      <c r="J54" s="12">
        <v>123256</v>
      </c>
      <c r="K54" s="12">
        <v>331825</v>
      </c>
      <c r="L54" s="12">
        <v>590214</v>
      </c>
      <c r="M54" s="12">
        <v>898057</v>
      </c>
    </row>
    <row r="55" spans="2:23" x14ac:dyDescent="0.25">
      <c r="B55" s="10" t="s">
        <v>12</v>
      </c>
      <c r="C55" s="10"/>
      <c r="D55" s="16">
        <f t="shared" ref="D55:M55" si="27">SUM(D26:D27,D29)/365*D20</f>
        <v>81616.438356164392</v>
      </c>
      <c r="E55" s="16">
        <f t="shared" si="27"/>
        <v>87059.95890410959</v>
      </c>
      <c r="F55" s="16">
        <f t="shared" si="27"/>
        <v>92873.74466712329</v>
      </c>
      <c r="G55" s="16">
        <f t="shared" si="27"/>
        <v>99083.515343840132</v>
      </c>
      <c r="H55" s="16">
        <f t="shared" si="27"/>
        <v>105716.81608992326</v>
      </c>
      <c r="I55" s="16">
        <f t="shared" si="27"/>
        <v>112803.14985131065</v>
      </c>
      <c r="J55" s="16">
        <f t="shared" si="27"/>
        <v>120374.11948399765</v>
      </c>
      <c r="K55" s="16">
        <f t="shared" si="27"/>
        <v>128463.58039730325</v>
      </c>
      <c r="L55" s="16">
        <f t="shared" si="27"/>
        <v>137107.80451394478</v>
      </c>
      <c r="M55" s="16">
        <f t="shared" si="27"/>
        <v>146345.65640099425</v>
      </c>
    </row>
    <row r="56" spans="2:23" x14ac:dyDescent="0.25">
      <c r="B56" s="10" t="s">
        <v>122</v>
      </c>
      <c r="C56" s="10"/>
      <c r="D56" s="16">
        <f>E38</f>
        <v>64272</v>
      </c>
      <c r="E56" s="16">
        <f t="shared" ref="E56:L56" si="28">F38</f>
        <v>66200.160000000003</v>
      </c>
      <c r="F56" s="16">
        <f t="shared" si="28"/>
        <v>68186.164799999999</v>
      </c>
      <c r="G56" s="16">
        <f t="shared" si="28"/>
        <v>70231.749744000001</v>
      </c>
      <c r="H56" s="16">
        <f t="shared" si="28"/>
        <v>72338.702236320009</v>
      </c>
      <c r="I56" s="16">
        <f t="shared" si="28"/>
        <v>74508.863303409613</v>
      </c>
      <c r="J56" s="16">
        <f t="shared" si="28"/>
        <v>76744.129202511904</v>
      </c>
      <c r="K56" s="16">
        <f t="shared" si="28"/>
        <v>79046.453078587263</v>
      </c>
      <c r="L56" s="16">
        <f t="shared" si="28"/>
        <v>81417.846670944884</v>
      </c>
      <c r="M56" s="16">
        <f>L56*(1+N38)</f>
        <v>83860.38207107324</v>
      </c>
    </row>
    <row r="57" spans="2:23" x14ac:dyDescent="0.25">
      <c r="B57" s="10" t="s">
        <v>13</v>
      </c>
      <c r="C57" s="10"/>
      <c r="D57" s="16">
        <f t="shared" ref="D57:M57" si="29">D32/365*D21</f>
        <v>129106.8493150685</v>
      </c>
      <c r="E57" s="12">
        <f t="shared" si="29"/>
        <v>136189.25260273973</v>
      </c>
      <c r="F57" s="12">
        <f t="shared" si="29"/>
        <v>143671.53203605476</v>
      </c>
      <c r="G57" s="12">
        <f t="shared" si="29"/>
        <v>151576.77295103602</v>
      </c>
      <c r="H57" s="12">
        <f t="shared" si="29"/>
        <v>159929.41551568324</v>
      </c>
      <c r="I57" s="12">
        <f t="shared" si="29"/>
        <v>168755.33518132218</v>
      </c>
      <c r="J57" s="12">
        <f t="shared" si="29"/>
        <v>178081.92795050613</v>
      </c>
      <c r="K57" s="12">
        <f t="shared" si="29"/>
        <v>187938.20075145605</v>
      </c>
      <c r="L57" s="12">
        <f t="shared" si="29"/>
        <v>198354.86722655102</v>
      </c>
      <c r="M57" s="12">
        <f t="shared" si="29"/>
        <v>209364.44926096729</v>
      </c>
    </row>
    <row r="58" spans="2:23" x14ac:dyDescent="0.25">
      <c r="B58" s="10"/>
      <c r="C58" s="10"/>
      <c r="D58" s="16"/>
      <c r="E58" s="12"/>
      <c r="F58" s="12"/>
      <c r="G58" s="12"/>
      <c r="H58" s="12"/>
      <c r="I58" s="12"/>
      <c r="J58" s="12"/>
      <c r="K58" s="12"/>
      <c r="L58" s="12"/>
      <c r="M58" s="12"/>
    </row>
    <row r="59" spans="2:23" x14ac:dyDescent="0.25">
      <c r="B59" s="10" t="s">
        <v>70</v>
      </c>
      <c r="C59" s="10"/>
      <c r="D59" s="12">
        <v>95000</v>
      </c>
      <c r="E59" s="12">
        <v>95000</v>
      </c>
      <c r="F59" s="12">
        <v>95000</v>
      </c>
      <c r="G59" s="12">
        <v>95000</v>
      </c>
      <c r="H59" s="12">
        <v>95000</v>
      </c>
      <c r="I59" s="12">
        <v>95000</v>
      </c>
      <c r="J59" s="12">
        <v>95000</v>
      </c>
      <c r="K59" s="12">
        <v>95000</v>
      </c>
      <c r="L59" s="12">
        <v>95000</v>
      </c>
      <c r="M59" s="12">
        <v>95000</v>
      </c>
    </row>
    <row r="60" spans="2:23" x14ac:dyDescent="0.25">
      <c r="B60" s="6" t="s">
        <v>86</v>
      </c>
      <c r="C60" s="6"/>
      <c r="D60" s="12">
        <v>100000</v>
      </c>
      <c r="E60" s="12">
        <f>D60</f>
        <v>100000</v>
      </c>
      <c r="F60" s="12">
        <f t="shared" ref="F60:M60" si="30">E60</f>
        <v>100000</v>
      </c>
      <c r="G60" s="12">
        <f t="shared" si="30"/>
        <v>100000</v>
      </c>
      <c r="H60" s="12">
        <f t="shared" si="30"/>
        <v>100000</v>
      </c>
      <c r="I60" s="12">
        <f t="shared" si="30"/>
        <v>100000</v>
      </c>
      <c r="J60" s="12">
        <f t="shared" si="30"/>
        <v>100000</v>
      </c>
      <c r="K60" s="12">
        <f t="shared" si="30"/>
        <v>100000</v>
      </c>
      <c r="L60" s="12">
        <f t="shared" si="30"/>
        <v>100000</v>
      </c>
      <c r="M60" s="12">
        <f t="shared" si="30"/>
        <v>100000</v>
      </c>
      <c r="O60" s="36"/>
      <c r="P60" s="36"/>
      <c r="Q60" s="36"/>
    </row>
    <row r="61" spans="2:23" x14ac:dyDescent="0.25">
      <c r="B61" s="6" t="s">
        <v>90</v>
      </c>
      <c r="C61" s="6"/>
      <c r="D61" s="12">
        <f>D41</f>
        <v>2000</v>
      </c>
      <c r="E61" s="12">
        <f t="shared" ref="E61:M61" si="31">D61+E41</f>
        <v>4000</v>
      </c>
      <c r="F61" s="12">
        <f t="shared" si="31"/>
        <v>6000</v>
      </c>
      <c r="G61" s="12">
        <f t="shared" si="31"/>
        <v>8000</v>
      </c>
      <c r="H61" s="12">
        <f t="shared" si="31"/>
        <v>10000</v>
      </c>
      <c r="I61" s="12">
        <f t="shared" si="31"/>
        <v>12000</v>
      </c>
      <c r="J61" s="12">
        <f t="shared" si="31"/>
        <v>14000</v>
      </c>
      <c r="K61" s="12">
        <f t="shared" si="31"/>
        <v>16000</v>
      </c>
      <c r="L61" s="12">
        <f t="shared" si="31"/>
        <v>18000</v>
      </c>
      <c r="M61" s="12">
        <f t="shared" si="31"/>
        <v>20000</v>
      </c>
      <c r="N61" s="36"/>
      <c r="O61" s="36"/>
      <c r="P61" s="36"/>
      <c r="Q61" s="36"/>
      <c r="R61" s="36"/>
      <c r="S61" s="36"/>
      <c r="T61" s="36"/>
      <c r="U61" s="36"/>
    </row>
    <row r="62" spans="2:23" x14ac:dyDescent="0.25">
      <c r="B62" s="6" t="s">
        <v>26</v>
      </c>
      <c r="C62" s="6"/>
      <c r="D62" s="12">
        <v>35000</v>
      </c>
      <c r="E62" s="12">
        <f>$D$62</f>
        <v>35000</v>
      </c>
      <c r="F62" s="12">
        <f t="shared" ref="F62:M62" si="32">$D$62</f>
        <v>35000</v>
      </c>
      <c r="G62" s="12">
        <f t="shared" si="32"/>
        <v>35000</v>
      </c>
      <c r="H62" s="12">
        <f t="shared" si="32"/>
        <v>35000</v>
      </c>
      <c r="I62" s="12">
        <f t="shared" si="32"/>
        <v>35000</v>
      </c>
      <c r="J62" s="12">
        <f t="shared" si="32"/>
        <v>35000</v>
      </c>
      <c r="K62" s="12">
        <f t="shared" si="32"/>
        <v>35000</v>
      </c>
      <c r="L62" s="12">
        <f t="shared" si="32"/>
        <v>35000</v>
      </c>
      <c r="M62" s="12">
        <f t="shared" si="32"/>
        <v>35000</v>
      </c>
      <c r="N62" s="36"/>
      <c r="O62" s="36"/>
      <c r="P62" s="36"/>
      <c r="Q62" s="36"/>
      <c r="R62" s="36"/>
      <c r="S62" s="36"/>
      <c r="T62" s="36"/>
    </row>
    <row r="63" spans="2:23" x14ac:dyDescent="0.25">
      <c r="B63" s="6" t="s">
        <v>27</v>
      </c>
      <c r="C63" s="6"/>
      <c r="D63" s="12">
        <f>50*$D$7</f>
        <v>150000</v>
      </c>
      <c r="E63" s="12">
        <f t="shared" ref="E63:M63" si="33">50*$D$7</f>
        <v>150000</v>
      </c>
      <c r="F63" s="12">
        <f t="shared" si="33"/>
        <v>150000</v>
      </c>
      <c r="G63" s="12">
        <f t="shared" si="33"/>
        <v>150000</v>
      </c>
      <c r="H63" s="12">
        <f t="shared" si="33"/>
        <v>150000</v>
      </c>
      <c r="I63" s="12">
        <f t="shared" si="33"/>
        <v>150000</v>
      </c>
      <c r="J63" s="12">
        <f t="shared" si="33"/>
        <v>150000</v>
      </c>
      <c r="K63" s="12">
        <f t="shared" si="33"/>
        <v>150000</v>
      </c>
      <c r="L63" s="12">
        <f t="shared" si="33"/>
        <v>150000</v>
      </c>
      <c r="M63" s="12">
        <f t="shared" si="33"/>
        <v>150000</v>
      </c>
      <c r="N63" s="36"/>
      <c r="O63" s="36" t="s">
        <v>127</v>
      </c>
      <c r="P63" s="36"/>
      <c r="Q63" s="36"/>
      <c r="R63" s="36" t="s">
        <v>94</v>
      </c>
      <c r="S63" s="36"/>
      <c r="T63" s="36"/>
    </row>
    <row r="64" spans="2:23" x14ac:dyDescent="0.25">
      <c r="B64" s="6" t="s">
        <v>30</v>
      </c>
      <c r="C64" s="6"/>
      <c r="D64" s="12">
        <f>D40</f>
        <v>23125</v>
      </c>
      <c r="E64" s="12">
        <f t="shared" ref="E64:K64" si="34">D64+E40</f>
        <v>46250</v>
      </c>
      <c r="F64" s="12">
        <f t="shared" si="34"/>
        <v>69375</v>
      </c>
      <c r="G64" s="12">
        <f t="shared" si="34"/>
        <v>92500</v>
      </c>
      <c r="H64" s="12">
        <f t="shared" si="34"/>
        <v>115625</v>
      </c>
      <c r="I64" s="12">
        <f t="shared" si="34"/>
        <v>138750</v>
      </c>
      <c r="J64" s="12">
        <f t="shared" si="34"/>
        <v>161875</v>
      </c>
      <c r="K64" s="12">
        <f t="shared" si="34"/>
        <v>185000</v>
      </c>
      <c r="L64" s="12">
        <f>K64</f>
        <v>185000</v>
      </c>
      <c r="M64" s="12">
        <f>L64</f>
        <v>185000</v>
      </c>
      <c r="N64" s="36"/>
      <c r="O64" s="36" t="s">
        <v>128</v>
      </c>
      <c r="P64" s="45">
        <v>1.06</v>
      </c>
      <c r="Q64" s="36"/>
      <c r="R64" s="36" t="s">
        <v>129</v>
      </c>
      <c r="S64" s="45">
        <v>1.06</v>
      </c>
      <c r="T64" s="36"/>
      <c r="W64" s="36"/>
    </row>
    <row r="65" spans="2:24" x14ac:dyDescent="0.25">
      <c r="B65" s="6"/>
      <c r="C65" s="6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36"/>
      <c r="O65" s="36" t="s">
        <v>130</v>
      </c>
      <c r="P65" s="45">
        <f>P64*(1+(1-0.2)*(O70+O71)/O74)</f>
        <v>1.78063612020068</v>
      </c>
      <c r="Q65" s="36"/>
      <c r="R65" s="36" t="s">
        <v>95</v>
      </c>
      <c r="S65" s="46">
        <v>2.47E-2</v>
      </c>
      <c r="T65" s="36"/>
    </row>
    <row r="66" spans="2:24" x14ac:dyDescent="0.25">
      <c r="B66" s="7" t="s">
        <v>29</v>
      </c>
      <c r="C66" s="7"/>
      <c r="D66" s="12">
        <f t="shared" ref="D66:M66" si="35">SUM(D53:D60)-D61+SUM(D62:D63)-D64</f>
        <v>634870.28767123283</v>
      </c>
      <c r="E66" s="12">
        <f t="shared" si="35"/>
        <v>624199.3715068493</v>
      </c>
      <c r="F66" s="12">
        <f t="shared" si="35"/>
        <v>614356.4415031781</v>
      </c>
      <c r="G66" s="12">
        <f t="shared" si="35"/>
        <v>605392.03803887614</v>
      </c>
      <c r="H66" s="12">
        <f t="shared" si="35"/>
        <v>597359.93384192651</v>
      </c>
      <c r="I66" s="12">
        <f t="shared" si="35"/>
        <v>590317.34833604237</v>
      </c>
      <c r="J66" s="12">
        <f t="shared" si="35"/>
        <v>707581.17663701565</v>
      </c>
      <c r="K66" s="12">
        <f t="shared" si="35"/>
        <v>911273.23422734672</v>
      </c>
      <c r="L66" s="12">
        <f t="shared" si="35"/>
        <v>1189094.5184114408</v>
      </c>
      <c r="M66" s="12">
        <f t="shared" si="35"/>
        <v>1517627.4877330346</v>
      </c>
      <c r="O66" s="36"/>
      <c r="P66" s="36"/>
      <c r="Q66" s="36"/>
      <c r="R66" s="36" t="s">
        <v>96</v>
      </c>
      <c r="S66" s="46">
        <v>7.85E-2</v>
      </c>
      <c r="T66" s="36"/>
    </row>
    <row r="67" spans="2:24" x14ac:dyDescent="0.25">
      <c r="B67" s="6"/>
      <c r="C67" s="6"/>
      <c r="D67" s="12"/>
      <c r="E67" s="12"/>
      <c r="F67" s="12"/>
      <c r="G67" s="12"/>
      <c r="H67" s="12"/>
      <c r="I67" s="12"/>
      <c r="J67" s="12"/>
      <c r="K67" s="12"/>
      <c r="L67" s="12"/>
      <c r="M67" s="12"/>
      <c r="O67" s="36"/>
      <c r="P67" s="36"/>
      <c r="Q67" s="36"/>
      <c r="R67" s="36" t="s">
        <v>131</v>
      </c>
      <c r="S67" s="47">
        <f>S65+S64*(S66-S65)</f>
        <v>8.1727999999999995E-2</v>
      </c>
      <c r="T67" s="36"/>
    </row>
    <row r="68" spans="2:24" x14ac:dyDescent="0.25">
      <c r="B68" s="17" t="s">
        <v>69</v>
      </c>
      <c r="C68" s="17"/>
      <c r="D68" s="12"/>
      <c r="E68" s="12"/>
      <c r="F68" s="12"/>
      <c r="G68" s="12"/>
      <c r="H68" s="12"/>
      <c r="I68" s="12"/>
      <c r="J68" s="12"/>
      <c r="K68" s="12"/>
      <c r="L68" s="12"/>
      <c r="M68" s="12"/>
      <c r="O68" s="36" t="s">
        <v>132</v>
      </c>
      <c r="P68" s="36"/>
      <c r="Q68" s="36"/>
      <c r="R68" s="36"/>
      <c r="S68" s="36"/>
      <c r="T68" s="36"/>
      <c r="X68" s="36"/>
    </row>
    <row r="69" spans="2:24" x14ac:dyDescent="0.25">
      <c r="B69" s="6" t="s">
        <v>31</v>
      </c>
      <c r="C69" s="6"/>
      <c r="D69" s="16">
        <f t="shared" ref="D69:M69" si="36">D32/365*D22</f>
        <v>64553.424657534248</v>
      </c>
      <c r="E69" s="12">
        <f t="shared" si="36"/>
        <v>68094.626301369863</v>
      </c>
      <c r="F69" s="12">
        <f t="shared" si="36"/>
        <v>71835.766018027382</v>
      </c>
      <c r="G69" s="12">
        <f t="shared" si="36"/>
        <v>75788.386475518011</v>
      </c>
      <c r="H69" s="12">
        <f t="shared" si="36"/>
        <v>79964.707757841621</v>
      </c>
      <c r="I69" s="12">
        <f t="shared" si="36"/>
        <v>84377.667590661091</v>
      </c>
      <c r="J69" s="12">
        <f t="shared" si="36"/>
        <v>89040.963975253064</v>
      </c>
      <c r="K69" s="12">
        <f t="shared" si="36"/>
        <v>93969.100375728027</v>
      </c>
      <c r="L69" s="12">
        <f t="shared" si="36"/>
        <v>99177.433613275512</v>
      </c>
      <c r="M69" s="12">
        <f t="shared" si="36"/>
        <v>104682.22463048364</v>
      </c>
      <c r="N69" t="s">
        <v>92</v>
      </c>
      <c r="O69" s="36" t="s">
        <v>133</v>
      </c>
      <c r="P69" s="36" t="s">
        <v>38</v>
      </c>
      <c r="Q69" s="36" t="s">
        <v>134</v>
      </c>
      <c r="R69" s="36" t="s">
        <v>93</v>
      </c>
      <c r="S69" s="36"/>
      <c r="T69" s="36"/>
    </row>
    <row r="70" spans="2:24" x14ac:dyDescent="0.25">
      <c r="B70" s="6" t="s">
        <v>89</v>
      </c>
      <c r="C70" s="6"/>
      <c r="D70" s="16">
        <f>Mortgage!F13</f>
        <v>191639.89152813188</v>
      </c>
      <c r="E70" s="12">
        <f>Mortgage!F27</f>
        <v>188138.5278309779</v>
      </c>
      <c r="F70" s="12">
        <f>Mortgage!F41</f>
        <v>184489.97069587695</v>
      </c>
      <c r="G70" s="12">
        <f>Mortgage!F55</f>
        <v>180688.03227430803</v>
      </c>
      <c r="H70" s="12">
        <f>Mortgage!F69</f>
        <v>176726.26458747644</v>
      </c>
      <c r="I70" s="12">
        <f>Mortgage!F83</f>
        <v>172597.94859072604</v>
      </c>
      <c r="J70" s="12">
        <f>Mortgage!F97</f>
        <v>168296.08277823188</v>
      </c>
      <c r="K70" s="12">
        <f>Mortgage!F111</f>
        <v>163813.37130864625</v>
      </c>
      <c r="L70" s="12">
        <f>Mortgage!F125</f>
        <v>159142.21163156111</v>
      </c>
      <c r="M70" s="12">
        <f>Mortgage!F139</f>
        <v>154274.6815937995</v>
      </c>
      <c r="N70" s="34">
        <f>AVERAGE(D70:M70)</f>
        <v>173980.6982819736</v>
      </c>
      <c r="O70" s="46">
        <f>N70/$N$77</f>
        <v>0.25622753903813139</v>
      </c>
      <c r="P70" s="46">
        <f>Q36</f>
        <v>4.1250000000000002E-2</v>
      </c>
      <c r="Q70" s="47">
        <f>O70*(1-P70)</f>
        <v>0.24565815305280847</v>
      </c>
      <c r="R70" s="48">
        <f>O70*Q70</f>
        <v>6.294438400137374E-2</v>
      </c>
      <c r="S70" s="36"/>
      <c r="T70" s="36"/>
    </row>
    <row r="71" spans="2:24" x14ac:dyDescent="0.25">
      <c r="B71" s="6" t="s">
        <v>32</v>
      </c>
      <c r="C71" s="6"/>
      <c r="D71" s="12">
        <v>295536.29639350192</v>
      </c>
      <c r="E71" s="12">
        <v>324030.11369526235</v>
      </c>
      <c r="F71" s="12">
        <v>305155.10122097388</v>
      </c>
      <c r="G71" s="12">
        <v>250715.6604164117</v>
      </c>
      <c r="H71" s="12">
        <v>163716.51077785145</v>
      </c>
      <c r="I71" s="12">
        <v>40425.052900884228</v>
      </c>
      <c r="J71" s="12">
        <v>0</v>
      </c>
      <c r="K71" s="12">
        <v>0</v>
      </c>
      <c r="L71" s="12">
        <v>0</v>
      </c>
      <c r="M71" s="12">
        <v>0</v>
      </c>
      <c r="N71" s="34">
        <f>AVERAGE(D71:M71)</f>
        <v>137957.8735404886</v>
      </c>
      <c r="O71" s="46">
        <f>N71/$N$77</f>
        <v>0.20317544864041767</v>
      </c>
      <c r="P71" s="46">
        <f>N44</f>
        <v>0.1</v>
      </c>
      <c r="Q71" s="47">
        <f>O71*(1-P71)</f>
        <v>0.1828579037763759</v>
      </c>
      <c r="R71" s="48">
        <f>O71*Q71</f>
        <v>3.7152236637211497E-2</v>
      </c>
      <c r="S71" s="36"/>
      <c r="T71" s="36"/>
    </row>
    <row r="72" spans="2:24" x14ac:dyDescent="0.25">
      <c r="B72" s="6" t="s">
        <v>33</v>
      </c>
      <c r="C72" s="6"/>
      <c r="D72" s="12">
        <f t="shared" ref="D72:M72" si="37">D47</f>
        <v>0</v>
      </c>
      <c r="E72" s="12">
        <f t="shared" si="37"/>
        <v>0</v>
      </c>
      <c r="F72" s="12">
        <f t="shared" si="37"/>
        <v>2234.8749722650664</v>
      </c>
      <c r="G72" s="12">
        <f t="shared" si="37"/>
        <v>11889.807569150989</v>
      </c>
      <c r="H72" s="12">
        <f t="shared" si="37"/>
        <v>22660.574853817438</v>
      </c>
      <c r="I72" s="12">
        <f t="shared" si="37"/>
        <v>34656.200847207838</v>
      </c>
      <c r="J72" s="12">
        <f t="shared" si="37"/>
        <v>47995.987600053792</v>
      </c>
      <c r="K72" s="12">
        <f t="shared" si="37"/>
        <v>62810.483492824584</v>
      </c>
      <c r="L72" s="12">
        <f t="shared" si="37"/>
        <v>85023.79363409795</v>
      </c>
      <c r="M72" s="12">
        <f t="shared" si="37"/>
        <v>103229.74121956075</v>
      </c>
      <c r="N72" s="34"/>
      <c r="O72" s="46"/>
      <c r="P72" s="36"/>
      <c r="Q72" s="47"/>
      <c r="R72" s="36"/>
      <c r="S72" s="36"/>
      <c r="T72" s="36"/>
    </row>
    <row r="73" spans="2:24" x14ac:dyDescent="0.25">
      <c r="B73" s="6"/>
      <c r="C73" s="6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34"/>
      <c r="O73" s="46"/>
      <c r="S73" s="36"/>
      <c r="T73" s="36"/>
    </row>
    <row r="74" spans="2:24" x14ac:dyDescent="0.25">
      <c r="B74" s="6" t="s">
        <v>34</v>
      </c>
      <c r="C74" s="6"/>
      <c r="D74" s="12">
        <v>150000</v>
      </c>
      <c r="E74" s="12">
        <v>150000</v>
      </c>
      <c r="F74" s="12">
        <v>150000</v>
      </c>
      <c r="G74" s="12">
        <v>150000</v>
      </c>
      <c r="H74" s="12">
        <v>150000</v>
      </c>
      <c r="I74" s="12">
        <v>150000</v>
      </c>
      <c r="J74" s="12">
        <v>150000</v>
      </c>
      <c r="K74" s="12">
        <v>150000</v>
      </c>
      <c r="L74" s="12">
        <v>150000</v>
      </c>
      <c r="M74" s="12">
        <v>150000</v>
      </c>
      <c r="N74" s="34">
        <f>AVERAGE(D74:M74)</f>
        <v>150000</v>
      </c>
      <c r="O74" s="46">
        <f>SUM(N74:N75)/N77</f>
        <v>0.54059701232145096</v>
      </c>
      <c r="P74" s="49">
        <f>S67</f>
        <v>8.1727999999999995E-2</v>
      </c>
      <c r="Q74" s="47">
        <f>P74</f>
        <v>8.1727999999999995E-2</v>
      </c>
      <c r="R74" s="48">
        <f>O74*Q74</f>
        <v>4.4181912623007545E-2</v>
      </c>
      <c r="S74" s="36"/>
      <c r="T74" s="36"/>
    </row>
    <row r="75" spans="2:24" x14ac:dyDescent="0.25">
      <c r="B75" s="6" t="s">
        <v>35</v>
      </c>
      <c r="C75" s="6"/>
      <c r="D75" s="12">
        <f>D49</f>
        <v>-66859.324907935297</v>
      </c>
      <c r="E75" s="12">
        <f t="shared" ref="E75:M75" si="38">D75+E49</f>
        <v>-106063.8963207608</v>
      </c>
      <c r="F75" s="12">
        <f t="shared" si="38"/>
        <v>-99359.271403965598</v>
      </c>
      <c r="G75" s="12">
        <f t="shared" si="38"/>
        <v>-63689.848696512629</v>
      </c>
      <c r="H75" s="12">
        <f t="shared" si="38"/>
        <v>4291.8758649396841</v>
      </c>
      <c r="I75" s="12">
        <f t="shared" si="38"/>
        <v>108260.4784065632</v>
      </c>
      <c r="J75" s="12">
        <f t="shared" si="38"/>
        <v>252248.44120672459</v>
      </c>
      <c r="K75" s="12">
        <f t="shared" si="38"/>
        <v>440679.89168519829</v>
      </c>
      <c r="L75" s="12">
        <f t="shared" si="38"/>
        <v>695751.27258749213</v>
      </c>
      <c r="M75" s="12">
        <f t="shared" si="38"/>
        <v>1005440.4962461744</v>
      </c>
      <c r="N75" s="34">
        <f>AVERAGE(D75:M75)</f>
        <v>217070.0114667918</v>
      </c>
      <c r="O75" s="46"/>
      <c r="P75" s="36"/>
      <c r="Q75" s="36"/>
      <c r="R75" s="36"/>
      <c r="S75" s="36"/>
      <c r="T75" s="36"/>
    </row>
    <row r="76" spans="2:24" x14ac:dyDescent="0.25">
      <c r="B76" s="6"/>
      <c r="C76" s="6"/>
      <c r="D76" s="12"/>
      <c r="E76" s="12"/>
      <c r="F76" s="12"/>
      <c r="G76" s="12"/>
      <c r="H76" s="12"/>
      <c r="I76" s="12"/>
      <c r="J76" s="12"/>
      <c r="K76" s="12"/>
      <c r="L76" s="12"/>
      <c r="M76" s="12"/>
      <c r="O76" s="46"/>
      <c r="P76" s="36"/>
      <c r="Q76" s="36"/>
      <c r="R76" s="50">
        <f>SUM(R70:R74)</f>
        <v>0.14427853326159279</v>
      </c>
      <c r="S76" s="36" t="s">
        <v>91</v>
      </c>
      <c r="T76" s="36"/>
    </row>
    <row r="77" spans="2:24" x14ac:dyDescent="0.25">
      <c r="B77" s="6" t="s">
        <v>36</v>
      </c>
      <c r="C77" s="6"/>
      <c r="D77" s="12">
        <f>SUM(D69:D76)</f>
        <v>634870.28767123271</v>
      </c>
      <c r="E77" s="12">
        <f t="shared" ref="E77:M77" si="39">SUM(E69:E76)</f>
        <v>624199.3715068493</v>
      </c>
      <c r="F77" s="12">
        <f t="shared" si="39"/>
        <v>614356.44150317763</v>
      </c>
      <c r="G77" s="12">
        <f t="shared" si="39"/>
        <v>605392.03803887614</v>
      </c>
      <c r="H77" s="12">
        <f t="shared" si="39"/>
        <v>597359.93384192663</v>
      </c>
      <c r="I77" s="12">
        <f t="shared" si="39"/>
        <v>590317.34833604237</v>
      </c>
      <c r="J77" s="12">
        <f t="shared" si="39"/>
        <v>707581.47556026326</v>
      </c>
      <c r="K77" s="12">
        <f t="shared" si="39"/>
        <v>911272.84686239716</v>
      </c>
      <c r="L77" s="12">
        <f t="shared" si="39"/>
        <v>1189094.7114664267</v>
      </c>
      <c r="M77" s="12">
        <f t="shared" si="39"/>
        <v>1517627.1436900184</v>
      </c>
      <c r="N77" s="34">
        <f>+SUM(N70:N75)</f>
        <v>679008.58328925399</v>
      </c>
      <c r="O77" s="46"/>
      <c r="P77" s="36"/>
      <c r="Q77" s="36"/>
      <c r="R77" s="36"/>
      <c r="S77" s="36"/>
      <c r="T77" s="36"/>
    </row>
    <row r="78" spans="2:24" x14ac:dyDescent="0.25">
      <c r="B78" s="6"/>
      <c r="C78" s="6"/>
      <c r="D78" s="12"/>
      <c r="E78" s="12"/>
      <c r="F78" s="12"/>
      <c r="G78" s="12"/>
      <c r="H78" s="12"/>
      <c r="I78" s="12"/>
      <c r="J78" s="12"/>
      <c r="K78" s="12"/>
      <c r="L78" s="12"/>
      <c r="M78" s="12"/>
      <c r="P78" s="46"/>
    </row>
    <row r="79" spans="2:24" x14ac:dyDescent="0.25">
      <c r="B79" s="6" t="s">
        <v>37</v>
      </c>
      <c r="C79" s="6"/>
      <c r="D79" s="12">
        <f t="shared" ref="D79:M79" si="40">D66-D77</f>
        <v>0</v>
      </c>
      <c r="E79" s="12">
        <f t="shared" si="40"/>
        <v>0</v>
      </c>
      <c r="F79" s="12">
        <f t="shared" si="40"/>
        <v>0</v>
      </c>
      <c r="G79" s="12">
        <f t="shared" si="40"/>
        <v>0</v>
      </c>
      <c r="H79" s="12">
        <f t="shared" si="40"/>
        <v>0</v>
      </c>
      <c r="I79" s="12">
        <f t="shared" si="40"/>
        <v>0</v>
      </c>
      <c r="J79" s="12">
        <f t="shared" si="40"/>
        <v>-0.29892324761021882</v>
      </c>
      <c r="K79" s="12">
        <f t="shared" si="40"/>
        <v>0.38736494956538081</v>
      </c>
      <c r="L79" s="12">
        <f t="shared" si="40"/>
        <v>-0.19305498595349491</v>
      </c>
      <c r="M79" s="12">
        <f t="shared" si="40"/>
        <v>0.34404301620088518</v>
      </c>
      <c r="P79" s="46"/>
    </row>
    <row r="80" spans="2:24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P80" s="46"/>
    </row>
    <row r="81" spans="1:16" x14ac:dyDescent="0.25">
      <c r="B81" s="37" t="s">
        <v>101</v>
      </c>
      <c r="C81" s="37">
        <v>0</v>
      </c>
      <c r="D81">
        <v>1</v>
      </c>
      <c r="E81" s="37">
        <v>2</v>
      </c>
      <c r="F81">
        <v>3</v>
      </c>
      <c r="G81" s="37">
        <v>4</v>
      </c>
      <c r="H81">
        <v>5</v>
      </c>
      <c r="I81" s="37">
        <v>6</v>
      </c>
      <c r="J81">
        <v>7</v>
      </c>
      <c r="K81" s="37">
        <v>8</v>
      </c>
      <c r="L81">
        <v>9</v>
      </c>
      <c r="M81" s="37">
        <v>10</v>
      </c>
      <c r="O81" s="37"/>
      <c r="P81" s="46"/>
    </row>
    <row r="82" spans="1:16" x14ac:dyDescent="0.25">
      <c r="B82" t="s">
        <v>102</v>
      </c>
    </row>
    <row r="83" spans="1:16" x14ac:dyDescent="0.25">
      <c r="B83" t="s">
        <v>103</v>
      </c>
      <c r="C83" s="34"/>
      <c r="D83" s="38">
        <f t="shared" ref="D83:M83" si="41">D30-D32-D35-D36-D37-D38</f>
        <v>-4200</v>
      </c>
      <c r="E83" s="38">
        <f t="shared" si="41"/>
        <v>26162.880000000005</v>
      </c>
      <c r="F83" s="38">
        <f t="shared" si="41"/>
        <v>60205.743564000193</v>
      </c>
      <c r="G83" s="38">
        <f t="shared" si="41"/>
        <v>98291.898822919058</v>
      </c>
      <c r="H83" s="38">
        <f t="shared" si="41"/>
        <v>140818.96192763912</v>
      </c>
      <c r="I83" s="38">
        <f t="shared" si="41"/>
        <v>188222.08599160679</v>
      </c>
      <c r="J83" s="38">
        <f t="shared" si="41"/>
        <v>240977.49660599738</v>
      </c>
      <c r="K83" s="38">
        <f t="shared" si="41"/>
        <v>299606.36337303062</v>
      </c>
      <c r="L83" s="38">
        <f t="shared" si="41"/>
        <v>364679.03976291599</v>
      </c>
      <c r="M83" s="38">
        <f t="shared" si="41"/>
        <v>436819.70674031455</v>
      </c>
    </row>
    <row r="84" spans="1:16" x14ac:dyDescent="0.25">
      <c r="B84" t="s">
        <v>104</v>
      </c>
      <c r="D84" s="39">
        <f t="shared" ref="D84:M84" si="42">D40+D41</f>
        <v>25125</v>
      </c>
      <c r="E84" s="39">
        <f t="shared" si="42"/>
        <v>25125</v>
      </c>
      <c r="F84" s="39">
        <f t="shared" si="42"/>
        <v>25125</v>
      </c>
      <c r="G84" s="39">
        <f t="shared" si="42"/>
        <v>25125</v>
      </c>
      <c r="H84" s="39">
        <f t="shared" si="42"/>
        <v>25125</v>
      </c>
      <c r="I84" s="39">
        <f t="shared" si="42"/>
        <v>25125</v>
      </c>
      <c r="J84" s="39">
        <f t="shared" si="42"/>
        <v>25125</v>
      </c>
      <c r="K84" s="39">
        <f t="shared" si="42"/>
        <v>25125</v>
      </c>
      <c r="L84" s="39">
        <f t="shared" si="42"/>
        <v>2000</v>
      </c>
      <c r="M84" s="39">
        <f t="shared" si="42"/>
        <v>2000</v>
      </c>
    </row>
    <row r="85" spans="1:16" x14ac:dyDescent="0.25">
      <c r="B85" t="s">
        <v>105</v>
      </c>
      <c r="D85" s="39">
        <f>D83-D84</f>
        <v>-29325</v>
      </c>
      <c r="E85" s="39">
        <f t="shared" ref="E85:M85" si="43">E83-E84</f>
        <v>1037.8800000000047</v>
      </c>
      <c r="F85" s="39">
        <f t="shared" si="43"/>
        <v>35080.743564000193</v>
      </c>
      <c r="G85" s="39">
        <f t="shared" si="43"/>
        <v>73166.898822919058</v>
      </c>
      <c r="H85" s="39">
        <f t="shared" si="43"/>
        <v>115693.96192763912</v>
      </c>
      <c r="I85" s="39">
        <f t="shared" si="43"/>
        <v>163097.08599160679</v>
      </c>
      <c r="J85" s="39">
        <f t="shared" si="43"/>
        <v>215852.49660599738</v>
      </c>
      <c r="K85" s="39">
        <f t="shared" si="43"/>
        <v>274481.36337303062</v>
      </c>
      <c r="L85" s="39">
        <f t="shared" si="43"/>
        <v>362679.03976291599</v>
      </c>
      <c r="M85" s="39">
        <f t="shared" si="43"/>
        <v>434819.70674031455</v>
      </c>
    </row>
    <row r="86" spans="1:16" x14ac:dyDescent="0.25">
      <c r="B86" t="s">
        <v>106</v>
      </c>
      <c r="D86" s="39">
        <f>IF(D85&gt;0,D85*$N$47,0)</f>
        <v>0</v>
      </c>
      <c r="E86" s="39">
        <f t="shared" ref="E86:M86" si="44">IF(E85&gt;0,E85*$N$47,0)</f>
        <v>259.47000000000116</v>
      </c>
      <c r="F86" s="39">
        <f t="shared" si="44"/>
        <v>8770.1858910000483</v>
      </c>
      <c r="G86" s="39">
        <f t="shared" si="44"/>
        <v>18291.724705729765</v>
      </c>
      <c r="H86" s="39">
        <f t="shared" si="44"/>
        <v>28923.490481909779</v>
      </c>
      <c r="I86" s="39">
        <f t="shared" si="44"/>
        <v>40774.271497901696</v>
      </c>
      <c r="J86" s="39">
        <f t="shared" si="44"/>
        <v>53963.124151499345</v>
      </c>
      <c r="K86" s="39">
        <f t="shared" si="44"/>
        <v>68620.340843257654</v>
      </c>
      <c r="L86" s="39">
        <f t="shared" si="44"/>
        <v>90669.759940728996</v>
      </c>
      <c r="M86" s="39">
        <f t="shared" si="44"/>
        <v>108704.92668507864</v>
      </c>
    </row>
    <row r="87" spans="1:16" x14ac:dyDescent="0.25">
      <c r="B87" t="s">
        <v>107</v>
      </c>
      <c r="D87" s="39">
        <f>D83-D86</f>
        <v>-4200</v>
      </c>
      <c r="E87" s="39">
        <f t="shared" ref="E87:M87" si="45">E83-E86</f>
        <v>25903.410000000003</v>
      </c>
      <c r="F87" s="39">
        <f t="shared" si="45"/>
        <v>51435.557673000148</v>
      </c>
      <c r="G87" s="39">
        <f t="shared" si="45"/>
        <v>80000.174117189294</v>
      </c>
      <c r="H87" s="39">
        <f t="shared" si="45"/>
        <v>111895.47144572934</v>
      </c>
      <c r="I87" s="39">
        <f t="shared" si="45"/>
        <v>147447.81449370508</v>
      </c>
      <c r="J87" s="39">
        <f t="shared" si="45"/>
        <v>187014.37245449802</v>
      </c>
      <c r="K87" s="39">
        <f t="shared" si="45"/>
        <v>230986.02252977295</v>
      </c>
      <c r="L87" s="39">
        <f t="shared" si="45"/>
        <v>274009.27982218697</v>
      </c>
      <c r="M87" s="39">
        <f t="shared" si="45"/>
        <v>328114.7800552359</v>
      </c>
    </row>
    <row r="89" spans="1:16" x14ac:dyDescent="0.25">
      <c r="B89" s="37" t="s">
        <v>108</v>
      </c>
    </row>
    <row r="90" spans="1:16" x14ac:dyDescent="0.25">
      <c r="B90" t="s">
        <v>109</v>
      </c>
    </row>
    <row r="91" spans="1:16" x14ac:dyDescent="0.25">
      <c r="A91" t="s">
        <v>110</v>
      </c>
      <c r="B91" t="str">
        <f>B53</f>
        <v xml:space="preserve">Cash </v>
      </c>
      <c r="C91" s="34">
        <f t="shared" ref="C91:M91" si="46">-(D53-C53)</f>
        <v>-5000</v>
      </c>
      <c r="D91" s="34">
        <f t="shared" si="46"/>
        <v>0</v>
      </c>
      <c r="E91" s="34">
        <f t="shared" si="46"/>
        <v>0</v>
      </c>
      <c r="F91" s="34">
        <f t="shared" si="46"/>
        <v>0</v>
      </c>
      <c r="G91" s="34">
        <f t="shared" si="46"/>
        <v>0</v>
      </c>
      <c r="H91" s="34">
        <f t="shared" si="46"/>
        <v>0</v>
      </c>
      <c r="I91" s="34">
        <f t="shared" si="46"/>
        <v>0</v>
      </c>
      <c r="J91" s="34">
        <f t="shared" si="46"/>
        <v>0</v>
      </c>
      <c r="K91" s="34">
        <f t="shared" si="46"/>
        <v>0</v>
      </c>
      <c r="L91" s="34">
        <f t="shared" si="46"/>
        <v>0</v>
      </c>
      <c r="M91" s="34">
        <f t="shared" si="46"/>
        <v>5000</v>
      </c>
    </row>
    <row r="92" spans="1:16" x14ac:dyDescent="0.25">
      <c r="A92" t="s">
        <v>110</v>
      </c>
      <c r="B92" t="str">
        <f>B54</f>
        <v xml:space="preserve">Extra Cash </v>
      </c>
      <c r="C92" s="34">
        <f t="shared" ref="C92:M92" si="47">-(D54-C54)</f>
        <v>0</v>
      </c>
      <c r="D92" s="34">
        <f t="shared" si="47"/>
        <v>0</v>
      </c>
      <c r="E92" s="34">
        <f t="shared" si="47"/>
        <v>0</v>
      </c>
      <c r="F92" s="34">
        <f t="shared" si="47"/>
        <v>0</v>
      </c>
      <c r="G92" s="34">
        <f t="shared" si="47"/>
        <v>0</v>
      </c>
      <c r="H92" s="34">
        <f t="shared" si="47"/>
        <v>0</v>
      </c>
      <c r="I92" s="34">
        <f t="shared" si="47"/>
        <v>-123256</v>
      </c>
      <c r="J92" s="34">
        <f t="shared" si="47"/>
        <v>-208569</v>
      </c>
      <c r="K92" s="34">
        <f t="shared" si="47"/>
        <v>-258389</v>
      </c>
      <c r="L92" s="34">
        <f t="shared" si="47"/>
        <v>-307843</v>
      </c>
      <c r="M92" s="34">
        <f t="shared" si="47"/>
        <v>898057</v>
      </c>
    </row>
    <row r="93" spans="1:16" x14ac:dyDescent="0.25">
      <c r="A93" t="s">
        <v>110</v>
      </c>
      <c r="B93" t="str">
        <f>B55</f>
        <v xml:space="preserve">Accounts Receivables </v>
      </c>
      <c r="C93" s="34">
        <f t="shared" ref="C93:M93" si="48">-(D55-C55)</f>
        <v>-81616.438356164392</v>
      </c>
      <c r="D93" s="34">
        <f t="shared" si="48"/>
        <v>-5443.5205479451979</v>
      </c>
      <c r="E93" s="34">
        <f t="shared" si="48"/>
        <v>-5813.7857630137005</v>
      </c>
      <c r="F93" s="34">
        <f t="shared" si="48"/>
        <v>-6209.770676716842</v>
      </c>
      <c r="G93" s="34">
        <f t="shared" si="48"/>
        <v>-6633.3007460831286</v>
      </c>
      <c r="H93" s="34">
        <f t="shared" si="48"/>
        <v>-7086.3337613873882</v>
      </c>
      <c r="I93" s="34">
        <f t="shared" si="48"/>
        <v>-7570.9696326870035</v>
      </c>
      <c r="J93" s="34">
        <f t="shared" si="48"/>
        <v>-8089.4609133055928</v>
      </c>
      <c r="K93" s="34">
        <f t="shared" si="48"/>
        <v>-8644.2241166415333</v>
      </c>
      <c r="L93" s="34">
        <f t="shared" si="48"/>
        <v>-9237.8518870494736</v>
      </c>
      <c r="M93" s="34">
        <f t="shared" si="48"/>
        <v>146345.65640099425</v>
      </c>
    </row>
    <row r="94" spans="1:16" x14ac:dyDescent="0.25">
      <c r="A94" t="s">
        <v>110</v>
      </c>
      <c r="B94" t="s">
        <v>122</v>
      </c>
      <c r="C94" s="34">
        <f t="shared" ref="C94:M94" si="49">-(D56-C56)</f>
        <v>-64272</v>
      </c>
      <c r="D94" s="34">
        <f t="shared" si="49"/>
        <v>-1928.1600000000035</v>
      </c>
      <c r="E94" s="34">
        <f t="shared" si="49"/>
        <v>-1986.0047999999952</v>
      </c>
      <c r="F94" s="34">
        <f t="shared" si="49"/>
        <v>-2045.584944000002</v>
      </c>
      <c r="G94" s="34">
        <f t="shared" si="49"/>
        <v>-2106.9524923200079</v>
      </c>
      <c r="H94" s="34">
        <f t="shared" si="49"/>
        <v>-2170.1610670896043</v>
      </c>
      <c r="I94" s="34">
        <f t="shared" si="49"/>
        <v>-2235.2658991022909</v>
      </c>
      <c r="J94" s="34">
        <f t="shared" si="49"/>
        <v>-2302.3238760753593</v>
      </c>
      <c r="K94" s="34">
        <f t="shared" si="49"/>
        <v>-2371.3935923576209</v>
      </c>
      <c r="L94" s="34">
        <f t="shared" si="49"/>
        <v>-2442.5354001283558</v>
      </c>
      <c r="M94" s="34">
        <f t="shared" si="49"/>
        <v>83860.38207107324</v>
      </c>
    </row>
    <row r="95" spans="1:16" x14ac:dyDescent="0.25">
      <c r="A95" t="s">
        <v>110</v>
      </c>
      <c r="B95" t="str">
        <f>B57</f>
        <v xml:space="preserve">Inventory </v>
      </c>
      <c r="C95" s="34">
        <f t="shared" ref="C95:M95" si="50">-(D57-C57)</f>
        <v>-129106.8493150685</v>
      </c>
      <c r="D95" s="34">
        <f t="shared" si="50"/>
        <v>-7082.4032876712299</v>
      </c>
      <c r="E95" s="34">
        <f t="shared" si="50"/>
        <v>-7482.2794333150377</v>
      </c>
      <c r="F95" s="34">
        <f t="shared" si="50"/>
        <v>-7905.2409149812593</v>
      </c>
      <c r="G95" s="34">
        <f t="shared" si="50"/>
        <v>-8352.6425646472198</v>
      </c>
      <c r="H95" s="34">
        <f t="shared" si="50"/>
        <v>-8825.9196656389395</v>
      </c>
      <c r="I95" s="34">
        <f t="shared" si="50"/>
        <v>-9326.5927691839461</v>
      </c>
      <c r="J95" s="34">
        <f t="shared" si="50"/>
        <v>-9856.272800949926</v>
      </c>
      <c r="K95" s="34">
        <f t="shared" si="50"/>
        <v>-10416.666475094971</v>
      </c>
      <c r="L95" s="34">
        <f t="shared" si="50"/>
        <v>-11009.582034416264</v>
      </c>
      <c r="M95" s="34">
        <f t="shared" si="50"/>
        <v>209364.44926096729</v>
      </c>
    </row>
    <row r="96" spans="1:16" x14ac:dyDescent="0.25">
      <c r="A96" t="s">
        <v>111</v>
      </c>
      <c r="B96" t="str">
        <f>B69</f>
        <v xml:space="preserve">Accounts payables </v>
      </c>
      <c r="C96" s="40">
        <f>(D69-C69)</f>
        <v>64553.424657534248</v>
      </c>
      <c r="D96" s="40">
        <f t="shared" ref="D96:L96" si="51">(E69-D69)</f>
        <v>3541.201643835615</v>
      </c>
      <c r="E96" s="40">
        <f t="shared" si="51"/>
        <v>3741.1397166575189</v>
      </c>
      <c r="F96" s="40">
        <f t="shared" si="51"/>
        <v>3952.6204574906296</v>
      </c>
      <c r="G96" s="40">
        <f t="shared" si="51"/>
        <v>4176.3212823236099</v>
      </c>
      <c r="H96" s="40">
        <f t="shared" si="51"/>
        <v>4412.9598328194697</v>
      </c>
      <c r="I96" s="40">
        <f t="shared" si="51"/>
        <v>4663.296384591973</v>
      </c>
      <c r="J96" s="40">
        <f t="shared" si="51"/>
        <v>4928.136400474963</v>
      </c>
      <c r="K96" s="40">
        <f t="shared" si="51"/>
        <v>5208.3332375474856</v>
      </c>
      <c r="L96" s="40">
        <f t="shared" si="51"/>
        <v>5504.791017208132</v>
      </c>
      <c r="M96" s="40">
        <f>(0-M69)</f>
        <v>-104682.22463048364</v>
      </c>
    </row>
    <row r="97" spans="1:15" x14ac:dyDescent="0.25">
      <c r="A97" t="s">
        <v>111</v>
      </c>
      <c r="B97" t="s">
        <v>117</v>
      </c>
      <c r="C97" s="40">
        <f>(D86-C86)</f>
        <v>0</v>
      </c>
      <c r="D97" s="40">
        <f t="shared" ref="D97:M97" si="52">(E86-D86)</f>
        <v>259.47000000000116</v>
      </c>
      <c r="E97" s="40">
        <f t="shared" si="52"/>
        <v>8510.7158910000471</v>
      </c>
      <c r="F97" s="40">
        <f t="shared" si="52"/>
        <v>9521.5388147297163</v>
      </c>
      <c r="G97" s="40">
        <f t="shared" si="52"/>
        <v>10631.765776180015</v>
      </c>
      <c r="H97" s="40">
        <f t="shared" si="52"/>
        <v>11850.781015991917</v>
      </c>
      <c r="I97" s="40">
        <f t="shared" si="52"/>
        <v>13188.852653597649</v>
      </c>
      <c r="J97" s="40">
        <f t="shared" si="52"/>
        <v>14657.216691758309</v>
      </c>
      <c r="K97" s="40">
        <f t="shared" si="52"/>
        <v>22049.419097471342</v>
      </c>
      <c r="L97" s="40">
        <f t="shared" si="52"/>
        <v>18035.166744349641</v>
      </c>
      <c r="M97" s="40">
        <f t="shared" si="52"/>
        <v>-108704.92668507864</v>
      </c>
    </row>
    <row r="99" spans="1:15" x14ac:dyDescent="0.25">
      <c r="B99" t="s">
        <v>112</v>
      </c>
    </row>
    <row r="100" spans="1:15" x14ac:dyDescent="0.25">
      <c r="A100" t="s">
        <v>110</v>
      </c>
      <c r="B100" t="s">
        <v>70</v>
      </c>
      <c r="C100" s="34">
        <f t="shared" ref="C100:M100" si="53">-(D59-C59)</f>
        <v>-95000</v>
      </c>
      <c r="D100" s="34">
        <f t="shared" si="53"/>
        <v>0</v>
      </c>
      <c r="E100" s="34">
        <f t="shared" si="53"/>
        <v>0</v>
      </c>
      <c r="F100" s="34">
        <f t="shared" si="53"/>
        <v>0</v>
      </c>
      <c r="G100" s="34">
        <f t="shared" si="53"/>
        <v>0</v>
      </c>
      <c r="H100" s="34">
        <f t="shared" si="53"/>
        <v>0</v>
      </c>
      <c r="I100" s="34">
        <f t="shared" si="53"/>
        <v>0</v>
      </c>
      <c r="J100" s="34">
        <f t="shared" si="53"/>
        <v>0</v>
      </c>
      <c r="K100" s="34">
        <f t="shared" si="53"/>
        <v>0</v>
      </c>
      <c r="L100" s="34">
        <f t="shared" si="53"/>
        <v>0</v>
      </c>
      <c r="M100" s="34">
        <f t="shared" si="53"/>
        <v>95000</v>
      </c>
      <c r="N100" t="s">
        <v>118</v>
      </c>
      <c r="O100" s="41">
        <v>0.2</v>
      </c>
    </row>
    <row r="101" spans="1:15" x14ac:dyDescent="0.25">
      <c r="B101" t="s">
        <v>113</v>
      </c>
      <c r="M101" s="34">
        <f>M100*O100</f>
        <v>19000</v>
      </c>
      <c r="N101" t="s">
        <v>119</v>
      </c>
      <c r="O101" s="34">
        <f>M59</f>
        <v>95000</v>
      </c>
    </row>
    <row r="102" spans="1:15" x14ac:dyDescent="0.25">
      <c r="A102" t="s">
        <v>110</v>
      </c>
      <c r="B102" t="s">
        <v>114</v>
      </c>
      <c r="M102">
        <f>-(O102*N47)</f>
        <v>-4750</v>
      </c>
      <c r="N102" t="s">
        <v>120</v>
      </c>
      <c r="O102" s="34">
        <f>SUM(M100:M101)-O101</f>
        <v>19000</v>
      </c>
    </row>
    <row r="103" spans="1:15" x14ac:dyDescent="0.25">
      <c r="O103" s="34"/>
    </row>
    <row r="104" spans="1:15" x14ac:dyDescent="0.25">
      <c r="A104" t="s">
        <v>110</v>
      </c>
      <c r="B104" t="s">
        <v>115</v>
      </c>
      <c r="C104" s="34">
        <f t="shared" ref="C104:M104" si="54">-(D60-C60)</f>
        <v>-100000</v>
      </c>
      <c r="D104" s="34">
        <f t="shared" si="54"/>
        <v>0</v>
      </c>
      <c r="E104" s="34">
        <f t="shared" si="54"/>
        <v>0</v>
      </c>
      <c r="F104" s="34">
        <f t="shared" si="54"/>
        <v>0</v>
      </c>
      <c r="G104" s="34">
        <f t="shared" si="54"/>
        <v>0</v>
      </c>
      <c r="H104" s="34">
        <f t="shared" si="54"/>
        <v>0</v>
      </c>
      <c r="I104" s="34">
        <f t="shared" si="54"/>
        <v>0</v>
      </c>
      <c r="J104" s="34">
        <f t="shared" si="54"/>
        <v>0</v>
      </c>
      <c r="K104" s="34">
        <f t="shared" si="54"/>
        <v>0</v>
      </c>
      <c r="L104" s="34">
        <f t="shared" si="54"/>
        <v>0</v>
      </c>
      <c r="M104" s="34">
        <f t="shared" si="54"/>
        <v>100000</v>
      </c>
      <c r="N104" t="s">
        <v>118</v>
      </c>
      <c r="O104" s="41">
        <v>-0.2</v>
      </c>
    </row>
    <row r="105" spans="1:15" x14ac:dyDescent="0.25">
      <c r="B105" t="s">
        <v>113</v>
      </c>
      <c r="M105" s="34">
        <f>M104*O104</f>
        <v>-20000</v>
      </c>
      <c r="N105" t="s">
        <v>119</v>
      </c>
      <c r="O105" s="34">
        <f>M60-M61</f>
        <v>80000</v>
      </c>
    </row>
    <row r="106" spans="1:15" x14ac:dyDescent="0.25">
      <c r="A106" t="s">
        <v>110</v>
      </c>
      <c r="B106" t="s">
        <v>114</v>
      </c>
      <c r="M106">
        <f>-(O106*N47)</f>
        <v>0</v>
      </c>
      <c r="N106" t="s">
        <v>120</v>
      </c>
      <c r="O106" s="34">
        <f>SUM(M104:M105)-O105</f>
        <v>0</v>
      </c>
    </row>
    <row r="107" spans="1:15" x14ac:dyDescent="0.25">
      <c r="O107" s="34"/>
    </row>
    <row r="108" spans="1:15" x14ac:dyDescent="0.25">
      <c r="A108" t="s">
        <v>110</v>
      </c>
      <c r="B108" t="s">
        <v>124</v>
      </c>
      <c r="C108" s="34">
        <f t="shared" ref="C108:M108" si="55">-(D62-C62)</f>
        <v>-35000</v>
      </c>
      <c r="D108" s="34">
        <f t="shared" si="55"/>
        <v>0</v>
      </c>
      <c r="E108" s="34">
        <f t="shared" si="55"/>
        <v>0</v>
      </c>
      <c r="F108" s="34">
        <f t="shared" si="55"/>
        <v>0</v>
      </c>
      <c r="G108" s="34">
        <f t="shared" si="55"/>
        <v>0</v>
      </c>
      <c r="H108" s="34">
        <f t="shared" si="55"/>
        <v>0</v>
      </c>
      <c r="I108" s="34">
        <f t="shared" si="55"/>
        <v>0</v>
      </c>
      <c r="J108" s="34">
        <f t="shared" si="55"/>
        <v>0</v>
      </c>
      <c r="K108" s="34">
        <f t="shared" si="55"/>
        <v>0</v>
      </c>
      <c r="L108" s="34">
        <f t="shared" si="55"/>
        <v>0</v>
      </c>
      <c r="M108" s="34">
        <f t="shared" si="55"/>
        <v>35000</v>
      </c>
      <c r="N108" t="s">
        <v>126</v>
      </c>
      <c r="O108" s="41">
        <v>-0.5</v>
      </c>
    </row>
    <row r="109" spans="1:15" x14ac:dyDescent="0.25">
      <c r="B109" t="s">
        <v>113</v>
      </c>
      <c r="M109" s="34">
        <f>K62*O108</f>
        <v>-17500</v>
      </c>
      <c r="N109" t="s">
        <v>119</v>
      </c>
      <c r="O109" s="34">
        <v>0</v>
      </c>
    </row>
    <row r="110" spans="1:15" x14ac:dyDescent="0.25">
      <c r="A110" t="s">
        <v>110</v>
      </c>
      <c r="B110" t="s">
        <v>114</v>
      </c>
      <c r="M110" s="44">
        <f>IF(O110&lt;0,0,O110*N47)</f>
        <v>4375</v>
      </c>
      <c r="N110" t="s">
        <v>125</v>
      </c>
      <c r="O110" s="34">
        <f>SUM(M108:M109)-O109</f>
        <v>17500</v>
      </c>
    </row>
    <row r="112" spans="1:15" x14ac:dyDescent="0.25">
      <c r="A112" t="s">
        <v>110</v>
      </c>
      <c r="B112" t="str">
        <f>+B63</f>
        <v xml:space="preserve">Rental Carts </v>
      </c>
      <c r="C112" s="34">
        <f t="shared" ref="C112:M112" si="56">-(D63-C63)</f>
        <v>-150000</v>
      </c>
      <c r="D112" s="34">
        <f t="shared" si="56"/>
        <v>0</v>
      </c>
      <c r="E112" s="34">
        <f t="shared" si="56"/>
        <v>0</v>
      </c>
      <c r="F112" s="34">
        <f t="shared" si="56"/>
        <v>0</v>
      </c>
      <c r="G112" s="34">
        <f t="shared" si="56"/>
        <v>0</v>
      </c>
      <c r="H112" s="34">
        <f t="shared" si="56"/>
        <v>0</v>
      </c>
      <c r="I112" s="34">
        <f t="shared" si="56"/>
        <v>0</v>
      </c>
      <c r="J112" s="34">
        <f t="shared" si="56"/>
        <v>0</v>
      </c>
      <c r="K112" s="34">
        <f t="shared" si="56"/>
        <v>0</v>
      </c>
      <c r="L112" s="34">
        <f t="shared" si="56"/>
        <v>0</v>
      </c>
      <c r="M112" s="34">
        <f t="shared" si="56"/>
        <v>150000</v>
      </c>
      <c r="N112" t="s">
        <v>118</v>
      </c>
      <c r="O112" s="41">
        <v>-0.5</v>
      </c>
    </row>
    <row r="113" spans="1:15" x14ac:dyDescent="0.25">
      <c r="B113" t="str">
        <f>+B109</f>
        <v>Adjustment for Resale</v>
      </c>
      <c r="M113" s="34">
        <f>K63*O112</f>
        <v>-75000</v>
      </c>
      <c r="N113" t="s">
        <v>119</v>
      </c>
      <c r="O113" s="34">
        <f>M71</f>
        <v>0</v>
      </c>
    </row>
    <row r="114" spans="1:15" x14ac:dyDescent="0.25">
      <c r="A114" t="s">
        <v>110</v>
      </c>
      <c r="B114" t="str">
        <f>+B110</f>
        <v>Taxes on Resale</v>
      </c>
      <c r="M114" s="44">
        <f>IF(O114&lt;0,0,O114*N47)</f>
        <v>18750</v>
      </c>
      <c r="N114" t="s">
        <v>125</v>
      </c>
      <c r="O114" s="34">
        <f>SUM(M112:M113)-O113</f>
        <v>75000</v>
      </c>
    </row>
    <row r="116" spans="1:15" x14ac:dyDescent="0.25">
      <c r="B116" t="s">
        <v>116</v>
      </c>
    </row>
    <row r="118" spans="1:15" x14ac:dyDescent="0.25">
      <c r="B118" s="37" t="s">
        <v>97</v>
      </c>
      <c r="C118" s="44">
        <f t="shared" ref="C118:M118" si="57">SUM(C87:C116)</f>
        <v>-595441.8630136986</v>
      </c>
      <c r="D118" s="44">
        <f t="shared" si="57"/>
        <v>-14853.412191780815</v>
      </c>
      <c r="E118" s="44">
        <f t="shared" si="57"/>
        <v>22873.195611328836</v>
      </c>
      <c r="F118" s="44">
        <f t="shared" si="57"/>
        <v>48749.120409522395</v>
      </c>
      <c r="G118" s="44">
        <f t="shared" si="57"/>
        <v>77715.365372642555</v>
      </c>
      <c r="H118" s="44">
        <f t="shared" si="57"/>
        <v>110076.7978004248</v>
      </c>
      <c r="I118" s="44">
        <f t="shared" si="57"/>
        <v>22911.135230921464</v>
      </c>
      <c r="J118" s="44">
        <f t="shared" si="57"/>
        <v>-22217.332043599585</v>
      </c>
      <c r="K118" s="44">
        <f t="shared" si="57"/>
        <v>-21577.509319302349</v>
      </c>
      <c r="L118" s="44">
        <f t="shared" si="57"/>
        <v>-32983.731737849346</v>
      </c>
      <c r="M118" s="44">
        <f t="shared" si="57"/>
        <v>1762230.1164727083</v>
      </c>
    </row>
    <row r="119" spans="1:15" x14ac:dyDescent="0.25">
      <c r="B119" s="37" t="s">
        <v>98</v>
      </c>
      <c r="C119" s="51">
        <f>IRR(C118:M118)</f>
        <v>0.1409746846857638</v>
      </c>
    </row>
    <row r="120" spans="1:15" x14ac:dyDescent="0.25">
      <c r="B120" s="37" t="s">
        <v>91</v>
      </c>
      <c r="C120" s="35">
        <f>R76</f>
        <v>0.14427853326159279</v>
      </c>
    </row>
    <row r="121" spans="1:15" x14ac:dyDescent="0.25">
      <c r="B121" s="37" t="s">
        <v>99</v>
      </c>
      <c r="C121" s="42">
        <f>-PV(C120,C81,,C118,)</f>
        <v>-595441.8630136986</v>
      </c>
      <c r="D121" s="42">
        <f t="shared" ref="D121:M121" si="58">-PV(D120,D81,,D118,)</f>
        <v>-14853.412191780815</v>
      </c>
      <c r="E121" s="42">
        <f t="shared" si="58"/>
        <v>22873.195611328836</v>
      </c>
      <c r="F121" s="42">
        <f t="shared" si="58"/>
        <v>48749.120409522395</v>
      </c>
      <c r="G121" s="42">
        <f t="shared" si="58"/>
        <v>77715.365372642555</v>
      </c>
      <c r="H121" s="42">
        <f t="shared" si="58"/>
        <v>110076.7978004248</v>
      </c>
      <c r="I121" s="42">
        <f t="shared" si="58"/>
        <v>22911.135230921464</v>
      </c>
      <c r="J121" s="42">
        <f t="shared" si="58"/>
        <v>-22217.332043599585</v>
      </c>
      <c r="K121" s="42">
        <f t="shared" si="58"/>
        <v>-21577.509319302349</v>
      </c>
      <c r="L121" s="42">
        <f t="shared" si="58"/>
        <v>-32983.731737849346</v>
      </c>
      <c r="M121" s="42">
        <f t="shared" si="58"/>
        <v>1762230.1164727083</v>
      </c>
    </row>
    <row r="122" spans="1:15" x14ac:dyDescent="0.25">
      <c r="B122" s="37" t="s">
        <v>100</v>
      </c>
      <c r="C122" s="52">
        <f>SUM(C121:M121)</f>
        <v>1357481.8825913176</v>
      </c>
    </row>
  </sheetData>
  <mergeCells count="1">
    <mergeCell ref="B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84"/>
  <sheetViews>
    <sheetView topLeftCell="A93" workbookViewId="0">
      <selection activeCell="C134" sqref="C134"/>
    </sheetView>
  </sheetViews>
  <sheetFormatPr defaultColWidth="11.5703125" defaultRowHeight="12.75" x14ac:dyDescent="0.2"/>
  <cols>
    <col min="1" max="1" width="30.140625" style="22" customWidth="1"/>
    <col min="2" max="3" width="12.7109375" style="22" customWidth="1"/>
    <col min="4" max="4" width="12.85546875" style="22" customWidth="1"/>
    <col min="5" max="5" width="13.5703125" style="22" customWidth="1"/>
    <col min="6" max="6" width="12.42578125" style="22" customWidth="1"/>
    <col min="7" max="16384" width="11.5703125" style="22"/>
  </cols>
  <sheetData>
    <row r="1" spans="1:9" x14ac:dyDescent="0.2">
      <c r="B1" s="22" t="s">
        <v>72</v>
      </c>
      <c r="C1" s="22" t="s">
        <v>73</v>
      </c>
      <c r="D1" s="22" t="s">
        <v>74</v>
      </c>
      <c r="E1" s="22" t="s">
        <v>75</v>
      </c>
      <c r="F1" s="22" t="s">
        <v>76</v>
      </c>
      <c r="H1" s="22" t="s">
        <v>38</v>
      </c>
      <c r="I1" s="23">
        <f>'Good Forecast'!Q36</f>
        <v>4.1250000000000002E-2</v>
      </c>
    </row>
    <row r="2" spans="1:9" x14ac:dyDescent="0.2">
      <c r="A2" s="24">
        <v>1</v>
      </c>
      <c r="B2" s="25">
        <f>I6</f>
        <v>195000</v>
      </c>
      <c r="C2" s="25">
        <f t="shared" ref="C2:C13" si="0">+E2-D2</f>
        <v>274.75447837110482</v>
      </c>
      <c r="D2" s="25">
        <f t="shared" ref="D2:D13" si="1">B2*$I$2</f>
        <v>670.3125</v>
      </c>
      <c r="E2" s="25">
        <f t="shared" ref="E2:E13" si="2">-$I$8</f>
        <v>945.06697837110482</v>
      </c>
      <c r="F2" s="25">
        <f t="shared" ref="F2:F13" si="3">+B2-C2</f>
        <v>194725.24552162891</v>
      </c>
      <c r="H2" s="22" t="s">
        <v>77</v>
      </c>
      <c r="I2" s="23">
        <f>I1/12</f>
        <v>3.4375E-3</v>
      </c>
    </row>
    <row r="3" spans="1:9" x14ac:dyDescent="0.2">
      <c r="A3" s="24">
        <v>2</v>
      </c>
      <c r="B3" s="25">
        <f t="shared" ref="B3:B13" si="4">+F2</f>
        <v>194725.24552162891</v>
      </c>
      <c r="C3" s="25">
        <f t="shared" si="0"/>
        <v>275.69894689050545</v>
      </c>
      <c r="D3" s="25">
        <f t="shared" si="1"/>
        <v>669.36803148059937</v>
      </c>
      <c r="E3" s="25">
        <f t="shared" si="2"/>
        <v>945.06697837110482</v>
      </c>
      <c r="F3" s="25">
        <f t="shared" si="3"/>
        <v>194449.5465747384</v>
      </c>
      <c r="H3" s="22" t="s">
        <v>78</v>
      </c>
      <c r="I3" s="26">
        <v>0</v>
      </c>
    </row>
    <row r="4" spans="1:9" x14ac:dyDescent="0.2">
      <c r="A4" s="24">
        <v>3</v>
      </c>
      <c r="B4" s="25">
        <f t="shared" si="4"/>
        <v>194449.5465747384</v>
      </c>
      <c r="C4" s="25">
        <f t="shared" si="0"/>
        <v>276.64666202044157</v>
      </c>
      <c r="D4" s="25">
        <f t="shared" si="1"/>
        <v>668.42031635066326</v>
      </c>
      <c r="E4" s="25">
        <f t="shared" si="2"/>
        <v>945.06697837110482</v>
      </c>
      <c r="F4" s="25">
        <f t="shared" si="3"/>
        <v>194172.89991271796</v>
      </c>
      <c r="H4" s="22" t="s">
        <v>79</v>
      </c>
      <c r="I4" s="27">
        <f>'Good Forecast'!Q38*12</f>
        <v>360</v>
      </c>
    </row>
    <row r="5" spans="1:9" x14ac:dyDescent="0.2">
      <c r="A5" s="24">
        <v>4</v>
      </c>
      <c r="B5" s="25">
        <f t="shared" si="4"/>
        <v>194172.89991271796</v>
      </c>
      <c r="C5" s="25">
        <f t="shared" si="0"/>
        <v>277.59763492113689</v>
      </c>
      <c r="D5" s="25">
        <f t="shared" si="1"/>
        <v>667.46934344996794</v>
      </c>
      <c r="E5" s="25">
        <f t="shared" si="2"/>
        <v>945.06697837110482</v>
      </c>
      <c r="F5" s="25">
        <f t="shared" si="3"/>
        <v>193895.30227779681</v>
      </c>
      <c r="H5" s="22" t="s">
        <v>80</v>
      </c>
      <c r="I5" s="22">
        <v>0</v>
      </c>
    </row>
    <row r="6" spans="1:9" x14ac:dyDescent="0.2">
      <c r="A6" s="24">
        <v>5</v>
      </c>
      <c r="B6" s="25">
        <f t="shared" si="4"/>
        <v>193895.30227779681</v>
      </c>
      <c r="C6" s="25">
        <f t="shared" si="0"/>
        <v>278.5518767911783</v>
      </c>
      <c r="D6" s="25">
        <f t="shared" si="1"/>
        <v>666.51510157992652</v>
      </c>
      <c r="E6" s="25">
        <f t="shared" si="2"/>
        <v>945.06697837110482</v>
      </c>
      <c r="F6" s="25">
        <f t="shared" si="3"/>
        <v>193616.75040100564</v>
      </c>
      <c r="H6" s="22" t="s">
        <v>81</v>
      </c>
      <c r="I6" s="26">
        <f>'Good Forecast'!Q37</f>
        <v>195000</v>
      </c>
    </row>
    <row r="7" spans="1:9" x14ac:dyDescent="0.2">
      <c r="A7" s="24">
        <v>6</v>
      </c>
      <c r="B7" s="25">
        <f t="shared" si="4"/>
        <v>193616.75040100564</v>
      </c>
      <c r="C7" s="25">
        <f t="shared" si="0"/>
        <v>279.50939886764797</v>
      </c>
      <c r="D7" s="25">
        <f t="shared" si="1"/>
        <v>665.55757950345685</v>
      </c>
      <c r="E7" s="25">
        <f t="shared" si="2"/>
        <v>945.06697837110482</v>
      </c>
      <c r="F7" s="25">
        <f t="shared" si="3"/>
        <v>193337.24100213801</v>
      </c>
    </row>
    <row r="8" spans="1:9" x14ac:dyDescent="0.2">
      <c r="A8" s="24">
        <v>7</v>
      </c>
      <c r="B8" s="25">
        <f t="shared" si="4"/>
        <v>193337.24100213801</v>
      </c>
      <c r="C8" s="25">
        <f t="shared" si="0"/>
        <v>280.47021242625544</v>
      </c>
      <c r="D8" s="25">
        <f t="shared" si="1"/>
        <v>664.59676594484938</v>
      </c>
      <c r="E8" s="25">
        <f t="shared" si="2"/>
        <v>945.06697837110482</v>
      </c>
      <c r="F8" s="25">
        <f t="shared" si="3"/>
        <v>193056.77078971174</v>
      </c>
      <c r="H8" s="22" t="s">
        <v>75</v>
      </c>
      <c r="I8" s="26">
        <f>PMT(I2,I4,I6,I3,I5)</f>
        <v>-945.06697837110482</v>
      </c>
    </row>
    <row r="9" spans="1:9" x14ac:dyDescent="0.2">
      <c r="A9" s="24">
        <v>8</v>
      </c>
      <c r="B9" s="25">
        <f t="shared" si="4"/>
        <v>193056.77078971174</v>
      </c>
      <c r="C9" s="25">
        <f t="shared" si="0"/>
        <v>281.43432878147075</v>
      </c>
      <c r="D9" s="25">
        <f t="shared" si="1"/>
        <v>663.63264958963407</v>
      </c>
      <c r="E9" s="25">
        <f t="shared" si="2"/>
        <v>945.06697837110482</v>
      </c>
      <c r="F9" s="25">
        <f t="shared" si="3"/>
        <v>192775.33646093027</v>
      </c>
    </row>
    <row r="10" spans="1:9" x14ac:dyDescent="0.2">
      <c r="A10" s="24">
        <v>9</v>
      </c>
      <c r="B10" s="25">
        <f t="shared" si="4"/>
        <v>192775.33646093027</v>
      </c>
      <c r="C10" s="25">
        <f t="shared" si="0"/>
        <v>282.40175928665701</v>
      </c>
      <c r="D10" s="25">
        <f t="shared" si="1"/>
        <v>662.66521908444781</v>
      </c>
      <c r="E10" s="25">
        <f t="shared" si="2"/>
        <v>945.06697837110482</v>
      </c>
      <c r="F10" s="25">
        <f t="shared" si="3"/>
        <v>192492.93470164362</v>
      </c>
    </row>
    <row r="11" spans="1:9" x14ac:dyDescent="0.2">
      <c r="A11" s="24">
        <v>10</v>
      </c>
      <c r="B11" s="25">
        <f t="shared" si="4"/>
        <v>192492.93470164362</v>
      </c>
      <c r="C11" s="25">
        <f t="shared" si="0"/>
        <v>283.37251533420488</v>
      </c>
      <c r="D11" s="25">
        <f t="shared" si="1"/>
        <v>661.69446303689995</v>
      </c>
      <c r="E11" s="25">
        <f t="shared" si="2"/>
        <v>945.06697837110482</v>
      </c>
      <c r="F11" s="25">
        <f t="shared" si="3"/>
        <v>192209.56218630943</v>
      </c>
    </row>
    <row r="12" spans="1:9" x14ac:dyDescent="0.2">
      <c r="A12" s="24">
        <v>11</v>
      </c>
      <c r="B12" s="25">
        <f t="shared" si="4"/>
        <v>192209.56218630943</v>
      </c>
      <c r="C12" s="25">
        <f t="shared" si="0"/>
        <v>284.34660835566615</v>
      </c>
      <c r="D12" s="25">
        <f t="shared" si="1"/>
        <v>660.72037001543868</v>
      </c>
      <c r="E12" s="25">
        <f t="shared" si="2"/>
        <v>945.06697837110482</v>
      </c>
      <c r="F12" s="25">
        <f t="shared" si="3"/>
        <v>191925.21557795376</v>
      </c>
    </row>
    <row r="13" spans="1:9" x14ac:dyDescent="0.2">
      <c r="A13" s="24">
        <v>12</v>
      </c>
      <c r="B13" s="25">
        <f t="shared" si="4"/>
        <v>191925.21557795376</v>
      </c>
      <c r="C13" s="25">
        <f t="shared" si="0"/>
        <v>285.32404982188882</v>
      </c>
      <c r="D13" s="25">
        <f t="shared" si="1"/>
        <v>659.742928549216</v>
      </c>
      <c r="E13" s="25">
        <f t="shared" si="2"/>
        <v>945.06697837110482</v>
      </c>
      <c r="F13" s="28">
        <f t="shared" si="3"/>
        <v>191639.89152813188</v>
      </c>
    </row>
    <row r="14" spans="1:9" x14ac:dyDescent="0.2">
      <c r="A14" s="29" t="s">
        <v>82</v>
      </c>
      <c r="B14" s="29"/>
      <c r="C14" s="28">
        <f>SUM(C2:C13)</f>
        <v>3360.1084718681582</v>
      </c>
      <c r="D14" s="28">
        <f>SUM(D2:D13)</f>
        <v>7980.6952685850993</v>
      </c>
      <c r="E14" s="25"/>
      <c r="F14" s="25"/>
    </row>
    <row r="15" spans="1:9" x14ac:dyDescent="0.2">
      <c r="A15" s="30"/>
      <c r="B15" s="30"/>
      <c r="C15" s="25"/>
      <c r="D15" s="25"/>
      <c r="E15" s="25"/>
      <c r="F15" s="25"/>
    </row>
    <row r="16" spans="1:9" x14ac:dyDescent="0.2">
      <c r="A16" s="24">
        <v>1</v>
      </c>
      <c r="B16" s="25">
        <f>+F13</f>
        <v>191639.89152813188</v>
      </c>
      <c r="C16" s="25">
        <f>+E16-D16</f>
        <v>286.30485124315146</v>
      </c>
      <c r="D16" s="25">
        <f t="shared" ref="D16:D27" si="5">B16*$I$2</f>
        <v>658.76212712795336</v>
      </c>
      <c r="E16" s="25">
        <f t="shared" ref="E16:E27" si="6">-$I$8</f>
        <v>945.06697837110482</v>
      </c>
      <c r="F16" s="25">
        <f t="shared" ref="F16:F27" si="7">+B16-C16</f>
        <v>191353.58667688872</v>
      </c>
    </row>
    <row r="17" spans="1:6" x14ac:dyDescent="0.2">
      <c r="A17" s="24">
        <v>2</v>
      </c>
      <c r="B17" s="25">
        <f t="shared" ref="B17:B27" si="8">+F16</f>
        <v>191353.58667688872</v>
      </c>
      <c r="C17" s="25">
        <f t="shared" ref="C17:C27" si="9">+E17-D17</f>
        <v>287.28902416929986</v>
      </c>
      <c r="D17" s="25">
        <f t="shared" si="5"/>
        <v>657.77795420180496</v>
      </c>
      <c r="E17" s="25">
        <f t="shared" si="6"/>
        <v>945.06697837110482</v>
      </c>
      <c r="F17" s="25">
        <f t="shared" si="7"/>
        <v>191066.29765271943</v>
      </c>
    </row>
    <row r="18" spans="1:6" x14ac:dyDescent="0.2">
      <c r="A18" s="24">
        <v>3</v>
      </c>
      <c r="B18" s="25">
        <f t="shared" si="8"/>
        <v>191066.29765271943</v>
      </c>
      <c r="C18" s="25">
        <f t="shared" si="9"/>
        <v>288.27658018988177</v>
      </c>
      <c r="D18" s="25">
        <f t="shared" si="5"/>
        <v>656.79039818122305</v>
      </c>
      <c r="E18" s="25">
        <f t="shared" si="6"/>
        <v>945.06697837110482</v>
      </c>
      <c r="F18" s="25">
        <f t="shared" si="7"/>
        <v>190778.02107252955</v>
      </c>
    </row>
    <row r="19" spans="1:6" x14ac:dyDescent="0.2">
      <c r="A19" s="24">
        <v>4</v>
      </c>
      <c r="B19" s="25">
        <f t="shared" si="8"/>
        <v>190778.02107252955</v>
      </c>
      <c r="C19" s="25">
        <f t="shared" si="9"/>
        <v>289.26753093428454</v>
      </c>
      <c r="D19" s="25">
        <f t="shared" si="5"/>
        <v>655.79944743682029</v>
      </c>
      <c r="E19" s="25">
        <f t="shared" si="6"/>
        <v>945.06697837110482</v>
      </c>
      <c r="F19" s="25">
        <f t="shared" si="7"/>
        <v>190488.75354159527</v>
      </c>
    </row>
    <row r="20" spans="1:6" x14ac:dyDescent="0.2">
      <c r="A20" s="24">
        <v>5</v>
      </c>
      <c r="B20" s="25">
        <f t="shared" si="8"/>
        <v>190488.75354159527</v>
      </c>
      <c r="C20" s="25">
        <f t="shared" si="9"/>
        <v>290.26188807187111</v>
      </c>
      <c r="D20" s="25">
        <f t="shared" si="5"/>
        <v>654.80509029923371</v>
      </c>
      <c r="E20" s="25">
        <f t="shared" si="6"/>
        <v>945.06697837110482</v>
      </c>
      <c r="F20" s="25">
        <f t="shared" si="7"/>
        <v>190198.49165352341</v>
      </c>
    </row>
    <row r="21" spans="1:6" x14ac:dyDescent="0.2">
      <c r="A21" s="24">
        <v>6</v>
      </c>
      <c r="B21" s="25">
        <f t="shared" si="8"/>
        <v>190198.49165352341</v>
      </c>
      <c r="C21" s="25">
        <f t="shared" si="9"/>
        <v>291.25966331211805</v>
      </c>
      <c r="D21" s="25">
        <f t="shared" si="5"/>
        <v>653.80731505898677</v>
      </c>
      <c r="E21" s="25">
        <f t="shared" si="6"/>
        <v>945.06697837110482</v>
      </c>
      <c r="F21" s="25">
        <f t="shared" si="7"/>
        <v>189907.23199021129</v>
      </c>
    </row>
    <row r="22" spans="1:6" x14ac:dyDescent="0.2">
      <c r="A22" s="24">
        <v>7</v>
      </c>
      <c r="B22" s="25">
        <f t="shared" si="8"/>
        <v>189907.23199021129</v>
      </c>
      <c r="C22" s="25">
        <f t="shared" si="9"/>
        <v>292.26086840475352</v>
      </c>
      <c r="D22" s="25">
        <f t="shared" si="5"/>
        <v>652.8061099663513</v>
      </c>
      <c r="E22" s="25">
        <f t="shared" si="6"/>
        <v>945.06697837110482</v>
      </c>
      <c r="F22" s="25">
        <f t="shared" si="7"/>
        <v>189614.97112180653</v>
      </c>
    </row>
    <row r="23" spans="1:6" x14ac:dyDescent="0.2">
      <c r="A23" s="24">
        <v>8</v>
      </c>
      <c r="B23" s="25">
        <f t="shared" si="8"/>
        <v>189614.97112180653</v>
      </c>
      <c r="C23" s="25">
        <f t="shared" si="9"/>
        <v>293.26551513989489</v>
      </c>
      <c r="D23" s="25">
        <f t="shared" si="5"/>
        <v>651.80146323120994</v>
      </c>
      <c r="E23" s="25">
        <f t="shared" si="6"/>
        <v>945.06697837110482</v>
      </c>
      <c r="F23" s="25">
        <f t="shared" si="7"/>
        <v>189321.70560666663</v>
      </c>
    </row>
    <row r="24" spans="1:6" x14ac:dyDescent="0.2">
      <c r="A24" s="24">
        <v>9</v>
      </c>
      <c r="B24" s="25">
        <f t="shared" si="8"/>
        <v>189321.70560666663</v>
      </c>
      <c r="C24" s="25">
        <f t="shared" si="9"/>
        <v>294.27361534818829</v>
      </c>
      <c r="D24" s="25">
        <f t="shared" si="5"/>
        <v>650.79336302291654</v>
      </c>
      <c r="E24" s="25">
        <f t="shared" si="6"/>
        <v>945.06697837110482</v>
      </c>
      <c r="F24" s="25">
        <f t="shared" si="7"/>
        <v>189027.43199131844</v>
      </c>
    </row>
    <row r="25" spans="1:6" x14ac:dyDescent="0.2">
      <c r="A25" s="24">
        <v>10</v>
      </c>
      <c r="B25" s="25">
        <f t="shared" si="8"/>
        <v>189027.43199131844</v>
      </c>
      <c r="C25" s="25">
        <f t="shared" si="9"/>
        <v>295.28518090094769</v>
      </c>
      <c r="D25" s="25">
        <f t="shared" si="5"/>
        <v>649.78179747015713</v>
      </c>
      <c r="E25" s="25">
        <f t="shared" si="6"/>
        <v>945.06697837110482</v>
      </c>
      <c r="F25" s="25">
        <f t="shared" si="7"/>
        <v>188732.1468104175</v>
      </c>
    </row>
    <row r="26" spans="1:6" x14ac:dyDescent="0.2">
      <c r="A26" s="24">
        <v>11</v>
      </c>
      <c r="B26" s="25">
        <f t="shared" si="8"/>
        <v>188732.1468104175</v>
      </c>
      <c r="C26" s="25">
        <f t="shared" si="9"/>
        <v>296.30022371029463</v>
      </c>
      <c r="D26" s="25">
        <f t="shared" si="5"/>
        <v>648.76675466081019</v>
      </c>
      <c r="E26" s="25">
        <f t="shared" si="6"/>
        <v>945.06697837110482</v>
      </c>
      <c r="F26" s="25">
        <f t="shared" si="7"/>
        <v>188435.84658670719</v>
      </c>
    </row>
    <row r="27" spans="1:6" x14ac:dyDescent="0.2">
      <c r="A27" s="24">
        <v>12</v>
      </c>
      <c r="B27" s="25">
        <f t="shared" si="8"/>
        <v>188435.84658670719</v>
      </c>
      <c r="C27" s="25">
        <f t="shared" si="9"/>
        <v>297.3187557292988</v>
      </c>
      <c r="D27" s="25">
        <f t="shared" si="5"/>
        <v>647.74822264180602</v>
      </c>
      <c r="E27" s="25">
        <f t="shared" si="6"/>
        <v>945.06697837110482</v>
      </c>
      <c r="F27" s="28">
        <f t="shared" si="7"/>
        <v>188138.5278309779</v>
      </c>
    </row>
    <row r="28" spans="1:6" x14ac:dyDescent="0.2">
      <c r="A28" s="29" t="s">
        <v>82</v>
      </c>
      <c r="B28" s="29"/>
      <c r="C28" s="28">
        <f>SUM(C16:C27)</f>
        <v>3501.3636971539845</v>
      </c>
      <c r="D28" s="28">
        <f>SUM(D16:D27)</f>
        <v>7839.4400432992725</v>
      </c>
      <c r="E28" s="25"/>
      <c r="F28" s="25"/>
    </row>
    <row r="29" spans="1:6" x14ac:dyDescent="0.2">
      <c r="A29" s="30"/>
      <c r="B29" s="30"/>
      <c r="C29" s="25"/>
      <c r="D29" s="25"/>
      <c r="E29" s="25"/>
      <c r="F29" s="25"/>
    </row>
    <row r="30" spans="1:6" x14ac:dyDescent="0.2">
      <c r="A30" s="24">
        <v>1</v>
      </c>
      <c r="B30" s="25">
        <f>+F27</f>
        <v>188138.5278309779</v>
      </c>
      <c r="C30" s="25">
        <f t="shared" ref="C30:C41" si="10">+E30-D30</f>
        <v>298.34078895211826</v>
      </c>
      <c r="D30" s="25">
        <f t="shared" ref="D30:D41" si="11">B30*$I$2</f>
        <v>646.72618941898656</v>
      </c>
      <c r="E30" s="25">
        <f t="shared" ref="E30:E41" si="12">-$I$8</f>
        <v>945.06697837110482</v>
      </c>
      <c r="F30" s="25">
        <f t="shared" ref="F30:F41" si="13">+B30-C30</f>
        <v>187840.18704202579</v>
      </c>
    </row>
    <row r="31" spans="1:6" x14ac:dyDescent="0.2">
      <c r="A31" s="24">
        <v>2</v>
      </c>
      <c r="B31" s="25">
        <f t="shared" ref="B31:B41" si="14">+F30</f>
        <v>187840.18704202579</v>
      </c>
      <c r="C31" s="25">
        <f t="shared" si="10"/>
        <v>299.36633541414119</v>
      </c>
      <c r="D31" s="25">
        <f t="shared" si="11"/>
        <v>645.70064295696363</v>
      </c>
      <c r="E31" s="25">
        <f t="shared" si="12"/>
        <v>945.06697837110482</v>
      </c>
      <c r="F31" s="25">
        <f t="shared" si="13"/>
        <v>187540.82070661164</v>
      </c>
    </row>
    <row r="32" spans="1:6" x14ac:dyDescent="0.2">
      <c r="A32" s="24">
        <v>3</v>
      </c>
      <c r="B32" s="25">
        <f t="shared" si="14"/>
        <v>187540.82070661164</v>
      </c>
      <c r="C32" s="25">
        <f t="shared" si="10"/>
        <v>300.39540719212732</v>
      </c>
      <c r="D32" s="25">
        <f t="shared" si="11"/>
        <v>644.6715711789775</v>
      </c>
      <c r="E32" s="25">
        <f t="shared" si="12"/>
        <v>945.06697837110482</v>
      </c>
      <c r="F32" s="25">
        <f t="shared" si="13"/>
        <v>187240.42529941953</v>
      </c>
    </row>
    <row r="33" spans="1:6" x14ac:dyDescent="0.2">
      <c r="A33" s="24">
        <v>4</v>
      </c>
      <c r="B33" s="25">
        <f t="shared" si="14"/>
        <v>187240.42529941953</v>
      </c>
      <c r="C33" s="25">
        <f t="shared" si="10"/>
        <v>301.42801640435016</v>
      </c>
      <c r="D33" s="25">
        <f t="shared" si="11"/>
        <v>643.63896196675466</v>
      </c>
      <c r="E33" s="25">
        <f t="shared" si="12"/>
        <v>945.06697837110482</v>
      </c>
      <c r="F33" s="25">
        <f t="shared" si="13"/>
        <v>186938.99728301517</v>
      </c>
    </row>
    <row r="34" spans="1:6" x14ac:dyDescent="0.2">
      <c r="A34" s="24">
        <v>5</v>
      </c>
      <c r="B34" s="25">
        <f t="shared" si="14"/>
        <v>186938.99728301517</v>
      </c>
      <c r="C34" s="25">
        <f t="shared" si="10"/>
        <v>302.46417521074022</v>
      </c>
      <c r="D34" s="25">
        <f t="shared" si="11"/>
        <v>642.6028031603646</v>
      </c>
      <c r="E34" s="25">
        <f t="shared" si="12"/>
        <v>945.06697837110482</v>
      </c>
      <c r="F34" s="25">
        <f t="shared" si="13"/>
        <v>186636.53310780443</v>
      </c>
    </row>
    <row r="35" spans="1:6" x14ac:dyDescent="0.2">
      <c r="A35" s="24">
        <v>6</v>
      </c>
      <c r="B35" s="25">
        <f t="shared" si="14"/>
        <v>186636.53310780443</v>
      </c>
      <c r="C35" s="25">
        <f t="shared" si="10"/>
        <v>303.50389581302716</v>
      </c>
      <c r="D35" s="25">
        <f t="shared" si="11"/>
        <v>641.56308255807767</v>
      </c>
      <c r="E35" s="25">
        <f t="shared" si="12"/>
        <v>945.06697837110482</v>
      </c>
      <c r="F35" s="25">
        <f t="shared" si="13"/>
        <v>186333.02921199141</v>
      </c>
    </row>
    <row r="36" spans="1:6" x14ac:dyDescent="0.2">
      <c r="A36" s="24">
        <v>7</v>
      </c>
      <c r="B36" s="25">
        <f t="shared" si="14"/>
        <v>186333.02921199141</v>
      </c>
      <c r="C36" s="25">
        <f t="shared" si="10"/>
        <v>304.54719045488434</v>
      </c>
      <c r="D36" s="25">
        <f t="shared" si="11"/>
        <v>640.51978791622048</v>
      </c>
      <c r="E36" s="25">
        <f t="shared" si="12"/>
        <v>945.06697837110482</v>
      </c>
      <c r="F36" s="25">
        <f t="shared" si="13"/>
        <v>186028.48202153653</v>
      </c>
    </row>
    <row r="37" spans="1:6" x14ac:dyDescent="0.2">
      <c r="A37" s="24">
        <v>8</v>
      </c>
      <c r="B37" s="25">
        <f t="shared" si="14"/>
        <v>186028.48202153653</v>
      </c>
      <c r="C37" s="25">
        <f t="shared" si="10"/>
        <v>305.59407142207294</v>
      </c>
      <c r="D37" s="25">
        <f t="shared" si="11"/>
        <v>639.47290694903188</v>
      </c>
      <c r="E37" s="25">
        <f t="shared" si="12"/>
        <v>945.06697837110482</v>
      </c>
      <c r="F37" s="25">
        <f t="shared" si="13"/>
        <v>185722.88795011447</v>
      </c>
    </row>
    <row r="38" spans="1:6" x14ac:dyDescent="0.2">
      <c r="A38" s="24">
        <v>9</v>
      </c>
      <c r="B38" s="25">
        <f t="shared" si="14"/>
        <v>185722.88795011447</v>
      </c>
      <c r="C38" s="25">
        <f t="shared" si="10"/>
        <v>306.64455104258639</v>
      </c>
      <c r="D38" s="25">
        <f t="shared" si="11"/>
        <v>638.42242732851844</v>
      </c>
      <c r="E38" s="25">
        <f t="shared" si="12"/>
        <v>945.06697837110482</v>
      </c>
      <c r="F38" s="25">
        <f t="shared" si="13"/>
        <v>185416.24339907189</v>
      </c>
    </row>
    <row r="39" spans="1:6" x14ac:dyDescent="0.2">
      <c r="A39" s="24">
        <v>10</v>
      </c>
      <c r="B39" s="25">
        <f t="shared" si="14"/>
        <v>185416.24339907189</v>
      </c>
      <c r="C39" s="25">
        <f t="shared" si="10"/>
        <v>307.69864168679521</v>
      </c>
      <c r="D39" s="25">
        <f t="shared" si="11"/>
        <v>637.36833668430961</v>
      </c>
      <c r="E39" s="25">
        <f t="shared" si="12"/>
        <v>945.06697837110482</v>
      </c>
      <c r="F39" s="25">
        <f t="shared" si="13"/>
        <v>185108.5447573851</v>
      </c>
    </row>
    <row r="40" spans="1:6" x14ac:dyDescent="0.2">
      <c r="A40" s="24">
        <v>11</v>
      </c>
      <c r="B40" s="25">
        <f t="shared" si="14"/>
        <v>185108.5447573851</v>
      </c>
      <c r="C40" s="25">
        <f t="shared" si="10"/>
        <v>308.7563557675935</v>
      </c>
      <c r="D40" s="25">
        <f t="shared" si="11"/>
        <v>636.31062260351132</v>
      </c>
      <c r="E40" s="25">
        <f t="shared" si="12"/>
        <v>945.06697837110482</v>
      </c>
      <c r="F40" s="25">
        <f t="shared" si="13"/>
        <v>184799.78840161749</v>
      </c>
    </row>
    <row r="41" spans="1:6" x14ac:dyDescent="0.2">
      <c r="A41" s="24">
        <v>12</v>
      </c>
      <c r="B41" s="25">
        <f t="shared" si="14"/>
        <v>184799.78840161749</v>
      </c>
      <c r="C41" s="25">
        <f t="shared" si="10"/>
        <v>309.81770574054474</v>
      </c>
      <c r="D41" s="25">
        <f t="shared" si="11"/>
        <v>635.24927263056009</v>
      </c>
      <c r="E41" s="25">
        <f t="shared" si="12"/>
        <v>945.06697837110482</v>
      </c>
      <c r="F41" s="28">
        <f t="shared" si="13"/>
        <v>184489.97069587695</v>
      </c>
    </row>
    <row r="42" spans="1:6" x14ac:dyDescent="0.2">
      <c r="A42" s="29" t="s">
        <v>82</v>
      </c>
      <c r="B42" s="29"/>
      <c r="C42" s="28">
        <f>SUM(C30:C41)</f>
        <v>3648.5571351009812</v>
      </c>
      <c r="D42" s="28">
        <f>SUM(D30:D41)</f>
        <v>7692.2466053522767</v>
      </c>
      <c r="E42" s="25"/>
      <c r="F42" s="25"/>
    </row>
    <row r="43" spans="1:6" x14ac:dyDescent="0.2">
      <c r="A43" s="30"/>
      <c r="B43" s="30"/>
      <c r="C43" s="25"/>
      <c r="D43" s="25"/>
      <c r="E43" s="25"/>
      <c r="F43" s="25"/>
    </row>
    <row r="44" spans="1:6" x14ac:dyDescent="0.2">
      <c r="A44" s="24">
        <v>1</v>
      </c>
      <c r="B44" s="25">
        <f>+F41</f>
        <v>184489.97069587695</v>
      </c>
      <c r="C44" s="25">
        <f t="shared" ref="C44:C55" si="15">+E44-D44</f>
        <v>310.88270410402777</v>
      </c>
      <c r="D44" s="25">
        <f t="shared" ref="D44:D55" si="16">B44*$I$2</f>
        <v>634.18427426707706</v>
      </c>
      <c r="E44" s="25">
        <f t="shared" ref="E44:E55" si="17">-$I$8</f>
        <v>945.06697837110482</v>
      </c>
      <c r="F44" s="25">
        <f t="shared" ref="F44:F55" si="18">+B44-C44</f>
        <v>184179.08799177292</v>
      </c>
    </row>
    <row r="45" spans="1:6" x14ac:dyDescent="0.2">
      <c r="A45" s="24">
        <v>2</v>
      </c>
      <c r="B45" s="25">
        <f t="shared" ref="B45:B55" si="19">+F44</f>
        <v>184179.08799177292</v>
      </c>
      <c r="C45" s="25">
        <f t="shared" si="15"/>
        <v>311.9513633993854</v>
      </c>
      <c r="D45" s="25">
        <f t="shared" si="16"/>
        <v>633.11561497171942</v>
      </c>
      <c r="E45" s="25">
        <f t="shared" si="17"/>
        <v>945.06697837110482</v>
      </c>
      <c r="F45" s="25">
        <f t="shared" si="18"/>
        <v>183867.13662837353</v>
      </c>
    </row>
    <row r="46" spans="1:6" x14ac:dyDescent="0.2">
      <c r="A46" s="24">
        <v>3</v>
      </c>
      <c r="B46" s="25">
        <f t="shared" si="19"/>
        <v>183867.13662837353</v>
      </c>
      <c r="C46" s="25">
        <f t="shared" si="15"/>
        <v>313.02369621107084</v>
      </c>
      <c r="D46" s="25">
        <f t="shared" si="16"/>
        <v>632.04328216003398</v>
      </c>
      <c r="E46" s="25">
        <f t="shared" si="17"/>
        <v>945.06697837110482</v>
      </c>
      <c r="F46" s="25">
        <f t="shared" si="18"/>
        <v>183554.11293216245</v>
      </c>
    </row>
    <row r="47" spans="1:6" x14ac:dyDescent="0.2">
      <c r="A47" s="24">
        <v>4</v>
      </c>
      <c r="B47" s="25">
        <f t="shared" si="19"/>
        <v>183554.11293216245</v>
      </c>
      <c r="C47" s="25">
        <f t="shared" si="15"/>
        <v>314.09971516679639</v>
      </c>
      <c r="D47" s="25">
        <f t="shared" si="16"/>
        <v>630.96726320430844</v>
      </c>
      <c r="E47" s="25">
        <f t="shared" si="17"/>
        <v>945.06697837110482</v>
      </c>
      <c r="F47" s="25">
        <f t="shared" si="18"/>
        <v>183240.01321699566</v>
      </c>
    </row>
    <row r="48" spans="1:6" x14ac:dyDescent="0.2">
      <c r="A48" s="24">
        <v>5</v>
      </c>
      <c r="B48" s="25">
        <f t="shared" si="19"/>
        <v>183240.01321699566</v>
      </c>
      <c r="C48" s="25">
        <f t="shared" si="15"/>
        <v>315.17943293768224</v>
      </c>
      <c r="D48" s="25">
        <f t="shared" si="16"/>
        <v>629.88754543342259</v>
      </c>
      <c r="E48" s="25">
        <f t="shared" si="17"/>
        <v>945.06697837110482</v>
      </c>
      <c r="F48" s="25">
        <f t="shared" si="18"/>
        <v>182924.83378405799</v>
      </c>
    </row>
    <row r="49" spans="1:7" x14ac:dyDescent="0.2">
      <c r="A49" s="24">
        <v>6</v>
      </c>
      <c r="B49" s="25">
        <f t="shared" si="19"/>
        <v>182924.83378405799</v>
      </c>
      <c r="C49" s="25">
        <f t="shared" si="15"/>
        <v>316.26286223840543</v>
      </c>
      <c r="D49" s="25">
        <f t="shared" si="16"/>
        <v>628.80411613269939</v>
      </c>
      <c r="E49" s="25">
        <f t="shared" si="17"/>
        <v>945.06697837110482</v>
      </c>
      <c r="F49" s="25">
        <f t="shared" si="18"/>
        <v>182608.5709218196</v>
      </c>
    </row>
    <row r="50" spans="1:7" x14ac:dyDescent="0.2">
      <c r="A50" s="24">
        <v>7</v>
      </c>
      <c r="B50" s="25">
        <f t="shared" si="19"/>
        <v>182608.5709218196</v>
      </c>
      <c r="C50" s="25">
        <f t="shared" si="15"/>
        <v>317.35001582734992</v>
      </c>
      <c r="D50" s="25">
        <f t="shared" si="16"/>
        <v>627.7169625437549</v>
      </c>
      <c r="E50" s="25">
        <f t="shared" si="17"/>
        <v>945.06697837110482</v>
      </c>
      <c r="F50" s="25">
        <f t="shared" si="18"/>
        <v>182291.22090599226</v>
      </c>
    </row>
    <row r="51" spans="1:7" x14ac:dyDescent="0.2">
      <c r="A51" s="24">
        <v>8</v>
      </c>
      <c r="B51" s="25">
        <f t="shared" si="19"/>
        <v>182291.22090599226</v>
      </c>
      <c r="C51" s="25">
        <f t="shared" si="15"/>
        <v>318.44090650675639</v>
      </c>
      <c r="D51" s="25">
        <f t="shared" si="16"/>
        <v>626.62607186434843</v>
      </c>
      <c r="E51" s="25">
        <f t="shared" si="17"/>
        <v>945.06697837110482</v>
      </c>
      <c r="F51" s="25">
        <f t="shared" si="18"/>
        <v>181972.7799994855</v>
      </c>
    </row>
    <row r="52" spans="1:7" x14ac:dyDescent="0.2">
      <c r="A52" s="24">
        <v>9</v>
      </c>
      <c r="B52" s="25">
        <f t="shared" si="19"/>
        <v>181972.7799994855</v>
      </c>
      <c r="C52" s="25">
        <f t="shared" si="15"/>
        <v>319.53554712287337</v>
      </c>
      <c r="D52" s="25">
        <f t="shared" si="16"/>
        <v>625.53143124823146</v>
      </c>
      <c r="E52" s="25">
        <f t="shared" si="17"/>
        <v>945.06697837110482</v>
      </c>
      <c r="F52" s="25">
        <f t="shared" si="18"/>
        <v>181653.24445236262</v>
      </c>
    </row>
    <row r="53" spans="1:7" x14ac:dyDescent="0.2">
      <c r="A53" s="24">
        <v>10</v>
      </c>
      <c r="B53" s="25">
        <f t="shared" si="19"/>
        <v>181653.24445236262</v>
      </c>
      <c r="C53" s="25">
        <f t="shared" si="15"/>
        <v>320.6339505661083</v>
      </c>
      <c r="D53" s="25">
        <f t="shared" si="16"/>
        <v>624.43302780499653</v>
      </c>
      <c r="E53" s="25">
        <f t="shared" si="17"/>
        <v>945.06697837110482</v>
      </c>
      <c r="F53" s="25">
        <f t="shared" si="18"/>
        <v>181332.6105017965</v>
      </c>
    </row>
    <row r="54" spans="1:7" x14ac:dyDescent="0.2">
      <c r="A54" s="24">
        <v>11</v>
      </c>
      <c r="B54" s="25">
        <f t="shared" si="19"/>
        <v>181332.6105017965</v>
      </c>
      <c r="C54" s="25">
        <f t="shared" si="15"/>
        <v>321.73612977117932</v>
      </c>
      <c r="D54" s="25">
        <f t="shared" si="16"/>
        <v>623.3308485999255</v>
      </c>
      <c r="E54" s="25">
        <f t="shared" si="17"/>
        <v>945.06697837110482</v>
      </c>
      <c r="F54" s="25">
        <f t="shared" si="18"/>
        <v>181010.87437202531</v>
      </c>
    </row>
    <row r="55" spans="1:7" x14ac:dyDescent="0.2">
      <c r="A55" s="24">
        <v>12</v>
      </c>
      <c r="B55" s="25">
        <f t="shared" si="19"/>
        <v>181010.87437202531</v>
      </c>
      <c r="C55" s="25">
        <f t="shared" si="15"/>
        <v>322.84209771726785</v>
      </c>
      <c r="D55" s="25">
        <f t="shared" si="16"/>
        <v>622.22488065383698</v>
      </c>
      <c r="E55" s="25">
        <f t="shared" si="17"/>
        <v>945.06697837110482</v>
      </c>
      <c r="F55" s="28">
        <f t="shared" si="18"/>
        <v>180688.03227430803</v>
      </c>
      <c r="G55" s="25"/>
    </row>
    <row r="56" spans="1:7" x14ac:dyDescent="0.2">
      <c r="A56" s="29" t="s">
        <v>82</v>
      </c>
      <c r="B56" s="31"/>
      <c r="C56" s="28">
        <f>SUM(C44:C55)</f>
        <v>3801.9384215689029</v>
      </c>
      <c r="D56" s="28">
        <f>SUM(D44:D55)</f>
        <v>7538.8653188843546</v>
      </c>
    </row>
    <row r="58" spans="1:7" x14ac:dyDescent="0.2">
      <c r="A58" s="24">
        <v>1</v>
      </c>
      <c r="B58" s="25">
        <f>+F55</f>
        <v>180688.03227430803</v>
      </c>
      <c r="C58" s="25">
        <f t="shared" ref="C58:C69" si="20">+E58-D58</f>
        <v>323.951867428171</v>
      </c>
      <c r="D58" s="25">
        <f t="shared" ref="D58:D69" si="21">B58*$I$2</f>
        <v>621.11511094293382</v>
      </c>
      <c r="E58" s="25">
        <f t="shared" ref="E58:E69" si="22">-$I$8</f>
        <v>945.06697837110482</v>
      </c>
      <c r="F58" s="25">
        <f t="shared" ref="F58:F69" si="23">+B58-C58</f>
        <v>180364.08040687986</v>
      </c>
    </row>
    <row r="59" spans="1:7" x14ac:dyDescent="0.2">
      <c r="A59" s="24">
        <v>2</v>
      </c>
      <c r="B59" s="25">
        <f t="shared" ref="B59:B69" si="24">+F58</f>
        <v>180364.08040687986</v>
      </c>
      <c r="C59" s="25">
        <f t="shared" si="20"/>
        <v>325.06545197245532</v>
      </c>
      <c r="D59" s="25">
        <f t="shared" si="21"/>
        <v>620.0015263986495</v>
      </c>
      <c r="E59" s="25">
        <f t="shared" si="22"/>
        <v>945.06697837110482</v>
      </c>
      <c r="F59" s="25">
        <f t="shared" si="23"/>
        <v>180039.01495490741</v>
      </c>
    </row>
    <row r="60" spans="1:7" x14ac:dyDescent="0.2">
      <c r="A60" s="24">
        <v>3</v>
      </c>
      <c r="B60" s="25">
        <f t="shared" si="24"/>
        <v>180039.01495490741</v>
      </c>
      <c r="C60" s="25">
        <f t="shared" si="20"/>
        <v>326.1828644636106</v>
      </c>
      <c r="D60" s="25">
        <f t="shared" si="21"/>
        <v>618.88411390749422</v>
      </c>
      <c r="E60" s="25">
        <f t="shared" si="22"/>
        <v>945.06697837110482</v>
      </c>
      <c r="F60" s="25">
        <f t="shared" si="23"/>
        <v>179712.83209044382</v>
      </c>
    </row>
    <row r="61" spans="1:7" x14ac:dyDescent="0.2">
      <c r="A61" s="24">
        <v>4</v>
      </c>
      <c r="B61" s="25">
        <f t="shared" si="24"/>
        <v>179712.83209044382</v>
      </c>
      <c r="C61" s="25">
        <f t="shared" si="20"/>
        <v>327.30411806020425</v>
      </c>
      <c r="D61" s="25">
        <f t="shared" si="21"/>
        <v>617.76286031090058</v>
      </c>
      <c r="E61" s="25">
        <f t="shared" si="22"/>
        <v>945.06697837110482</v>
      </c>
      <c r="F61" s="25">
        <f t="shared" si="23"/>
        <v>179385.5279723836</v>
      </c>
    </row>
    <row r="62" spans="1:7" x14ac:dyDescent="0.2">
      <c r="A62" s="24">
        <v>5</v>
      </c>
      <c r="B62" s="25">
        <f t="shared" si="24"/>
        <v>179385.5279723836</v>
      </c>
      <c r="C62" s="25">
        <f t="shared" si="20"/>
        <v>328.42922596603614</v>
      </c>
      <c r="D62" s="25">
        <f t="shared" si="21"/>
        <v>616.63775240506868</v>
      </c>
      <c r="E62" s="25">
        <f t="shared" si="22"/>
        <v>945.06697837110482</v>
      </c>
      <c r="F62" s="25">
        <f t="shared" si="23"/>
        <v>179057.09874641756</v>
      </c>
    </row>
    <row r="63" spans="1:7" x14ac:dyDescent="0.2">
      <c r="A63" s="24">
        <v>6</v>
      </c>
      <c r="B63" s="25">
        <f t="shared" si="24"/>
        <v>179057.09874641756</v>
      </c>
      <c r="C63" s="25">
        <f t="shared" si="20"/>
        <v>329.5582014302945</v>
      </c>
      <c r="D63" s="25">
        <f t="shared" si="21"/>
        <v>615.50877694081032</v>
      </c>
      <c r="E63" s="25">
        <f t="shared" si="22"/>
        <v>945.06697837110482</v>
      </c>
      <c r="F63" s="25">
        <f t="shared" si="23"/>
        <v>178727.54054498725</v>
      </c>
    </row>
    <row r="64" spans="1:7" x14ac:dyDescent="0.2">
      <c r="A64" s="24">
        <v>7</v>
      </c>
      <c r="B64" s="25">
        <f t="shared" si="24"/>
        <v>178727.54054498725</v>
      </c>
      <c r="C64" s="25">
        <f t="shared" si="20"/>
        <v>330.69105774771117</v>
      </c>
      <c r="D64" s="25">
        <f t="shared" si="21"/>
        <v>614.37592062339365</v>
      </c>
      <c r="E64" s="25">
        <f t="shared" si="22"/>
        <v>945.06697837110482</v>
      </c>
      <c r="F64" s="25">
        <f t="shared" si="23"/>
        <v>178396.84948723952</v>
      </c>
    </row>
    <row r="65" spans="1:6" x14ac:dyDescent="0.2">
      <c r="A65" s="24">
        <v>8</v>
      </c>
      <c r="B65" s="25">
        <f t="shared" si="24"/>
        <v>178396.84948723952</v>
      </c>
      <c r="C65" s="25">
        <f t="shared" si="20"/>
        <v>331.82780825871896</v>
      </c>
      <c r="D65" s="25">
        <f t="shared" si="21"/>
        <v>613.23917011238586</v>
      </c>
      <c r="E65" s="25">
        <f t="shared" si="22"/>
        <v>945.06697837110482</v>
      </c>
      <c r="F65" s="25">
        <f t="shared" si="23"/>
        <v>178065.02167898082</v>
      </c>
    </row>
    <row r="66" spans="1:6" x14ac:dyDescent="0.2">
      <c r="A66" s="24">
        <v>9</v>
      </c>
      <c r="B66" s="25">
        <f t="shared" si="24"/>
        <v>178065.02167898082</v>
      </c>
      <c r="C66" s="25">
        <f t="shared" si="20"/>
        <v>332.96846634960821</v>
      </c>
      <c r="D66" s="25">
        <f t="shared" si="21"/>
        <v>612.09851202149662</v>
      </c>
      <c r="E66" s="25">
        <f t="shared" si="22"/>
        <v>945.06697837110482</v>
      </c>
      <c r="F66" s="25">
        <f t="shared" si="23"/>
        <v>177732.0532126312</v>
      </c>
    </row>
    <row r="67" spans="1:6" x14ac:dyDescent="0.2">
      <c r="A67" s="24">
        <v>10</v>
      </c>
      <c r="B67" s="25">
        <f t="shared" si="24"/>
        <v>177732.0532126312</v>
      </c>
      <c r="C67" s="25">
        <f t="shared" si="20"/>
        <v>334.11304545268501</v>
      </c>
      <c r="D67" s="25">
        <f t="shared" si="21"/>
        <v>610.95393291841981</v>
      </c>
      <c r="E67" s="25">
        <f t="shared" si="22"/>
        <v>945.06697837110482</v>
      </c>
      <c r="F67" s="25">
        <f t="shared" si="23"/>
        <v>177397.94016717852</v>
      </c>
    </row>
    <row r="68" spans="1:6" x14ac:dyDescent="0.2">
      <c r="A68" s="24">
        <v>11</v>
      </c>
      <c r="B68" s="25">
        <f t="shared" si="24"/>
        <v>177397.94016717852</v>
      </c>
      <c r="C68" s="25">
        <f t="shared" si="20"/>
        <v>335.26155904642872</v>
      </c>
      <c r="D68" s="25">
        <f t="shared" si="21"/>
        <v>609.80541932467611</v>
      </c>
      <c r="E68" s="25">
        <f t="shared" si="22"/>
        <v>945.06697837110482</v>
      </c>
      <c r="F68" s="25">
        <f t="shared" si="23"/>
        <v>177062.67860813209</v>
      </c>
    </row>
    <row r="69" spans="1:6" x14ac:dyDescent="0.2">
      <c r="A69" s="24">
        <v>12</v>
      </c>
      <c r="B69" s="25">
        <f t="shared" si="24"/>
        <v>177062.67860813209</v>
      </c>
      <c r="C69" s="25">
        <f t="shared" si="20"/>
        <v>336.4140206556508</v>
      </c>
      <c r="D69" s="25">
        <f t="shared" si="21"/>
        <v>608.65295771545402</v>
      </c>
      <c r="E69" s="25">
        <f t="shared" si="22"/>
        <v>945.06697837110482</v>
      </c>
      <c r="F69" s="28">
        <f t="shared" si="23"/>
        <v>176726.26458747644</v>
      </c>
    </row>
    <row r="70" spans="1:6" x14ac:dyDescent="0.2">
      <c r="A70" s="29" t="s">
        <v>82</v>
      </c>
      <c r="B70" s="31"/>
      <c r="C70" s="28">
        <f>SUM(C58:C69)</f>
        <v>3961.7676868315748</v>
      </c>
      <c r="D70" s="28">
        <f>SUM(D58:D69)</f>
        <v>7379.0360536216831</v>
      </c>
    </row>
    <row r="72" spans="1:6" x14ac:dyDescent="0.2">
      <c r="A72" s="24">
        <v>1</v>
      </c>
      <c r="B72" s="25">
        <f>+F69</f>
        <v>176726.26458747644</v>
      </c>
      <c r="C72" s="25">
        <f t="shared" ref="C72:C83" si="25">+E72-D72</f>
        <v>337.57044385165455</v>
      </c>
      <c r="D72" s="25">
        <f t="shared" ref="D72:D83" si="26">B72*$I$2</f>
        <v>607.49653451945028</v>
      </c>
      <c r="E72" s="25">
        <f t="shared" ref="E72:E83" si="27">-$I$8</f>
        <v>945.06697837110482</v>
      </c>
      <c r="F72" s="25">
        <f t="shared" ref="F72:F83" si="28">+B72-C72</f>
        <v>176388.6941436248</v>
      </c>
    </row>
    <row r="73" spans="1:6" x14ac:dyDescent="0.2">
      <c r="A73" s="24">
        <v>2</v>
      </c>
      <c r="B73" s="25">
        <f t="shared" ref="B73:B83" si="29">+F72</f>
        <v>176388.6941436248</v>
      </c>
      <c r="C73" s="25">
        <f t="shared" si="25"/>
        <v>338.73084225239461</v>
      </c>
      <c r="D73" s="25">
        <f t="shared" si="26"/>
        <v>606.33613611871021</v>
      </c>
      <c r="E73" s="25">
        <f t="shared" si="27"/>
        <v>945.06697837110482</v>
      </c>
      <c r="F73" s="25">
        <f t="shared" si="28"/>
        <v>176049.96330137239</v>
      </c>
    </row>
    <row r="74" spans="1:6" x14ac:dyDescent="0.2">
      <c r="A74" s="24">
        <v>3</v>
      </c>
      <c r="B74" s="25">
        <f t="shared" si="29"/>
        <v>176049.96330137239</v>
      </c>
      <c r="C74" s="25">
        <f t="shared" si="25"/>
        <v>339.89522952263724</v>
      </c>
      <c r="D74" s="25">
        <f t="shared" si="26"/>
        <v>605.17174884846759</v>
      </c>
      <c r="E74" s="25">
        <f t="shared" si="27"/>
        <v>945.06697837110482</v>
      </c>
      <c r="F74" s="25">
        <f t="shared" si="28"/>
        <v>175710.06807184976</v>
      </c>
    </row>
    <row r="75" spans="1:6" x14ac:dyDescent="0.2">
      <c r="A75" s="24">
        <v>4</v>
      </c>
      <c r="B75" s="25">
        <f t="shared" si="29"/>
        <v>175710.06807184976</v>
      </c>
      <c r="C75" s="25">
        <f t="shared" si="25"/>
        <v>341.06361937412123</v>
      </c>
      <c r="D75" s="25">
        <f t="shared" si="26"/>
        <v>604.00335899698359</v>
      </c>
      <c r="E75" s="25">
        <f t="shared" si="27"/>
        <v>945.06697837110482</v>
      </c>
      <c r="F75" s="25">
        <f t="shared" si="28"/>
        <v>175369.00445247564</v>
      </c>
    </row>
    <row r="76" spans="1:6" x14ac:dyDescent="0.2">
      <c r="A76" s="24">
        <v>5</v>
      </c>
      <c r="B76" s="25">
        <f t="shared" si="29"/>
        <v>175369.00445247564</v>
      </c>
      <c r="C76" s="25">
        <f t="shared" si="25"/>
        <v>342.23602556571984</v>
      </c>
      <c r="D76" s="25">
        <f t="shared" si="26"/>
        <v>602.83095280538498</v>
      </c>
      <c r="E76" s="25">
        <f t="shared" si="27"/>
        <v>945.06697837110482</v>
      </c>
      <c r="F76" s="25">
        <f t="shared" si="28"/>
        <v>175026.76842690993</v>
      </c>
    </row>
    <row r="77" spans="1:6" x14ac:dyDescent="0.2">
      <c r="A77" s="24">
        <v>6</v>
      </c>
      <c r="B77" s="25">
        <f t="shared" si="29"/>
        <v>175026.76842690993</v>
      </c>
      <c r="C77" s="25">
        <f t="shared" si="25"/>
        <v>343.41246190360198</v>
      </c>
      <c r="D77" s="25">
        <f t="shared" si="26"/>
        <v>601.65451646750284</v>
      </c>
      <c r="E77" s="25">
        <f t="shared" si="27"/>
        <v>945.06697837110482</v>
      </c>
      <c r="F77" s="25">
        <f t="shared" si="28"/>
        <v>174683.35596500631</v>
      </c>
    </row>
    <row r="78" spans="1:6" x14ac:dyDescent="0.2">
      <c r="A78" s="24">
        <v>7</v>
      </c>
      <c r="B78" s="25">
        <f t="shared" si="29"/>
        <v>174683.35596500631</v>
      </c>
      <c r="C78" s="25">
        <f t="shared" si="25"/>
        <v>344.59294224139558</v>
      </c>
      <c r="D78" s="25">
        <f t="shared" si="26"/>
        <v>600.47403612970925</v>
      </c>
      <c r="E78" s="25">
        <f t="shared" si="27"/>
        <v>945.06697837110482</v>
      </c>
      <c r="F78" s="25">
        <f t="shared" si="28"/>
        <v>174338.76302276491</v>
      </c>
    </row>
    <row r="79" spans="1:6" x14ac:dyDescent="0.2">
      <c r="A79" s="24">
        <v>8</v>
      </c>
      <c r="B79" s="25">
        <f t="shared" si="29"/>
        <v>174338.76302276491</v>
      </c>
      <c r="C79" s="25">
        <f t="shared" si="25"/>
        <v>345.7774804803505</v>
      </c>
      <c r="D79" s="25">
        <f t="shared" si="26"/>
        <v>599.28949789075432</v>
      </c>
      <c r="E79" s="25">
        <f t="shared" si="27"/>
        <v>945.06697837110482</v>
      </c>
      <c r="F79" s="25">
        <f t="shared" si="28"/>
        <v>173992.98554228456</v>
      </c>
    </row>
    <row r="80" spans="1:6" x14ac:dyDescent="0.2">
      <c r="A80" s="24">
        <v>9</v>
      </c>
      <c r="B80" s="25">
        <f t="shared" si="29"/>
        <v>173992.98554228456</v>
      </c>
      <c r="C80" s="25">
        <f t="shared" si="25"/>
        <v>346.9660905695016</v>
      </c>
      <c r="D80" s="25">
        <f t="shared" si="26"/>
        <v>598.10088780160322</v>
      </c>
      <c r="E80" s="25">
        <f t="shared" si="27"/>
        <v>945.06697837110482</v>
      </c>
      <c r="F80" s="25">
        <f t="shared" si="28"/>
        <v>173646.01945171505</v>
      </c>
    </row>
    <row r="81" spans="1:6" x14ac:dyDescent="0.2">
      <c r="A81" s="24">
        <v>10</v>
      </c>
      <c r="B81" s="25">
        <f t="shared" si="29"/>
        <v>173646.01945171505</v>
      </c>
      <c r="C81" s="25">
        <f t="shared" si="25"/>
        <v>348.15878650583431</v>
      </c>
      <c r="D81" s="25">
        <f t="shared" si="26"/>
        <v>596.90819186527051</v>
      </c>
      <c r="E81" s="25">
        <f t="shared" si="27"/>
        <v>945.06697837110482</v>
      </c>
      <c r="F81" s="25">
        <f t="shared" si="28"/>
        <v>173297.86066520921</v>
      </c>
    </row>
    <row r="82" spans="1:6" x14ac:dyDescent="0.2">
      <c r="A82" s="24">
        <v>11</v>
      </c>
      <c r="B82" s="25">
        <f t="shared" si="29"/>
        <v>173297.86066520921</v>
      </c>
      <c r="C82" s="25">
        <f t="shared" si="25"/>
        <v>349.35558233444817</v>
      </c>
      <c r="D82" s="25">
        <f t="shared" si="26"/>
        <v>595.71139603665665</v>
      </c>
      <c r="E82" s="25">
        <f t="shared" si="27"/>
        <v>945.06697837110482</v>
      </c>
      <c r="F82" s="25">
        <f t="shared" si="28"/>
        <v>172948.50508287476</v>
      </c>
    </row>
    <row r="83" spans="1:6" x14ac:dyDescent="0.2">
      <c r="A83" s="24">
        <v>12</v>
      </c>
      <c r="B83" s="25">
        <f t="shared" si="29"/>
        <v>172948.50508287476</v>
      </c>
      <c r="C83" s="25">
        <f t="shared" si="25"/>
        <v>350.55649214872278</v>
      </c>
      <c r="D83" s="25">
        <f t="shared" si="26"/>
        <v>594.51048622238204</v>
      </c>
      <c r="E83" s="25">
        <f t="shared" si="27"/>
        <v>945.06697837110482</v>
      </c>
      <c r="F83" s="28">
        <f t="shared" si="28"/>
        <v>172597.94859072604</v>
      </c>
    </row>
    <row r="84" spans="1:6" x14ac:dyDescent="0.2">
      <c r="A84" s="29" t="s">
        <v>82</v>
      </c>
      <c r="B84" s="31"/>
      <c r="C84" s="28">
        <f>SUM(C72:C83)</f>
        <v>4128.3159967503825</v>
      </c>
      <c r="D84" s="28">
        <f>SUM(D72:D83)</f>
        <v>7212.4877437028754</v>
      </c>
    </row>
    <row r="85" spans="1:6" x14ac:dyDescent="0.2">
      <c r="B85" s="30"/>
      <c r="C85" s="25"/>
      <c r="D85" s="25"/>
      <c r="E85" s="25"/>
      <c r="F85" s="25"/>
    </row>
    <row r="86" spans="1:6" x14ac:dyDescent="0.2">
      <c r="A86" s="24">
        <v>1</v>
      </c>
      <c r="B86" s="25">
        <f>+F83</f>
        <v>172597.94859072604</v>
      </c>
      <c r="C86" s="25">
        <f t="shared" ref="C86:C97" si="30">+E86-D86</f>
        <v>351.76153009048403</v>
      </c>
      <c r="D86" s="25">
        <f t="shared" ref="D86:D97" si="31">B86*$I$2</f>
        <v>593.30544828062079</v>
      </c>
      <c r="E86" s="25">
        <f t="shared" ref="E86:E97" si="32">-$I$8</f>
        <v>945.06697837110482</v>
      </c>
      <c r="F86" s="25">
        <f t="shared" ref="F86:F97" si="33">+B86-C86</f>
        <v>172246.18706063557</v>
      </c>
    </row>
    <row r="87" spans="1:6" x14ac:dyDescent="0.2">
      <c r="A87" s="24">
        <v>2</v>
      </c>
      <c r="B87" s="25">
        <f t="shared" ref="B87:B97" si="34">+F86</f>
        <v>172246.18706063557</v>
      </c>
      <c r="C87" s="25">
        <f t="shared" si="30"/>
        <v>352.97071035017007</v>
      </c>
      <c r="D87" s="25">
        <f t="shared" si="31"/>
        <v>592.09626802093476</v>
      </c>
      <c r="E87" s="25">
        <f t="shared" si="32"/>
        <v>945.06697837110482</v>
      </c>
      <c r="F87" s="25">
        <f t="shared" si="33"/>
        <v>171893.21635028539</v>
      </c>
    </row>
    <row r="88" spans="1:6" x14ac:dyDescent="0.2">
      <c r="A88" s="24">
        <v>3</v>
      </c>
      <c r="B88" s="25">
        <f t="shared" si="34"/>
        <v>171893.21635028539</v>
      </c>
      <c r="C88" s="25">
        <f t="shared" si="30"/>
        <v>354.18404716699877</v>
      </c>
      <c r="D88" s="25">
        <f t="shared" si="31"/>
        <v>590.88293120410606</v>
      </c>
      <c r="E88" s="25">
        <f t="shared" si="32"/>
        <v>945.06697837110482</v>
      </c>
      <c r="F88" s="25">
        <f t="shared" si="33"/>
        <v>171539.03230311841</v>
      </c>
    </row>
    <row r="89" spans="1:6" x14ac:dyDescent="0.2">
      <c r="A89" s="24">
        <v>4</v>
      </c>
      <c r="B89" s="25">
        <f t="shared" si="34"/>
        <v>171539.03230311841</v>
      </c>
      <c r="C89" s="25">
        <f t="shared" si="30"/>
        <v>355.40155482913531</v>
      </c>
      <c r="D89" s="25">
        <f t="shared" si="31"/>
        <v>589.66542354196952</v>
      </c>
      <c r="E89" s="25">
        <f t="shared" si="32"/>
        <v>945.06697837110482</v>
      </c>
      <c r="F89" s="25">
        <f t="shared" si="33"/>
        <v>171183.63074828929</v>
      </c>
    </row>
    <row r="90" spans="1:6" x14ac:dyDescent="0.2">
      <c r="A90" s="24">
        <v>5</v>
      </c>
      <c r="B90" s="25">
        <f t="shared" si="34"/>
        <v>171183.63074828929</v>
      </c>
      <c r="C90" s="25">
        <f t="shared" si="30"/>
        <v>356.62324767386042</v>
      </c>
      <c r="D90" s="25">
        <f t="shared" si="31"/>
        <v>588.4437306972444</v>
      </c>
      <c r="E90" s="25">
        <f t="shared" si="32"/>
        <v>945.06697837110482</v>
      </c>
      <c r="F90" s="25">
        <f t="shared" si="33"/>
        <v>170827.00750061544</v>
      </c>
    </row>
    <row r="91" spans="1:6" x14ac:dyDescent="0.2">
      <c r="A91" s="24">
        <v>6</v>
      </c>
      <c r="B91" s="25">
        <f t="shared" si="34"/>
        <v>170827.00750061544</v>
      </c>
      <c r="C91" s="25">
        <f t="shared" si="30"/>
        <v>357.84914008773922</v>
      </c>
      <c r="D91" s="25">
        <f t="shared" si="31"/>
        <v>587.21783828336561</v>
      </c>
      <c r="E91" s="25">
        <f t="shared" si="32"/>
        <v>945.06697837110482</v>
      </c>
      <c r="F91" s="25">
        <f t="shared" si="33"/>
        <v>170469.15836052771</v>
      </c>
    </row>
    <row r="92" spans="1:6" x14ac:dyDescent="0.2">
      <c r="A92" s="24">
        <v>7</v>
      </c>
      <c r="B92" s="25">
        <f t="shared" si="34"/>
        <v>170469.15836052771</v>
      </c>
      <c r="C92" s="25">
        <f t="shared" si="30"/>
        <v>359.07924650679081</v>
      </c>
      <c r="D92" s="25">
        <f t="shared" si="31"/>
        <v>585.98773186431401</v>
      </c>
      <c r="E92" s="25">
        <f t="shared" si="32"/>
        <v>945.06697837110482</v>
      </c>
      <c r="F92" s="25">
        <f t="shared" si="33"/>
        <v>170110.07911402092</v>
      </c>
    </row>
    <row r="93" spans="1:6" x14ac:dyDescent="0.2">
      <c r="A93" s="24">
        <v>8</v>
      </c>
      <c r="B93" s="25">
        <f t="shared" si="34"/>
        <v>170110.07911402092</v>
      </c>
      <c r="C93" s="25">
        <f t="shared" si="30"/>
        <v>360.31358141665794</v>
      </c>
      <c r="D93" s="25">
        <f t="shared" si="31"/>
        <v>584.75339695444688</v>
      </c>
      <c r="E93" s="25">
        <f t="shared" si="32"/>
        <v>945.06697837110482</v>
      </c>
      <c r="F93" s="25">
        <f t="shared" si="33"/>
        <v>169749.76553260427</v>
      </c>
    </row>
    <row r="94" spans="1:6" x14ac:dyDescent="0.2">
      <c r="A94" s="24">
        <v>9</v>
      </c>
      <c r="B94" s="25">
        <f t="shared" si="34"/>
        <v>169749.76553260427</v>
      </c>
      <c r="C94" s="25">
        <f t="shared" si="30"/>
        <v>361.55215935277761</v>
      </c>
      <c r="D94" s="25">
        <f t="shared" si="31"/>
        <v>583.51481901832722</v>
      </c>
      <c r="E94" s="25">
        <f t="shared" si="32"/>
        <v>945.06697837110482</v>
      </c>
      <c r="F94" s="25">
        <f t="shared" si="33"/>
        <v>169388.21337325149</v>
      </c>
    </row>
    <row r="95" spans="1:6" x14ac:dyDescent="0.2">
      <c r="A95" s="24">
        <v>10</v>
      </c>
      <c r="B95" s="25">
        <f t="shared" si="34"/>
        <v>169388.21337325149</v>
      </c>
      <c r="C95" s="25">
        <f t="shared" si="30"/>
        <v>362.79499490055287</v>
      </c>
      <c r="D95" s="25">
        <f t="shared" si="31"/>
        <v>582.27198347055196</v>
      </c>
      <c r="E95" s="25">
        <f t="shared" si="32"/>
        <v>945.06697837110482</v>
      </c>
      <c r="F95" s="25">
        <f t="shared" si="33"/>
        <v>169025.41837835094</v>
      </c>
    </row>
    <row r="96" spans="1:6" x14ac:dyDescent="0.2">
      <c r="A96" s="24">
        <v>11</v>
      </c>
      <c r="B96" s="25">
        <f t="shared" si="34"/>
        <v>169025.41837835094</v>
      </c>
      <c r="C96" s="25">
        <f t="shared" si="30"/>
        <v>364.04210269552345</v>
      </c>
      <c r="D96" s="25">
        <f t="shared" si="31"/>
        <v>581.02487567558137</v>
      </c>
      <c r="E96" s="25">
        <f t="shared" si="32"/>
        <v>945.06697837110482</v>
      </c>
      <c r="F96" s="25">
        <f t="shared" si="33"/>
        <v>168661.37627565541</v>
      </c>
    </row>
    <row r="97" spans="1:6" x14ac:dyDescent="0.2">
      <c r="A97" s="24">
        <v>12</v>
      </c>
      <c r="B97" s="25">
        <f t="shared" si="34"/>
        <v>168661.37627565541</v>
      </c>
      <c r="C97" s="25">
        <f t="shared" si="30"/>
        <v>365.29349742353941</v>
      </c>
      <c r="D97" s="25">
        <f t="shared" si="31"/>
        <v>579.77348094756542</v>
      </c>
      <c r="E97" s="25">
        <f t="shared" si="32"/>
        <v>945.06697837110482</v>
      </c>
      <c r="F97" s="28">
        <f t="shared" si="33"/>
        <v>168296.08277823188</v>
      </c>
    </row>
    <row r="98" spans="1:6" x14ac:dyDescent="0.2">
      <c r="A98" s="29" t="s">
        <v>82</v>
      </c>
      <c r="B98" s="31"/>
      <c r="C98" s="28">
        <f>SUM(C86:C97)</f>
        <v>4301.8658124942303</v>
      </c>
      <c r="D98" s="28">
        <f>SUM(D86:D97)</f>
        <v>7038.9379279590275</v>
      </c>
    </row>
    <row r="99" spans="1:6" x14ac:dyDescent="0.2">
      <c r="B99" s="30"/>
      <c r="C99" s="25"/>
      <c r="D99" s="25"/>
      <c r="E99" s="25"/>
      <c r="F99" s="25"/>
    </row>
    <row r="100" spans="1:6" x14ac:dyDescent="0.2">
      <c r="A100" s="24">
        <v>1</v>
      </c>
      <c r="B100" s="25">
        <f>+F97</f>
        <v>168296.08277823188</v>
      </c>
      <c r="C100" s="25">
        <f t="shared" ref="C100:C111" si="35">+E100-D100</f>
        <v>366.54919382093271</v>
      </c>
      <c r="D100" s="25">
        <f t="shared" ref="D100:D111" si="36">B100*$I$2</f>
        <v>578.51778455017211</v>
      </c>
      <c r="E100" s="25">
        <f t="shared" ref="E100:E111" si="37">-$I$8</f>
        <v>945.06697837110482</v>
      </c>
      <c r="F100" s="25">
        <f t="shared" ref="F100:F111" si="38">+B100-C100</f>
        <v>167929.53358441094</v>
      </c>
    </row>
    <row r="101" spans="1:6" x14ac:dyDescent="0.2">
      <c r="A101" s="24">
        <v>2</v>
      </c>
      <c r="B101" s="25">
        <f t="shared" ref="B101:B111" si="39">+F100</f>
        <v>167929.53358441094</v>
      </c>
      <c r="C101" s="25">
        <f t="shared" si="35"/>
        <v>367.80920667469218</v>
      </c>
      <c r="D101" s="25">
        <f t="shared" si="36"/>
        <v>577.25777169641265</v>
      </c>
      <c r="E101" s="25">
        <f t="shared" si="37"/>
        <v>945.06697837110482</v>
      </c>
      <c r="F101" s="25">
        <f t="shared" si="38"/>
        <v>167561.72437773625</v>
      </c>
    </row>
    <row r="102" spans="1:6" x14ac:dyDescent="0.2">
      <c r="A102" s="24">
        <v>3</v>
      </c>
      <c r="B102" s="25">
        <f t="shared" si="39"/>
        <v>167561.72437773625</v>
      </c>
      <c r="C102" s="25">
        <f t="shared" si="35"/>
        <v>369.07355082263643</v>
      </c>
      <c r="D102" s="25">
        <f t="shared" si="36"/>
        <v>575.99342754846839</v>
      </c>
      <c r="E102" s="25">
        <f t="shared" si="37"/>
        <v>945.06697837110482</v>
      </c>
      <c r="F102" s="25">
        <f t="shared" si="38"/>
        <v>167192.6508269136</v>
      </c>
    </row>
    <row r="103" spans="1:6" x14ac:dyDescent="0.2">
      <c r="A103" s="24">
        <v>4</v>
      </c>
      <c r="B103" s="25">
        <f t="shared" si="39"/>
        <v>167192.6508269136</v>
      </c>
      <c r="C103" s="25">
        <f t="shared" si="35"/>
        <v>370.34224115358938</v>
      </c>
      <c r="D103" s="25">
        <f t="shared" si="36"/>
        <v>574.72473721751544</v>
      </c>
      <c r="E103" s="25">
        <f t="shared" si="37"/>
        <v>945.06697837110482</v>
      </c>
      <c r="F103" s="25">
        <f t="shared" si="38"/>
        <v>166822.30858576001</v>
      </c>
    </row>
    <row r="104" spans="1:6" x14ac:dyDescent="0.2">
      <c r="A104" s="24">
        <v>5</v>
      </c>
      <c r="B104" s="25">
        <f t="shared" si="39"/>
        <v>166822.30858576001</v>
      </c>
      <c r="C104" s="25">
        <f t="shared" si="35"/>
        <v>371.61529260755481</v>
      </c>
      <c r="D104" s="25">
        <f t="shared" si="36"/>
        <v>573.45168576355002</v>
      </c>
      <c r="E104" s="25">
        <f t="shared" si="37"/>
        <v>945.06697837110482</v>
      </c>
      <c r="F104" s="25">
        <f t="shared" si="38"/>
        <v>166450.69329315246</v>
      </c>
    </row>
    <row r="105" spans="1:6" x14ac:dyDescent="0.2">
      <c r="A105" s="24">
        <v>6</v>
      </c>
      <c r="B105" s="25">
        <f t="shared" si="39"/>
        <v>166450.69329315246</v>
      </c>
      <c r="C105" s="25">
        <f t="shared" si="35"/>
        <v>372.89272017589326</v>
      </c>
      <c r="D105" s="25">
        <f t="shared" si="36"/>
        <v>572.17425819521156</v>
      </c>
      <c r="E105" s="25">
        <f t="shared" si="37"/>
        <v>945.06697837110482</v>
      </c>
      <c r="F105" s="25">
        <f t="shared" si="38"/>
        <v>166077.80057297656</v>
      </c>
    </row>
    <row r="106" spans="1:6" x14ac:dyDescent="0.2">
      <c r="A106" s="24">
        <v>7</v>
      </c>
      <c r="B106" s="25">
        <f t="shared" si="39"/>
        <v>166077.80057297656</v>
      </c>
      <c r="C106" s="25">
        <f t="shared" si="35"/>
        <v>374.17453890149795</v>
      </c>
      <c r="D106" s="25">
        <f t="shared" si="36"/>
        <v>570.89243946960687</v>
      </c>
      <c r="E106" s="25">
        <f t="shared" si="37"/>
        <v>945.06697837110482</v>
      </c>
      <c r="F106" s="25">
        <f t="shared" si="38"/>
        <v>165703.62603407505</v>
      </c>
    </row>
    <row r="107" spans="1:6" x14ac:dyDescent="0.2">
      <c r="A107" s="24">
        <v>8</v>
      </c>
      <c r="B107" s="25">
        <f t="shared" si="39"/>
        <v>165703.62603407505</v>
      </c>
      <c r="C107" s="25">
        <f t="shared" si="35"/>
        <v>375.46076387897187</v>
      </c>
      <c r="D107" s="25">
        <f t="shared" si="36"/>
        <v>569.60621449213295</v>
      </c>
      <c r="E107" s="25">
        <f t="shared" si="37"/>
        <v>945.06697837110482</v>
      </c>
      <c r="F107" s="25">
        <f t="shared" si="38"/>
        <v>165328.16527019607</v>
      </c>
    </row>
    <row r="108" spans="1:6" x14ac:dyDescent="0.2">
      <c r="A108" s="24">
        <v>9</v>
      </c>
      <c r="B108" s="25">
        <f t="shared" si="39"/>
        <v>165328.16527019607</v>
      </c>
      <c r="C108" s="25">
        <f t="shared" si="35"/>
        <v>376.75141025480582</v>
      </c>
      <c r="D108" s="25">
        <f t="shared" si="36"/>
        <v>568.315568116299</v>
      </c>
      <c r="E108" s="25">
        <f t="shared" si="37"/>
        <v>945.06697837110482</v>
      </c>
      <c r="F108" s="25">
        <f t="shared" si="38"/>
        <v>164951.41385994127</v>
      </c>
    </row>
    <row r="109" spans="1:6" x14ac:dyDescent="0.2">
      <c r="A109" s="24">
        <v>10</v>
      </c>
      <c r="B109" s="25">
        <f t="shared" si="39"/>
        <v>164951.41385994127</v>
      </c>
      <c r="C109" s="25">
        <f t="shared" si="35"/>
        <v>378.04649322755665</v>
      </c>
      <c r="D109" s="25">
        <f t="shared" si="36"/>
        <v>567.02048514354817</v>
      </c>
      <c r="E109" s="25">
        <f t="shared" si="37"/>
        <v>945.06697837110482</v>
      </c>
      <c r="F109" s="25">
        <f t="shared" si="38"/>
        <v>164573.3673667137</v>
      </c>
    </row>
    <row r="110" spans="1:6" x14ac:dyDescent="0.2">
      <c r="A110" s="24">
        <v>11</v>
      </c>
      <c r="B110" s="25">
        <f t="shared" si="39"/>
        <v>164573.3673667137</v>
      </c>
      <c r="C110" s="25">
        <f t="shared" si="35"/>
        <v>379.34602804802648</v>
      </c>
      <c r="D110" s="25">
        <f t="shared" si="36"/>
        <v>565.72095032307834</v>
      </c>
      <c r="E110" s="25">
        <f t="shared" si="37"/>
        <v>945.06697837110482</v>
      </c>
      <c r="F110" s="25">
        <f t="shared" si="38"/>
        <v>164194.02133866568</v>
      </c>
    </row>
    <row r="111" spans="1:6" x14ac:dyDescent="0.2">
      <c r="A111" s="24">
        <v>12</v>
      </c>
      <c r="B111" s="25">
        <f t="shared" si="39"/>
        <v>164194.02133866568</v>
      </c>
      <c r="C111" s="25">
        <f t="shared" si="35"/>
        <v>380.65003001944149</v>
      </c>
      <c r="D111" s="25">
        <f t="shared" si="36"/>
        <v>564.41694835166334</v>
      </c>
      <c r="E111" s="25">
        <f t="shared" si="37"/>
        <v>945.06697837110482</v>
      </c>
      <c r="F111" s="28">
        <f t="shared" si="38"/>
        <v>163813.37130864625</v>
      </c>
    </row>
    <row r="112" spans="1:6" x14ac:dyDescent="0.2">
      <c r="A112" s="29" t="s">
        <v>82</v>
      </c>
      <c r="B112" s="31"/>
      <c r="C112" s="28">
        <f>SUM(C100:C111)</f>
        <v>4482.7114695855989</v>
      </c>
      <c r="D112" s="28">
        <f>SUM(D100:D111)</f>
        <v>6858.092270867659</v>
      </c>
    </row>
    <row r="114" spans="1:6" x14ac:dyDescent="0.2">
      <c r="A114" s="24">
        <v>1</v>
      </c>
      <c r="B114" s="25">
        <f>+F111</f>
        <v>163813.37130864625</v>
      </c>
      <c r="C114" s="25">
        <f t="shared" ref="C114:C125" si="40">+E114-D114</f>
        <v>381.95851449763336</v>
      </c>
      <c r="D114" s="25">
        <f t="shared" ref="D114:D125" si="41">B114*$I$2</f>
        <v>563.10846387347146</v>
      </c>
      <c r="E114" s="25">
        <f t="shared" ref="E114:E125" si="42">-$I$8</f>
        <v>945.06697837110482</v>
      </c>
      <c r="F114" s="25">
        <f t="shared" ref="F114:F125" si="43">+B114-C114</f>
        <v>163431.41279414861</v>
      </c>
    </row>
    <row r="115" spans="1:6" x14ac:dyDescent="0.2">
      <c r="A115" s="24">
        <v>2</v>
      </c>
      <c r="B115" s="25">
        <f t="shared" ref="B115:B125" si="44">+F114</f>
        <v>163431.41279414861</v>
      </c>
      <c r="C115" s="25">
        <f t="shared" si="40"/>
        <v>383.27149689121893</v>
      </c>
      <c r="D115" s="25">
        <f t="shared" si="41"/>
        <v>561.79548147988589</v>
      </c>
      <c r="E115" s="25">
        <f t="shared" si="42"/>
        <v>945.06697837110482</v>
      </c>
      <c r="F115" s="25">
        <f t="shared" si="43"/>
        <v>163048.14129725739</v>
      </c>
    </row>
    <row r="116" spans="1:6" x14ac:dyDescent="0.2">
      <c r="A116" s="24">
        <v>3</v>
      </c>
      <c r="B116" s="25">
        <f t="shared" si="44"/>
        <v>163048.14129725739</v>
      </c>
      <c r="C116" s="25">
        <f t="shared" si="40"/>
        <v>384.58899266178253</v>
      </c>
      <c r="D116" s="25">
        <f t="shared" si="41"/>
        <v>560.4779857093223</v>
      </c>
      <c r="E116" s="25">
        <f t="shared" si="42"/>
        <v>945.06697837110482</v>
      </c>
      <c r="F116" s="25">
        <f t="shared" si="43"/>
        <v>162663.55230459559</v>
      </c>
    </row>
    <row r="117" spans="1:6" x14ac:dyDescent="0.2">
      <c r="A117" s="24">
        <v>4</v>
      </c>
      <c r="B117" s="25">
        <f t="shared" si="44"/>
        <v>162663.55230459559</v>
      </c>
      <c r="C117" s="25">
        <f t="shared" si="40"/>
        <v>385.91101732405753</v>
      </c>
      <c r="D117" s="25">
        <f t="shared" si="41"/>
        <v>559.1559610470473</v>
      </c>
      <c r="E117" s="25">
        <f t="shared" si="42"/>
        <v>945.06697837110482</v>
      </c>
      <c r="F117" s="25">
        <f t="shared" si="43"/>
        <v>162277.64128727154</v>
      </c>
    </row>
    <row r="118" spans="1:6" x14ac:dyDescent="0.2">
      <c r="A118" s="24">
        <v>5</v>
      </c>
      <c r="B118" s="25">
        <f t="shared" si="44"/>
        <v>162277.64128727154</v>
      </c>
      <c r="C118" s="25">
        <f t="shared" si="40"/>
        <v>387.23758644610893</v>
      </c>
      <c r="D118" s="25">
        <f t="shared" si="41"/>
        <v>557.82939192499589</v>
      </c>
      <c r="E118" s="25">
        <f t="shared" si="42"/>
        <v>945.06697837110482</v>
      </c>
      <c r="F118" s="25">
        <f t="shared" si="43"/>
        <v>161890.40370082544</v>
      </c>
    </row>
    <row r="119" spans="1:6" x14ac:dyDescent="0.2">
      <c r="A119" s="24">
        <v>6</v>
      </c>
      <c r="B119" s="25">
        <f t="shared" si="44"/>
        <v>161890.40370082544</v>
      </c>
      <c r="C119" s="25">
        <f t="shared" si="40"/>
        <v>388.56871564951734</v>
      </c>
      <c r="D119" s="25">
        <f t="shared" si="41"/>
        <v>556.49826272158748</v>
      </c>
      <c r="E119" s="25">
        <f t="shared" si="42"/>
        <v>945.06697837110482</v>
      </c>
      <c r="F119" s="25">
        <f t="shared" si="43"/>
        <v>161501.83498517593</v>
      </c>
    </row>
    <row r="120" spans="1:6" x14ac:dyDescent="0.2">
      <c r="A120" s="24">
        <v>7</v>
      </c>
      <c r="B120" s="25">
        <f t="shared" si="44"/>
        <v>161501.83498517593</v>
      </c>
      <c r="C120" s="25">
        <f t="shared" si="40"/>
        <v>389.90442060956252</v>
      </c>
      <c r="D120" s="25">
        <f t="shared" si="41"/>
        <v>555.1625577615423</v>
      </c>
      <c r="E120" s="25">
        <f t="shared" si="42"/>
        <v>945.06697837110482</v>
      </c>
      <c r="F120" s="25">
        <f t="shared" si="43"/>
        <v>161111.93056456637</v>
      </c>
    </row>
    <row r="121" spans="1:6" x14ac:dyDescent="0.2">
      <c r="A121" s="24">
        <v>8</v>
      </c>
      <c r="B121" s="25">
        <f t="shared" si="44"/>
        <v>161111.93056456637</v>
      </c>
      <c r="C121" s="25">
        <f t="shared" si="40"/>
        <v>391.24471705540793</v>
      </c>
      <c r="D121" s="25">
        <f t="shared" si="41"/>
        <v>553.82226131569689</v>
      </c>
      <c r="E121" s="25">
        <f t="shared" si="42"/>
        <v>945.06697837110482</v>
      </c>
      <c r="F121" s="25">
        <f t="shared" si="43"/>
        <v>160720.68584751096</v>
      </c>
    </row>
    <row r="122" spans="1:6" x14ac:dyDescent="0.2">
      <c r="A122" s="24">
        <v>9</v>
      </c>
      <c r="B122" s="25">
        <f t="shared" si="44"/>
        <v>160720.68584751096</v>
      </c>
      <c r="C122" s="25">
        <f t="shared" si="40"/>
        <v>392.58962077028593</v>
      </c>
      <c r="D122" s="25">
        <f t="shared" si="41"/>
        <v>552.47735760081889</v>
      </c>
      <c r="E122" s="25">
        <f t="shared" si="42"/>
        <v>945.06697837110482</v>
      </c>
      <c r="F122" s="25">
        <f t="shared" si="43"/>
        <v>160328.09622674069</v>
      </c>
    </row>
    <row r="123" spans="1:6" x14ac:dyDescent="0.2">
      <c r="A123" s="24">
        <v>10</v>
      </c>
      <c r="B123" s="25">
        <f t="shared" si="44"/>
        <v>160328.09622674069</v>
      </c>
      <c r="C123" s="25">
        <f t="shared" si="40"/>
        <v>393.93914759168376</v>
      </c>
      <c r="D123" s="25">
        <f t="shared" si="41"/>
        <v>551.12783077942106</v>
      </c>
      <c r="E123" s="25">
        <f t="shared" si="42"/>
        <v>945.06697837110482</v>
      </c>
      <c r="F123" s="25">
        <f t="shared" si="43"/>
        <v>159934.15707914901</v>
      </c>
    </row>
    <row r="124" spans="1:6" x14ac:dyDescent="0.2">
      <c r="A124" s="24">
        <v>11</v>
      </c>
      <c r="B124" s="25">
        <f t="shared" si="44"/>
        <v>159934.15707914901</v>
      </c>
      <c r="C124" s="25">
        <f t="shared" si="40"/>
        <v>395.29331341153011</v>
      </c>
      <c r="D124" s="25">
        <f t="shared" si="41"/>
        <v>549.77366495957472</v>
      </c>
      <c r="E124" s="25">
        <f t="shared" si="42"/>
        <v>945.06697837110482</v>
      </c>
      <c r="F124" s="25">
        <f t="shared" si="43"/>
        <v>159538.86376573748</v>
      </c>
    </row>
    <row r="125" spans="1:6" x14ac:dyDescent="0.2">
      <c r="A125" s="24">
        <v>12</v>
      </c>
      <c r="B125" s="25">
        <f t="shared" si="44"/>
        <v>159538.86376573748</v>
      </c>
      <c r="C125" s="25">
        <f t="shared" si="40"/>
        <v>396.65213417638222</v>
      </c>
      <c r="D125" s="25">
        <f t="shared" si="41"/>
        <v>548.4148441947226</v>
      </c>
      <c r="E125" s="25">
        <f t="shared" si="42"/>
        <v>945.06697837110482</v>
      </c>
      <c r="F125" s="28">
        <f t="shared" si="43"/>
        <v>159142.21163156111</v>
      </c>
    </row>
    <row r="126" spans="1:6" x14ac:dyDescent="0.2">
      <c r="A126" s="29" t="s">
        <v>82</v>
      </c>
      <c r="B126" s="31"/>
      <c r="C126" s="28">
        <f>SUM(C114:C125)</f>
        <v>4671.1596770851702</v>
      </c>
      <c r="D126" s="28">
        <f>SUM(D114:D125)</f>
        <v>6669.6440633680868</v>
      </c>
    </row>
    <row r="128" spans="1:6" x14ac:dyDescent="0.2">
      <c r="A128" s="24">
        <v>1</v>
      </c>
      <c r="B128" s="25">
        <f>+F125</f>
        <v>159142.21163156111</v>
      </c>
      <c r="C128" s="25">
        <f t="shared" ref="C128:C139" si="45">+E128-D128</f>
        <v>398.01562588761351</v>
      </c>
      <c r="D128" s="25">
        <f t="shared" ref="D128:D139" si="46">B128*$I$2</f>
        <v>547.05135248349131</v>
      </c>
      <c r="E128" s="25">
        <f t="shared" ref="E128:E139" si="47">-$I$8</f>
        <v>945.06697837110482</v>
      </c>
      <c r="F128" s="25">
        <f t="shared" ref="F128:F139" si="48">+B128-C128</f>
        <v>158744.1960056735</v>
      </c>
    </row>
    <row r="129" spans="1:6" x14ac:dyDescent="0.2">
      <c r="A129" s="24">
        <v>2</v>
      </c>
      <c r="B129" s="25">
        <f t="shared" ref="B129:B139" si="49">+F128</f>
        <v>158744.1960056735</v>
      </c>
      <c r="C129" s="25">
        <f t="shared" si="45"/>
        <v>399.38380460160215</v>
      </c>
      <c r="D129" s="25">
        <f t="shared" si="46"/>
        <v>545.68317376950267</v>
      </c>
      <c r="E129" s="25">
        <f t="shared" si="47"/>
        <v>945.06697837110482</v>
      </c>
      <c r="F129" s="25">
        <f t="shared" si="48"/>
        <v>158344.81220107191</v>
      </c>
    </row>
    <row r="130" spans="1:6" x14ac:dyDescent="0.2">
      <c r="A130" s="24">
        <v>3</v>
      </c>
      <c r="B130" s="25">
        <f t="shared" si="49"/>
        <v>158344.81220107191</v>
      </c>
      <c r="C130" s="25">
        <f t="shared" si="45"/>
        <v>400.75668642992014</v>
      </c>
      <c r="D130" s="25">
        <f t="shared" si="46"/>
        <v>544.31029194118469</v>
      </c>
      <c r="E130" s="25">
        <f t="shared" si="47"/>
        <v>945.06697837110482</v>
      </c>
      <c r="F130" s="25">
        <f t="shared" si="48"/>
        <v>157944.05551464198</v>
      </c>
    </row>
    <row r="131" spans="1:6" x14ac:dyDescent="0.2">
      <c r="A131" s="24">
        <v>4</v>
      </c>
      <c r="B131" s="25">
        <f t="shared" si="49"/>
        <v>157944.05551464198</v>
      </c>
      <c r="C131" s="25">
        <f t="shared" si="45"/>
        <v>402.13428753952303</v>
      </c>
      <c r="D131" s="25">
        <f t="shared" si="46"/>
        <v>542.93269083158179</v>
      </c>
      <c r="E131" s="25">
        <f t="shared" si="47"/>
        <v>945.06697837110482</v>
      </c>
      <c r="F131" s="25">
        <f t="shared" si="48"/>
        <v>157541.92122710246</v>
      </c>
    </row>
    <row r="132" spans="1:6" x14ac:dyDescent="0.2">
      <c r="A132" s="24">
        <v>5</v>
      </c>
      <c r="B132" s="25">
        <f t="shared" si="49"/>
        <v>157541.92122710246</v>
      </c>
      <c r="C132" s="25">
        <f t="shared" si="45"/>
        <v>403.51662415294015</v>
      </c>
      <c r="D132" s="25">
        <f t="shared" si="46"/>
        <v>541.55035421816467</v>
      </c>
      <c r="E132" s="25">
        <f t="shared" si="47"/>
        <v>945.06697837110482</v>
      </c>
      <c r="F132" s="25">
        <f t="shared" si="48"/>
        <v>157138.40460294951</v>
      </c>
    </row>
    <row r="133" spans="1:6" x14ac:dyDescent="0.2">
      <c r="A133" s="24">
        <v>6</v>
      </c>
      <c r="B133" s="25">
        <f t="shared" si="49"/>
        <v>157138.40460294951</v>
      </c>
      <c r="C133" s="25">
        <f t="shared" si="45"/>
        <v>404.90371254846593</v>
      </c>
      <c r="D133" s="25">
        <f t="shared" si="46"/>
        <v>540.16326582263889</v>
      </c>
      <c r="E133" s="25">
        <f t="shared" si="47"/>
        <v>945.06697837110482</v>
      </c>
      <c r="F133" s="25">
        <f t="shared" si="48"/>
        <v>156733.50089040105</v>
      </c>
    </row>
    <row r="134" spans="1:6" x14ac:dyDescent="0.2">
      <c r="A134" s="24">
        <v>7</v>
      </c>
      <c r="B134" s="25">
        <f t="shared" si="49"/>
        <v>156733.50089040105</v>
      </c>
      <c r="C134" s="25">
        <f t="shared" si="45"/>
        <v>406.29556906035123</v>
      </c>
      <c r="D134" s="25">
        <f t="shared" si="46"/>
        <v>538.7714093107536</v>
      </c>
      <c r="E134" s="25">
        <f t="shared" si="47"/>
        <v>945.06697837110482</v>
      </c>
      <c r="F134" s="25">
        <f t="shared" si="48"/>
        <v>156327.20532134071</v>
      </c>
    </row>
    <row r="135" spans="1:6" x14ac:dyDescent="0.2">
      <c r="A135" s="24">
        <v>8</v>
      </c>
      <c r="B135" s="25">
        <f t="shared" si="49"/>
        <v>156327.20532134071</v>
      </c>
      <c r="C135" s="25">
        <f t="shared" si="45"/>
        <v>407.69221007899614</v>
      </c>
      <c r="D135" s="25">
        <f t="shared" si="46"/>
        <v>537.37476829210868</v>
      </c>
      <c r="E135" s="25">
        <f t="shared" si="47"/>
        <v>945.06697837110482</v>
      </c>
      <c r="F135" s="25">
        <f t="shared" si="48"/>
        <v>155919.51311126171</v>
      </c>
    </row>
    <row r="136" spans="1:6" x14ac:dyDescent="0.2">
      <c r="A136" s="24">
        <v>9</v>
      </c>
      <c r="B136" s="25">
        <f t="shared" si="49"/>
        <v>155919.51311126171</v>
      </c>
      <c r="C136" s="25">
        <f t="shared" si="45"/>
        <v>409.09365205114273</v>
      </c>
      <c r="D136" s="25">
        <f t="shared" si="46"/>
        <v>535.9733263199621</v>
      </c>
      <c r="E136" s="25">
        <f t="shared" si="47"/>
        <v>945.06697837110482</v>
      </c>
      <c r="F136" s="25">
        <f t="shared" si="48"/>
        <v>155510.41945921056</v>
      </c>
    </row>
    <row r="137" spans="1:6" x14ac:dyDescent="0.2">
      <c r="A137" s="24">
        <v>10</v>
      </c>
      <c r="B137" s="25">
        <f t="shared" si="49"/>
        <v>155510.41945921056</v>
      </c>
      <c r="C137" s="25">
        <f t="shared" si="45"/>
        <v>410.49991148006848</v>
      </c>
      <c r="D137" s="25">
        <f t="shared" si="46"/>
        <v>534.56706689103635</v>
      </c>
      <c r="E137" s="25">
        <f t="shared" si="47"/>
        <v>945.06697837110482</v>
      </c>
      <c r="F137" s="25">
        <f t="shared" si="48"/>
        <v>155099.9195477305</v>
      </c>
    </row>
    <row r="138" spans="1:6" x14ac:dyDescent="0.2">
      <c r="A138" s="24">
        <v>11</v>
      </c>
      <c r="B138" s="25">
        <f t="shared" si="49"/>
        <v>155099.9195477305</v>
      </c>
      <c r="C138" s="25">
        <f t="shared" si="45"/>
        <v>411.91100492578119</v>
      </c>
      <c r="D138" s="25">
        <f t="shared" si="46"/>
        <v>533.15597344532364</v>
      </c>
      <c r="E138" s="25">
        <f t="shared" si="47"/>
        <v>945.06697837110482</v>
      </c>
      <c r="F138" s="25">
        <f t="shared" si="48"/>
        <v>154688.00854280472</v>
      </c>
    </row>
    <row r="139" spans="1:6" x14ac:dyDescent="0.2">
      <c r="A139" s="24">
        <v>12</v>
      </c>
      <c r="B139" s="25">
        <f t="shared" si="49"/>
        <v>154688.00854280472</v>
      </c>
      <c r="C139" s="25">
        <f t="shared" si="45"/>
        <v>413.32694900521358</v>
      </c>
      <c r="D139" s="25">
        <f t="shared" si="46"/>
        <v>531.74002936589125</v>
      </c>
      <c r="E139" s="25">
        <f t="shared" si="47"/>
        <v>945.06697837110482</v>
      </c>
      <c r="F139" s="28">
        <f t="shared" si="48"/>
        <v>154274.6815937995</v>
      </c>
    </row>
    <row r="140" spans="1:6" x14ac:dyDescent="0.2">
      <c r="A140" s="29" t="s">
        <v>82</v>
      </c>
      <c r="B140" s="31"/>
      <c r="C140" s="28">
        <f>SUM(C128:C139)</f>
        <v>4867.5300377616186</v>
      </c>
      <c r="D140" s="28">
        <f>SUM(D128:D139)</f>
        <v>6473.2737026916393</v>
      </c>
    </row>
    <row r="141" spans="1:6" x14ac:dyDescent="0.2">
      <c r="B141" s="30"/>
      <c r="C141" s="25"/>
      <c r="D141" s="25"/>
      <c r="E141" s="25"/>
      <c r="F141" s="25"/>
    </row>
    <row r="142" spans="1:6" x14ac:dyDescent="0.2">
      <c r="B142" s="25"/>
      <c r="C142" s="25"/>
      <c r="D142" s="25"/>
      <c r="E142" s="25"/>
      <c r="F142" s="25"/>
    </row>
    <row r="143" spans="1:6" x14ac:dyDescent="0.2">
      <c r="B143" s="25"/>
      <c r="C143" s="25"/>
      <c r="D143" s="25"/>
      <c r="E143" s="25"/>
      <c r="F143" s="25"/>
    </row>
    <row r="144" spans="1:6" x14ac:dyDescent="0.2">
      <c r="B144" s="25"/>
      <c r="C144" s="25"/>
      <c r="D144" s="25"/>
      <c r="E144" s="25"/>
      <c r="F144" s="25"/>
    </row>
    <row r="145" spans="2:6" x14ac:dyDescent="0.2">
      <c r="B145" s="25"/>
      <c r="C145" s="25"/>
      <c r="D145" s="25"/>
      <c r="E145" s="25"/>
      <c r="F145" s="25"/>
    </row>
    <row r="146" spans="2:6" x14ac:dyDescent="0.2">
      <c r="B146" s="25"/>
      <c r="C146" s="25"/>
      <c r="D146" s="25"/>
      <c r="E146" s="25"/>
      <c r="F146" s="25"/>
    </row>
    <row r="147" spans="2:6" x14ac:dyDescent="0.2">
      <c r="B147" s="25"/>
      <c r="C147" s="25"/>
      <c r="D147" s="25"/>
      <c r="E147" s="25"/>
      <c r="F147" s="25"/>
    </row>
    <row r="148" spans="2:6" x14ac:dyDescent="0.2">
      <c r="B148" s="25"/>
      <c r="C148" s="25"/>
      <c r="D148" s="25"/>
      <c r="E148" s="25"/>
      <c r="F148" s="25"/>
    </row>
    <row r="149" spans="2:6" x14ac:dyDescent="0.2">
      <c r="B149" s="25"/>
      <c r="C149" s="25"/>
      <c r="D149" s="25"/>
      <c r="E149" s="25"/>
      <c r="F149" s="25"/>
    </row>
    <row r="150" spans="2:6" x14ac:dyDescent="0.2">
      <c r="B150" s="25"/>
      <c r="C150" s="25"/>
      <c r="D150" s="25"/>
      <c r="E150" s="25"/>
      <c r="F150" s="25"/>
    </row>
    <row r="151" spans="2:6" x14ac:dyDescent="0.2">
      <c r="B151" s="25"/>
      <c r="C151" s="25"/>
      <c r="D151" s="25"/>
      <c r="E151" s="25"/>
      <c r="F151" s="25"/>
    </row>
    <row r="152" spans="2:6" x14ac:dyDescent="0.2">
      <c r="B152" s="25"/>
      <c r="C152" s="25"/>
      <c r="D152" s="25"/>
      <c r="E152" s="25"/>
      <c r="F152" s="25"/>
    </row>
    <row r="153" spans="2:6" x14ac:dyDescent="0.2">
      <c r="B153" s="25"/>
      <c r="C153" s="25"/>
      <c r="D153" s="25"/>
      <c r="E153" s="25"/>
      <c r="F153" s="28"/>
    </row>
    <row r="154" spans="2:6" x14ac:dyDescent="0.2">
      <c r="B154" s="29"/>
      <c r="C154" s="28"/>
      <c r="D154" s="28"/>
      <c r="E154" s="25"/>
      <c r="F154" s="25"/>
    </row>
    <row r="155" spans="2:6" x14ac:dyDescent="0.2">
      <c r="B155" s="30"/>
      <c r="C155" s="25"/>
      <c r="D155" s="25"/>
      <c r="E155" s="25"/>
      <c r="F155" s="25"/>
    </row>
    <row r="156" spans="2:6" x14ac:dyDescent="0.2">
      <c r="B156" s="25"/>
      <c r="C156" s="25"/>
      <c r="D156" s="25"/>
      <c r="E156" s="25"/>
      <c r="F156" s="25"/>
    </row>
    <row r="157" spans="2:6" x14ac:dyDescent="0.2">
      <c r="B157" s="25"/>
      <c r="C157" s="25"/>
      <c r="D157" s="25"/>
      <c r="E157" s="25"/>
      <c r="F157" s="25"/>
    </row>
    <row r="158" spans="2:6" x14ac:dyDescent="0.2">
      <c r="B158" s="25"/>
      <c r="C158" s="25"/>
      <c r="D158" s="25"/>
      <c r="E158" s="25"/>
      <c r="F158" s="25"/>
    </row>
    <row r="159" spans="2:6" x14ac:dyDescent="0.2">
      <c r="B159" s="25"/>
      <c r="C159" s="25"/>
      <c r="D159" s="25"/>
      <c r="E159" s="25"/>
      <c r="F159" s="25"/>
    </row>
    <row r="160" spans="2:6" x14ac:dyDescent="0.2">
      <c r="B160" s="25"/>
      <c r="C160" s="25"/>
      <c r="D160" s="25"/>
      <c r="E160" s="25"/>
      <c r="F160" s="25"/>
    </row>
    <row r="161" spans="2:6" x14ac:dyDescent="0.2">
      <c r="B161" s="25"/>
      <c r="C161" s="25"/>
      <c r="D161" s="25"/>
      <c r="E161" s="25"/>
      <c r="F161" s="25"/>
    </row>
    <row r="162" spans="2:6" x14ac:dyDescent="0.2">
      <c r="B162" s="25"/>
      <c r="C162" s="25"/>
      <c r="D162" s="25"/>
      <c r="E162" s="25"/>
      <c r="F162" s="25"/>
    </row>
    <row r="163" spans="2:6" x14ac:dyDescent="0.2">
      <c r="B163" s="25"/>
      <c r="C163" s="25"/>
      <c r="D163" s="25"/>
      <c r="E163" s="25"/>
      <c r="F163" s="25"/>
    </row>
    <row r="164" spans="2:6" x14ac:dyDescent="0.2">
      <c r="B164" s="25"/>
      <c r="C164" s="25"/>
      <c r="D164" s="25"/>
      <c r="E164" s="25"/>
      <c r="F164" s="25"/>
    </row>
    <row r="165" spans="2:6" x14ac:dyDescent="0.2">
      <c r="B165" s="25"/>
      <c r="C165" s="25"/>
      <c r="D165" s="25"/>
      <c r="E165" s="25"/>
      <c r="F165" s="25"/>
    </row>
    <row r="166" spans="2:6" x14ac:dyDescent="0.2">
      <c r="B166" s="25"/>
      <c r="C166" s="25"/>
      <c r="D166" s="25"/>
      <c r="E166" s="25"/>
      <c r="F166" s="25"/>
    </row>
    <row r="167" spans="2:6" x14ac:dyDescent="0.2">
      <c r="B167" s="25"/>
      <c r="C167" s="25"/>
      <c r="D167" s="25"/>
      <c r="E167" s="25"/>
      <c r="F167" s="28"/>
    </row>
    <row r="168" spans="2:6" x14ac:dyDescent="0.2">
      <c r="B168" s="31"/>
      <c r="C168" s="28"/>
      <c r="D168" s="28"/>
    </row>
    <row r="170" spans="2:6" x14ac:dyDescent="0.2">
      <c r="B170" s="25"/>
      <c r="C170" s="25"/>
      <c r="D170" s="25"/>
      <c r="E170" s="25"/>
      <c r="F170" s="25"/>
    </row>
    <row r="171" spans="2:6" x14ac:dyDescent="0.2">
      <c r="B171" s="25"/>
      <c r="C171" s="25"/>
      <c r="D171" s="25"/>
      <c r="E171" s="25"/>
      <c r="F171" s="25"/>
    </row>
    <row r="172" spans="2:6" x14ac:dyDescent="0.2">
      <c r="B172" s="25"/>
      <c r="C172" s="25"/>
      <c r="D172" s="25"/>
      <c r="E172" s="25"/>
      <c r="F172" s="25"/>
    </row>
    <row r="173" spans="2:6" x14ac:dyDescent="0.2">
      <c r="B173" s="25"/>
      <c r="C173" s="25"/>
      <c r="D173" s="25"/>
      <c r="E173" s="25"/>
      <c r="F173" s="25"/>
    </row>
    <row r="174" spans="2:6" x14ac:dyDescent="0.2">
      <c r="B174" s="25"/>
      <c r="C174" s="25"/>
      <c r="D174" s="25"/>
      <c r="E174" s="25"/>
      <c r="F174" s="25"/>
    </row>
    <row r="175" spans="2:6" x14ac:dyDescent="0.2">
      <c r="B175" s="25"/>
      <c r="C175" s="25"/>
      <c r="D175" s="25"/>
      <c r="E175" s="25"/>
      <c r="F175" s="25"/>
    </row>
    <row r="176" spans="2:6" x14ac:dyDescent="0.2">
      <c r="B176" s="25"/>
      <c r="C176" s="25"/>
      <c r="D176" s="25"/>
      <c r="E176" s="25"/>
      <c r="F176" s="25"/>
    </row>
    <row r="177" spans="2:6" x14ac:dyDescent="0.2">
      <c r="B177" s="25"/>
      <c r="C177" s="25"/>
      <c r="D177" s="25"/>
      <c r="E177" s="25"/>
      <c r="F177" s="25"/>
    </row>
    <row r="178" spans="2:6" x14ac:dyDescent="0.2">
      <c r="B178" s="25"/>
      <c r="C178" s="25"/>
      <c r="D178" s="25"/>
      <c r="E178" s="25"/>
      <c r="F178" s="25"/>
    </row>
    <row r="179" spans="2:6" x14ac:dyDescent="0.2">
      <c r="B179" s="25"/>
      <c r="C179" s="25"/>
      <c r="D179" s="25"/>
      <c r="E179" s="25"/>
      <c r="F179" s="25"/>
    </row>
    <row r="180" spans="2:6" x14ac:dyDescent="0.2">
      <c r="B180" s="25"/>
      <c r="C180" s="25"/>
      <c r="D180" s="25"/>
      <c r="E180" s="25"/>
      <c r="F180" s="25"/>
    </row>
    <row r="181" spans="2:6" x14ac:dyDescent="0.2">
      <c r="B181" s="25"/>
      <c r="C181" s="25"/>
      <c r="D181" s="25"/>
      <c r="E181" s="25"/>
      <c r="F181" s="28"/>
    </row>
    <row r="182" spans="2:6" x14ac:dyDescent="0.2">
      <c r="B182" s="31"/>
      <c r="C182" s="28"/>
      <c r="D182" s="28"/>
    </row>
    <row r="184" spans="2:6" x14ac:dyDescent="0.2">
      <c r="B184" s="25"/>
      <c r="C184" s="25"/>
      <c r="D184" s="25"/>
      <c r="E184" s="25"/>
      <c r="F184" s="2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scale="61" firstPageNumber="0" orientation="portrait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16"/>
  <sheetViews>
    <sheetView workbookViewId="0">
      <selection activeCell="J10" sqref="J10"/>
    </sheetView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4" spans="1:1" x14ac:dyDescent="0.25">
      <c r="A4" t="s">
        <v>41</v>
      </c>
    </row>
    <row r="5" spans="1:1" x14ac:dyDescent="0.25">
      <c r="A5" s="4" t="s">
        <v>44</v>
      </c>
    </row>
    <row r="6" spans="1:1" x14ac:dyDescent="0.25">
      <c r="A6" s="4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5" spans="1:1" x14ac:dyDescent="0.25">
      <c r="A15" t="s">
        <v>54</v>
      </c>
    </row>
    <row r="16" spans="1:1" x14ac:dyDescent="0.25">
      <c r="A16" t="s">
        <v>55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40"/>
  <sheetViews>
    <sheetView topLeftCell="A64" zoomScaleNormal="100" workbookViewId="0">
      <selection activeCell="C97" sqref="C97"/>
    </sheetView>
  </sheetViews>
  <sheetFormatPr defaultRowHeight="15" x14ac:dyDescent="0.25"/>
  <cols>
    <col min="1" max="1" width="3.42578125" bestFit="1" customWidth="1"/>
    <col min="2" max="2" width="35.5703125" bestFit="1" customWidth="1"/>
    <col min="3" max="3" width="15.140625" customWidth="1"/>
    <col min="4" max="4" width="14" bestFit="1" customWidth="1"/>
    <col min="5" max="5" width="13.140625" customWidth="1"/>
    <col min="6" max="6" width="13.42578125" bestFit="1" customWidth="1"/>
    <col min="7" max="7" width="12.5703125" bestFit="1" customWidth="1"/>
    <col min="8" max="8" width="13.42578125" bestFit="1" customWidth="1"/>
    <col min="9" max="9" width="12.7109375" bestFit="1" customWidth="1"/>
    <col min="10" max="12" width="13.42578125" bestFit="1" customWidth="1"/>
    <col min="13" max="13" width="15.140625" bestFit="1" customWidth="1"/>
    <col min="14" max="14" width="15.85546875" bestFit="1" customWidth="1"/>
    <col min="15" max="15" width="25.5703125" bestFit="1" customWidth="1"/>
    <col min="16" max="16" width="13.5703125" bestFit="1" customWidth="1"/>
    <col min="17" max="18" width="12.85546875" bestFit="1" customWidth="1"/>
    <col min="19" max="19" width="16.7109375" bestFit="1" customWidth="1"/>
    <col min="20" max="20" width="12.5703125" customWidth="1"/>
    <col min="21" max="21" width="11.5703125" bestFit="1" customWidth="1"/>
    <col min="22" max="22" width="10.7109375" bestFit="1" customWidth="1"/>
  </cols>
  <sheetData>
    <row r="1" spans="2:20" ht="26.25" x14ac:dyDescent="0.4">
      <c r="B1" s="81" t="s">
        <v>39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t="s">
        <v>135</v>
      </c>
    </row>
    <row r="2" spans="2:20" ht="15" customHeigh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t="s">
        <v>136</v>
      </c>
    </row>
    <row r="3" spans="2:20" x14ac:dyDescent="0.25">
      <c r="B3" s="9"/>
      <c r="C3" s="9"/>
      <c r="D3" s="9">
        <v>2015</v>
      </c>
      <c r="E3" s="9">
        <v>2016</v>
      </c>
      <c r="F3" s="9"/>
      <c r="G3" s="9"/>
      <c r="H3" s="9"/>
      <c r="I3" s="9"/>
      <c r="J3" s="9"/>
      <c r="K3" s="9"/>
      <c r="L3" s="9"/>
      <c r="M3" s="9"/>
      <c r="N3" t="s">
        <v>137</v>
      </c>
    </row>
    <row r="4" spans="2:20" ht="18.75" x14ac:dyDescent="0.3">
      <c r="B4" s="11" t="s">
        <v>40</v>
      </c>
      <c r="C4" s="11"/>
      <c r="D4" s="5"/>
      <c r="E4" s="5"/>
      <c r="F4" s="5"/>
      <c r="G4" s="5"/>
      <c r="H4" s="5"/>
      <c r="I4" s="5"/>
      <c r="J4" s="5"/>
      <c r="K4" s="5"/>
      <c r="L4" s="5"/>
      <c r="M4" s="5"/>
    </row>
    <row r="5" spans="2:20" x14ac:dyDescent="0.25">
      <c r="B5" s="6" t="s">
        <v>51</v>
      </c>
      <c r="C5" s="6"/>
      <c r="D5" s="6">
        <v>75</v>
      </c>
      <c r="E5" s="8">
        <f t="shared" ref="E5" si="0">D5*(1+$N$5)</f>
        <v>37.5</v>
      </c>
      <c r="F5" s="8"/>
      <c r="G5" s="8"/>
      <c r="H5" s="8"/>
      <c r="I5" s="8"/>
      <c r="J5" s="8"/>
      <c r="K5" s="8"/>
      <c r="L5" s="8"/>
      <c r="M5" s="8"/>
      <c r="N5" s="18">
        <v>-0.5</v>
      </c>
      <c r="O5" t="s">
        <v>52</v>
      </c>
      <c r="T5" t="s">
        <v>15</v>
      </c>
    </row>
    <row r="6" spans="2:20" x14ac:dyDescent="0.25">
      <c r="B6" s="6" t="s">
        <v>18</v>
      </c>
      <c r="C6" s="6"/>
      <c r="D6" s="12">
        <v>3800</v>
      </c>
      <c r="E6" s="12">
        <f t="shared" ref="E6" si="1">D6*(1+$N$6)</f>
        <v>3800</v>
      </c>
      <c r="F6" s="12"/>
      <c r="G6" s="12"/>
      <c r="H6" s="12"/>
      <c r="I6" s="12"/>
      <c r="J6" s="12"/>
      <c r="K6" s="12"/>
      <c r="L6" s="12"/>
      <c r="M6" s="12"/>
      <c r="N6" s="18">
        <v>0</v>
      </c>
      <c r="O6" t="s">
        <v>56</v>
      </c>
    </row>
    <row r="7" spans="2:20" x14ac:dyDescent="0.25">
      <c r="B7" s="6" t="s">
        <v>19</v>
      </c>
      <c r="C7" s="6"/>
      <c r="D7" s="6">
        <v>3000</v>
      </c>
      <c r="E7" s="8">
        <f t="shared" ref="E7" si="2">D7*(1+$N$7)</f>
        <v>3300.0000000000005</v>
      </c>
      <c r="F7" s="8"/>
      <c r="G7" s="8"/>
      <c r="H7" s="8"/>
      <c r="I7" s="8"/>
      <c r="J7" s="8"/>
      <c r="K7" s="8"/>
      <c r="L7" s="8"/>
      <c r="M7" s="8"/>
      <c r="N7" s="18">
        <v>0.1</v>
      </c>
      <c r="O7" t="s">
        <v>53</v>
      </c>
    </row>
    <row r="8" spans="2:20" x14ac:dyDescent="0.25">
      <c r="B8" s="6"/>
      <c r="C8" s="6"/>
      <c r="D8" s="6"/>
      <c r="E8" s="8"/>
      <c r="F8" s="8"/>
      <c r="G8" s="8"/>
      <c r="H8" s="8"/>
      <c r="I8" s="8"/>
      <c r="J8" s="8"/>
      <c r="K8" s="8"/>
      <c r="L8" s="8"/>
      <c r="M8" s="8"/>
      <c r="N8" s="19"/>
      <c r="Q8" s="1"/>
    </row>
    <row r="9" spans="2:20" x14ac:dyDescent="0.25">
      <c r="B9" s="6" t="s">
        <v>20</v>
      </c>
      <c r="C9" s="6"/>
      <c r="D9" s="6">
        <v>60</v>
      </c>
      <c r="E9" s="8">
        <f t="shared" ref="E9" si="3">D9*(1+$N$9)</f>
        <v>30</v>
      </c>
      <c r="F9" s="8"/>
      <c r="G9" s="8"/>
      <c r="H9" s="8"/>
      <c r="I9" s="8"/>
      <c r="J9" s="8"/>
      <c r="K9" s="8"/>
      <c r="L9" s="8"/>
      <c r="M9" s="8"/>
      <c r="N9" s="18">
        <v>-0.5</v>
      </c>
      <c r="O9" t="s">
        <v>52</v>
      </c>
    </row>
    <row r="10" spans="2:20" x14ac:dyDescent="0.25">
      <c r="B10" s="6" t="s">
        <v>21</v>
      </c>
      <c r="C10" s="6"/>
      <c r="D10" s="12">
        <v>7000</v>
      </c>
      <c r="E10" s="12">
        <f t="shared" ref="E10" si="4">D10*(1+$N$5)</f>
        <v>3500</v>
      </c>
      <c r="F10" s="12"/>
      <c r="G10" s="12"/>
      <c r="H10" s="12"/>
      <c r="I10" s="12"/>
      <c r="J10" s="12"/>
      <c r="K10" s="12"/>
      <c r="L10" s="12"/>
      <c r="M10" s="12"/>
      <c r="N10" s="18">
        <v>0</v>
      </c>
      <c r="O10" t="s">
        <v>56</v>
      </c>
    </row>
    <row r="11" spans="2:20" x14ac:dyDescent="0.25">
      <c r="B11" s="6" t="s">
        <v>22</v>
      </c>
      <c r="C11" s="6"/>
      <c r="D11" s="6">
        <v>5500</v>
      </c>
      <c r="E11" s="8">
        <f t="shared" ref="E11" si="5">D11*(1+$N$11)</f>
        <v>6050.0000000000009</v>
      </c>
      <c r="F11" s="8"/>
      <c r="G11" s="8"/>
      <c r="H11" s="8"/>
      <c r="I11" s="8"/>
      <c r="J11" s="8"/>
      <c r="K11" s="8"/>
      <c r="L11" s="8"/>
      <c r="M11" s="8"/>
      <c r="N11" s="18">
        <v>0.1</v>
      </c>
      <c r="O11" t="s">
        <v>53</v>
      </c>
    </row>
    <row r="12" spans="2:20" x14ac:dyDescent="0.25">
      <c r="B12" s="6"/>
      <c r="C12" s="6"/>
      <c r="D12" s="6"/>
      <c r="E12" s="8"/>
      <c r="F12" s="8"/>
      <c r="G12" s="8"/>
      <c r="H12" s="8"/>
      <c r="I12" s="8"/>
      <c r="J12" s="8"/>
      <c r="K12" s="8"/>
      <c r="L12" s="8"/>
      <c r="M12" s="8"/>
      <c r="N12" s="20"/>
    </row>
    <row r="13" spans="2:20" x14ac:dyDescent="0.25">
      <c r="B13" s="6" t="s">
        <v>17</v>
      </c>
      <c r="C13" s="6"/>
      <c r="D13" s="6">
        <f>15*52</f>
        <v>780</v>
      </c>
      <c r="E13" s="8">
        <f t="shared" ref="E13" si="6">D13*(1+$N$13)</f>
        <v>390</v>
      </c>
      <c r="F13" s="8"/>
      <c r="G13" s="8"/>
      <c r="H13" s="8"/>
      <c r="I13" s="8"/>
      <c r="J13" s="8"/>
      <c r="K13" s="8"/>
      <c r="L13" s="8"/>
      <c r="M13" s="8"/>
      <c r="N13" s="18">
        <v>-0.5</v>
      </c>
      <c r="O13" t="s">
        <v>52</v>
      </c>
    </row>
    <row r="14" spans="2:20" x14ac:dyDescent="0.25">
      <c r="B14" s="6" t="s">
        <v>23</v>
      </c>
      <c r="C14" s="6"/>
      <c r="D14" s="12">
        <v>240</v>
      </c>
      <c r="E14" s="12">
        <f t="shared" ref="E14" si="7">D14*(1+$N$14)</f>
        <v>240</v>
      </c>
      <c r="F14" s="12"/>
      <c r="G14" s="12"/>
      <c r="H14" s="12"/>
      <c r="I14" s="12"/>
      <c r="J14" s="12"/>
      <c r="K14" s="12"/>
      <c r="L14" s="12"/>
      <c r="M14" s="12"/>
      <c r="N14" s="18">
        <v>0</v>
      </c>
      <c r="O14" t="s">
        <v>56</v>
      </c>
    </row>
    <row r="15" spans="2:20" x14ac:dyDescent="0.25">
      <c r="B15" s="6"/>
      <c r="C15" s="6"/>
      <c r="D15" s="6"/>
      <c r="E15" s="8"/>
      <c r="F15" s="8"/>
      <c r="G15" s="8"/>
      <c r="H15" s="8"/>
      <c r="I15" s="8"/>
      <c r="J15" s="8"/>
      <c r="K15" s="8"/>
      <c r="L15" s="8"/>
      <c r="M15" s="8"/>
      <c r="N15" s="20"/>
    </row>
    <row r="16" spans="2:20" x14ac:dyDescent="0.25">
      <c r="B16" s="6" t="s">
        <v>8</v>
      </c>
      <c r="C16" s="6"/>
      <c r="D16" s="6">
        <f>6*12</f>
        <v>72</v>
      </c>
      <c r="E16" s="8">
        <f t="shared" ref="E16" si="8">D16*(1+$N$16)</f>
        <v>36</v>
      </c>
      <c r="F16" s="8"/>
      <c r="G16" s="8"/>
      <c r="H16" s="8"/>
      <c r="I16" s="8"/>
      <c r="J16" s="8"/>
      <c r="K16" s="8"/>
      <c r="L16" s="8"/>
      <c r="M16" s="8"/>
      <c r="N16" s="18">
        <v>-0.5</v>
      </c>
      <c r="O16" t="s">
        <v>52</v>
      </c>
    </row>
    <row r="17" spans="2:17" x14ac:dyDescent="0.25">
      <c r="B17" s="6" t="s">
        <v>16</v>
      </c>
      <c r="C17" s="6"/>
      <c r="D17" s="12">
        <v>4000</v>
      </c>
      <c r="E17" s="12">
        <f t="shared" ref="E17" si="9">D17*(1+$N$17)</f>
        <v>4000</v>
      </c>
      <c r="F17" s="12"/>
      <c r="G17" s="12"/>
      <c r="H17" s="12"/>
      <c r="I17" s="12"/>
      <c r="J17" s="12"/>
      <c r="K17" s="12"/>
      <c r="L17" s="12"/>
      <c r="M17" s="12"/>
      <c r="N17" s="18">
        <v>0</v>
      </c>
      <c r="O17" t="s">
        <v>56</v>
      </c>
    </row>
    <row r="18" spans="2:17" x14ac:dyDescent="0.25">
      <c r="B18" s="6" t="s">
        <v>9</v>
      </c>
      <c r="C18" s="6"/>
      <c r="D18" s="6">
        <v>3200</v>
      </c>
      <c r="E18" s="8">
        <f t="shared" ref="E18" si="10">D18*(1+$N$18)</f>
        <v>3520.0000000000005</v>
      </c>
      <c r="F18" s="8"/>
      <c r="G18" s="8"/>
      <c r="H18" s="8"/>
      <c r="I18" s="8"/>
      <c r="J18" s="8"/>
      <c r="K18" s="8"/>
      <c r="L18" s="8"/>
      <c r="M18" s="8"/>
      <c r="N18" s="18">
        <v>0.1</v>
      </c>
      <c r="O18" t="s">
        <v>57</v>
      </c>
    </row>
    <row r="19" spans="2:17" x14ac:dyDescent="0.25">
      <c r="B19" s="6"/>
      <c r="C19" s="6"/>
      <c r="D19" s="6"/>
      <c r="E19" s="8"/>
      <c r="F19" s="8"/>
      <c r="G19" s="8"/>
      <c r="H19" s="8"/>
      <c r="I19" s="8"/>
      <c r="J19" s="8"/>
      <c r="K19" s="8"/>
      <c r="L19" s="8"/>
      <c r="M19" s="8"/>
      <c r="N19" s="19"/>
      <c r="Q19" s="1"/>
    </row>
    <row r="20" spans="2:17" x14ac:dyDescent="0.25">
      <c r="B20" s="6" t="s">
        <v>59</v>
      </c>
      <c r="C20" s="6"/>
      <c r="D20" s="6">
        <v>30</v>
      </c>
      <c r="E20" s="8">
        <v>30</v>
      </c>
      <c r="F20" s="8"/>
      <c r="G20" s="8"/>
      <c r="H20" s="8"/>
      <c r="I20" s="8"/>
      <c r="J20" s="8"/>
      <c r="K20" s="8"/>
      <c r="L20" s="8"/>
      <c r="M20" s="8"/>
      <c r="N20" s="19"/>
      <c r="Q20" s="1"/>
    </row>
    <row r="21" spans="2:17" x14ac:dyDescent="0.25">
      <c r="B21" s="6" t="s">
        <v>58</v>
      </c>
      <c r="C21" s="6"/>
      <c r="D21" s="6">
        <v>60</v>
      </c>
      <c r="E21" s="6">
        <v>60</v>
      </c>
      <c r="F21" s="6"/>
      <c r="G21" s="6"/>
      <c r="H21" s="6"/>
      <c r="I21" s="6"/>
      <c r="J21" s="6"/>
      <c r="K21" s="6"/>
      <c r="L21" s="6"/>
      <c r="M21" s="6"/>
      <c r="N21" s="19"/>
      <c r="Q21" s="1"/>
    </row>
    <row r="22" spans="2:17" x14ac:dyDescent="0.25">
      <c r="B22" s="6" t="s">
        <v>28</v>
      </c>
      <c r="C22" s="6"/>
      <c r="D22" s="6">
        <v>30</v>
      </c>
      <c r="E22" s="6">
        <v>30</v>
      </c>
      <c r="F22" s="6"/>
      <c r="G22" s="6"/>
      <c r="H22" s="6"/>
      <c r="I22" s="6"/>
      <c r="J22" s="6"/>
      <c r="K22" s="6"/>
      <c r="L22" s="6"/>
      <c r="M22" s="6"/>
      <c r="N22" s="19"/>
      <c r="Q22" s="1"/>
    </row>
    <row r="23" spans="2:17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9"/>
    </row>
    <row r="24" spans="2:17" ht="18.75" x14ac:dyDescent="0.3">
      <c r="B24" s="11" t="s">
        <v>14</v>
      </c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19"/>
    </row>
    <row r="25" spans="2:17" x14ac:dyDescent="0.25">
      <c r="B25" s="6" t="s">
        <v>60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9"/>
    </row>
    <row r="26" spans="2:17" x14ac:dyDescent="0.25">
      <c r="B26" s="15" t="s">
        <v>61</v>
      </c>
      <c r="C26" s="15"/>
      <c r="D26" s="12">
        <f>D5*D6</f>
        <v>285000</v>
      </c>
      <c r="E26" s="12">
        <f t="shared" ref="E26" si="11">E5*E6</f>
        <v>142500</v>
      </c>
      <c r="F26" s="12"/>
      <c r="G26" s="12"/>
      <c r="H26" s="12"/>
      <c r="I26" s="12"/>
      <c r="J26" s="12"/>
      <c r="K26" s="12"/>
      <c r="L26" s="12"/>
      <c r="M26" s="12"/>
      <c r="N26" s="19"/>
    </row>
    <row r="27" spans="2:17" x14ac:dyDescent="0.25">
      <c r="B27" s="15" t="s">
        <v>62</v>
      </c>
      <c r="C27" s="15"/>
      <c r="D27" s="12">
        <f t="shared" ref="D27:E27" si="12">D9*D10</f>
        <v>420000</v>
      </c>
      <c r="E27" s="12">
        <f t="shared" si="12"/>
        <v>105000</v>
      </c>
      <c r="F27" s="12"/>
      <c r="G27" s="12"/>
      <c r="H27" s="12"/>
      <c r="I27" s="12"/>
      <c r="J27" s="12"/>
      <c r="K27" s="12"/>
      <c r="L27" s="12"/>
      <c r="M27" s="12"/>
      <c r="N27" s="19"/>
    </row>
    <row r="28" spans="2:17" x14ac:dyDescent="0.25">
      <c r="B28" s="15" t="s">
        <v>63</v>
      </c>
      <c r="C28" s="15"/>
      <c r="D28" s="12">
        <f t="shared" ref="D28:E28" si="13">D13*D14</f>
        <v>187200</v>
      </c>
      <c r="E28" s="12">
        <f t="shared" si="13"/>
        <v>93600</v>
      </c>
      <c r="F28" s="12"/>
      <c r="G28" s="12"/>
      <c r="H28" s="12"/>
      <c r="I28" s="12"/>
      <c r="J28" s="12"/>
      <c r="K28" s="12"/>
      <c r="L28" s="12"/>
      <c r="M28" s="12"/>
      <c r="N28" s="19"/>
    </row>
    <row r="29" spans="2:17" x14ac:dyDescent="0.25">
      <c r="B29" s="15" t="s">
        <v>2</v>
      </c>
      <c r="C29" s="15"/>
      <c r="D29" s="12">
        <f t="shared" ref="D29:E29" si="14">D16*D17</f>
        <v>288000</v>
      </c>
      <c r="E29" s="12">
        <f t="shared" si="14"/>
        <v>144000</v>
      </c>
      <c r="F29" s="12"/>
      <c r="G29" s="12"/>
      <c r="H29" s="12"/>
      <c r="I29" s="12"/>
      <c r="J29" s="12"/>
      <c r="K29" s="12"/>
      <c r="L29" s="12"/>
      <c r="M29" s="12"/>
      <c r="N29" s="19"/>
    </row>
    <row r="30" spans="2:17" x14ac:dyDescent="0.25">
      <c r="B30" s="6" t="s">
        <v>64</v>
      </c>
      <c r="C30" s="6"/>
      <c r="D30" s="12">
        <f>SUM(D26:D29)</f>
        <v>1180200</v>
      </c>
      <c r="E30" s="12">
        <f t="shared" ref="E30" si="15">SUM(E26:E29)</f>
        <v>485100</v>
      </c>
      <c r="F30" s="12"/>
      <c r="G30" s="12"/>
      <c r="H30" s="12"/>
      <c r="I30" s="12"/>
      <c r="J30" s="12"/>
      <c r="K30" s="12"/>
      <c r="L30" s="12"/>
      <c r="M30" s="12"/>
      <c r="N30" s="19"/>
    </row>
    <row r="31" spans="2:17" x14ac:dyDescent="0.25">
      <c r="B31" s="6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9"/>
    </row>
    <row r="32" spans="2:17" x14ac:dyDescent="0.25">
      <c r="B32" s="6" t="s">
        <v>0</v>
      </c>
      <c r="C32" s="6"/>
      <c r="D32" s="12">
        <f t="shared" ref="D32:E32" si="16">(D5*D7)+(D9*D11)+(D16*D18)</f>
        <v>785400</v>
      </c>
      <c r="E32" s="12">
        <f t="shared" si="16"/>
        <v>431970.00000000006</v>
      </c>
      <c r="F32" s="12"/>
      <c r="G32" s="12"/>
      <c r="H32" s="12"/>
      <c r="I32" s="12"/>
      <c r="J32" s="12"/>
      <c r="K32" s="12"/>
      <c r="L32" s="12"/>
      <c r="M32" s="12"/>
      <c r="N32" s="19"/>
    </row>
    <row r="33" spans="2:18" x14ac:dyDescent="0.25">
      <c r="B33" s="6"/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9"/>
    </row>
    <row r="34" spans="2:18" x14ac:dyDescent="0.25">
      <c r="B34" s="7" t="s">
        <v>65</v>
      </c>
      <c r="C34" s="7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9"/>
    </row>
    <row r="35" spans="2:18" x14ac:dyDescent="0.25">
      <c r="B35" s="15" t="s">
        <v>24</v>
      </c>
      <c r="C35" s="15"/>
      <c r="D35" s="12">
        <f>(45000*3)+(30000)+80000+40000</f>
        <v>285000</v>
      </c>
      <c r="E35" s="12">
        <f t="shared" ref="E35" si="17">D35*(1+$N$35)</f>
        <v>313500</v>
      </c>
      <c r="F35" s="12"/>
      <c r="G35" s="12"/>
      <c r="H35" s="12"/>
      <c r="I35" s="12"/>
      <c r="J35" s="12"/>
      <c r="K35" s="12"/>
      <c r="L35" s="12"/>
      <c r="M35" s="12"/>
      <c r="N35" s="18">
        <v>0.1</v>
      </c>
      <c r="O35" s="2" t="s">
        <v>53</v>
      </c>
      <c r="R35" t="s">
        <v>83</v>
      </c>
    </row>
    <row r="36" spans="2:18" x14ac:dyDescent="0.25">
      <c r="B36" s="15" t="s">
        <v>1</v>
      </c>
      <c r="C36" s="15"/>
      <c r="D36" s="12">
        <f>800*12</f>
        <v>9600</v>
      </c>
      <c r="E36" s="12">
        <f t="shared" ref="E36" si="18">D36*(1+$N$36)</f>
        <v>10560</v>
      </c>
      <c r="F36" s="12"/>
      <c r="G36" s="12"/>
      <c r="H36" s="12"/>
      <c r="I36" s="12"/>
      <c r="J36" s="12"/>
      <c r="K36" s="12"/>
      <c r="L36" s="12"/>
      <c r="M36" s="12"/>
      <c r="N36" s="18">
        <v>0.1</v>
      </c>
      <c r="O36" s="2" t="str">
        <f>O35</f>
        <v>Inflation</v>
      </c>
      <c r="Q36" s="33">
        <v>4.1250000000000002E-2</v>
      </c>
      <c r="R36" s="2" t="s">
        <v>84</v>
      </c>
    </row>
    <row r="37" spans="2:18" x14ac:dyDescent="0.25">
      <c r="B37" s="15" t="s">
        <v>3</v>
      </c>
      <c r="C37" s="15"/>
      <c r="D37" s="12">
        <f>3500*12</f>
        <v>42000</v>
      </c>
      <c r="E37" s="12">
        <f t="shared" ref="E37" si="19">D37*(1+$N$37)</f>
        <v>46200.000000000007</v>
      </c>
      <c r="F37" s="12"/>
      <c r="G37" s="12"/>
      <c r="H37" s="12"/>
      <c r="I37" s="12"/>
      <c r="J37" s="12"/>
      <c r="K37" s="12"/>
      <c r="L37" s="12"/>
      <c r="M37" s="12"/>
      <c r="N37" s="18">
        <v>0.1</v>
      </c>
      <c r="O37" s="2" t="s">
        <v>53</v>
      </c>
      <c r="Q37" s="32">
        <v>195000</v>
      </c>
      <c r="R37" t="s">
        <v>73</v>
      </c>
    </row>
    <row r="38" spans="2:18" x14ac:dyDescent="0.25">
      <c r="B38" s="15" t="s">
        <v>121</v>
      </c>
      <c r="C38" s="15"/>
      <c r="D38" s="12">
        <f>80*D13</f>
        <v>62400</v>
      </c>
      <c r="E38" s="12">
        <f>D38*(1+$N$38)</f>
        <v>68640</v>
      </c>
      <c r="F38" s="12"/>
      <c r="G38" s="12"/>
      <c r="H38" s="12"/>
      <c r="I38" s="12"/>
      <c r="J38" s="12"/>
      <c r="K38" s="12"/>
      <c r="L38" s="12"/>
      <c r="M38" s="12"/>
      <c r="N38" s="18">
        <v>0.1</v>
      </c>
      <c r="O38" s="2" t="s">
        <v>53</v>
      </c>
      <c r="Q38" s="32">
        <v>30</v>
      </c>
      <c r="R38" t="s">
        <v>85</v>
      </c>
    </row>
    <row r="39" spans="2:18" x14ac:dyDescent="0.25">
      <c r="B39" s="15"/>
      <c r="C39" s="15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43"/>
      <c r="O39" s="2"/>
    </row>
    <row r="40" spans="2:18" x14ac:dyDescent="0.25">
      <c r="B40" s="6" t="s">
        <v>123</v>
      </c>
      <c r="C40" s="6"/>
      <c r="D40" s="12">
        <f>((D63+D62)/$N$40)</f>
        <v>23125</v>
      </c>
      <c r="E40" s="12">
        <f t="shared" ref="E40" si="20">(E63+E62)/$N$40</f>
        <v>23125</v>
      </c>
      <c r="F40" s="12"/>
      <c r="G40" s="12"/>
      <c r="H40" s="12"/>
      <c r="I40" s="12"/>
      <c r="J40" s="12"/>
      <c r="K40" s="12"/>
      <c r="L40" s="12"/>
      <c r="M40" s="12"/>
      <c r="N40" s="21">
        <v>8</v>
      </c>
      <c r="O40" s="2" t="s">
        <v>67</v>
      </c>
      <c r="P40" s="3"/>
    </row>
    <row r="41" spans="2:18" x14ac:dyDescent="0.25">
      <c r="B41" s="6" t="s">
        <v>87</v>
      </c>
      <c r="C41" s="6"/>
      <c r="D41" s="12">
        <f>D60/50</f>
        <v>2000</v>
      </c>
      <c r="E41" s="12">
        <f t="shared" ref="E41" si="21">$D$41</f>
        <v>2000</v>
      </c>
      <c r="F41" s="12"/>
      <c r="G41" s="12"/>
      <c r="H41" s="12"/>
      <c r="I41" s="12"/>
      <c r="J41" s="12"/>
      <c r="K41" s="12"/>
      <c r="L41" s="12"/>
      <c r="M41" s="12"/>
      <c r="N41" s="21">
        <v>50</v>
      </c>
      <c r="O41" s="2" t="s">
        <v>88</v>
      </c>
    </row>
    <row r="42" spans="2:18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2:18" x14ac:dyDescent="0.25">
      <c r="B43" s="6" t="s">
        <v>71</v>
      </c>
      <c r="C43" s="6"/>
      <c r="D43" s="8">
        <f>'Mortgage '!D14</f>
        <v>7980.6952685850993</v>
      </c>
      <c r="E43" s="8">
        <f>'Mortgage '!D28</f>
        <v>7839.4400432992725</v>
      </c>
      <c r="F43" s="8"/>
      <c r="G43" s="8"/>
      <c r="H43" s="8"/>
      <c r="I43" s="8"/>
      <c r="J43" s="8"/>
      <c r="K43" s="8"/>
      <c r="L43" s="8"/>
      <c r="M43" s="8"/>
    </row>
    <row r="44" spans="2:18" x14ac:dyDescent="0.25">
      <c r="B44" s="6" t="s">
        <v>66</v>
      </c>
      <c r="C44" s="6"/>
      <c r="D44" s="12">
        <f>$N$44*D71</f>
        <v>30038.96297268353</v>
      </c>
      <c r="E44" s="12">
        <f>$N$44*E71</f>
        <v>61152.559578557222</v>
      </c>
      <c r="F44" s="12"/>
      <c r="G44" s="12"/>
      <c r="H44" s="12"/>
      <c r="I44" s="12"/>
      <c r="J44" s="12"/>
      <c r="K44" s="12"/>
      <c r="L44" s="12"/>
      <c r="M44" s="12"/>
      <c r="N44" s="18">
        <v>0.1</v>
      </c>
      <c r="O44" s="2" t="s">
        <v>38</v>
      </c>
    </row>
    <row r="45" spans="2:18" x14ac:dyDescent="0.25">
      <c r="B45" s="6"/>
      <c r="C45" s="6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9"/>
      <c r="P45" s="1"/>
    </row>
    <row r="46" spans="2:18" x14ac:dyDescent="0.25">
      <c r="B46" s="6" t="s">
        <v>4</v>
      </c>
      <c r="C46" s="6"/>
      <c r="D46" s="12">
        <f t="shared" ref="D46:E46" si="22">D30-D32-SUM(D35:D38)-D40-D44-D41-D43</f>
        <v>-67344.658241268626</v>
      </c>
      <c r="E46" s="12">
        <f t="shared" si="22"/>
        <v>-479886.99962185655</v>
      </c>
      <c r="F46" s="12"/>
      <c r="G46" s="12"/>
      <c r="H46" s="12"/>
      <c r="I46" s="12"/>
      <c r="J46" s="12"/>
      <c r="K46" s="12"/>
      <c r="L46" s="12"/>
      <c r="M46" s="12"/>
      <c r="N46" s="19"/>
    </row>
    <row r="47" spans="2:18" x14ac:dyDescent="0.25">
      <c r="B47" s="6" t="s">
        <v>5</v>
      </c>
      <c r="C47" s="6"/>
      <c r="D47" s="12">
        <f t="shared" ref="D47:E47" si="23">IF(D46&lt;0,0,D46*$N$47)</f>
        <v>0</v>
      </c>
      <c r="E47" s="12">
        <f t="shared" si="23"/>
        <v>0</v>
      </c>
      <c r="F47" s="12"/>
      <c r="G47" s="12"/>
      <c r="H47" s="12"/>
      <c r="I47" s="12"/>
      <c r="J47" s="12"/>
      <c r="K47" s="12"/>
      <c r="L47" s="12"/>
      <c r="M47" s="12"/>
      <c r="N47" s="18">
        <v>0.25</v>
      </c>
      <c r="O47" t="s">
        <v>25</v>
      </c>
    </row>
    <row r="48" spans="2:18" x14ac:dyDescent="0.25">
      <c r="B48" s="6"/>
      <c r="C48" s="6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"/>
    </row>
    <row r="49" spans="2:23" x14ac:dyDescent="0.25">
      <c r="B49" s="6" t="s">
        <v>6</v>
      </c>
      <c r="C49" s="6"/>
      <c r="D49" s="12">
        <f>D46-D47</f>
        <v>-67344.658241268626</v>
      </c>
      <c r="E49" s="12">
        <f t="shared" ref="E49" si="24">E46-E47</f>
        <v>-479886.99962185655</v>
      </c>
      <c r="F49" s="12"/>
      <c r="G49" s="12"/>
      <c r="H49" s="12"/>
      <c r="I49" s="12"/>
      <c r="J49" s="12"/>
      <c r="K49" s="12"/>
      <c r="L49" s="12"/>
      <c r="M49" s="12"/>
    </row>
    <row r="50" spans="2:23" x14ac:dyDescent="0.25">
      <c r="B50" s="9"/>
      <c r="C50" s="9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2:23" ht="18.75" x14ac:dyDescent="0.3">
      <c r="B51" s="11" t="s">
        <v>7</v>
      </c>
      <c r="C51" s="1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36"/>
      <c r="O51" s="36"/>
      <c r="P51" s="36"/>
      <c r="Q51" s="36"/>
    </row>
    <row r="52" spans="2:23" x14ac:dyDescent="0.25">
      <c r="B52" s="17" t="s">
        <v>68</v>
      </c>
      <c r="C52" s="17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6"/>
      <c r="O52" s="36" t="s">
        <v>138</v>
      </c>
      <c r="P52" s="36" t="s">
        <v>139</v>
      </c>
      <c r="Q52" s="36" t="s">
        <v>140</v>
      </c>
      <c r="R52" s="53"/>
      <c r="S52" s="36" t="s">
        <v>141</v>
      </c>
      <c r="T52" s="54">
        <v>0.6</v>
      </c>
      <c r="U52" s="36"/>
    </row>
    <row r="53" spans="2:23" x14ac:dyDescent="0.25">
      <c r="B53" s="10" t="s">
        <v>10</v>
      </c>
      <c r="C53" s="10"/>
      <c r="D53" s="12">
        <v>5000</v>
      </c>
      <c r="E53" s="12">
        <v>5000</v>
      </c>
      <c r="F53" s="12"/>
      <c r="G53" s="12"/>
      <c r="H53" s="12"/>
      <c r="I53" s="12"/>
      <c r="J53" s="12"/>
      <c r="K53" s="12"/>
      <c r="L53" s="12"/>
      <c r="M53" s="12"/>
      <c r="N53" s="36" t="s">
        <v>142</v>
      </c>
      <c r="O53" s="55">
        <v>1</v>
      </c>
      <c r="P53" s="56"/>
      <c r="Q53" s="57">
        <f>E53*O53</f>
        <v>5000</v>
      </c>
      <c r="R53" s="53"/>
      <c r="S53" s="36" t="s">
        <v>143</v>
      </c>
      <c r="T53" s="54">
        <v>0.5</v>
      </c>
      <c r="U53" s="36"/>
    </row>
    <row r="54" spans="2:23" x14ac:dyDescent="0.25">
      <c r="B54" s="10" t="s">
        <v>11</v>
      </c>
      <c r="C54" s="10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36"/>
      <c r="O54" s="55"/>
      <c r="P54" s="56"/>
      <c r="Q54" s="53"/>
      <c r="R54" s="53"/>
      <c r="S54" s="36" t="s">
        <v>144</v>
      </c>
      <c r="T54" s="54">
        <v>1</v>
      </c>
      <c r="U54" s="36"/>
    </row>
    <row r="55" spans="2:23" x14ac:dyDescent="0.25">
      <c r="B55" s="10" t="s">
        <v>12</v>
      </c>
      <c r="C55" s="10"/>
      <c r="D55" s="16">
        <f t="shared" ref="D55:E55" si="25">SUM(D26:D27,D29)/365*D20</f>
        <v>81616.438356164392</v>
      </c>
      <c r="E55" s="16">
        <f t="shared" si="25"/>
        <v>32178.082191780824</v>
      </c>
      <c r="F55" s="16"/>
      <c r="G55" s="16"/>
      <c r="H55" s="16"/>
      <c r="I55" s="16"/>
      <c r="J55" s="16"/>
      <c r="K55" s="16"/>
      <c r="L55" s="16"/>
      <c r="M55" s="16"/>
      <c r="N55" s="36" t="s">
        <v>145</v>
      </c>
      <c r="O55" s="55">
        <v>0.5</v>
      </c>
      <c r="P55" s="56"/>
      <c r="Q55" s="57">
        <f>E55*O55</f>
        <v>16089.041095890412</v>
      </c>
      <c r="R55" s="53"/>
      <c r="S55" s="36"/>
      <c r="T55" s="36"/>
      <c r="U55" s="36"/>
    </row>
    <row r="56" spans="2:23" x14ac:dyDescent="0.25">
      <c r="B56" s="10" t="s">
        <v>122</v>
      </c>
      <c r="C56" s="10"/>
      <c r="D56" s="16">
        <f>E38</f>
        <v>68640</v>
      </c>
      <c r="E56" s="16">
        <f t="shared" ref="E56" si="26">F38</f>
        <v>0</v>
      </c>
      <c r="F56" s="16"/>
      <c r="G56" s="16"/>
      <c r="H56" s="16"/>
      <c r="I56" s="16"/>
      <c r="J56" s="16"/>
      <c r="K56" s="16"/>
      <c r="L56" s="16"/>
      <c r="M56" s="16"/>
      <c r="N56" s="36"/>
      <c r="R56" s="53"/>
      <c r="S56" s="36"/>
      <c r="T56" s="36"/>
      <c r="U56" s="36"/>
    </row>
    <row r="57" spans="2:23" x14ac:dyDescent="0.25">
      <c r="B57" s="10" t="s">
        <v>13</v>
      </c>
      <c r="C57" s="10"/>
      <c r="D57" s="16">
        <f t="shared" ref="D57:E57" si="27">D32/365*D21</f>
        <v>129106.8493150685</v>
      </c>
      <c r="E57" s="12">
        <f t="shared" si="27"/>
        <v>71008.767123287675</v>
      </c>
      <c r="F57" s="12"/>
      <c r="G57" s="12"/>
      <c r="H57" s="12"/>
      <c r="I57" s="12"/>
      <c r="J57" s="12"/>
      <c r="K57" s="12"/>
      <c r="L57" s="12"/>
      <c r="M57" s="12"/>
      <c r="N57" s="36" t="s">
        <v>146</v>
      </c>
      <c r="O57" s="55">
        <v>0.5</v>
      </c>
      <c r="P57" s="56"/>
      <c r="Q57" s="57">
        <f>E57*O57</f>
        <v>35504.383561643837</v>
      </c>
      <c r="R57" s="53"/>
      <c r="S57" s="36"/>
      <c r="T57" s="36"/>
      <c r="U57" s="36"/>
    </row>
    <row r="58" spans="2:23" x14ac:dyDescent="0.25">
      <c r="B58" s="10"/>
      <c r="C58" s="10"/>
      <c r="D58" s="16"/>
      <c r="E58" s="12"/>
      <c r="F58" s="12"/>
      <c r="G58" s="12"/>
      <c r="H58" s="12"/>
      <c r="I58" s="12"/>
      <c r="J58" s="12"/>
      <c r="K58" s="12"/>
      <c r="L58" s="12"/>
      <c r="M58" s="12"/>
      <c r="N58" s="36"/>
      <c r="R58" s="53"/>
      <c r="S58" s="36"/>
      <c r="T58" s="36"/>
      <c r="U58" s="36"/>
    </row>
    <row r="59" spans="2:23" x14ac:dyDescent="0.25">
      <c r="B59" s="10" t="s">
        <v>70</v>
      </c>
      <c r="C59" s="10"/>
      <c r="D59" s="12">
        <v>95000</v>
      </c>
      <c r="E59" s="12">
        <v>95000</v>
      </c>
      <c r="F59" s="12"/>
      <c r="G59" s="12"/>
      <c r="H59" s="12"/>
      <c r="I59" s="12"/>
      <c r="J59" s="12"/>
      <c r="K59" s="12"/>
      <c r="L59" s="12"/>
      <c r="M59" s="12"/>
      <c r="N59" s="36" t="s">
        <v>70</v>
      </c>
      <c r="O59" s="55">
        <v>0.6</v>
      </c>
      <c r="P59" s="56">
        <f>E59*O59</f>
        <v>57000</v>
      </c>
      <c r="Q59" s="53"/>
      <c r="R59" s="53"/>
      <c r="S59" s="36"/>
      <c r="T59" s="36"/>
      <c r="U59" s="36"/>
    </row>
    <row r="60" spans="2:23" x14ac:dyDescent="0.25">
      <c r="B60" s="6" t="s">
        <v>86</v>
      </c>
      <c r="C60" s="6"/>
      <c r="D60" s="12">
        <v>100000</v>
      </c>
      <c r="E60" s="12">
        <f>D60</f>
        <v>100000</v>
      </c>
      <c r="F60" s="12"/>
      <c r="G60" s="12"/>
      <c r="H60" s="12"/>
      <c r="I60" s="12"/>
      <c r="J60" s="12"/>
      <c r="K60" s="12"/>
      <c r="L60" s="12"/>
      <c r="M60" s="12"/>
      <c r="N60" s="36" t="s">
        <v>86</v>
      </c>
      <c r="O60" s="55">
        <v>0.6</v>
      </c>
      <c r="P60" s="56">
        <f>E60*O60</f>
        <v>60000</v>
      </c>
      <c r="Q60" s="53"/>
      <c r="R60" s="53"/>
      <c r="S60" s="36"/>
      <c r="T60" s="36"/>
      <c r="U60" s="36"/>
    </row>
    <row r="61" spans="2:23" x14ac:dyDescent="0.25">
      <c r="B61" s="6" t="s">
        <v>90</v>
      </c>
      <c r="C61" s="6"/>
      <c r="D61" s="12">
        <f>D41</f>
        <v>2000</v>
      </c>
      <c r="E61" s="12">
        <f t="shared" ref="E61" si="28">D61+E41</f>
        <v>4000</v>
      </c>
      <c r="F61" s="12"/>
      <c r="G61" s="12"/>
      <c r="H61" s="12"/>
      <c r="I61" s="12"/>
      <c r="J61" s="12"/>
      <c r="K61" s="12"/>
      <c r="L61" s="12"/>
      <c r="M61" s="12"/>
      <c r="N61" s="36"/>
      <c r="R61" s="53"/>
      <c r="S61" s="36"/>
      <c r="T61" s="36"/>
      <c r="U61" s="36"/>
    </row>
    <row r="62" spans="2:23" x14ac:dyDescent="0.25">
      <c r="B62" s="6" t="s">
        <v>26</v>
      </c>
      <c r="C62" s="6"/>
      <c r="D62" s="12">
        <v>35000</v>
      </c>
      <c r="E62" s="12">
        <f>$D$62</f>
        <v>35000</v>
      </c>
      <c r="F62" s="12"/>
      <c r="G62" s="12"/>
      <c r="H62" s="12"/>
      <c r="I62" s="12"/>
      <c r="J62" s="12"/>
      <c r="K62" s="12"/>
      <c r="L62" s="12"/>
      <c r="M62" s="12"/>
      <c r="N62" s="36" t="s">
        <v>147</v>
      </c>
      <c r="O62" s="55">
        <v>0.5</v>
      </c>
      <c r="P62" s="56"/>
      <c r="Q62" s="57">
        <f>E62*O62</f>
        <v>17500</v>
      </c>
      <c r="R62" s="53"/>
      <c r="S62" s="36"/>
      <c r="T62" s="36"/>
      <c r="U62" s="36"/>
    </row>
    <row r="63" spans="2:23" x14ac:dyDescent="0.25">
      <c r="B63" s="6" t="s">
        <v>27</v>
      </c>
      <c r="C63" s="6"/>
      <c r="D63" s="12">
        <f>50*$D$7</f>
        <v>150000</v>
      </c>
      <c r="E63" s="12">
        <f t="shared" ref="E63" si="29">50*$D$7</f>
        <v>150000</v>
      </c>
      <c r="F63" s="12"/>
      <c r="G63" s="12"/>
      <c r="H63" s="12"/>
      <c r="I63" s="12"/>
      <c r="J63" s="12"/>
      <c r="K63" s="12"/>
      <c r="L63" s="12"/>
      <c r="M63" s="12"/>
      <c r="N63" s="36" t="s">
        <v>148</v>
      </c>
      <c r="O63" s="55">
        <v>0.5</v>
      </c>
      <c r="P63" s="56"/>
      <c r="Q63" s="58">
        <f>E63*O63</f>
        <v>75000</v>
      </c>
      <c r="R63" s="53"/>
      <c r="S63" s="36"/>
      <c r="T63" s="36"/>
      <c r="U63" s="36"/>
    </row>
    <row r="64" spans="2:23" x14ac:dyDescent="0.25">
      <c r="B64" s="6" t="s">
        <v>30</v>
      </c>
      <c r="C64" s="6"/>
      <c r="D64" s="12">
        <f>D40</f>
        <v>23125</v>
      </c>
      <c r="E64" s="12">
        <f t="shared" ref="E64" si="30">D64+E40</f>
        <v>46250</v>
      </c>
      <c r="F64" s="12"/>
      <c r="G64" s="12"/>
      <c r="H64" s="12"/>
      <c r="I64" s="12"/>
      <c r="J64" s="12"/>
      <c r="K64" s="12"/>
      <c r="L64" s="12"/>
      <c r="M64" s="12"/>
      <c r="N64" s="36"/>
      <c r="O64" s="55"/>
      <c r="P64" s="56"/>
      <c r="Q64" s="53"/>
      <c r="R64" s="53"/>
      <c r="S64" s="36"/>
      <c r="T64" s="36"/>
      <c r="U64" s="36"/>
      <c r="W64" s="36"/>
    </row>
    <row r="65" spans="2:24" x14ac:dyDescent="0.25">
      <c r="B65" s="6"/>
      <c r="C65" s="6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36"/>
      <c r="O65" s="55"/>
      <c r="P65" s="56"/>
      <c r="Q65" s="53"/>
      <c r="R65" s="53"/>
      <c r="S65" s="36"/>
      <c r="T65" s="36"/>
      <c r="U65" s="36"/>
    </row>
    <row r="66" spans="2:24" x14ac:dyDescent="0.25">
      <c r="B66" s="7" t="s">
        <v>29</v>
      </c>
      <c r="C66" s="7"/>
      <c r="D66" s="12">
        <f t="shared" ref="D66:E66" si="31">SUM(D53:D60)-D61+SUM(D62:D63)-D64</f>
        <v>639238.28767123283</v>
      </c>
      <c r="E66" s="12">
        <f t="shared" si="31"/>
        <v>437936.84931506851</v>
      </c>
      <c r="F66" s="12"/>
      <c r="G66" s="12"/>
      <c r="H66" s="12"/>
      <c r="I66" s="12"/>
      <c r="J66" s="12"/>
      <c r="K66" s="12"/>
      <c r="L66" s="12"/>
      <c r="M66" s="12"/>
      <c r="N66" s="36"/>
      <c r="O66" s="36"/>
      <c r="P66" s="56"/>
      <c r="Q66" s="53"/>
      <c r="R66" s="53"/>
      <c r="S66" s="36"/>
      <c r="T66" s="36"/>
      <c r="U66" s="36"/>
    </row>
    <row r="67" spans="2:24" x14ac:dyDescent="0.25">
      <c r="B67" s="6"/>
      <c r="C67" s="6"/>
      <c r="D67" s="12"/>
      <c r="E67" s="12">
        <f>E70+E71</f>
        <v>799664.12361655012</v>
      </c>
      <c r="F67" s="12"/>
      <c r="G67" s="12"/>
      <c r="H67" s="12"/>
      <c r="I67" s="12"/>
      <c r="J67" s="12"/>
      <c r="K67" s="12"/>
      <c r="L67" s="12"/>
      <c r="M67" s="12"/>
    </row>
    <row r="68" spans="2:24" x14ac:dyDescent="0.25">
      <c r="B68" s="17" t="s">
        <v>69</v>
      </c>
      <c r="C68" s="17"/>
      <c r="D68" s="12"/>
      <c r="E68" s="12"/>
      <c r="F68" s="12"/>
      <c r="G68" s="12"/>
      <c r="H68" s="12"/>
      <c r="I68" s="12"/>
      <c r="J68" s="12"/>
      <c r="K68" s="12"/>
      <c r="L68" s="12"/>
      <c r="M68" s="12"/>
      <c r="X68" s="36"/>
    </row>
    <row r="69" spans="2:24" x14ac:dyDescent="0.25">
      <c r="B69" s="6" t="s">
        <v>31</v>
      </c>
      <c r="C69" s="6"/>
      <c r="D69" s="16">
        <f t="shared" ref="D69:E69" si="32">D32/365*D22</f>
        <v>64553.424657534248</v>
      </c>
      <c r="E69" s="12">
        <f t="shared" si="32"/>
        <v>35504.383561643837</v>
      </c>
      <c r="F69" s="12"/>
      <c r="G69" s="12"/>
      <c r="H69" s="12"/>
      <c r="I69" s="12"/>
      <c r="J69" s="12"/>
      <c r="K69" s="12"/>
      <c r="L69" s="12"/>
      <c r="M69" s="12"/>
      <c r="O69" s="55">
        <v>-1</v>
      </c>
      <c r="P69" s="56"/>
      <c r="Q69" s="57">
        <f>E69*O69</f>
        <v>-35504.383561643837</v>
      </c>
      <c r="R69" s="53"/>
      <c r="S69" s="36"/>
      <c r="T69" s="36"/>
      <c r="U69" s="36"/>
    </row>
    <row r="70" spans="2:24" x14ac:dyDescent="0.25">
      <c r="B70" s="6" t="s">
        <v>89</v>
      </c>
      <c r="C70" s="6"/>
      <c r="D70" s="16">
        <f>'Mortgage '!F13</f>
        <v>191639.89152813188</v>
      </c>
      <c r="E70" s="12">
        <f>'Mortgage '!F27</f>
        <v>188138.5278309779</v>
      </c>
      <c r="F70" s="12"/>
      <c r="G70" s="12"/>
      <c r="H70" s="12"/>
      <c r="I70" s="12"/>
      <c r="J70" s="12"/>
      <c r="K70" s="12"/>
      <c r="L70" s="12"/>
      <c r="M70" s="12"/>
      <c r="N70" s="34"/>
      <c r="O70" s="55"/>
      <c r="P70" s="59"/>
      <c r="Q70" s="60"/>
      <c r="R70" s="61"/>
      <c r="S70" s="61"/>
      <c r="T70" s="61"/>
      <c r="U70" s="61"/>
    </row>
    <row r="71" spans="2:24" x14ac:dyDescent="0.25">
      <c r="B71" s="6" t="s">
        <v>32</v>
      </c>
      <c r="C71" s="6"/>
      <c r="D71" s="12">
        <v>300389.62972683529</v>
      </c>
      <c r="E71" s="12">
        <v>611525.59578557219</v>
      </c>
      <c r="F71" s="12"/>
      <c r="G71" s="12"/>
      <c r="H71" s="12"/>
      <c r="I71" s="12"/>
      <c r="J71" s="12"/>
      <c r="K71" s="12"/>
      <c r="L71" s="12"/>
      <c r="M71" s="12"/>
      <c r="N71" s="34"/>
      <c r="O71" s="36"/>
      <c r="P71" s="62">
        <f>SUM(P53:P70)</f>
        <v>117000</v>
      </c>
      <c r="Q71" s="62">
        <f>SUM(Q53:Q70)</f>
        <v>113589.04109589042</v>
      </c>
      <c r="R71" s="61"/>
      <c r="S71" s="61"/>
      <c r="T71" s="61"/>
      <c r="U71" s="61"/>
    </row>
    <row r="72" spans="2:24" x14ac:dyDescent="0.25">
      <c r="B72" s="6" t="s">
        <v>33</v>
      </c>
      <c r="C72" s="6"/>
      <c r="D72" s="12">
        <f t="shared" ref="D72:E72" si="33">D47</f>
        <v>0</v>
      </c>
      <c r="E72" s="12">
        <f t="shared" si="33"/>
        <v>0</v>
      </c>
      <c r="F72" s="12"/>
      <c r="G72" s="12"/>
      <c r="H72" s="12"/>
      <c r="I72" s="12"/>
      <c r="J72" s="12"/>
      <c r="K72" s="12"/>
      <c r="L72" s="12"/>
      <c r="M72" s="12"/>
      <c r="N72" s="34"/>
      <c r="O72" s="36"/>
      <c r="P72" s="62"/>
      <c r="Q72" s="63">
        <v>0</v>
      </c>
      <c r="R72" s="61"/>
      <c r="S72" s="61"/>
      <c r="T72" s="61"/>
      <c r="U72" s="61"/>
    </row>
    <row r="73" spans="2:24" x14ac:dyDescent="0.25">
      <c r="B73" s="6"/>
      <c r="C73" s="6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34"/>
      <c r="O73" s="36" t="s">
        <v>149</v>
      </c>
      <c r="P73" s="62"/>
      <c r="Q73" s="64">
        <v>5000</v>
      </c>
      <c r="R73" s="61"/>
      <c r="S73" s="61"/>
      <c r="T73" s="61"/>
      <c r="U73" s="61"/>
    </row>
    <row r="74" spans="2:24" x14ac:dyDescent="0.25">
      <c r="B74" s="6" t="s">
        <v>34</v>
      </c>
      <c r="C74" s="6"/>
      <c r="D74" s="12">
        <v>150000</v>
      </c>
      <c r="E74" s="12">
        <v>150000</v>
      </c>
      <c r="F74" s="12"/>
      <c r="G74" s="12"/>
      <c r="H74" s="12"/>
      <c r="I74" s="12"/>
      <c r="J74" s="12"/>
      <c r="K74" s="12"/>
      <c r="L74" s="12"/>
      <c r="M74" s="12"/>
      <c r="N74" s="34"/>
      <c r="O74" s="36"/>
      <c r="P74" s="62"/>
      <c r="Q74" s="63">
        <f>Q71-Q73</f>
        <v>108589.04109589042</v>
      </c>
      <c r="R74" s="61"/>
      <c r="S74" s="61"/>
      <c r="T74" s="61"/>
      <c r="U74" s="61"/>
    </row>
    <row r="75" spans="2:24" x14ac:dyDescent="0.25">
      <c r="B75" s="6" t="s">
        <v>35</v>
      </c>
      <c r="C75" s="6"/>
      <c r="D75" s="12">
        <f>D49</f>
        <v>-67344.658241268626</v>
      </c>
      <c r="E75" s="12">
        <f t="shared" ref="E75" si="34">D75+E49</f>
        <v>-547231.65786312521</v>
      </c>
      <c r="F75" s="12"/>
      <c r="G75" s="12"/>
      <c r="H75" s="12"/>
      <c r="I75" s="12"/>
      <c r="J75" s="12"/>
      <c r="K75" s="12"/>
      <c r="L75" s="12"/>
      <c r="M75" s="12"/>
      <c r="N75" s="34"/>
      <c r="O75" s="36"/>
      <c r="P75" s="62"/>
      <c r="Q75" s="61"/>
      <c r="R75" s="61"/>
      <c r="S75" s="61"/>
      <c r="T75" s="61"/>
      <c r="U75" s="61"/>
    </row>
    <row r="76" spans="2:24" x14ac:dyDescent="0.25">
      <c r="B76" s="6"/>
      <c r="C76" s="6"/>
      <c r="D76" s="12"/>
      <c r="E76" s="12"/>
      <c r="F76" s="12"/>
      <c r="G76" s="12"/>
      <c r="H76" s="12"/>
      <c r="I76" s="12"/>
      <c r="J76" s="12"/>
      <c r="K76" s="12"/>
      <c r="L76" s="12"/>
      <c r="M76" s="12"/>
      <c r="O76" s="36"/>
      <c r="P76" s="36" t="s">
        <v>139</v>
      </c>
      <c r="Q76" s="36" t="s">
        <v>150</v>
      </c>
      <c r="R76" s="36" t="s">
        <v>151</v>
      </c>
      <c r="S76" s="36" t="s">
        <v>140</v>
      </c>
      <c r="T76" s="36" t="s">
        <v>152</v>
      </c>
      <c r="U76" s="36" t="s">
        <v>153</v>
      </c>
    </row>
    <row r="77" spans="2:24" x14ac:dyDescent="0.25">
      <c r="B77" s="6" t="s">
        <v>36</v>
      </c>
      <c r="C77" s="6"/>
      <c r="D77" s="12">
        <f>SUM(D69:D76)</f>
        <v>639238.28767123283</v>
      </c>
      <c r="E77" s="12">
        <f t="shared" ref="E77" si="35">SUM(E69:E76)</f>
        <v>437936.84931506868</v>
      </c>
      <c r="F77" s="12"/>
      <c r="G77" s="12"/>
      <c r="H77" s="12"/>
      <c r="I77" s="12"/>
      <c r="J77" s="12"/>
      <c r="K77" s="12"/>
      <c r="L77" s="12"/>
      <c r="M77" s="12"/>
      <c r="N77" s="34"/>
      <c r="O77" s="36"/>
      <c r="P77" s="62">
        <f>P71</f>
        <v>117000</v>
      </c>
      <c r="Q77" s="65">
        <f>E70-P77</f>
        <v>71138.527830977895</v>
      </c>
      <c r="R77" s="66">
        <f>Q77/Q79</f>
        <v>0.10420721606711551</v>
      </c>
      <c r="S77" s="63">
        <f>Q74*R77</f>
        <v>11315.761668000339</v>
      </c>
      <c r="T77" s="62">
        <f>P77+S77</f>
        <v>128315.76166800034</v>
      </c>
      <c r="U77" s="67">
        <f>T77/E70</f>
        <v>0.68202809465628522</v>
      </c>
    </row>
    <row r="78" spans="2:24" x14ac:dyDescent="0.25">
      <c r="B78" s="6"/>
      <c r="C78" s="6"/>
      <c r="D78" s="12"/>
      <c r="E78" s="12"/>
      <c r="F78" s="12"/>
      <c r="G78" s="12"/>
      <c r="H78" s="12"/>
      <c r="I78" s="12"/>
      <c r="J78" s="12"/>
      <c r="K78" s="12"/>
      <c r="L78" s="12"/>
      <c r="M78" s="12"/>
      <c r="O78" s="36"/>
      <c r="P78" s="62"/>
      <c r="Q78" s="68">
        <f>E71-P78</f>
        <v>611525.59578557219</v>
      </c>
      <c r="R78" s="69">
        <f>Q78/Q79</f>
        <v>0.89579278393288442</v>
      </c>
      <c r="S78" s="63">
        <f>Q74*R78</f>
        <v>97273.279427890084</v>
      </c>
      <c r="T78" s="62">
        <f>P78+S78</f>
        <v>97273.279427890084</v>
      </c>
      <c r="U78" s="67">
        <f>T78/E71</f>
        <v>0.15906657071799554</v>
      </c>
    </row>
    <row r="79" spans="2:24" x14ac:dyDescent="0.25">
      <c r="B79" s="6" t="s">
        <v>37</v>
      </c>
      <c r="C79" s="6"/>
      <c r="D79" s="12">
        <f t="shared" ref="D79:E79" si="36">D66-D77</f>
        <v>0</v>
      </c>
      <c r="E79" s="12">
        <f t="shared" si="36"/>
        <v>0</v>
      </c>
      <c r="F79" s="12"/>
      <c r="G79" s="12"/>
      <c r="H79" s="12"/>
      <c r="I79" s="12"/>
      <c r="J79" s="12"/>
      <c r="K79" s="12"/>
      <c r="L79" s="12"/>
      <c r="M79" s="12"/>
      <c r="O79" s="36"/>
      <c r="P79" s="70"/>
      <c r="Q79" s="64">
        <f>SUM(Q77:Q78)</f>
        <v>682664.12361655012</v>
      </c>
      <c r="R79" s="71"/>
      <c r="S79" s="71"/>
      <c r="T79" s="36"/>
      <c r="U79" s="36"/>
    </row>
    <row r="80" spans="2:24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O80" s="36"/>
    </row>
    <row r="81" spans="1:18" x14ac:dyDescent="0.25">
      <c r="A81" s="72" t="s">
        <v>154</v>
      </c>
      <c r="B81" s="37"/>
      <c r="C81" s="37"/>
      <c r="E81" s="37"/>
      <c r="G81" s="37"/>
      <c r="I81" s="37"/>
      <c r="K81" s="37"/>
      <c r="M81" s="37"/>
      <c r="O81" s="36"/>
      <c r="P81" s="46"/>
    </row>
    <row r="83" spans="1:18" x14ac:dyDescent="0.25">
      <c r="A83" s="36" t="s">
        <v>155</v>
      </c>
      <c r="B83" s="36"/>
      <c r="C83" s="36"/>
      <c r="D83" s="36"/>
      <c r="E83" s="36"/>
      <c r="F83" s="36"/>
      <c r="G83" s="36"/>
      <c r="H83" s="36"/>
      <c r="I83" s="36"/>
      <c r="J83" s="36"/>
      <c r="K83" s="38"/>
      <c r="L83" s="38"/>
      <c r="M83" s="38"/>
      <c r="R83" s="36"/>
    </row>
    <row r="84" spans="1:18" x14ac:dyDescent="0.25">
      <c r="A84" s="36" t="s">
        <v>110</v>
      </c>
      <c r="B84" s="36" t="s">
        <v>73</v>
      </c>
      <c r="C84" s="73">
        <f>-(D70-C70)</f>
        <v>-191639.89152813188</v>
      </c>
      <c r="D84" s="73">
        <f t="shared" ref="D84" si="37">-(E70-D70)</f>
        <v>3501.3636971539818</v>
      </c>
      <c r="E84" s="70"/>
      <c r="F84" s="70"/>
      <c r="G84" s="70"/>
      <c r="H84" s="70"/>
      <c r="I84" s="36"/>
      <c r="J84" s="36"/>
      <c r="K84" s="39"/>
      <c r="L84" s="39"/>
      <c r="M84" s="39"/>
    </row>
    <row r="85" spans="1:18" x14ac:dyDescent="0.25">
      <c r="A85" s="36" t="s">
        <v>111</v>
      </c>
      <c r="B85" s="36" t="s">
        <v>156</v>
      </c>
      <c r="C85" s="74"/>
      <c r="D85" s="36"/>
      <c r="E85" s="73">
        <f>T77</f>
        <v>128315.76166800034</v>
      </c>
      <c r="F85" s="36"/>
      <c r="G85" s="36"/>
      <c r="H85" s="73"/>
      <c r="I85" s="36"/>
      <c r="J85" s="36"/>
      <c r="K85" s="39"/>
      <c r="L85" s="39"/>
      <c r="M85" s="39"/>
    </row>
    <row r="86" spans="1:18" x14ac:dyDescent="0.25">
      <c r="A86" s="36" t="s">
        <v>111</v>
      </c>
      <c r="B86" s="36" t="s">
        <v>157</v>
      </c>
      <c r="C86" s="74"/>
      <c r="D86" s="73">
        <f>D43</f>
        <v>7980.6952685850993</v>
      </c>
      <c r="E86" s="73">
        <f>E43</f>
        <v>7839.4400432992725</v>
      </c>
      <c r="F86" s="73"/>
      <c r="G86" s="73"/>
      <c r="H86" s="73"/>
      <c r="I86" s="36"/>
      <c r="J86" s="36"/>
      <c r="K86" s="39"/>
      <c r="L86" s="39"/>
      <c r="M86" s="39"/>
    </row>
    <row r="87" spans="1:18" x14ac:dyDescent="0.25">
      <c r="A87" s="36" t="s">
        <v>158</v>
      </c>
      <c r="B87" s="36"/>
      <c r="C87" s="73">
        <f>SUM(C84:C86)</f>
        <v>-191639.89152813188</v>
      </c>
      <c r="D87" s="73">
        <f t="shared" ref="D87:E87" si="38">SUM(D84:D86)</f>
        <v>11482.058965739081</v>
      </c>
      <c r="E87" s="73">
        <f t="shared" si="38"/>
        <v>136155.20171129963</v>
      </c>
      <c r="F87" s="36" t="s">
        <v>159</v>
      </c>
      <c r="G87" s="73"/>
      <c r="H87" s="73"/>
      <c r="J87" s="36"/>
      <c r="K87" s="39"/>
      <c r="L87" s="39"/>
      <c r="M87" s="39"/>
    </row>
    <row r="88" spans="1:18" x14ac:dyDescent="0.25">
      <c r="A88" s="36" t="s">
        <v>98</v>
      </c>
      <c r="B88" s="36"/>
      <c r="C88" s="50">
        <f>IRR(C87:E87)</f>
        <v>-0.12661410219226998</v>
      </c>
      <c r="D88" s="46"/>
      <c r="E88" s="36"/>
      <c r="F88" s="46">
        <v>0.05</v>
      </c>
      <c r="G88" s="36"/>
      <c r="H88" s="36"/>
      <c r="J88" s="36"/>
    </row>
    <row r="89" spans="1:18" x14ac:dyDescent="0.25">
      <c r="A89" s="36" t="s">
        <v>160</v>
      </c>
      <c r="B89" s="36"/>
      <c r="C89" s="48">
        <f>'Mortgage '!I1</f>
        <v>4.1250000000000002E-2</v>
      </c>
      <c r="D89" s="46"/>
      <c r="E89" s="36"/>
      <c r="F89" s="46">
        <v>0.95</v>
      </c>
      <c r="G89" s="36"/>
      <c r="H89" s="36"/>
      <c r="J89" s="36"/>
    </row>
    <row r="90" spans="1:18" x14ac:dyDescent="0.25">
      <c r="A90" s="36" t="s">
        <v>161</v>
      </c>
      <c r="B90" s="36"/>
      <c r="C90" s="75">
        <f>F88*C88+F89*C89</f>
        <v>3.2856794890386502E-2</v>
      </c>
      <c r="D90" s="46"/>
      <c r="E90" s="36"/>
      <c r="F90" s="36"/>
      <c r="G90" s="36"/>
      <c r="H90" s="36"/>
      <c r="I90" s="46"/>
      <c r="J90" s="36"/>
    </row>
    <row r="91" spans="1:18" x14ac:dyDescent="0.25">
      <c r="A91" s="36"/>
      <c r="B91" s="36"/>
      <c r="C91" s="74"/>
      <c r="D91" s="36"/>
      <c r="E91" s="36"/>
      <c r="F91" s="36"/>
      <c r="G91" s="36"/>
      <c r="H91" s="36"/>
      <c r="I91" s="36"/>
      <c r="J91" s="36"/>
      <c r="K91" s="34"/>
      <c r="L91" s="34"/>
      <c r="M91" s="34"/>
    </row>
    <row r="92" spans="1:18" x14ac:dyDescent="0.25">
      <c r="A92" s="36" t="s">
        <v>162</v>
      </c>
      <c r="B92" s="36"/>
      <c r="C92" s="74"/>
      <c r="D92" s="36"/>
      <c r="E92" s="36"/>
      <c r="F92" s="36"/>
      <c r="G92" s="36"/>
      <c r="H92" s="36"/>
      <c r="I92" s="36"/>
      <c r="J92" s="36"/>
      <c r="K92" s="34"/>
      <c r="L92" s="34"/>
      <c r="M92" s="34"/>
    </row>
    <row r="93" spans="1:18" x14ac:dyDescent="0.25">
      <c r="A93" s="36" t="s">
        <v>110</v>
      </c>
      <c r="B93" s="36" t="s">
        <v>73</v>
      </c>
      <c r="C93" s="73">
        <f>-(D71-C71)</f>
        <v>-300389.62972683529</v>
      </c>
      <c r="D93" s="73">
        <f>-(E71-D71)</f>
        <v>-311135.9660587369</v>
      </c>
      <c r="E93" s="73"/>
      <c r="F93" s="73"/>
      <c r="G93" s="73"/>
      <c r="H93" s="73"/>
      <c r="I93" s="36"/>
      <c r="J93" s="36"/>
      <c r="K93" s="34"/>
      <c r="L93" s="34"/>
      <c r="M93" s="34"/>
    </row>
    <row r="94" spans="1:18" x14ac:dyDescent="0.25">
      <c r="A94" s="36" t="s">
        <v>111</v>
      </c>
      <c r="B94" s="36" t="s">
        <v>156</v>
      </c>
      <c r="C94" s="73"/>
      <c r="D94" s="73"/>
      <c r="E94" s="73">
        <f>T78</f>
        <v>97273.279427890084</v>
      </c>
      <c r="F94" s="73"/>
      <c r="G94" s="73"/>
      <c r="H94" s="73"/>
      <c r="I94" s="36"/>
      <c r="J94" s="36"/>
      <c r="K94" s="34"/>
      <c r="L94" s="34"/>
      <c r="M94" s="34"/>
    </row>
    <row r="95" spans="1:18" x14ac:dyDescent="0.25">
      <c r="A95" s="36" t="s">
        <v>111</v>
      </c>
      <c r="B95" s="36" t="s">
        <v>157</v>
      </c>
      <c r="C95" s="36"/>
      <c r="D95" s="73">
        <f>D44</f>
        <v>30038.96297268353</v>
      </c>
      <c r="E95" s="73">
        <f>E44</f>
        <v>61152.559578557222</v>
      </c>
      <c r="F95" s="73"/>
      <c r="G95" s="73"/>
      <c r="H95" s="73"/>
      <c r="I95" s="36"/>
      <c r="J95" s="36"/>
      <c r="K95" s="34"/>
      <c r="L95" s="34"/>
      <c r="M95" s="34"/>
    </row>
    <row r="96" spans="1:18" x14ac:dyDescent="0.25">
      <c r="A96" s="36" t="s">
        <v>158</v>
      </c>
      <c r="B96" s="36"/>
      <c r="C96" s="73">
        <f t="shared" ref="C96:E96" si="39">SUM(C93:C95)</f>
        <v>-300389.62972683529</v>
      </c>
      <c r="D96" s="73">
        <f t="shared" si="39"/>
        <v>-281097.00308605336</v>
      </c>
      <c r="E96" s="73">
        <f t="shared" si="39"/>
        <v>158425.83900644729</v>
      </c>
      <c r="F96" s="36" t="s">
        <v>159</v>
      </c>
      <c r="G96" s="73"/>
      <c r="H96" s="73"/>
      <c r="J96" s="36"/>
      <c r="K96" s="40"/>
      <c r="L96" s="40"/>
      <c r="M96" s="40"/>
      <c r="O96" s="76"/>
    </row>
    <row r="97" spans="1:15" x14ac:dyDescent="0.25">
      <c r="A97" s="36" t="s">
        <v>98</v>
      </c>
      <c r="B97" s="36"/>
      <c r="C97" s="50">
        <f>IRR(C96:E96,-50%)</f>
        <v>-0.60398935353455352</v>
      </c>
      <c r="D97" s="73"/>
      <c r="E97" s="73"/>
      <c r="F97" s="46">
        <v>0.05</v>
      </c>
      <c r="G97" s="73"/>
      <c r="H97" s="73"/>
      <c r="J97" s="36"/>
      <c r="K97" s="40"/>
      <c r="L97" s="40"/>
      <c r="M97" s="40"/>
      <c r="O97" s="76"/>
    </row>
    <row r="98" spans="1:15" x14ac:dyDescent="0.25">
      <c r="A98" s="36" t="s">
        <v>160</v>
      </c>
      <c r="B98" s="36"/>
      <c r="C98" s="48">
        <f>N44</f>
        <v>0.1</v>
      </c>
      <c r="D98" s="36"/>
      <c r="E98" s="36"/>
      <c r="F98" s="46">
        <v>0.95</v>
      </c>
      <c r="G98" s="36"/>
      <c r="H98" s="36"/>
      <c r="J98" s="36"/>
      <c r="O98" s="76"/>
    </row>
    <row r="99" spans="1:15" x14ac:dyDescent="0.25">
      <c r="A99" s="36" t="s">
        <v>161</v>
      </c>
      <c r="B99" s="36"/>
      <c r="C99" s="77">
        <f>F97*C97+F98*C98</f>
        <v>6.480053232327232E-2</v>
      </c>
      <c r="D99" s="36"/>
      <c r="E99" s="36"/>
      <c r="F99" s="46"/>
      <c r="G99" s="36"/>
      <c r="H99" s="36"/>
      <c r="J99" s="36"/>
      <c r="O99" s="76"/>
    </row>
    <row r="100" spans="1:15" x14ac:dyDescent="0.25">
      <c r="A100" s="36"/>
      <c r="B100" s="36"/>
      <c r="C100" s="74"/>
      <c r="D100" s="36"/>
      <c r="E100" s="36"/>
      <c r="F100" s="36"/>
      <c r="G100" s="36"/>
      <c r="H100" s="36"/>
      <c r="I100" s="36"/>
      <c r="J100" s="36"/>
      <c r="K100" s="34"/>
      <c r="L100" s="34"/>
      <c r="M100" s="34"/>
      <c r="O100" s="78"/>
    </row>
    <row r="101" spans="1:15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M101" s="34"/>
      <c r="O101" s="79"/>
    </row>
    <row r="102" spans="1:15" x14ac:dyDescent="0.25">
      <c r="O102" s="79"/>
    </row>
    <row r="103" spans="1:15" x14ac:dyDescent="0.25">
      <c r="O103" s="79"/>
    </row>
    <row r="104" spans="1:15" x14ac:dyDescent="0.25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O104" s="78"/>
    </row>
    <row r="105" spans="1:15" x14ac:dyDescent="0.25">
      <c r="M105" s="34"/>
      <c r="O105" s="79"/>
    </row>
    <row r="106" spans="1:15" x14ac:dyDescent="0.25">
      <c r="O106" s="79"/>
    </row>
    <row r="107" spans="1:15" x14ac:dyDescent="0.25">
      <c r="O107" s="79"/>
    </row>
    <row r="108" spans="1:15" x14ac:dyDescent="0.25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O108" s="78"/>
    </row>
    <row r="109" spans="1:15" x14ac:dyDescent="0.25">
      <c r="E109" s="34"/>
      <c r="M109" s="34"/>
      <c r="O109" s="79"/>
    </row>
    <row r="110" spans="1:15" x14ac:dyDescent="0.25">
      <c r="M110" s="44"/>
      <c r="O110" s="79"/>
    </row>
    <row r="111" spans="1:15" x14ac:dyDescent="0.25">
      <c r="O111" s="76"/>
    </row>
    <row r="112" spans="1:15" x14ac:dyDescent="0.25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O112" s="78"/>
    </row>
    <row r="113" spans="1:15" x14ac:dyDescent="0.25">
      <c r="B113" s="37"/>
      <c r="C113" s="44"/>
      <c r="D113" s="44"/>
      <c r="E113" s="44"/>
      <c r="M113" s="34"/>
      <c r="O113" s="79"/>
    </row>
    <row r="114" spans="1:15" x14ac:dyDescent="0.25">
      <c r="B114" s="37"/>
      <c r="C114" s="35"/>
      <c r="M114" s="44"/>
      <c r="O114" s="79"/>
    </row>
    <row r="115" spans="1:15" x14ac:dyDescent="0.25">
      <c r="B115" s="37"/>
      <c r="C115" s="35"/>
      <c r="O115" s="76"/>
    </row>
    <row r="116" spans="1:15" x14ac:dyDescent="0.25">
      <c r="B116" s="37"/>
      <c r="C116" s="42"/>
      <c r="D116" s="42"/>
      <c r="E116" s="42"/>
      <c r="O116" s="76"/>
    </row>
    <row r="117" spans="1:15" x14ac:dyDescent="0.25">
      <c r="B117" s="37"/>
      <c r="C117" s="80"/>
    </row>
    <row r="118" spans="1:15" x14ac:dyDescent="0.25">
      <c r="F118" s="44"/>
      <c r="G118" s="44"/>
      <c r="H118" s="44"/>
      <c r="I118" s="44"/>
      <c r="J118" s="44"/>
      <c r="K118" s="44"/>
      <c r="L118" s="44"/>
      <c r="M118" s="44"/>
    </row>
    <row r="120" spans="1:15" x14ac:dyDescent="0.25">
      <c r="A120" s="72"/>
      <c r="B120" s="53"/>
      <c r="C120" s="57"/>
      <c r="D120" s="57"/>
      <c r="E120" s="57"/>
      <c r="F120" s="57"/>
      <c r="G120" s="57"/>
      <c r="H120" s="57"/>
      <c r="I120" s="53"/>
      <c r="J120" s="53"/>
      <c r="K120" s="56"/>
    </row>
    <row r="121" spans="1:15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70"/>
      <c r="M121" s="42"/>
    </row>
    <row r="122" spans="1:15" x14ac:dyDescent="0.25">
      <c r="K122" s="70"/>
    </row>
    <row r="123" spans="1:15" x14ac:dyDescent="0.25">
      <c r="K123" s="70"/>
    </row>
    <row r="124" spans="1:15" x14ac:dyDescent="0.25">
      <c r="K124" s="70"/>
    </row>
    <row r="125" spans="1:15" x14ac:dyDescent="0.25">
      <c r="K125" s="70"/>
    </row>
    <row r="126" spans="1:15" x14ac:dyDescent="0.25">
      <c r="K126" s="70"/>
    </row>
    <row r="127" spans="1:15" x14ac:dyDescent="0.25">
      <c r="K127" s="70"/>
    </row>
    <row r="128" spans="1:15" x14ac:dyDescent="0.25">
      <c r="K128" s="70"/>
    </row>
    <row r="129" spans="11:11" x14ac:dyDescent="0.25">
      <c r="K129" s="70"/>
    </row>
    <row r="130" spans="11:11" x14ac:dyDescent="0.25">
      <c r="K130" s="70"/>
    </row>
    <row r="131" spans="11:11" x14ac:dyDescent="0.25">
      <c r="K131" s="70"/>
    </row>
    <row r="132" spans="11:11" x14ac:dyDescent="0.25">
      <c r="K132" s="70"/>
    </row>
    <row r="133" spans="11:11" x14ac:dyDescent="0.25">
      <c r="K133" s="70"/>
    </row>
    <row r="134" spans="11:11" x14ac:dyDescent="0.25">
      <c r="K134" s="70"/>
    </row>
    <row r="135" spans="11:11" x14ac:dyDescent="0.25">
      <c r="K135" s="70"/>
    </row>
    <row r="136" spans="11:11" x14ac:dyDescent="0.25">
      <c r="K136" s="36"/>
    </row>
    <row r="137" spans="11:11" x14ac:dyDescent="0.25">
      <c r="K137" s="36"/>
    </row>
    <row r="138" spans="11:11" x14ac:dyDescent="0.25">
      <c r="K138" s="36"/>
    </row>
    <row r="139" spans="11:11" x14ac:dyDescent="0.25">
      <c r="K139" s="36"/>
    </row>
    <row r="140" spans="11:11" x14ac:dyDescent="0.25">
      <c r="K140" s="70"/>
    </row>
  </sheetData>
  <mergeCells count="1">
    <mergeCell ref="B1:M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84"/>
  <sheetViews>
    <sheetView topLeftCell="A7" workbookViewId="0">
      <selection activeCell="E16" sqref="E16"/>
    </sheetView>
  </sheetViews>
  <sheetFormatPr defaultColWidth="11.5703125" defaultRowHeight="12.75" x14ac:dyDescent="0.2"/>
  <cols>
    <col min="1" max="1" width="30.140625" style="22" customWidth="1"/>
    <col min="2" max="3" width="12.7109375" style="22" customWidth="1"/>
    <col min="4" max="4" width="12.85546875" style="22" customWidth="1"/>
    <col min="5" max="5" width="13.5703125" style="22" customWidth="1"/>
    <col min="6" max="6" width="12.42578125" style="22" customWidth="1"/>
    <col min="7" max="16384" width="11.5703125" style="22"/>
  </cols>
  <sheetData>
    <row r="1" spans="1:9" x14ac:dyDescent="0.2">
      <c r="B1" s="22" t="s">
        <v>72</v>
      </c>
      <c r="C1" s="22" t="s">
        <v>73</v>
      </c>
      <c r="D1" s="22" t="s">
        <v>74</v>
      </c>
      <c r="E1" s="22" t="s">
        <v>75</v>
      </c>
      <c r="F1" s="22" t="s">
        <v>76</v>
      </c>
      <c r="H1" s="22" t="s">
        <v>38</v>
      </c>
      <c r="I1" s="23">
        <f>[1]Sheet1!Q36</f>
        <v>4.1250000000000002E-2</v>
      </c>
    </row>
    <row r="2" spans="1:9" x14ac:dyDescent="0.2">
      <c r="A2" s="24">
        <v>1</v>
      </c>
      <c r="B2" s="25">
        <f>I6</f>
        <v>195000</v>
      </c>
      <c r="C2" s="25">
        <f t="shared" ref="C2:C13" si="0">+E2-D2</f>
        <v>274.75447837110482</v>
      </c>
      <c r="D2" s="25">
        <f t="shared" ref="D2:D13" si="1">B2*$I$2</f>
        <v>670.3125</v>
      </c>
      <c r="E2" s="25">
        <f t="shared" ref="E2:E13" si="2">-$I$8</f>
        <v>945.06697837110482</v>
      </c>
      <c r="F2" s="25">
        <f t="shared" ref="F2:F13" si="3">+B2-C2</f>
        <v>194725.24552162891</v>
      </c>
      <c r="H2" s="22" t="s">
        <v>77</v>
      </c>
      <c r="I2" s="23">
        <f>I1/12</f>
        <v>3.4375E-3</v>
      </c>
    </row>
    <row r="3" spans="1:9" x14ac:dyDescent="0.2">
      <c r="A3" s="24">
        <v>2</v>
      </c>
      <c r="B3" s="25">
        <f t="shared" ref="B3:B13" si="4">+F2</f>
        <v>194725.24552162891</v>
      </c>
      <c r="C3" s="25">
        <f t="shared" si="0"/>
        <v>275.69894689050545</v>
      </c>
      <c r="D3" s="25">
        <f t="shared" si="1"/>
        <v>669.36803148059937</v>
      </c>
      <c r="E3" s="25">
        <f t="shared" si="2"/>
        <v>945.06697837110482</v>
      </c>
      <c r="F3" s="25">
        <f t="shared" si="3"/>
        <v>194449.5465747384</v>
      </c>
      <c r="H3" s="22" t="s">
        <v>78</v>
      </c>
      <c r="I3" s="26">
        <v>0</v>
      </c>
    </row>
    <row r="4" spans="1:9" x14ac:dyDescent="0.2">
      <c r="A4" s="24">
        <v>3</v>
      </c>
      <c r="B4" s="25">
        <f t="shared" si="4"/>
        <v>194449.5465747384</v>
      </c>
      <c r="C4" s="25">
        <f t="shared" si="0"/>
        <v>276.64666202044157</v>
      </c>
      <c r="D4" s="25">
        <f t="shared" si="1"/>
        <v>668.42031635066326</v>
      </c>
      <c r="E4" s="25">
        <f t="shared" si="2"/>
        <v>945.06697837110482</v>
      </c>
      <c r="F4" s="25">
        <f t="shared" si="3"/>
        <v>194172.89991271796</v>
      </c>
      <c r="H4" s="22" t="s">
        <v>79</v>
      </c>
      <c r="I4" s="27">
        <f>[1]Sheet1!Q38*12</f>
        <v>360</v>
      </c>
    </row>
    <row r="5" spans="1:9" x14ac:dyDescent="0.2">
      <c r="A5" s="24">
        <v>4</v>
      </c>
      <c r="B5" s="25">
        <f t="shared" si="4"/>
        <v>194172.89991271796</v>
      </c>
      <c r="C5" s="25">
        <f t="shared" si="0"/>
        <v>277.59763492113689</v>
      </c>
      <c r="D5" s="25">
        <f t="shared" si="1"/>
        <v>667.46934344996794</v>
      </c>
      <c r="E5" s="25">
        <f t="shared" si="2"/>
        <v>945.06697837110482</v>
      </c>
      <c r="F5" s="25">
        <f t="shared" si="3"/>
        <v>193895.30227779681</v>
      </c>
      <c r="H5" s="22" t="s">
        <v>80</v>
      </c>
      <c r="I5" s="22">
        <v>0</v>
      </c>
    </row>
    <row r="6" spans="1:9" x14ac:dyDescent="0.2">
      <c r="A6" s="24">
        <v>5</v>
      </c>
      <c r="B6" s="25">
        <f t="shared" si="4"/>
        <v>193895.30227779681</v>
      </c>
      <c r="C6" s="25">
        <f t="shared" si="0"/>
        <v>278.5518767911783</v>
      </c>
      <c r="D6" s="25">
        <f t="shared" si="1"/>
        <v>666.51510157992652</v>
      </c>
      <c r="E6" s="25">
        <f t="shared" si="2"/>
        <v>945.06697837110482</v>
      </c>
      <c r="F6" s="25">
        <f t="shared" si="3"/>
        <v>193616.75040100564</v>
      </c>
      <c r="H6" s="22" t="s">
        <v>81</v>
      </c>
      <c r="I6" s="26">
        <f>[1]Sheet1!Q37</f>
        <v>195000</v>
      </c>
    </row>
    <row r="7" spans="1:9" x14ac:dyDescent="0.2">
      <c r="A7" s="24">
        <v>6</v>
      </c>
      <c r="B7" s="25">
        <f t="shared" si="4"/>
        <v>193616.75040100564</v>
      </c>
      <c r="C7" s="25">
        <f t="shared" si="0"/>
        <v>279.50939886764797</v>
      </c>
      <c r="D7" s="25">
        <f t="shared" si="1"/>
        <v>665.55757950345685</v>
      </c>
      <c r="E7" s="25">
        <f t="shared" si="2"/>
        <v>945.06697837110482</v>
      </c>
      <c r="F7" s="25">
        <f t="shared" si="3"/>
        <v>193337.24100213801</v>
      </c>
    </row>
    <row r="8" spans="1:9" x14ac:dyDescent="0.2">
      <c r="A8" s="24">
        <v>7</v>
      </c>
      <c r="B8" s="25">
        <f t="shared" si="4"/>
        <v>193337.24100213801</v>
      </c>
      <c r="C8" s="25">
        <f t="shared" si="0"/>
        <v>280.47021242625544</v>
      </c>
      <c r="D8" s="25">
        <f t="shared" si="1"/>
        <v>664.59676594484938</v>
      </c>
      <c r="E8" s="25">
        <f t="shared" si="2"/>
        <v>945.06697837110482</v>
      </c>
      <c r="F8" s="25">
        <f t="shared" si="3"/>
        <v>193056.77078971174</v>
      </c>
      <c r="H8" s="22" t="s">
        <v>75</v>
      </c>
      <c r="I8" s="26">
        <f>PMT(I2,I4,I6,I3,I5)</f>
        <v>-945.06697837110482</v>
      </c>
    </row>
    <row r="9" spans="1:9" x14ac:dyDescent="0.2">
      <c r="A9" s="24">
        <v>8</v>
      </c>
      <c r="B9" s="25">
        <f t="shared" si="4"/>
        <v>193056.77078971174</v>
      </c>
      <c r="C9" s="25">
        <f t="shared" si="0"/>
        <v>281.43432878147075</v>
      </c>
      <c r="D9" s="25">
        <f t="shared" si="1"/>
        <v>663.63264958963407</v>
      </c>
      <c r="E9" s="25">
        <f t="shared" si="2"/>
        <v>945.06697837110482</v>
      </c>
      <c r="F9" s="25">
        <f t="shared" si="3"/>
        <v>192775.33646093027</v>
      </c>
    </row>
    <row r="10" spans="1:9" x14ac:dyDescent="0.2">
      <c r="A10" s="24">
        <v>9</v>
      </c>
      <c r="B10" s="25">
        <f t="shared" si="4"/>
        <v>192775.33646093027</v>
      </c>
      <c r="C10" s="25">
        <f t="shared" si="0"/>
        <v>282.40175928665701</v>
      </c>
      <c r="D10" s="25">
        <f t="shared" si="1"/>
        <v>662.66521908444781</v>
      </c>
      <c r="E10" s="25">
        <f t="shared" si="2"/>
        <v>945.06697837110482</v>
      </c>
      <c r="F10" s="25">
        <f t="shared" si="3"/>
        <v>192492.93470164362</v>
      </c>
    </row>
    <row r="11" spans="1:9" x14ac:dyDescent="0.2">
      <c r="A11" s="24">
        <v>10</v>
      </c>
      <c r="B11" s="25">
        <f t="shared" si="4"/>
        <v>192492.93470164362</v>
      </c>
      <c r="C11" s="25">
        <f t="shared" si="0"/>
        <v>283.37251533420488</v>
      </c>
      <c r="D11" s="25">
        <f t="shared" si="1"/>
        <v>661.69446303689995</v>
      </c>
      <c r="E11" s="25">
        <f t="shared" si="2"/>
        <v>945.06697837110482</v>
      </c>
      <c r="F11" s="25">
        <f t="shared" si="3"/>
        <v>192209.56218630943</v>
      </c>
    </row>
    <row r="12" spans="1:9" x14ac:dyDescent="0.2">
      <c r="A12" s="24">
        <v>11</v>
      </c>
      <c r="B12" s="25">
        <f t="shared" si="4"/>
        <v>192209.56218630943</v>
      </c>
      <c r="C12" s="25">
        <f t="shared" si="0"/>
        <v>284.34660835566615</v>
      </c>
      <c r="D12" s="25">
        <f t="shared" si="1"/>
        <v>660.72037001543868</v>
      </c>
      <c r="E12" s="25">
        <f t="shared" si="2"/>
        <v>945.06697837110482</v>
      </c>
      <c r="F12" s="25">
        <f t="shared" si="3"/>
        <v>191925.21557795376</v>
      </c>
    </row>
    <row r="13" spans="1:9" x14ac:dyDescent="0.2">
      <c r="A13" s="24">
        <v>12</v>
      </c>
      <c r="B13" s="25">
        <f t="shared" si="4"/>
        <v>191925.21557795376</v>
      </c>
      <c r="C13" s="25">
        <f t="shared" si="0"/>
        <v>285.32404982188882</v>
      </c>
      <c r="D13" s="25">
        <f t="shared" si="1"/>
        <v>659.742928549216</v>
      </c>
      <c r="E13" s="25">
        <f t="shared" si="2"/>
        <v>945.06697837110482</v>
      </c>
      <c r="F13" s="28">
        <f t="shared" si="3"/>
        <v>191639.89152813188</v>
      </c>
    </row>
    <row r="14" spans="1:9" x14ac:dyDescent="0.2">
      <c r="A14" s="29" t="s">
        <v>82</v>
      </c>
      <c r="B14" s="29"/>
      <c r="C14" s="28">
        <f>SUM(C2:C13)</f>
        <v>3360.1084718681582</v>
      </c>
      <c r="D14" s="28">
        <f>SUM(D2:D13)</f>
        <v>7980.6952685850993</v>
      </c>
      <c r="E14" s="25"/>
      <c r="F14" s="25"/>
    </row>
    <row r="15" spans="1:9" x14ac:dyDescent="0.2">
      <c r="A15" s="30"/>
      <c r="B15" s="30"/>
      <c r="C15" s="25"/>
      <c r="D15" s="25"/>
      <c r="E15" s="25"/>
      <c r="F15" s="25"/>
    </row>
    <row r="16" spans="1:9" x14ac:dyDescent="0.2">
      <c r="A16" s="24">
        <v>1</v>
      </c>
      <c r="B16" s="25">
        <f>+F13</f>
        <v>191639.89152813188</v>
      </c>
      <c r="C16" s="25">
        <f t="shared" ref="C16:C27" si="5">+E16-D16</f>
        <v>286.30485124315146</v>
      </c>
      <c r="D16" s="25">
        <f t="shared" ref="D16:D27" si="6">B16*$I$2</f>
        <v>658.76212712795336</v>
      </c>
      <c r="E16" s="25">
        <f t="shared" ref="E16:E27" si="7">-$I$8</f>
        <v>945.06697837110482</v>
      </c>
      <c r="F16" s="25">
        <f t="shared" ref="F16:F27" si="8">+B16-C16</f>
        <v>191353.58667688872</v>
      </c>
    </row>
    <row r="17" spans="1:6" x14ac:dyDescent="0.2">
      <c r="A17" s="24">
        <v>2</v>
      </c>
      <c r="B17" s="25">
        <f t="shared" ref="B17:B27" si="9">+F16</f>
        <v>191353.58667688872</v>
      </c>
      <c r="C17" s="25">
        <f t="shared" si="5"/>
        <v>287.28902416929986</v>
      </c>
      <c r="D17" s="25">
        <f t="shared" si="6"/>
        <v>657.77795420180496</v>
      </c>
      <c r="E17" s="25">
        <f t="shared" si="7"/>
        <v>945.06697837110482</v>
      </c>
      <c r="F17" s="25">
        <f t="shared" si="8"/>
        <v>191066.29765271943</v>
      </c>
    </row>
    <row r="18" spans="1:6" x14ac:dyDescent="0.2">
      <c r="A18" s="24">
        <v>3</v>
      </c>
      <c r="B18" s="25">
        <f t="shared" si="9"/>
        <v>191066.29765271943</v>
      </c>
      <c r="C18" s="25">
        <f t="shared" si="5"/>
        <v>288.27658018988177</v>
      </c>
      <c r="D18" s="25">
        <f t="shared" si="6"/>
        <v>656.79039818122305</v>
      </c>
      <c r="E18" s="25">
        <f t="shared" si="7"/>
        <v>945.06697837110482</v>
      </c>
      <c r="F18" s="25">
        <f t="shared" si="8"/>
        <v>190778.02107252955</v>
      </c>
    </row>
    <row r="19" spans="1:6" x14ac:dyDescent="0.2">
      <c r="A19" s="24">
        <v>4</v>
      </c>
      <c r="B19" s="25">
        <f t="shared" si="9"/>
        <v>190778.02107252955</v>
      </c>
      <c r="C19" s="25">
        <f t="shared" si="5"/>
        <v>289.26753093428454</v>
      </c>
      <c r="D19" s="25">
        <f t="shared" si="6"/>
        <v>655.79944743682029</v>
      </c>
      <c r="E19" s="25">
        <f t="shared" si="7"/>
        <v>945.06697837110482</v>
      </c>
      <c r="F19" s="25">
        <f t="shared" si="8"/>
        <v>190488.75354159527</v>
      </c>
    </row>
    <row r="20" spans="1:6" x14ac:dyDescent="0.2">
      <c r="A20" s="24">
        <v>5</v>
      </c>
      <c r="B20" s="25">
        <f t="shared" si="9"/>
        <v>190488.75354159527</v>
      </c>
      <c r="C20" s="25">
        <f t="shared" si="5"/>
        <v>290.26188807187111</v>
      </c>
      <c r="D20" s="25">
        <f t="shared" si="6"/>
        <v>654.80509029923371</v>
      </c>
      <c r="E20" s="25">
        <f t="shared" si="7"/>
        <v>945.06697837110482</v>
      </c>
      <c r="F20" s="25">
        <f t="shared" si="8"/>
        <v>190198.49165352341</v>
      </c>
    </row>
    <row r="21" spans="1:6" x14ac:dyDescent="0.2">
      <c r="A21" s="24">
        <v>6</v>
      </c>
      <c r="B21" s="25">
        <f t="shared" si="9"/>
        <v>190198.49165352341</v>
      </c>
      <c r="C21" s="25">
        <f t="shared" si="5"/>
        <v>291.25966331211805</v>
      </c>
      <c r="D21" s="25">
        <f t="shared" si="6"/>
        <v>653.80731505898677</v>
      </c>
      <c r="E21" s="25">
        <f t="shared" si="7"/>
        <v>945.06697837110482</v>
      </c>
      <c r="F21" s="25">
        <f t="shared" si="8"/>
        <v>189907.23199021129</v>
      </c>
    </row>
    <row r="22" spans="1:6" x14ac:dyDescent="0.2">
      <c r="A22" s="24">
        <v>7</v>
      </c>
      <c r="B22" s="25">
        <f t="shared" si="9"/>
        <v>189907.23199021129</v>
      </c>
      <c r="C22" s="25">
        <f t="shared" si="5"/>
        <v>292.26086840475352</v>
      </c>
      <c r="D22" s="25">
        <f t="shared" si="6"/>
        <v>652.8061099663513</v>
      </c>
      <c r="E22" s="25">
        <f t="shared" si="7"/>
        <v>945.06697837110482</v>
      </c>
      <c r="F22" s="25">
        <f t="shared" si="8"/>
        <v>189614.97112180653</v>
      </c>
    </row>
    <row r="23" spans="1:6" x14ac:dyDescent="0.2">
      <c r="A23" s="24">
        <v>8</v>
      </c>
      <c r="B23" s="25">
        <f t="shared" si="9"/>
        <v>189614.97112180653</v>
      </c>
      <c r="C23" s="25">
        <f t="shared" si="5"/>
        <v>293.26551513989489</v>
      </c>
      <c r="D23" s="25">
        <f t="shared" si="6"/>
        <v>651.80146323120994</v>
      </c>
      <c r="E23" s="25">
        <f t="shared" si="7"/>
        <v>945.06697837110482</v>
      </c>
      <c r="F23" s="25">
        <f t="shared" si="8"/>
        <v>189321.70560666663</v>
      </c>
    </row>
    <row r="24" spans="1:6" x14ac:dyDescent="0.2">
      <c r="A24" s="24">
        <v>9</v>
      </c>
      <c r="B24" s="25">
        <f t="shared" si="9"/>
        <v>189321.70560666663</v>
      </c>
      <c r="C24" s="25">
        <f t="shared" si="5"/>
        <v>294.27361534818829</v>
      </c>
      <c r="D24" s="25">
        <f t="shared" si="6"/>
        <v>650.79336302291654</v>
      </c>
      <c r="E24" s="25">
        <f t="shared" si="7"/>
        <v>945.06697837110482</v>
      </c>
      <c r="F24" s="25">
        <f t="shared" si="8"/>
        <v>189027.43199131844</v>
      </c>
    </row>
    <row r="25" spans="1:6" x14ac:dyDescent="0.2">
      <c r="A25" s="24">
        <v>10</v>
      </c>
      <c r="B25" s="25">
        <f t="shared" si="9"/>
        <v>189027.43199131844</v>
      </c>
      <c r="C25" s="25">
        <f t="shared" si="5"/>
        <v>295.28518090094769</v>
      </c>
      <c r="D25" s="25">
        <f t="shared" si="6"/>
        <v>649.78179747015713</v>
      </c>
      <c r="E25" s="25">
        <f t="shared" si="7"/>
        <v>945.06697837110482</v>
      </c>
      <c r="F25" s="25">
        <f t="shared" si="8"/>
        <v>188732.1468104175</v>
      </c>
    </row>
    <row r="26" spans="1:6" x14ac:dyDescent="0.2">
      <c r="A26" s="24">
        <v>11</v>
      </c>
      <c r="B26" s="25">
        <f t="shared" si="9"/>
        <v>188732.1468104175</v>
      </c>
      <c r="C26" s="25">
        <f t="shared" si="5"/>
        <v>296.30022371029463</v>
      </c>
      <c r="D26" s="25">
        <f t="shared" si="6"/>
        <v>648.76675466081019</v>
      </c>
      <c r="E26" s="25">
        <f t="shared" si="7"/>
        <v>945.06697837110482</v>
      </c>
      <c r="F26" s="25">
        <f t="shared" si="8"/>
        <v>188435.84658670719</v>
      </c>
    </row>
    <row r="27" spans="1:6" x14ac:dyDescent="0.2">
      <c r="A27" s="24">
        <v>12</v>
      </c>
      <c r="B27" s="25">
        <f t="shared" si="9"/>
        <v>188435.84658670719</v>
      </c>
      <c r="C27" s="25">
        <f t="shared" si="5"/>
        <v>297.3187557292988</v>
      </c>
      <c r="D27" s="25">
        <f t="shared" si="6"/>
        <v>647.74822264180602</v>
      </c>
      <c r="E27" s="25">
        <f t="shared" si="7"/>
        <v>945.06697837110482</v>
      </c>
      <c r="F27" s="28">
        <f t="shared" si="8"/>
        <v>188138.5278309779</v>
      </c>
    </row>
    <row r="28" spans="1:6" x14ac:dyDescent="0.2">
      <c r="A28" s="29" t="s">
        <v>82</v>
      </c>
      <c r="B28" s="29"/>
      <c r="C28" s="28">
        <f>SUM(C16:C27)</f>
        <v>3501.3636971539845</v>
      </c>
      <c r="D28" s="28">
        <f>SUM(D16:D27)</f>
        <v>7839.4400432992725</v>
      </c>
      <c r="E28" s="25"/>
      <c r="F28" s="25"/>
    </row>
    <row r="29" spans="1:6" x14ac:dyDescent="0.2">
      <c r="A29" s="30"/>
      <c r="B29" s="30"/>
      <c r="C29" s="25"/>
      <c r="D29" s="25"/>
      <c r="E29" s="25"/>
      <c r="F29" s="25"/>
    </row>
    <row r="30" spans="1:6" x14ac:dyDescent="0.2">
      <c r="A30" s="24">
        <v>1</v>
      </c>
      <c r="B30" s="25">
        <f>+F27</f>
        <v>188138.5278309779</v>
      </c>
      <c r="C30" s="25">
        <f t="shared" ref="C30:C41" si="10">+E30-D30</f>
        <v>298.34078895211826</v>
      </c>
      <c r="D30" s="25">
        <f t="shared" ref="D30:D41" si="11">B30*$I$2</f>
        <v>646.72618941898656</v>
      </c>
      <c r="E30" s="25">
        <f t="shared" ref="E30:E41" si="12">-$I$8</f>
        <v>945.06697837110482</v>
      </c>
      <c r="F30" s="25">
        <f t="shared" ref="F30:F41" si="13">+B30-C30</f>
        <v>187840.18704202579</v>
      </c>
    </row>
    <row r="31" spans="1:6" x14ac:dyDescent="0.2">
      <c r="A31" s="24">
        <v>2</v>
      </c>
      <c r="B31" s="25">
        <f t="shared" ref="B31:B41" si="14">+F30</f>
        <v>187840.18704202579</v>
      </c>
      <c r="C31" s="25">
        <f t="shared" si="10"/>
        <v>299.36633541414119</v>
      </c>
      <c r="D31" s="25">
        <f t="shared" si="11"/>
        <v>645.70064295696363</v>
      </c>
      <c r="E31" s="25">
        <f t="shared" si="12"/>
        <v>945.06697837110482</v>
      </c>
      <c r="F31" s="25">
        <f t="shared" si="13"/>
        <v>187540.82070661164</v>
      </c>
    </row>
    <row r="32" spans="1:6" x14ac:dyDescent="0.2">
      <c r="A32" s="24">
        <v>3</v>
      </c>
      <c r="B32" s="25">
        <f t="shared" si="14"/>
        <v>187540.82070661164</v>
      </c>
      <c r="C32" s="25">
        <f t="shared" si="10"/>
        <v>300.39540719212732</v>
      </c>
      <c r="D32" s="25">
        <f t="shared" si="11"/>
        <v>644.6715711789775</v>
      </c>
      <c r="E32" s="25">
        <f t="shared" si="12"/>
        <v>945.06697837110482</v>
      </c>
      <c r="F32" s="25">
        <f t="shared" si="13"/>
        <v>187240.42529941953</v>
      </c>
    </row>
    <row r="33" spans="1:6" x14ac:dyDescent="0.2">
      <c r="A33" s="24">
        <v>4</v>
      </c>
      <c r="B33" s="25">
        <f t="shared" si="14"/>
        <v>187240.42529941953</v>
      </c>
      <c r="C33" s="25">
        <f t="shared" si="10"/>
        <v>301.42801640435016</v>
      </c>
      <c r="D33" s="25">
        <f t="shared" si="11"/>
        <v>643.63896196675466</v>
      </c>
      <c r="E33" s="25">
        <f t="shared" si="12"/>
        <v>945.06697837110482</v>
      </c>
      <c r="F33" s="25">
        <f t="shared" si="13"/>
        <v>186938.99728301517</v>
      </c>
    </row>
    <row r="34" spans="1:6" x14ac:dyDescent="0.2">
      <c r="A34" s="24">
        <v>5</v>
      </c>
      <c r="B34" s="25">
        <f t="shared" si="14"/>
        <v>186938.99728301517</v>
      </c>
      <c r="C34" s="25">
        <f t="shared" si="10"/>
        <v>302.46417521074022</v>
      </c>
      <c r="D34" s="25">
        <f t="shared" si="11"/>
        <v>642.6028031603646</v>
      </c>
      <c r="E34" s="25">
        <f t="shared" si="12"/>
        <v>945.06697837110482</v>
      </c>
      <c r="F34" s="25">
        <f t="shared" si="13"/>
        <v>186636.53310780443</v>
      </c>
    </row>
    <row r="35" spans="1:6" x14ac:dyDescent="0.2">
      <c r="A35" s="24">
        <v>6</v>
      </c>
      <c r="B35" s="25">
        <f t="shared" si="14"/>
        <v>186636.53310780443</v>
      </c>
      <c r="C35" s="25">
        <f t="shared" si="10"/>
        <v>303.50389581302716</v>
      </c>
      <c r="D35" s="25">
        <f t="shared" si="11"/>
        <v>641.56308255807767</v>
      </c>
      <c r="E35" s="25">
        <f t="shared" si="12"/>
        <v>945.06697837110482</v>
      </c>
      <c r="F35" s="25">
        <f t="shared" si="13"/>
        <v>186333.02921199141</v>
      </c>
    </row>
    <row r="36" spans="1:6" x14ac:dyDescent="0.2">
      <c r="A36" s="24">
        <v>7</v>
      </c>
      <c r="B36" s="25">
        <f t="shared" si="14"/>
        <v>186333.02921199141</v>
      </c>
      <c r="C36" s="25">
        <f t="shared" si="10"/>
        <v>304.54719045488434</v>
      </c>
      <c r="D36" s="25">
        <f t="shared" si="11"/>
        <v>640.51978791622048</v>
      </c>
      <c r="E36" s="25">
        <f t="shared" si="12"/>
        <v>945.06697837110482</v>
      </c>
      <c r="F36" s="25">
        <f t="shared" si="13"/>
        <v>186028.48202153653</v>
      </c>
    </row>
    <row r="37" spans="1:6" x14ac:dyDescent="0.2">
      <c r="A37" s="24">
        <v>8</v>
      </c>
      <c r="B37" s="25">
        <f t="shared" si="14"/>
        <v>186028.48202153653</v>
      </c>
      <c r="C37" s="25">
        <f t="shared" si="10"/>
        <v>305.59407142207294</v>
      </c>
      <c r="D37" s="25">
        <f t="shared" si="11"/>
        <v>639.47290694903188</v>
      </c>
      <c r="E37" s="25">
        <f t="shared" si="12"/>
        <v>945.06697837110482</v>
      </c>
      <c r="F37" s="25">
        <f t="shared" si="13"/>
        <v>185722.88795011447</v>
      </c>
    </row>
    <row r="38" spans="1:6" x14ac:dyDescent="0.2">
      <c r="A38" s="24">
        <v>9</v>
      </c>
      <c r="B38" s="25">
        <f t="shared" si="14"/>
        <v>185722.88795011447</v>
      </c>
      <c r="C38" s="25">
        <f t="shared" si="10"/>
        <v>306.64455104258639</v>
      </c>
      <c r="D38" s="25">
        <f t="shared" si="11"/>
        <v>638.42242732851844</v>
      </c>
      <c r="E38" s="25">
        <f t="shared" si="12"/>
        <v>945.06697837110482</v>
      </c>
      <c r="F38" s="25">
        <f t="shared" si="13"/>
        <v>185416.24339907189</v>
      </c>
    </row>
    <row r="39" spans="1:6" x14ac:dyDescent="0.2">
      <c r="A39" s="24">
        <v>10</v>
      </c>
      <c r="B39" s="25">
        <f t="shared" si="14"/>
        <v>185416.24339907189</v>
      </c>
      <c r="C39" s="25">
        <f t="shared" si="10"/>
        <v>307.69864168679521</v>
      </c>
      <c r="D39" s="25">
        <f t="shared" si="11"/>
        <v>637.36833668430961</v>
      </c>
      <c r="E39" s="25">
        <f t="shared" si="12"/>
        <v>945.06697837110482</v>
      </c>
      <c r="F39" s="25">
        <f t="shared" si="13"/>
        <v>185108.5447573851</v>
      </c>
    </row>
    <row r="40" spans="1:6" x14ac:dyDescent="0.2">
      <c r="A40" s="24">
        <v>11</v>
      </c>
      <c r="B40" s="25">
        <f t="shared" si="14"/>
        <v>185108.5447573851</v>
      </c>
      <c r="C40" s="25">
        <f t="shared" si="10"/>
        <v>308.7563557675935</v>
      </c>
      <c r="D40" s="25">
        <f t="shared" si="11"/>
        <v>636.31062260351132</v>
      </c>
      <c r="E40" s="25">
        <f t="shared" si="12"/>
        <v>945.06697837110482</v>
      </c>
      <c r="F40" s="25">
        <f t="shared" si="13"/>
        <v>184799.78840161749</v>
      </c>
    </row>
    <row r="41" spans="1:6" x14ac:dyDescent="0.2">
      <c r="A41" s="24">
        <v>12</v>
      </c>
      <c r="B41" s="25">
        <f t="shared" si="14"/>
        <v>184799.78840161749</v>
      </c>
      <c r="C41" s="25">
        <f t="shared" si="10"/>
        <v>309.81770574054474</v>
      </c>
      <c r="D41" s="25">
        <f t="shared" si="11"/>
        <v>635.24927263056009</v>
      </c>
      <c r="E41" s="25">
        <f t="shared" si="12"/>
        <v>945.06697837110482</v>
      </c>
      <c r="F41" s="28">
        <f t="shared" si="13"/>
        <v>184489.97069587695</v>
      </c>
    </row>
    <row r="42" spans="1:6" x14ac:dyDescent="0.2">
      <c r="A42" s="29" t="s">
        <v>82</v>
      </c>
      <c r="B42" s="29"/>
      <c r="C42" s="28">
        <f>SUM(C30:C41)</f>
        <v>3648.5571351009812</v>
      </c>
      <c r="D42" s="28">
        <f>SUM(D30:D41)</f>
        <v>7692.2466053522767</v>
      </c>
      <c r="E42" s="25"/>
      <c r="F42" s="25"/>
    </row>
    <row r="43" spans="1:6" x14ac:dyDescent="0.2">
      <c r="A43" s="30"/>
      <c r="B43" s="30"/>
      <c r="C43" s="25"/>
      <c r="D43" s="25"/>
      <c r="E43" s="25"/>
      <c r="F43" s="25"/>
    </row>
    <row r="44" spans="1:6" x14ac:dyDescent="0.2">
      <c r="A44" s="24">
        <v>1</v>
      </c>
      <c r="B44" s="25">
        <f>+F41</f>
        <v>184489.97069587695</v>
      </c>
      <c r="C44" s="25">
        <f t="shared" ref="C44:C55" si="15">+E44-D44</f>
        <v>310.88270410402777</v>
      </c>
      <c r="D44" s="25">
        <f t="shared" ref="D44:D55" si="16">B44*$I$2</f>
        <v>634.18427426707706</v>
      </c>
      <c r="E44" s="25">
        <f t="shared" ref="E44:E55" si="17">-$I$8</f>
        <v>945.06697837110482</v>
      </c>
      <c r="F44" s="25">
        <f t="shared" ref="F44:F55" si="18">+B44-C44</f>
        <v>184179.08799177292</v>
      </c>
    </row>
    <row r="45" spans="1:6" x14ac:dyDescent="0.2">
      <c r="A45" s="24">
        <v>2</v>
      </c>
      <c r="B45" s="25">
        <f t="shared" ref="B45:B55" si="19">+F44</f>
        <v>184179.08799177292</v>
      </c>
      <c r="C45" s="25">
        <f t="shared" si="15"/>
        <v>311.9513633993854</v>
      </c>
      <c r="D45" s="25">
        <f t="shared" si="16"/>
        <v>633.11561497171942</v>
      </c>
      <c r="E45" s="25">
        <f t="shared" si="17"/>
        <v>945.06697837110482</v>
      </c>
      <c r="F45" s="25">
        <f t="shared" si="18"/>
        <v>183867.13662837353</v>
      </c>
    </row>
    <row r="46" spans="1:6" x14ac:dyDescent="0.2">
      <c r="A46" s="24">
        <v>3</v>
      </c>
      <c r="B46" s="25">
        <f t="shared" si="19"/>
        <v>183867.13662837353</v>
      </c>
      <c r="C46" s="25">
        <f t="shared" si="15"/>
        <v>313.02369621107084</v>
      </c>
      <c r="D46" s="25">
        <f t="shared" si="16"/>
        <v>632.04328216003398</v>
      </c>
      <c r="E46" s="25">
        <f t="shared" si="17"/>
        <v>945.06697837110482</v>
      </c>
      <c r="F46" s="25">
        <f t="shared" si="18"/>
        <v>183554.11293216245</v>
      </c>
    </row>
    <row r="47" spans="1:6" x14ac:dyDescent="0.2">
      <c r="A47" s="24">
        <v>4</v>
      </c>
      <c r="B47" s="25">
        <f t="shared" si="19"/>
        <v>183554.11293216245</v>
      </c>
      <c r="C47" s="25">
        <f t="shared" si="15"/>
        <v>314.09971516679639</v>
      </c>
      <c r="D47" s="25">
        <f t="shared" si="16"/>
        <v>630.96726320430844</v>
      </c>
      <c r="E47" s="25">
        <f t="shared" si="17"/>
        <v>945.06697837110482</v>
      </c>
      <c r="F47" s="25">
        <f t="shared" si="18"/>
        <v>183240.01321699566</v>
      </c>
    </row>
    <row r="48" spans="1:6" x14ac:dyDescent="0.2">
      <c r="A48" s="24">
        <v>5</v>
      </c>
      <c r="B48" s="25">
        <f t="shared" si="19"/>
        <v>183240.01321699566</v>
      </c>
      <c r="C48" s="25">
        <f t="shared" si="15"/>
        <v>315.17943293768224</v>
      </c>
      <c r="D48" s="25">
        <f t="shared" si="16"/>
        <v>629.88754543342259</v>
      </c>
      <c r="E48" s="25">
        <f t="shared" si="17"/>
        <v>945.06697837110482</v>
      </c>
      <c r="F48" s="25">
        <f t="shared" si="18"/>
        <v>182924.83378405799</v>
      </c>
    </row>
    <row r="49" spans="1:7" x14ac:dyDescent="0.2">
      <c r="A49" s="24">
        <v>6</v>
      </c>
      <c r="B49" s="25">
        <f t="shared" si="19"/>
        <v>182924.83378405799</v>
      </c>
      <c r="C49" s="25">
        <f t="shared" si="15"/>
        <v>316.26286223840543</v>
      </c>
      <c r="D49" s="25">
        <f t="shared" si="16"/>
        <v>628.80411613269939</v>
      </c>
      <c r="E49" s="25">
        <f t="shared" si="17"/>
        <v>945.06697837110482</v>
      </c>
      <c r="F49" s="25">
        <f t="shared" si="18"/>
        <v>182608.5709218196</v>
      </c>
    </row>
    <row r="50" spans="1:7" x14ac:dyDescent="0.2">
      <c r="A50" s="24">
        <v>7</v>
      </c>
      <c r="B50" s="25">
        <f t="shared" si="19"/>
        <v>182608.5709218196</v>
      </c>
      <c r="C50" s="25">
        <f t="shared" si="15"/>
        <v>317.35001582734992</v>
      </c>
      <c r="D50" s="25">
        <f t="shared" si="16"/>
        <v>627.7169625437549</v>
      </c>
      <c r="E50" s="25">
        <f t="shared" si="17"/>
        <v>945.06697837110482</v>
      </c>
      <c r="F50" s="25">
        <f t="shared" si="18"/>
        <v>182291.22090599226</v>
      </c>
    </row>
    <row r="51" spans="1:7" x14ac:dyDescent="0.2">
      <c r="A51" s="24">
        <v>8</v>
      </c>
      <c r="B51" s="25">
        <f t="shared" si="19"/>
        <v>182291.22090599226</v>
      </c>
      <c r="C51" s="25">
        <f t="shared" si="15"/>
        <v>318.44090650675639</v>
      </c>
      <c r="D51" s="25">
        <f t="shared" si="16"/>
        <v>626.62607186434843</v>
      </c>
      <c r="E51" s="25">
        <f t="shared" si="17"/>
        <v>945.06697837110482</v>
      </c>
      <c r="F51" s="25">
        <f t="shared" si="18"/>
        <v>181972.7799994855</v>
      </c>
    </row>
    <row r="52" spans="1:7" x14ac:dyDescent="0.2">
      <c r="A52" s="24">
        <v>9</v>
      </c>
      <c r="B52" s="25">
        <f t="shared" si="19"/>
        <v>181972.7799994855</v>
      </c>
      <c r="C52" s="25">
        <f t="shared" si="15"/>
        <v>319.53554712287337</v>
      </c>
      <c r="D52" s="25">
        <f t="shared" si="16"/>
        <v>625.53143124823146</v>
      </c>
      <c r="E52" s="25">
        <f t="shared" si="17"/>
        <v>945.06697837110482</v>
      </c>
      <c r="F52" s="25">
        <f t="shared" si="18"/>
        <v>181653.24445236262</v>
      </c>
    </row>
    <row r="53" spans="1:7" x14ac:dyDescent="0.2">
      <c r="A53" s="24">
        <v>10</v>
      </c>
      <c r="B53" s="25">
        <f t="shared" si="19"/>
        <v>181653.24445236262</v>
      </c>
      <c r="C53" s="25">
        <f t="shared" si="15"/>
        <v>320.6339505661083</v>
      </c>
      <c r="D53" s="25">
        <f t="shared" si="16"/>
        <v>624.43302780499653</v>
      </c>
      <c r="E53" s="25">
        <f t="shared" si="17"/>
        <v>945.06697837110482</v>
      </c>
      <c r="F53" s="25">
        <f t="shared" si="18"/>
        <v>181332.6105017965</v>
      </c>
    </row>
    <row r="54" spans="1:7" x14ac:dyDescent="0.2">
      <c r="A54" s="24">
        <v>11</v>
      </c>
      <c r="B54" s="25">
        <f t="shared" si="19"/>
        <v>181332.6105017965</v>
      </c>
      <c r="C54" s="25">
        <f t="shared" si="15"/>
        <v>321.73612977117932</v>
      </c>
      <c r="D54" s="25">
        <f t="shared" si="16"/>
        <v>623.3308485999255</v>
      </c>
      <c r="E54" s="25">
        <f t="shared" si="17"/>
        <v>945.06697837110482</v>
      </c>
      <c r="F54" s="25">
        <f t="shared" si="18"/>
        <v>181010.87437202531</v>
      </c>
    </row>
    <row r="55" spans="1:7" x14ac:dyDescent="0.2">
      <c r="A55" s="24">
        <v>12</v>
      </c>
      <c r="B55" s="25">
        <f t="shared" si="19"/>
        <v>181010.87437202531</v>
      </c>
      <c r="C55" s="25">
        <f t="shared" si="15"/>
        <v>322.84209771726785</v>
      </c>
      <c r="D55" s="25">
        <f t="shared" si="16"/>
        <v>622.22488065383698</v>
      </c>
      <c r="E55" s="25">
        <f t="shared" si="17"/>
        <v>945.06697837110482</v>
      </c>
      <c r="F55" s="28">
        <f t="shared" si="18"/>
        <v>180688.03227430803</v>
      </c>
      <c r="G55" s="25"/>
    </row>
    <row r="56" spans="1:7" x14ac:dyDescent="0.2">
      <c r="A56" s="29" t="s">
        <v>82</v>
      </c>
      <c r="B56" s="31"/>
      <c r="C56" s="28">
        <f>SUM(C44:C55)</f>
        <v>3801.9384215689029</v>
      </c>
      <c r="D56" s="28">
        <f>SUM(D44:D55)</f>
        <v>7538.8653188843546</v>
      </c>
    </row>
    <row r="58" spans="1:7" x14ac:dyDescent="0.2">
      <c r="A58" s="24">
        <v>1</v>
      </c>
      <c r="B58" s="25">
        <f>+F55</f>
        <v>180688.03227430803</v>
      </c>
      <c r="C58" s="25">
        <f t="shared" ref="C58:C69" si="20">+E58-D58</f>
        <v>323.951867428171</v>
      </c>
      <c r="D58" s="25">
        <f t="shared" ref="D58:D69" si="21">B58*$I$2</f>
        <v>621.11511094293382</v>
      </c>
      <c r="E58" s="25">
        <f t="shared" ref="E58:E69" si="22">-$I$8</f>
        <v>945.06697837110482</v>
      </c>
      <c r="F58" s="25">
        <f t="shared" ref="F58:F69" si="23">+B58-C58</f>
        <v>180364.08040687986</v>
      </c>
    </row>
    <row r="59" spans="1:7" x14ac:dyDescent="0.2">
      <c r="A59" s="24">
        <v>2</v>
      </c>
      <c r="B59" s="25">
        <f t="shared" ref="B59:B69" si="24">+F58</f>
        <v>180364.08040687986</v>
      </c>
      <c r="C59" s="25">
        <f t="shared" si="20"/>
        <v>325.06545197245532</v>
      </c>
      <c r="D59" s="25">
        <f t="shared" si="21"/>
        <v>620.0015263986495</v>
      </c>
      <c r="E59" s="25">
        <f t="shared" si="22"/>
        <v>945.06697837110482</v>
      </c>
      <c r="F59" s="25">
        <f t="shared" si="23"/>
        <v>180039.01495490741</v>
      </c>
    </row>
    <row r="60" spans="1:7" x14ac:dyDescent="0.2">
      <c r="A60" s="24">
        <v>3</v>
      </c>
      <c r="B60" s="25">
        <f t="shared" si="24"/>
        <v>180039.01495490741</v>
      </c>
      <c r="C60" s="25">
        <f t="shared" si="20"/>
        <v>326.1828644636106</v>
      </c>
      <c r="D60" s="25">
        <f t="shared" si="21"/>
        <v>618.88411390749422</v>
      </c>
      <c r="E60" s="25">
        <f t="shared" si="22"/>
        <v>945.06697837110482</v>
      </c>
      <c r="F60" s="25">
        <f t="shared" si="23"/>
        <v>179712.83209044382</v>
      </c>
    </row>
    <row r="61" spans="1:7" x14ac:dyDescent="0.2">
      <c r="A61" s="24">
        <v>4</v>
      </c>
      <c r="B61" s="25">
        <f t="shared" si="24"/>
        <v>179712.83209044382</v>
      </c>
      <c r="C61" s="25">
        <f t="shared" si="20"/>
        <v>327.30411806020425</v>
      </c>
      <c r="D61" s="25">
        <f t="shared" si="21"/>
        <v>617.76286031090058</v>
      </c>
      <c r="E61" s="25">
        <f t="shared" si="22"/>
        <v>945.06697837110482</v>
      </c>
      <c r="F61" s="25">
        <f t="shared" si="23"/>
        <v>179385.5279723836</v>
      </c>
    </row>
    <row r="62" spans="1:7" x14ac:dyDescent="0.2">
      <c r="A62" s="24">
        <v>5</v>
      </c>
      <c r="B62" s="25">
        <f t="shared" si="24"/>
        <v>179385.5279723836</v>
      </c>
      <c r="C62" s="25">
        <f t="shared" si="20"/>
        <v>328.42922596603614</v>
      </c>
      <c r="D62" s="25">
        <f t="shared" si="21"/>
        <v>616.63775240506868</v>
      </c>
      <c r="E62" s="25">
        <f t="shared" si="22"/>
        <v>945.06697837110482</v>
      </c>
      <c r="F62" s="25">
        <f t="shared" si="23"/>
        <v>179057.09874641756</v>
      </c>
    </row>
    <row r="63" spans="1:7" x14ac:dyDescent="0.2">
      <c r="A63" s="24">
        <v>6</v>
      </c>
      <c r="B63" s="25">
        <f t="shared" si="24"/>
        <v>179057.09874641756</v>
      </c>
      <c r="C63" s="25">
        <f t="shared" si="20"/>
        <v>329.5582014302945</v>
      </c>
      <c r="D63" s="25">
        <f t="shared" si="21"/>
        <v>615.50877694081032</v>
      </c>
      <c r="E63" s="25">
        <f t="shared" si="22"/>
        <v>945.06697837110482</v>
      </c>
      <c r="F63" s="25">
        <f t="shared" si="23"/>
        <v>178727.54054498725</v>
      </c>
    </row>
    <row r="64" spans="1:7" x14ac:dyDescent="0.2">
      <c r="A64" s="24">
        <v>7</v>
      </c>
      <c r="B64" s="25">
        <f t="shared" si="24"/>
        <v>178727.54054498725</v>
      </c>
      <c r="C64" s="25">
        <f t="shared" si="20"/>
        <v>330.69105774771117</v>
      </c>
      <c r="D64" s="25">
        <f t="shared" si="21"/>
        <v>614.37592062339365</v>
      </c>
      <c r="E64" s="25">
        <f t="shared" si="22"/>
        <v>945.06697837110482</v>
      </c>
      <c r="F64" s="25">
        <f t="shared" si="23"/>
        <v>178396.84948723952</v>
      </c>
    </row>
    <row r="65" spans="1:6" x14ac:dyDescent="0.2">
      <c r="A65" s="24">
        <v>8</v>
      </c>
      <c r="B65" s="25">
        <f t="shared" si="24"/>
        <v>178396.84948723952</v>
      </c>
      <c r="C65" s="25">
        <f t="shared" si="20"/>
        <v>331.82780825871896</v>
      </c>
      <c r="D65" s="25">
        <f t="shared" si="21"/>
        <v>613.23917011238586</v>
      </c>
      <c r="E65" s="25">
        <f t="shared" si="22"/>
        <v>945.06697837110482</v>
      </c>
      <c r="F65" s="25">
        <f t="shared" si="23"/>
        <v>178065.02167898082</v>
      </c>
    </row>
    <row r="66" spans="1:6" x14ac:dyDescent="0.2">
      <c r="A66" s="24">
        <v>9</v>
      </c>
      <c r="B66" s="25">
        <f t="shared" si="24"/>
        <v>178065.02167898082</v>
      </c>
      <c r="C66" s="25">
        <f t="shared" si="20"/>
        <v>332.96846634960821</v>
      </c>
      <c r="D66" s="25">
        <f t="shared" si="21"/>
        <v>612.09851202149662</v>
      </c>
      <c r="E66" s="25">
        <f t="shared" si="22"/>
        <v>945.06697837110482</v>
      </c>
      <c r="F66" s="25">
        <f t="shared" si="23"/>
        <v>177732.0532126312</v>
      </c>
    </row>
    <row r="67" spans="1:6" x14ac:dyDescent="0.2">
      <c r="A67" s="24">
        <v>10</v>
      </c>
      <c r="B67" s="25">
        <f t="shared" si="24"/>
        <v>177732.0532126312</v>
      </c>
      <c r="C67" s="25">
        <f t="shared" si="20"/>
        <v>334.11304545268501</v>
      </c>
      <c r="D67" s="25">
        <f t="shared" si="21"/>
        <v>610.95393291841981</v>
      </c>
      <c r="E67" s="25">
        <f t="shared" si="22"/>
        <v>945.06697837110482</v>
      </c>
      <c r="F67" s="25">
        <f t="shared" si="23"/>
        <v>177397.94016717852</v>
      </c>
    </row>
    <row r="68" spans="1:6" x14ac:dyDescent="0.2">
      <c r="A68" s="24">
        <v>11</v>
      </c>
      <c r="B68" s="25">
        <f t="shared" si="24"/>
        <v>177397.94016717852</v>
      </c>
      <c r="C68" s="25">
        <f t="shared" si="20"/>
        <v>335.26155904642872</v>
      </c>
      <c r="D68" s="25">
        <f t="shared" si="21"/>
        <v>609.80541932467611</v>
      </c>
      <c r="E68" s="25">
        <f t="shared" si="22"/>
        <v>945.06697837110482</v>
      </c>
      <c r="F68" s="25">
        <f t="shared" si="23"/>
        <v>177062.67860813209</v>
      </c>
    </row>
    <row r="69" spans="1:6" x14ac:dyDescent="0.2">
      <c r="A69" s="24">
        <v>12</v>
      </c>
      <c r="B69" s="25">
        <f t="shared" si="24"/>
        <v>177062.67860813209</v>
      </c>
      <c r="C69" s="25">
        <f t="shared" si="20"/>
        <v>336.4140206556508</v>
      </c>
      <c r="D69" s="25">
        <f t="shared" si="21"/>
        <v>608.65295771545402</v>
      </c>
      <c r="E69" s="25">
        <f t="shared" si="22"/>
        <v>945.06697837110482</v>
      </c>
      <c r="F69" s="28">
        <f t="shared" si="23"/>
        <v>176726.26458747644</v>
      </c>
    </row>
    <row r="70" spans="1:6" x14ac:dyDescent="0.2">
      <c r="A70" s="29" t="s">
        <v>82</v>
      </c>
      <c r="B70" s="31"/>
      <c r="C70" s="28">
        <f>SUM(C58:C69)</f>
        <v>3961.7676868315748</v>
      </c>
      <c r="D70" s="28">
        <f>SUM(D58:D69)</f>
        <v>7379.0360536216831</v>
      </c>
    </row>
    <row r="72" spans="1:6" x14ac:dyDescent="0.2">
      <c r="A72" s="24">
        <v>1</v>
      </c>
      <c r="B72" s="25">
        <f>+F69</f>
        <v>176726.26458747644</v>
      </c>
      <c r="C72" s="25">
        <f t="shared" ref="C72:C83" si="25">+E72-D72</f>
        <v>337.57044385165455</v>
      </c>
      <c r="D72" s="25">
        <f t="shared" ref="D72:D83" si="26">B72*$I$2</f>
        <v>607.49653451945028</v>
      </c>
      <c r="E72" s="25">
        <f t="shared" ref="E72:E83" si="27">-$I$8</f>
        <v>945.06697837110482</v>
      </c>
      <c r="F72" s="25">
        <f t="shared" ref="F72:F83" si="28">+B72-C72</f>
        <v>176388.6941436248</v>
      </c>
    </row>
    <row r="73" spans="1:6" x14ac:dyDescent="0.2">
      <c r="A73" s="24">
        <v>2</v>
      </c>
      <c r="B73" s="25">
        <f t="shared" ref="B73:B83" si="29">+F72</f>
        <v>176388.6941436248</v>
      </c>
      <c r="C73" s="25">
        <f t="shared" si="25"/>
        <v>338.73084225239461</v>
      </c>
      <c r="D73" s="25">
        <f t="shared" si="26"/>
        <v>606.33613611871021</v>
      </c>
      <c r="E73" s="25">
        <f t="shared" si="27"/>
        <v>945.06697837110482</v>
      </c>
      <c r="F73" s="25">
        <f t="shared" si="28"/>
        <v>176049.96330137239</v>
      </c>
    </row>
    <row r="74" spans="1:6" x14ac:dyDescent="0.2">
      <c r="A74" s="24">
        <v>3</v>
      </c>
      <c r="B74" s="25">
        <f t="shared" si="29"/>
        <v>176049.96330137239</v>
      </c>
      <c r="C74" s="25">
        <f t="shared" si="25"/>
        <v>339.89522952263724</v>
      </c>
      <c r="D74" s="25">
        <f t="shared" si="26"/>
        <v>605.17174884846759</v>
      </c>
      <c r="E74" s="25">
        <f t="shared" si="27"/>
        <v>945.06697837110482</v>
      </c>
      <c r="F74" s="25">
        <f t="shared" si="28"/>
        <v>175710.06807184976</v>
      </c>
    </row>
    <row r="75" spans="1:6" x14ac:dyDescent="0.2">
      <c r="A75" s="24">
        <v>4</v>
      </c>
      <c r="B75" s="25">
        <f t="shared" si="29"/>
        <v>175710.06807184976</v>
      </c>
      <c r="C75" s="25">
        <f t="shared" si="25"/>
        <v>341.06361937412123</v>
      </c>
      <c r="D75" s="25">
        <f t="shared" si="26"/>
        <v>604.00335899698359</v>
      </c>
      <c r="E75" s="25">
        <f t="shared" si="27"/>
        <v>945.06697837110482</v>
      </c>
      <c r="F75" s="25">
        <f t="shared" si="28"/>
        <v>175369.00445247564</v>
      </c>
    </row>
    <row r="76" spans="1:6" x14ac:dyDescent="0.2">
      <c r="A76" s="24">
        <v>5</v>
      </c>
      <c r="B76" s="25">
        <f t="shared" si="29"/>
        <v>175369.00445247564</v>
      </c>
      <c r="C76" s="25">
        <f t="shared" si="25"/>
        <v>342.23602556571984</v>
      </c>
      <c r="D76" s="25">
        <f t="shared" si="26"/>
        <v>602.83095280538498</v>
      </c>
      <c r="E76" s="25">
        <f t="shared" si="27"/>
        <v>945.06697837110482</v>
      </c>
      <c r="F76" s="25">
        <f t="shared" si="28"/>
        <v>175026.76842690993</v>
      </c>
    </row>
    <row r="77" spans="1:6" x14ac:dyDescent="0.2">
      <c r="A77" s="24">
        <v>6</v>
      </c>
      <c r="B77" s="25">
        <f t="shared" si="29"/>
        <v>175026.76842690993</v>
      </c>
      <c r="C77" s="25">
        <f t="shared" si="25"/>
        <v>343.41246190360198</v>
      </c>
      <c r="D77" s="25">
        <f t="shared" si="26"/>
        <v>601.65451646750284</v>
      </c>
      <c r="E77" s="25">
        <f t="shared" si="27"/>
        <v>945.06697837110482</v>
      </c>
      <c r="F77" s="25">
        <f t="shared" si="28"/>
        <v>174683.35596500631</v>
      </c>
    </row>
    <row r="78" spans="1:6" x14ac:dyDescent="0.2">
      <c r="A78" s="24">
        <v>7</v>
      </c>
      <c r="B78" s="25">
        <f t="shared" si="29"/>
        <v>174683.35596500631</v>
      </c>
      <c r="C78" s="25">
        <f t="shared" si="25"/>
        <v>344.59294224139558</v>
      </c>
      <c r="D78" s="25">
        <f t="shared" si="26"/>
        <v>600.47403612970925</v>
      </c>
      <c r="E78" s="25">
        <f t="shared" si="27"/>
        <v>945.06697837110482</v>
      </c>
      <c r="F78" s="25">
        <f t="shared" si="28"/>
        <v>174338.76302276491</v>
      </c>
    </row>
    <row r="79" spans="1:6" x14ac:dyDescent="0.2">
      <c r="A79" s="24">
        <v>8</v>
      </c>
      <c r="B79" s="25">
        <f t="shared" si="29"/>
        <v>174338.76302276491</v>
      </c>
      <c r="C79" s="25">
        <f t="shared" si="25"/>
        <v>345.7774804803505</v>
      </c>
      <c r="D79" s="25">
        <f t="shared" si="26"/>
        <v>599.28949789075432</v>
      </c>
      <c r="E79" s="25">
        <f t="shared" si="27"/>
        <v>945.06697837110482</v>
      </c>
      <c r="F79" s="25">
        <f t="shared" si="28"/>
        <v>173992.98554228456</v>
      </c>
    </row>
    <row r="80" spans="1:6" x14ac:dyDescent="0.2">
      <c r="A80" s="24">
        <v>9</v>
      </c>
      <c r="B80" s="25">
        <f t="shared" si="29"/>
        <v>173992.98554228456</v>
      </c>
      <c r="C80" s="25">
        <f t="shared" si="25"/>
        <v>346.9660905695016</v>
      </c>
      <c r="D80" s="25">
        <f t="shared" si="26"/>
        <v>598.10088780160322</v>
      </c>
      <c r="E80" s="25">
        <f t="shared" si="27"/>
        <v>945.06697837110482</v>
      </c>
      <c r="F80" s="25">
        <f t="shared" si="28"/>
        <v>173646.01945171505</v>
      </c>
    </row>
    <row r="81" spans="1:6" x14ac:dyDescent="0.2">
      <c r="A81" s="24">
        <v>10</v>
      </c>
      <c r="B81" s="25">
        <f t="shared" si="29"/>
        <v>173646.01945171505</v>
      </c>
      <c r="C81" s="25">
        <f t="shared" si="25"/>
        <v>348.15878650583431</v>
      </c>
      <c r="D81" s="25">
        <f t="shared" si="26"/>
        <v>596.90819186527051</v>
      </c>
      <c r="E81" s="25">
        <f t="shared" si="27"/>
        <v>945.06697837110482</v>
      </c>
      <c r="F81" s="25">
        <f t="shared" si="28"/>
        <v>173297.86066520921</v>
      </c>
    </row>
    <row r="82" spans="1:6" x14ac:dyDescent="0.2">
      <c r="A82" s="24">
        <v>11</v>
      </c>
      <c r="B82" s="25">
        <f t="shared" si="29"/>
        <v>173297.86066520921</v>
      </c>
      <c r="C82" s="25">
        <f t="shared" si="25"/>
        <v>349.35558233444817</v>
      </c>
      <c r="D82" s="25">
        <f t="shared" si="26"/>
        <v>595.71139603665665</v>
      </c>
      <c r="E82" s="25">
        <f t="shared" si="27"/>
        <v>945.06697837110482</v>
      </c>
      <c r="F82" s="25">
        <f t="shared" si="28"/>
        <v>172948.50508287476</v>
      </c>
    </row>
    <row r="83" spans="1:6" x14ac:dyDescent="0.2">
      <c r="A83" s="24">
        <v>12</v>
      </c>
      <c r="B83" s="25">
        <f t="shared" si="29"/>
        <v>172948.50508287476</v>
      </c>
      <c r="C83" s="25">
        <f t="shared" si="25"/>
        <v>350.55649214872278</v>
      </c>
      <c r="D83" s="25">
        <f t="shared" si="26"/>
        <v>594.51048622238204</v>
      </c>
      <c r="E83" s="25">
        <f t="shared" si="27"/>
        <v>945.06697837110482</v>
      </c>
      <c r="F83" s="28">
        <f t="shared" si="28"/>
        <v>172597.94859072604</v>
      </c>
    </row>
    <row r="84" spans="1:6" x14ac:dyDescent="0.2">
      <c r="A84" s="29" t="s">
        <v>82</v>
      </c>
      <c r="B84" s="31"/>
      <c r="C84" s="28">
        <f>SUM(C72:C83)</f>
        <v>4128.3159967503825</v>
      </c>
      <c r="D84" s="28">
        <f>SUM(D72:D83)</f>
        <v>7212.4877437028754</v>
      </c>
    </row>
    <row r="85" spans="1:6" x14ac:dyDescent="0.2">
      <c r="B85" s="30"/>
      <c r="C85" s="25"/>
      <c r="D85" s="25"/>
      <c r="E85" s="25"/>
      <c r="F85" s="25"/>
    </row>
    <row r="86" spans="1:6" x14ac:dyDescent="0.2">
      <c r="A86" s="24">
        <v>1</v>
      </c>
      <c r="B86" s="25">
        <f>+F83</f>
        <v>172597.94859072604</v>
      </c>
      <c r="C86" s="25">
        <f t="shared" ref="C86:C97" si="30">+E86-D86</f>
        <v>351.76153009048403</v>
      </c>
      <c r="D86" s="25">
        <f t="shared" ref="D86:D97" si="31">B86*$I$2</f>
        <v>593.30544828062079</v>
      </c>
      <c r="E86" s="25">
        <f t="shared" ref="E86:E97" si="32">-$I$8</f>
        <v>945.06697837110482</v>
      </c>
      <c r="F86" s="25">
        <f t="shared" ref="F86:F97" si="33">+B86-C86</f>
        <v>172246.18706063557</v>
      </c>
    </row>
    <row r="87" spans="1:6" x14ac:dyDescent="0.2">
      <c r="A87" s="24">
        <v>2</v>
      </c>
      <c r="B87" s="25">
        <f t="shared" ref="B87:B97" si="34">+F86</f>
        <v>172246.18706063557</v>
      </c>
      <c r="C87" s="25">
        <f t="shared" si="30"/>
        <v>352.97071035017007</v>
      </c>
      <c r="D87" s="25">
        <f t="shared" si="31"/>
        <v>592.09626802093476</v>
      </c>
      <c r="E87" s="25">
        <f t="shared" si="32"/>
        <v>945.06697837110482</v>
      </c>
      <c r="F87" s="25">
        <f t="shared" si="33"/>
        <v>171893.21635028539</v>
      </c>
    </row>
    <row r="88" spans="1:6" x14ac:dyDescent="0.2">
      <c r="A88" s="24">
        <v>3</v>
      </c>
      <c r="B88" s="25">
        <f t="shared" si="34"/>
        <v>171893.21635028539</v>
      </c>
      <c r="C88" s="25">
        <f t="shared" si="30"/>
        <v>354.18404716699877</v>
      </c>
      <c r="D88" s="25">
        <f t="shared" si="31"/>
        <v>590.88293120410606</v>
      </c>
      <c r="E88" s="25">
        <f t="shared" si="32"/>
        <v>945.06697837110482</v>
      </c>
      <c r="F88" s="25">
        <f t="shared" si="33"/>
        <v>171539.03230311841</v>
      </c>
    </row>
    <row r="89" spans="1:6" x14ac:dyDescent="0.2">
      <c r="A89" s="24">
        <v>4</v>
      </c>
      <c r="B89" s="25">
        <f t="shared" si="34"/>
        <v>171539.03230311841</v>
      </c>
      <c r="C89" s="25">
        <f t="shared" si="30"/>
        <v>355.40155482913531</v>
      </c>
      <c r="D89" s="25">
        <f t="shared" si="31"/>
        <v>589.66542354196952</v>
      </c>
      <c r="E89" s="25">
        <f t="shared" si="32"/>
        <v>945.06697837110482</v>
      </c>
      <c r="F89" s="25">
        <f t="shared" si="33"/>
        <v>171183.63074828929</v>
      </c>
    </row>
    <row r="90" spans="1:6" x14ac:dyDescent="0.2">
      <c r="A90" s="24">
        <v>5</v>
      </c>
      <c r="B90" s="25">
        <f t="shared" si="34"/>
        <v>171183.63074828929</v>
      </c>
      <c r="C90" s="25">
        <f t="shared" si="30"/>
        <v>356.62324767386042</v>
      </c>
      <c r="D90" s="25">
        <f t="shared" si="31"/>
        <v>588.4437306972444</v>
      </c>
      <c r="E90" s="25">
        <f t="shared" si="32"/>
        <v>945.06697837110482</v>
      </c>
      <c r="F90" s="25">
        <f t="shared" si="33"/>
        <v>170827.00750061544</v>
      </c>
    </row>
    <row r="91" spans="1:6" x14ac:dyDescent="0.2">
      <c r="A91" s="24">
        <v>6</v>
      </c>
      <c r="B91" s="25">
        <f t="shared" si="34"/>
        <v>170827.00750061544</v>
      </c>
      <c r="C91" s="25">
        <f t="shared" si="30"/>
        <v>357.84914008773922</v>
      </c>
      <c r="D91" s="25">
        <f t="shared" si="31"/>
        <v>587.21783828336561</v>
      </c>
      <c r="E91" s="25">
        <f t="shared" si="32"/>
        <v>945.06697837110482</v>
      </c>
      <c r="F91" s="25">
        <f t="shared" si="33"/>
        <v>170469.15836052771</v>
      </c>
    </row>
    <row r="92" spans="1:6" x14ac:dyDescent="0.2">
      <c r="A92" s="24">
        <v>7</v>
      </c>
      <c r="B92" s="25">
        <f t="shared" si="34"/>
        <v>170469.15836052771</v>
      </c>
      <c r="C92" s="25">
        <f t="shared" si="30"/>
        <v>359.07924650679081</v>
      </c>
      <c r="D92" s="25">
        <f t="shared" si="31"/>
        <v>585.98773186431401</v>
      </c>
      <c r="E92" s="25">
        <f t="shared" si="32"/>
        <v>945.06697837110482</v>
      </c>
      <c r="F92" s="25">
        <f t="shared" si="33"/>
        <v>170110.07911402092</v>
      </c>
    </row>
    <row r="93" spans="1:6" x14ac:dyDescent="0.2">
      <c r="A93" s="24">
        <v>8</v>
      </c>
      <c r="B93" s="25">
        <f t="shared" si="34"/>
        <v>170110.07911402092</v>
      </c>
      <c r="C93" s="25">
        <f t="shared" si="30"/>
        <v>360.31358141665794</v>
      </c>
      <c r="D93" s="25">
        <f t="shared" si="31"/>
        <v>584.75339695444688</v>
      </c>
      <c r="E93" s="25">
        <f t="shared" si="32"/>
        <v>945.06697837110482</v>
      </c>
      <c r="F93" s="25">
        <f t="shared" si="33"/>
        <v>169749.76553260427</v>
      </c>
    </row>
    <row r="94" spans="1:6" x14ac:dyDescent="0.2">
      <c r="A94" s="24">
        <v>9</v>
      </c>
      <c r="B94" s="25">
        <f t="shared" si="34"/>
        <v>169749.76553260427</v>
      </c>
      <c r="C94" s="25">
        <f t="shared" si="30"/>
        <v>361.55215935277761</v>
      </c>
      <c r="D94" s="25">
        <f t="shared" si="31"/>
        <v>583.51481901832722</v>
      </c>
      <c r="E94" s="25">
        <f t="shared" si="32"/>
        <v>945.06697837110482</v>
      </c>
      <c r="F94" s="25">
        <f t="shared" si="33"/>
        <v>169388.21337325149</v>
      </c>
    </row>
    <row r="95" spans="1:6" x14ac:dyDescent="0.2">
      <c r="A95" s="24">
        <v>10</v>
      </c>
      <c r="B95" s="25">
        <f t="shared" si="34"/>
        <v>169388.21337325149</v>
      </c>
      <c r="C95" s="25">
        <f t="shared" si="30"/>
        <v>362.79499490055287</v>
      </c>
      <c r="D95" s="25">
        <f t="shared" si="31"/>
        <v>582.27198347055196</v>
      </c>
      <c r="E95" s="25">
        <f t="shared" si="32"/>
        <v>945.06697837110482</v>
      </c>
      <c r="F95" s="25">
        <f t="shared" si="33"/>
        <v>169025.41837835094</v>
      </c>
    </row>
    <row r="96" spans="1:6" x14ac:dyDescent="0.2">
      <c r="A96" s="24">
        <v>11</v>
      </c>
      <c r="B96" s="25">
        <f t="shared" si="34"/>
        <v>169025.41837835094</v>
      </c>
      <c r="C96" s="25">
        <f t="shared" si="30"/>
        <v>364.04210269552345</v>
      </c>
      <c r="D96" s="25">
        <f t="shared" si="31"/>
        <v>581.02487567558137</v>
      </c>
      <c r="E96" s="25">
        <f t="shared" si="32"/>
        <v>945.06697837110482</v>
      </c>
      <c r="F96" s="25">
        <f t="shared" si="33"/>
        <v>168661.37627565541</v>
      </c>
    </row>
    <row r="97" spans="1:6" x14ac:dyDescent="0.2">
      <c r="A97" s="24">
        <v>12</v>
      </c>
      <c r="B97" s="25">
        <f t="shared" si="34"/>
        <v>168661.37627565541</v>
      </c>
      <c r="C97" s="25">
        <f t="shared" si="30"/>
        <v>365.29349742353941</v>
      </c>
      <c r="D97" s="25">
        <f t="shared" si="31"/>
        <v>579.77348094756542</v>
      </c>
      <c r="E97" s="25">
        <f t="shared" si="32"/>
        <v>945.06697837110482</v>
      </c>
      <c r="F97" s="28">
        <f t="shared" si="33"/>
        <v>168296.08277823188</v>
      </c>
    </row>
    <row r="98" spans="1:6" x14ac:dyDescent="0.2">
      <c r="A98" s="29" t="s">
        <v>82</v>
      </c>
      <c r="B98" s="31"/>
      <c r="C98" s="28">
        <f>SUM(C86:C97)</f>
        <v>4301.8658124942303</v>
      </c>
      <c r="D98" s="28">
        <f>SUM(D86:D97)</f>
        <v>7038.9379279590275</v>
      </c>
    </row>
    <row r="99" spans="1:6" x14ac:dyDescent="0.2">
      <c r="B99" s="30"/>
      <c r="C99" s="25"/>
      <c r="D99" s="25"/>
      <c r="E99" s="25"/>
      <c r="F99" s="25"/>
    </row>
    <row r="100" spans="1:6" x14ac:dyDescent="0.2">
      <c r="A100" s="24">
        <v>1</v>
      </c>
      <c r="B100" s="25">
        <f>+F97</f>
        <v>168296.08277823188</v>
      </c>
      <c r="C100" s="25">
        <f t="shared" ref="C100:C111" si="35">+E100-D100</f>
        <v>366.54919382093271</v>
      </c>
      <c r="D100" s="25">
        <f t="shared" ref="D100:D111" si="36">B100*$I$2</f>
        <v>578.51778455017211</v>
      </c>
      <c r="E100" s="25">
        <f t="shared" ref="E100:E111" si="37">-$I$8</f>
        <v>945.06697837110482</v>
      </c>
      <c r="F100" s="25">
        <f t="shared" ref="F100:F111" si="38">+B100-C100</f>
        <v>167929.53358441094</v>
      </c>
    </row>
    <row r="101" spans="1:6" x14ac:dyDescent="0.2">
      <c r="A101" s="24">
        <v>2</v>
      </c>
      <c r="B101" s="25">
        <f t="shared" ref="B101:B111" si="39">+F100</f>
        <v>167929.53358441094</v>
      </c>
      <c r="C101" s="25">
        <f t="shared" si="35"/>
        <v>367.80920667469218</v>
      </c>
      <c r="D101" s="25">
        <f t="shared" si="36"/>
        <v>577.25777169641265</v>
      </c>
      <c r="E101" s="25">
        <f t="shared" si="37"/>
        <v>945.06697837110482</v>
      </c>
      <c r="F101" s="25">
        <f t="shared" si="38"/>
        <v>167561.72437773625</v>
      </c>
    </row>
    <row r="102" spans="1:6" x14ac:dyDescent="0.2">
      <c r="A102" s="24">
        <v>3</v>
      </c>
      <c r="B102" s="25">
        <f t="shared" si="39"/>
        <v>167561.72437773625</v>
      </c>
      <c r="C102" s="25">
        <f t="shared" si="35"/>
        <v>369.07355082263643</v>
      </c>
      <c r="D102" s="25">
        <f t="shared" si="36"/>
        <v>575.99342754846839</v>
      </c>
      <c r="E102" s="25">
        <f t="shared" si="37"/>
        <v>945.06697837110482</v>
      </c>
      <c r="F102" s="25">
        <f t="shared" si="38"/>
        <v>167192.6508269136</v>
      </c>
    </row>
    <row r="103" spans="1:6" x14ac:dyDescent="0.2">
      <c r="A103" s="24">
        <v>4</v>
      </c>
      <c r="B103" s="25">
        <f t="shared" si="39"/>
        <v>167192.6508269136</v>
      </c>
      <c r="C103" s="25">
        <f t="shared" si="35"/>
        <v>370.34224115358938</v>
      </c>
      <c r="D103" s="25">
        <f t="shared" si="36"/>
        <v>574.72473721751544</v>
      </c>
      <c r="E103" s="25">
        <f t="shared" si="37"/>
        <v>945.06697837110482</v>
      </c>
      <c r="F103" s="25">
        <f t="shared" si="38"/>
        <v>166822.30858576001</v>
      </c>
    </row>
    <row r="104" spans="1:6" x14ac:dyDescent="0.2">
      <c r="A104" s="24">
        <v>5</v>
      </c>
      <c r="B104" s="25">
        <f t="shared" si="39"/>
        <v>166822.30858576001</v>
      </c>
      <c r="C104" s="25">
        <f t="shared" si="35"/>
        <v>371.61529260755481</v>
      </c>
      <c r="D104" s="25">
        <f t="shared" si="36"/>
        <v>573.45168576355002</v>
      </c>
      <c r="E104" s="25">
        <f t="shared" si="37"/>
        <v>945.06697837110482</v>
      </c>
      <c r="F104" s="25">
        <f t="shared" si="38"/>
        <v>166450.69329315246</v>
      </c>
    </row>
    <row r="105" spans="1:6" x14ac:dyDescent="0.2">
      <c r="A105" s="24">
        <v>6</v>
      </c>
      <c r="B105" s="25">
        <f t="shared" si="39"/>
        <v>166450.69329315246</v>
      </c>
      <c r="C105" s="25">
        <f t="shared" si="35"/>
        <v>372.89272017589326</v>
      </c>
      <c r="D105" s="25">
        <f t="shared" si="36"/>
        <v>572.17425819521156</v>
      </c>
      <c r="E105" s="25">
        <f t="shared" si="37"/>
        <v>945.06697837110482</v>
      </c>
      <c r="F105" s="25">
        <f t="shared" si="38"/>
        <v>166077.80057297656</v>
      </c>
    </row>
    <row r="106" spans="1:6" x14ac:dyDescent="0.2">
      <c r="A106" s="24">
        <v>7</v>
      </c>
      <c r="B106" s="25">
        <f t="shared" si="39"/>
        <v>166077.80057297656</v>
      </c>
      <c r="C106" s="25">
        <f t="shared" si="35"/>
        <v>374.17453890149795</v>
      </c>
      <c r="D106" s="25">
        <f t="shared" si="36"/>
        <v>570.89243946960687</v>
      </c>
      <c r="E106" s="25">
        <f t="shared" si="37"/>
        <v>945.06697837110482</v>
      </c>
      <c r="F106" s="25">
        <f t="shared" si="38"/>
        <v>165703.62603407505</v>
      </c>
    </row>
    <row r="107" spans="1:6" x14ac:dyDescent="0.2">
      <c r="A107" s="24">
        <v>8</v>
      </c>
      <c r="B107" s="25">
        <f t="shared" si="39"/>
        <v>165703.62603407505</v>
      </c>
      <c r="C107" s="25">
        <f t="shared" si="35"/>
        <v>375.46076387897187</v>
      </c>
      <c r="D107" s="25">
        <f t="shared" si="36"/>
        <v>569.60621449213295</v>
      </c>
      <c r="E107" s="25">
        <f t="shared" si="37"/>
        <v>945.06697837110482</v>
      </c>
      <c r="F107" s="25">
        <f t="shared" si="38"/>
        <v>165328.16527019607</v>
      </c>
    </row>
    <row r="108" spans="1:6" x14ac:dyDescent="0.2">
      <c r="A108" s="24">
        <v>9</v>
      </c>
      <c r="B108" s="25">
        <f t="shared" si="39"/>
        <v>165328.16527019607</v>
      </c>
      <c r="C108" s="25">
        <f t="shared" si="35"/>
        <v>376.75141025480582</v>
      </c>
      <c r="D108" s="25">
        <f t="shared" si="36"/>
        <v>568.315568116299</v>
      </c>
      <c r="E108" s="25">
        <f t="shared" si="37"/>
        <v>945.06697837110482</v>
      </c>
      <c r="F108" s="25">
        <f t="shared" si="38"/>
        <v>164951.41385994127</v>
      </c>
    </row>
    <row r="109" spans="1:6" x14ac:dyDescent="0.2">
      <c r="A109" s="24">
        <v>10</v>
      </c>
      <c r="B109" s="25">
        <f t="shared" si="39"/>
        <v>164951.41385994127</v>
      </c>
      <c r="C109" s="25">
        <f t="shared" si="35"/>
        <v>378.04649322755665</v>
      </c>
      <c r="D109" s="25">
        <f t="shared" si="36"/>
        <v>567.02048514354817</v>
      </c>
      <c r="E109" s="25">
        <f t="shared" si="37"/>
        <v>945.06697837110482</v>
      </c>
      <c r="F109" s="25">
        <f t="shared" si="38"/>
        <v>164573.3673667137</v>
      </c>
    </row>
    <row r="110" spans="1:6" x14ac:dyDescent="0.2">
      <c r="A110" s="24">
        <v>11</v>
      </c>
      <c r="B110" s="25">
        <f t="shared" si="39"/>
        <v>164573.3673667137</v>
      </c>
      <c r="C110" s="25">
        <f t="shared" si="35"/>
        <v>379.34602804802648</v>
      </c>
      <c r="D110" s="25">
        <f t="shared" si="36"/>
        <v>565.72095032307834</v>
      </c>
      <c r="E110" s="25">
        <f t="shared" si="37"/>
        <v>945.06697837110482</v>
      </c>
      <c r="F110" s="25">
        <f t="shared" si="38"/>
        <v>164194.02133866568</v>
      </c>
    </row>
    <row r="111" spans="1:6" x14ac:dyDescent="0.2">
      <c r="A111" s="24">
        <v>12</v>
      </c>
      <c r="B111" s="25">
        <f t="shared" si="39"/>
        <v>164194.02133866568</v>
      </c>
      <c r="C111" s="25">
        <f t="shared" si="35"/>
        <v>380.65003001944149</v>
      </c>
      <c r="D111" s="25">
        <f t="shared" si="36"/>
        <v>564.41694835166334</v>
      </c>
      <c r="E111" s="25">
        <f t="shared" si="37"/>
        <v>945.06697837110482</v>
      </c>
      <c r="F111" s="28">
        <f t="shared" si="38"/>
        <v>163813.37130864625</v>
      </c>
    </row>
    <row r="112" spans="1:6" x14ac:dyDescent="0.2">
      <c r="A112" s="29" t="s">
        <v>82</v>
      </c>
      <c r="B112" s="31"/>
      <c r="C112" s="28">
        <f>SUM(C100:C111)</f>
        <v>4482.7114695855989</v>
      </c>
      <c r="D112" s="28">
        <f>SUM(D100:D111)</f>
        <v>6858.092270867659</v>
      </c>
    </row>
    <row r="114" spans="1:6" x14ac:dyDescent="0.2">
      <c r="A114" s="24">
        <v>1</v>
      </c>
      <c r="B114" s="25">
        <f>+F111</f>
        <v>163813.37130864625</v>
      </c>
      <c r="C114" s="25">
        <f t="shared" ref="C114:C125" si="40">+E114-D114</f>
        <v>381.95851449763336</v>
      </c>
      <c r="D114" s="25">
        <f t="shared" ref="D114:D125" si="41">B114*$I$2</f>
        <v>563.10846387347146</v>
      </c>
      <c r="E114" s="25">
        <f t="shared" ref="E114:E125" si="42">-$I$8</f>
        <v>945.06697837110482</v>
      </c>
      <c r="F114" s="25">
        <f t="shared" ref="F114:F125" si="43">+B114-C114</f>
        <v>163431.41279414861</v>
      </c>
    </row>
    <row r="115" spans="1:6" x14ac:dyDescent="0.2">
      <c r="A115" s="24">
        <v>2</v>
      </c>
      <c r="B115" s="25">
        <f t="shared" ref="B115:B125" si="44">+F114</f>
        <v>163431.41279414861</v>
      </c>
      <c r="C115" s="25">
        <f t="shared" si="40"/>
        <v>383.27149689121893</v>
      </c>
      <c r="D115" s="25">
        <f t="shared" si="41"/>
        <v>561.79548147988589</v>
      </c>
      <c r="E115" s="25">
        <f t="shared" si="42"/>
        <v>945.06697837110482</v>
      </c>
      <c r="F115" s="25">
        <f t="shared" si="43"/>
        <v>163048.14129725739</v>
      </c>
    </row>
    <row r="116" spans="1:6" x14ac:dyDescent="0.2">
      <c r="A116" s="24">
        <v>3</v>
      </c>
      <c r="B116" s="25">
        <f t="shared" si="44"/>
        <v>163048.14129725739</v>
      </c>
      <c r="C116" s="25">
        <f t="shared" si="40"/>
        <v>384.58899266178253</v>
      </c>
      <c r="D116" s="25">
        <f t="shared" si="41"/>
        <v>560.4779857093223</v>
      </c>
      <c r="E116" s="25">
        <f t="shared" si="42"/>
        <v>945.06697837110482</v>
      </c>
      <c r="F116" s="25">
        <f t="shared" si="43"/>
        <v>162663.55230459559</v>
      </c>
    </row>
    <row r="117" spans="1:6" x14ac:dyDescent="0.2">
      <c r="A117" s="24">
        <v>4</v>
      </c>
      <c r="B117" s="25">
        <f t="shared" si="44"/>
        <v>162663.55230459559</v>
      </c>
      <c r="C117" s="25">
        <f t="shared" si="40"/>
        <v>385.91101732405753</v>
      </c>
      <c r="D117" s="25">
        <f t="shared" si="41"/>
        <v>559.1559610470473</v>
      </c>
      <c r="E117" s="25">
        <f t="shared" si="42"/>
        <v>945.06697837110482</v>
      </c>
      <c r="F117" s="25">
        <f t="shared" si="43"/>
        <v>162277.64128727154</v>
      </c>
    </row>
    <row r="118" spans="1:6" x14ac:dyDescent="0.2">
      <c r="A118" s="24">
        <v>5</v>
      </c>
      <c r="B118" s="25">
        <f t="shared" si="44"/>
        <v>162277.64128727154</v>
      </c>
      <c r="C118" s="25">
        <f t="shared" si="40"/>
        <v>387.23758644610893</v>
      </c>
      <c r="D118" s="25">
        <f t="shared" si="41"/>
        <v>557.82939192499589</v>
      </c>
      <c r="E118" s="25">
        <f t="shared" si="42"/>
        <v>945.06697837110482</v>
      </c>
      <c r="F118" s="25">
        <f t="shared" si="43"/>
        <v>161890.40370082544</v>
      </c>
    </row>
    <row r="119" spans="1:6" x14ac:dyDescent="0.2">
      <c r="A119" s="24">
        <v>6</v>
      </c>
      <c r="B119" s="25">
        <f t="shared" si="44"/>
        <v>161890.40370082544</v>
      </c>
      <c r="C119" s="25">
        <f t="shared" si="40"/>
        <v>388.56871564951734</v>
      </c>
      <c r="D119" s="25">
        <f t="shared" si="41"/>
        <v>556.49826272158748</v>
      </c>
      <c r="E119" s="25">
        <f t="shared" si="42"/>
        <v>945.06697837110482</v>
      </c>
      <c r="F119" s="25">
        <f t="shared" si="43"/>
        <v>161501.83498517593</v>
      </c>
    </row>
    <row r="120" spans="1:6" x14ac:dyDescent="0.2">
      <c r="A120" s="24">
        <v>7</v>
      </c>
      <c r="B120" s="25">
        <f t="shared" si="44"/>
        <v>161501.83498517593</v>
      </c>
      <c r="C120" s="25">
        <f t="shared" si="40"/>
        <v>389.90442060956252</v>
      </c>
      <c r="D120" s="25">
        <f t="shared" si="41"/>
        <v>555.1625577615423</v>
      </c>
      <c r="E120" s="25">
        <f t="shared" si="42"/>
        <v>945.06697837110482</v>
      </c>
      <c r="F120" s="25">
        <f t="shared" si="43"/>
        <v>161111.93056456637</v>
      </c>
    </row>
    <row r="121" spans="1:6" x14ac:dyDescent="0.2">
      <c r="A121" s="24">
        <v>8</v>
      </c>
      <c r="B121" s="25">
        <f t="shared" si="44"/>
        <v>161111.93056456637</v>
      </c>
      <c r="C121" s="25">
        <f t="shared" si="40"/>
        <v>391.24471705540793</v>
      </c>
      <c r="D121" s="25">
        <f t="shared" si="41"/>
        <v>553.82226131569689</v>
      </c>
      <c r="E121" s="25">
        <f t="shared" si="42"/>
        <v>945.06697837110482</v>
      </c>
      <c r="F121" s="25">
        <f t="shared" si="43"/>
        <v>160720.68584751096</v>
      </c>
    </row>
    <row r="122" spans="1:6" x14ac:dyDescent="0.2">
      <c r="A122" s="24">
        <v>9</v>
      </c>
      <c r="B122" s="25">
        <f t="shared" si="44"/>
        <v>160720.68584751096</v>
      </c>
      <c r="C122" s="25">
        <f t="shared" si="40"/>
        <v>392.58962077028593</v>
      </c>
      <c r="D122" s="25">
        <f t="shared" si="41"/>
        <v>552.47735760081889</v>
      </c>
      <c r="E122" s="25">
        <f t="shared" si="42"/>
        <v>945.06697837110482</v>
      </c>
      <c r="F122" s="25">
        <f t="shared" si="43"/>
        <v>160328.09622674069</v>
      </c>
    </row>
    <row r="123" spans="1:6" x14ac:dyDescent="0.2">
      <c r="A123" s="24">
        <v>10</v>
      </c>
      <c r="B123" s="25">
        <f t="shared" si="44"/>
        <v>160328.09622674069</v>
      </c>
      <c r="C123" s="25">
        <f t="shared" si="40"/>
        <v>393.93914759168376</v>
      </c>
      <c r="D123" s="25">
        <f t="shared" si="41"/>
        <v>551.12783077942106</v>
      </c>
      <c r="E123" s="25">
        <f t="shared" si="42"/>
        <v>945.06697837110482</v>
      </c>
      <c r="F123" s="25">
        <f t="shared" si="43"/>
        <v>159934.15707914901</v>
      </c>
    </row>
    <row r="124" spans="1:6" x14ac:dyDescent="0.2">
      <c r="A124" s="24">
        <v>11</v>
      </c>
      <c r="B124" s="25">
        <f t="shared" si="44"/>
        <v>159934.15707914901</v>
      </c>
      <c r="C124" s="25">
        <f t="shared" si="40"/>
        <v>395.29331341153011</v>
      </c>
      <c r="D124" s="25">
        <f t="shared" si="41"/>
        <v>549.77366495957472</v>
      </c>
      <c r="E124" s="25">
        <f t="shared" si="42"/>
        <v>945.06697837110482</v>
      </c>
      <c r="F124" s="25">
        <f t="shared" si="43"/>
        <v>159538.86376573748</v>
      </c>
    </row>
    <row r="125" spans="1:6" x14ac:dyDescent="0.2">
      <c r="A125" s="24">
        <v>12</v>
      </c>
      <c r="B125" s="25">
        <f t="shared" si="44"/>
        <v>159538.86376573748</v>
      </c>
      <c r="C125" s="25">
        <f t="shared" si="40"/>
        <v>396.65213417638222</v>
      </c>
      <c r="D125" s="25">
        <f t="shared" si="41"/>
        <v>548.4148441947226</v>
      </c>
      <c r="E125" s="25">
        <f t="shared" si="42"/>
        <v>945.06697837110482</v>
      </c>
      <c r="F125" s="28">
        <f t="shared" si="43"/>
        <v>159142.21163156111</v>
      </c>
    </row>
    <row r="126" spans="1:6" x14ac:dyDescent="0.2">
      <c r="A126" s="29" t="s">
        <v>82</v>
      </c>
      <c r="B126" s="31"/>
      <c r="C126" s="28">
        <f>SUM(C114:C125)</f>
        <v>4671.1596770851702</v>
      </c>
      <c r="D126" s="28">
        <f>SUM(D114:D125)</f>
        <v>6669.6440633680868</v>
      </c>
    </row>
    <row r="128" spans="1:6" x14ac:dyDescent="0.2">
      <c r="A128" s="24">
        <v>1</v>
      </c>
      <c r="B128" s="25">
        <f>+F125</f>
        <v>159142.21163156111</v>
      </c>
      <c r="C128" s="25">
        <f t="shared" ref="C128:C139" si="45">+E128-D128</f>
        <v>398.01562588761351</v>
      </c>
      <c r="D128" s="25">
        <f t="shared" ref="D128:D139" si="46">B128*$I$2</f>
        <v>547.05135248349131</v>
      </c>
      <c r="E128" s="25">
        <f t="shared" ref="E128:E139" si="47">-$I$8</f>
        <v>945.06697837110482</v>
      </c>
      <c r="F128" s="25">
        <f t="shared" ref="F128:F139" si="48">+B128-C128</f>
        <v>158744.1960056735</v>
      </c>
    </row>
    <row r="129" spans="1:6" x14ac:dyDescent="0.2">
      <c r="A129" s="24">
        <v>2</v>
      </c>
      <c r="B129" s="25">
        <f t="shared" ref="B129:B139" si="49">+F128</f>
        <v>158744.1960056735</v>
      </c>
      <c r="C129" s="25">
        <f t="shared" si="45"/>
        <v>399.38380460160215</v>
      </c>
      <c r="D129" s="25">
        <f t="shared" si="46"/>
        <v>545.68317376950267</v>
      </c>
      <c r="E129" s="25">
        <f t="shared" si="47"/>
        <v>945.06697837110482</v>
      </c>
      <c r="F129" s="25">
        <f t="shared" si="48"/>
        <v>158344.81220107191</v>
      </c>
    </row>
    <row r="130" spans="1:6" x14ac:dyDescent="0.2">
      <c r="A130" s="24">
        <v>3</v>
      </c>
      <c r="B130" s="25">
        <f t="shared" si="49"/>
        <v>158344.81220107191</v>
      </c>
      <c r="C130" s="25">
        <f t="shared" si="45"/>
        <v>400.75668642992014</v>
      </c>
      <c r="D130" s="25">
        <f t="shared" si="46"/>
        <v>544.31029194118469</v>
      </c>
      <c r="E130" s="25">
        <f t="shared" si="47"/>
        <v>945.06697837110482</v>
      </c>
      <c r="F130" s="25">
        <f t="shared" si="48"/>
        <v>157944.05551464198</v>
      </c>
    </row>
    <row r="131" spans="1:6" x14ac:dyDescent="0.2">
      <c r="A131" s="24">
        <v>4</v>
      </c>
      <c r="B131" s="25">
        <f t="shared" si="49"/>
        <v>157944.05551464198</v>
      </c>
      <c r="C131" s="25">
        <f t="shared" si="45"/>
        <v>402.13428753952303</v>
      </c>
      <c r="D131" s="25">
        <f t="shared" si="46"/>
        <v>542.93269083158179</v>
      </c>
      <c r="E131" s="25">
        <f t="shared" si="47"/>
        <v>945.06697837110482</v>
      </c>
      <c r="F131" s="25">
        <f t="shared" si="48"/>
        <v>157541.92122710246</v>
      </c>
    </row>
    <row r="132" spans="1:6" x14ac:dyDescent="0.2">
      <c r="A132" s="24">
        <v>5</v>
      </c>
      <c r="B132" s="25">
        <f t="shared" si="49"/>
        <v>157541.92122710246</v>
      </c>
      <c r="C132" s="25">
        <f t="shared" si="45"/>
        <v>403.51662415294015</v>
      </c>
      <c r="D132" s="25">
        <f t="shared" si="46"/>
        <v>541.55035421816467</v>
      </c>
      <c r="E132" s="25">
        <f t="shared" si="47"/>
        <v>945.06697837110482</v>
      </c>
      <c r="F132" s="25">
        <f t="shared" si="48"/>
        <v>157138.40460294951</v>
      </c>
    </row>
    <row r="133" spans="1:6" x14ac:dyDescent="0.2">
      <c r="A133" s="24">
        <v>6</v>
      </c>
      <c r="B133" s="25">
        <f t="shared" si="49"/>
        <v>157138.40460294951</v>
      </c>
      <c r="C133" s="25">
        <f t="shared" si="45"/>
        <v>404.90371254846593</v>
      </c>
      <c r="D133" s="25">
        <f t="shared" si="46"/>
        <v>540.16326582263889</v>
      </c>
      <c r="E133" s="25">
        <f t="shared" si="47"/>
        <v>945.06697837110482</v>
      </c>
      <c r="F133" s="25">
        <f t="shared" si="48"/>
        <v>156733.50089040105</v>
      </c>
    </row>
    <row r="134" spans="1:6" x14ac:dyDescent="0.2">
      <c r="A134" s="24">
        <v>7</v>
      </c>
      <c r="B134" s="25">
        <f t="shared" si="49"/>
        <v>156733.50089040105</v>
      </c>
      <c r="C134" s="25">
        <f t="shared" si="45"/>
        <v>406.29556906035123</v>
      </c>
      <c r="D134" s="25">
        <f t="shared" si="46"/>
        <v>538.7714093107536</v>
      </c>
      <c r="E134" s="25">
        <f t="shared" si="47"/>
        <v>945.06697837110482</v>
      </c>
      <c r="F134" s="25">
        <f t="shared" si="48"/>
        <v>156327.20532134071</v>
      </c>
    </row>
    <row r="135" spans="1:6" x14ac:dyDescent="0.2">
      <c r="A135" s="24">
        <v>8</v>
      </c>
      <c r="B135" s="25">
        <f t="shared" si="49"/>
        <v>156327.20532134071</v>
      </c>
      <c r="C135" s="25">
        <f t="shared" si="45"/>
        <v>407.69221007899614</v>
      </c>
      <c r="D135" s="25">
        <f t="shared" si="46"/>
        <v>537.37476829210868</v>
      </c>
      <c r="E135" s="25">
        <f t="shared" si="47"/>
        <v>945.06697837110482</v>
      </c>
      <c r="F135" s="25">
        <f t="shared" si="48"/>
        <v>155919.51311126171</v>
      </c>
    </row>
    <row r="136" spans="1:6" x14ac:dyDescent="0.2">
      <c r="A136" s="24">
        <v>9</v>
      </c>
      <c r="B136" s="25">
        <f t="shared" si="49"/>
        <v>155919.51311126171</v>
      </c>
      <c r="C136" s="25">
        <f t="shared" si="45"/>
        <v>409.09365205114273</v>
      </c>
      <c r="D136" s="25">
        <f t="shared" si="46"/>
        <v>535.9733263199621</v>
      </c>
      <c r="E136" s="25">
        <f t="shared" si="47"/>
        <v>945.06697837110482</v>
      </c>
      <c r="F136" s="25">
        <f t="shared" si="48"/>
        <v>155510.41945921056</v>
      </c>
    </row>
    <row r="137" spans="1:6" x14ac:dyDescent="0.2">
      <c r="A137" s="24">
        <v>10</v>
      </c>
      <c r="B137" s="25">
        <f t="shared" si="49"/>
        <v>155510.41945921056</v>
      </c>
      <c r="C137" s="25">
        <f t="shared" si="45"/>
        <v>410.49991148006848</v>
      </c>
      <c r="D137" s="25">
        <f t="shared" si="46"/>
        <v>534.56706689103635</v>
      </c>
      <c r="E137" s="25">
        <f t="shared" si="47"/>
        <v>945.06697837110482</v>
      </c>
      <c r="F137" s="25">
        <f t="shared" si="48"/>
        <v>155099.9195477305</v>
      </c>
    </row>
    <row r="138" spans="1:6" x14ac:dyDescent="0.2">
      <c r="A138" s="24">
        <v>11</v>
      </c>
      <c r="B138" s="25">
        <f t="shared" si="49"/>
        <v>155099.9195477305</v>
      </c>
      <c r="C138" s="25">
        <f t="shared" si="45"/>
        <v>411.91100492578119</v>
      </c>
      <c r="D138" s="25">
        <f t="shared" si="46"/>
        <v>533.15597344532364</v>
      </c>
      <c r="E138" s="25">
        <f t="shared" si="47"/>
        <v>945.06697837110482</v>
      </c>
      <c r="F138" s="25">
        <f t="shared" si="48"/>
        <v>154688.00854280472</v>
      </c>
    </row>
    <row r="139" spans="1:6" x14ac:dyDescent="0.2">
      <c r="A139" s="24">
        <v>12</v>
      </c>
      <c r="B139" s="25">
        <f t="shared" si="49"/>
        <v>154688.00854280472</v>
      </c>
      <c r="C139" s="25">
        <f t="shared" si="45"/>
        <v>413.32694900521358</v>
      </c>
      <c r="D139" s="25">
        <f t="shared" si="46"/>
        <v>531.74002936589125</v>
      </c>
      <c r="E139" s="25">
        <f t="shared" si="47"/>
        <v>945.06697837110482</v>
      </c>
      <c r="F139" s="28">
        <f t="shared" si="48"/>
        <v>154274.6815937995</v>
      </c>
    </row>
    <row r="140" spans="1:6" x14ac:dyDescent="0.2">
      <c r="A140" s="29" t="s">
        <v>82</v>
      </c>
      <c r="B140" s="31"/>
      <c r="C140" s="28">
        <f>SUM(C128:C139)</f>
        <v>4867.5300377616186</v>
      </c>
      <c r="D140" s="28">
        <f>SUM(D128:D139)</f>
        <v>6473.2737026916393</v>
      </c>
    </row>
    <row r="141" spans="1:6" x14ac:dyDescent="0.2">
      <c r="B141" s="30"/>
      <c r="C141" s="25"/>
      <c r="D141" s="25"/>
      <c r="E141" s="25"/>
      <c r="F141" s="25"/>
    </row>
    <row r="142" spans="1:6" x14ac:dyDescent="0.2">
      <c r="B142" s="25"/>
      <c r="C142" s="25"/>
      <c r="D142" s="25"/>
      <c r="E142" s="25"/>
      <c r="F142" s="25"/>
    </row>
    <row r="143" spans="1:6" x14ac:dyDescent="0.2">
      <c r="B143" s="25"/>
      <c r="C143" s="25"/>
      <c r="D143" s="25"/>
      <c r="E143" s="25"/>
      <c r="F143" s="25"/>
    </row>
    <row r="144" spans="1:6" x14ac:dyDescent="0.2">
      <c r="B144" s="25"/>
      <c r="C144" s="25"/>
      <c r="D144" s="25"/>
      <c r="E144" s="25"/>
      <c r="F144" s="25"/>
    </row>
    <row r="145" spans="2:6" x14ac:dyDescent="0.2">
      <c r="B145" s="25"/>
      <c r="C145" s="25"/>
      <c r="D145" s="25"/>
      <c r="E145" s="25"/>
      <c r="F145" s="25"/>
    </row>
    <row r="146" spans="2:6" x14ac:dyDescent="0.2">
      <c r="B146" s="25"/>
      <c r="C146" s="25"/>
      <c r="D146" s="25"/>
      <c r="E146" s="25"/>
      <c r="F146" s="25"/>
    </row>
    <row r="147" spans="2:6" x14ac:dyDescent="0.2">
      <c r="B147" s="25"/>
      <c r="C147" s="25"/>
      <c r="D147" s="25"/>
      <c r="E147" s="25"/>
      <c r="F147" s="25"/>
    </row>
    <row r="148" spans="2:6" x14ac:dyDescent="0.2">
      <c r="B148" s="25"/>
      <c r="C148" s="25"/>
      <c r="D148" s="25"/>
      <c r="E148" s="25"/>
      <c r="F148" s="25"/>
    </row>
    <row r="149" spans="2:6" x14ac:dyDescent="0.2">
      <c r="B149" s="25"/>
      <c r="C149" s="25"/>
      <c r="D149" s="25"/>
      <c r="E149" s="25"/>
      <c r="F149" s="25"/>
    </row>
    <row r="150" spans="2:6" x14ac:dyDescent="0.2">
      <c r="B150" s="25"/>
      <c r="C150" s="25"/>
      <c r="D150" s="25"/>
      <c r="E150" s="25"/>
      <c r="F150" s="25"/>
    </row>
    <row r="151" spans="2:6" x14ac:dyDescent="0.2">
      <c r="B151" s="25"/>
      <c r="C151" s="25"/>
      <c r="D151" s="25"/>
      <c r="E151" s="25"/>
      <c r="F151" s="25"/>
    </row>
    <row r="152" spans="2:6" x14ac:dyDescent="0.2">
      <c r="B152" s="25"/>
      <c r="C152" s="25"/>
      <c r="D152" s="25"/>
      <c r="E152" s="25"/>
      <c r="F152" s="25"/>
    </row>
    <row r="153" spans="2:6" x14ac:dyDescent="0.2">
      <c r="B153" s="25"/>
      <c r="C153" s="25"/>
      <c r="D153" s="25"/>
      <c r="E153" s="25"/>
      <c r="F153" s="28"/>
    </row>
    <row r="154" spans="2:6" x14ac:dyDescent="0.2">
      <c r="B154" s="29"/>
      <c r="C154" s="28"/>
      <c r="D154" s="28"/>
      <c r="E154" s="25"/>
      <c r="F154" s="25"/>
    </row>
    <row r="155" spans="2:6" x14ac:dyDescent="0.2">
      <c r="B155" s="30"/>
      <c r="C155" s="25"/>
      <c r="D155" s="25"/>
      <c r="E155" s="25"/>
      <c r="F155" s="25"/>
    </row>
    <row r="156" spans="2:6" x14ac:dyDescent="0.2">
      <c r="B156" s="25"/>
      <c r="C156" s="25"/>
      <c r="D156" s="25"/>
      <c r="E156" s="25"/>
      <c r="F156" s="25"/>
    </row>
    <row r="157" spans="2:6" x14ac:dyDescent="0.2">
      <c r="B157" s="25"/>
      <c r="C157" s="25"/>
      <c r="D157" s="25"/>
      <c r="E157" s="25"/>
      <c r="F157" s="25"/>
    </row>
    <row r="158" spans="2:6" x14ac:dyDescent="0.2">
      <c r="B158" s="25"/>
      <c r="C158" s="25"/>
      <c r="D158" s="25"/>
      <c r="E158" s="25"/>
      <c r="F158" s="25"/>
    </row>
    <row r="159" spans="2:6" x14ac:dyDescent="0.2">
      <c r="B159" s="25"/>
      <c r="C159" s="25"/>
      <c r="D159" s="25"/>
      <c r="E159" s="25"/>
      <c r="F159" s="25"/>
    </row>
    <row r="160" spans="2:6" x14ac:dyDescent="0.2">
      <c r="B160" s="25"/>
      <c r="C160" s="25"/>
      <c r="D160" s="25"/>
      <c r="E160" s="25"/>
      <c r="F160" s="25"/>
    </row>
    <row r="161" spans="2:6" x14ac:dyDescent="0.2">
      <c r="B161" s="25"/>
      <c r="C161" s="25"/>
      <c r="D161" s="25"/>
      <c r="E161" s="25"/>
      <c r="F161" s="25"/>
    </row>
    <row r="162" spans="2:6" x14ac:dyDescent="0.2">
      <c r="B162" s="25"/>
      <c r="C162" s="25"/>
      <c r="D162" s="25"/>
      <c r="E162" s="25"/>
      <c r="F162" s="25"/>
    </row>
    <row r="163" spans="2:6" x14ac:dyDescent="0.2">
      <c r="B163" s="25"/>
      <c r="C163" s="25"/>
      <c r="D163" s="25"/>
      <c r="E163" s="25"/>
      <c r="F163" s="25"/>
    </row>
    <row r="164" spans="2:6" x14ac:dyDescent="0.2">
      <c r="B164" s="25"/>
      <c r="C164" s="25"/>
      <c r="D164" s="25"/>
      <c r="E164" s="25"/>
      <c r="F164" s="25"/>
    </row>
    <row r="165" spans="2:6" x14ac:dyDescent="0.2">
      <c r="B165" s="25"/>
      <c r="C165" s="25"/>
      <c r="D165" s="25"/>
      <c r="E165" s="25"/>
      <c r="F165" s="25"/>
    </row>
    <row r="166" spans="2:6" x14ac:dyDescent="0.2">
      <c r="B166" s="25"/>
      <c r="C166" s="25"/>
      <c r="D166" s="25"/>
      <c r="E166" s="25"/>
      <c r="F166" s="25"/>
    </row>
    <row r="167" spans="2:6" x14ac:dyDescent="0.2">
      <c r="B167" s="25"/>
      <c r="C167" s="25"/>
      <c r="D167" s="25"/>
      <c r="E167" s="25"/>
      <c r="F167" s="28"/>
    </row>
    <row r="168" spans="2:6" x14ac:dyDescent="0.2">
      <c r="B168" s="31"/>
      <c r="C168" s="28"/>
      <c r="D168" s="28"/>
    </row>
    <row r="170" spans="2:6" x14ac:dyDescent="0.2">
      <c r="B170" s="25"/>
      <c r="C170" s="25"/>
      <c r="D170" s="25"/>
      <c r="E170" s="25"/>
      <c r="F170" s="25"/>
    </row>
    <row r="171" spans="2:6" x14ac:dyDescent="0.2">
      <c r="B171" s="25"/>
      <c r="C171" s="25"/>
      <c r="D171" s="25"/>
      <c r="E171" s="25"/>
      <c r="F171" s="25"/>
    </row>
    <row r="172" spans="2:6" x14ac:dyDescent="0.2">
      <c r="B172" s="25"/>
      <c r="C172" s="25"/>
      <c r="D172" s="25"/>
      <c r="E172" s="25"/>
      <c r="F172" s="25"/>
    </row>
    <row r="173" spans="2:6" x14ac:dyDescent="0.2">
      <c r="B173" s="25"/>
      <c r="C173" s="25"/>
      <c r="D173" s="25"/>
      <c r="E173" s="25"/>
      <c r="F173" s="25"/>
    </row>
    <row r="174" spans="2:6" x14ac:dyDescent="0.2">
      <c r="B174" s="25"/>
      <c r="C174" s="25"/>
      <c r="D174" s="25"/>
      <c r="E174" s="25"/>
      <c r="F174" s="25"/>
    </row>
    <row r="175" spans="2:6" x14ac:dyDescent="0.2">
      <c r="B175" s="25"/>
      <c r="C175" s="25"/>
      <c r="D175" s="25"/>
      <c r="E175" s="25"/>
      <c r="F175" s="25"/>
    </row>
    <row r="176" spans="2:6" x14ac:dyDescent="0.2">
      <c r="B176" s="25"/>
      <c r="C176" s="25"/>
      <c r="D176" s="25"/>
      <c r="E176" s="25"/>
      <c r="F176" s="25"/>
    </row>
    <row r="177" spans="2:6" x14ac:dyDescent="0.2">
      <c r="B177" s="25"/>
      <c r="C177" s="25"/>
      <c r="D177" s="25"/>
      <c r="E177" s="25"/>
      <c r="F177" s="25"/>
    </row>
    <row r="178" spans="2:6" x14ac:dyDescent="0.2">
      <c r="B178" s="25"/>
      <c r="C178" s="25"/>
      <c r="D178" s="25"/>
      <c r="E178" s="25"/>
      <c r="F178" s="25"/>
    </row>
    <row r="179" spans="2:6" x14ac:dyDescent="0.2">
      <c r="B179" s="25"/>
      <c r="C179" s="25"/>
      <c r="D179" s="25"/>
      <c r="E179" s="25"/>
      <c r="F179" s="25"/>
    </row>
    <row r="180" spans="2:6" x14ac:dyDescent="0.2">
      <c r="B180" s="25"/>
      <c r="C180" s="25"/>
      <c r="D180" s="25"/>
      <c r="E180" s="25"/>
      <c r="F180" s="25"/>
    </row>
    <row r="181" spans="2:6" x14ac:dyDescent="0.2">
      <c r="B181" s="25"/>
      <c r="C181" s="25"/>
      <c r="D181" s="25"/>
      <c r="E181" s="25"/>
      <c r="F181" s="28"/>
    </row>
    <row r="182" spans="2:6" x14ac:dyDescent="0.2">
      <c r="B182" s="31"/>
      <c r="C182" s="28"/>
      <c r="D182" s="28"/>
    </row>
    <row r="184" spans="2:6" x14ac:dyDescent="0.2">
      <c r="B184" s="25"/>
      <c r="C184" s="25"/>
      <c r="D184" s="25"/>
      <c r="E184" s="25"/>
      <c r="F184" s="2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scale="61" firstPageNumber="0" orientation="portrait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Good Forecast</vt:lpstr>
      <vt:lpstr>Mortgage</vt:lpstr>
      <vt:lpstr>Sources</vt:lpstr>
      <vt:lpstr>Bankruptcy Forecast</vt:lpstr>
      <vt:lpstr>Mortgage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2014-07-18T18:40:57Z</dcterms:created>
  <dcterms:modified xsi:type="dcterms:W3CDTF">2019-08-23T20:57:05Z</dcterms:modified>
</cp:coreProperties>
</file>