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755"/>
  </bookViews>
  <sheets>
    <sheet name="10 Year Forecast" sheetId="1" r:id="rId1"/>
    <sheet name="Bankrupcty" sheetId="2" r:id="rId2"/>
    <sheet name="Sheet1" sheetId="3" r:id="rId3"/>
  </sheets>
  <externalReferences>
    <externalReference r:id="rId4"/>
    <externalReference r:id="rId5"/>
  </externalReferenc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30" i="1"/>
  <c r="L31" i="1"/>
  <c r="L32" i="1"/>
  <c r="L58" i="1"/>
  <c r="M28" i="1"/>
  <c r="M30" i="1"/>
  <c r="M31" i="1"/>
  <c r="M32" i="1"/>
  <c r="M58" i="1"/>
  <c r="M51" i="1"/>
  <c r="M60" i="1"/>
  <c r="M63" i="1"/>
  <c r="L51" i="1"/>
  <c r="L60" i="1"/>
  <c r="L63" i="1"/>
  <c r="H28" i="1"/>
  <c r="H30" i="1"/>
  <c r="H31" i="1"/>
  <c r="H32" i="1"/>
  <c r="H58" i="1"/>
  <c r="I28" i="1"/>
  <c r="I30" i="1"/>
  <c r="I31" i="1"/>
  <c r="I32" i="1"/>
  <c r="I58" i="1"/>
  <c r="J28" i="1"/>
  <c r="J30" i="1"/>
  <c r="J31" i="1"/>
  <c r="J32" i="1"/>
  <c r="J58" i="1"/>
  <c r="K28" i="1"/>
  <c r="K30" i="1"/>
  <c r="K31" i="1"/>
  <c r="K32" i="1"/>
  <c r="K58" i="1"/>
  <c r="K51" i="1"/>
  <c r="K60" i="1"/>
  <c r="K63" i="1"/>
  <c r="J51" i="1"/>
  <c r="J60" i="1"/>
  <c r="J63" i="1"/>
  <c r="I51" i="1"/>
  <c r="I60" i="1"/>
  <c r="I63" i="1"/>
  <c r="H51" i="1"/>
  <c r="H60" i="1"/>
  <c r="H63" i="1"/>
  <c r="D28" i="1"/>
  <c r="D30" i="1"/>
  <c r="D31" i="1"/>
  <c r="D32" i="1"/>
  <c r="D58" i="1"/>
  <c r="E28" i="1"/>
  <c r="E30" i="1"/>
  <c r="E31" i="1"/>
  <c r="E32" i="1"/>
  <c r="E58" i="1"/>
  <c r="F28" i="1"/>
  <c r="F30" i="1"/>
  <c r="F31" i="1"/>
  <c r="F32" i="1"/>
  <c r="F58" i="1"/>
  <c r="G28" i="1"/>
  <c r="G30" i="1"/>
  <c r="G31" i="1"/>
  <c r="G32" i="1"/>
  <c r="G58" i="1"/>
  <c r="G51" i="1"/>
  <c r="G60" i="1"/>
  <c r="G63" i="1"/>
  <c r="F51" i="1"/>
  <c r="F60" i="1"/>
  <c r="F63" i="1"/>
  <c r="E51" i="1"/>
  <c r="E60" i="1"/>
  <c r="E63" i="1"/>
  <c r="D51" i="1"/>
  <c r="D60" i="1"/>
  <c r="D63" i="1"/>
  <c r="E40" i="1"/>
  <c r="F40" i="1"/>
  <c r="G40" i="1"/>
  <c r="H40" i="1"/>
  <c r="I40" i="1"/>
  <c r="J40" i="1"/>
  <c r="K40" i="1"/>
  <c r="L40" i="1"/>
  <c r="M40" i="1"/>
  <c r="D29" i="2"/>
  <c r="D17" i="2"/>
  <c r="D16" i="1"/>
  <c r="N54" i="1"/>
  <c r="N113" i="1"/>
  <c r="N112" i="1"/>
  <c r="N111" i="1"/>
  <c r="O85" i="1"/>
  <c r="O86" i="1"/>
  <c r="H55" i="2"/>
  <c r="H51" i="2"/>
  <c r="G44" i="2"/>
  <c r="G43" i="2"/>
  <c r="H40" i="2"/>
  <c r="C74" i="2"/>
  <c r="G59" i="2"/>
  <c r="D48" i="2"/>
  <c r="D47" i="2"/>
  <c r="B88" i="2"/>
  <c r="C87" i="2"/>
  <c r="B87" i="2"/>
  <c r="M85" i="2"/>
  <c r="C82" i="2"/>
  <c r="C85" i="2"/>
  <c r="C79" i="2"/>
  <c r="H60" i="2"/>
  <c r="H61" i="2"/>
  <c r="I59" i="2"/>
  <c r="D63" i="2"/>
  <c r="D59" i="2"/>
  <c r="D51" i="2"/>
  <c r="D45" i="2"/>
  <c r="G52" i="2"/>
  <c r="H41" i="2"/>
  <c r="H37" i="2"/>
  <c r="D28" i="2"/>
  <c r="D76" i="2"/>
  <c r="D26" i="2"/>
  <c r="D15" i="2"/>
  <c r="E11" i="2"/>
  <c r="F11" i="2"/>
  <c r="G11" i="2"/>
  <c r="H11" i="2"/>
  <c r="I11" i="2"/>
  <c r="J11" i="2"/>
  <c r="K11" i="2"/>
  <c r="L11" i="2"/>
  <c r="M11" i="2"/>
  <c r="F10" i="2"/>
  <c r="G10" i="2"/>
  <c r="E10" i="2"/>
  <c r="E8" i="2"/>
  <c r="D8" i="2"/>
  <c r="L7" i="2"/>
  <c r="I7" i="2"/>
  <c r="H7" i="2"/>
  <c r="D7" i="2"/>
  <c r="M6" i="2"/>
  <c r="M7" i="2"/>
  <c r="J6" i="2"/>
  <c r="I6" i="2"/>
  <c r="E6" i="2"/>
  <c r="F6" i="2"/>
  <c r="F7" i="2"/>
  <c r="D84" i="2"/>
  <c r="C77" i="2"/>
  <c r="H53" i="2"/>
  <c r="E7" i="2"/>
  <c r="G6" i="2"/>
  <c r="G7" i="2"/>
  <c r="J7" i="2"/>
  <c r="K6" i="2"/>
  <c r="K7" i="2"/>
  <c r="H10" i="2"/>
  <c r="G8" i="2"/>
  <c r="H52" i="2"/>
  <c r="F8" i="2"/>
  <c r="I60" i="2"/>
  <c r="J60" i="2"/>
  <c r="K60" i="2"/>
  <c r="I10" i="2"/>
  <c r="H8" i="2"/>
  <c r="J59" i="2"/>
  <c r="K59" i="2"/>
  <c r="D75" i="2"/>
  <c r="D77" i="2"/>
  <c r="J10" i="2"/>
  <c r="I8" i="2"/>
  <c r="D83" i="2"/>
  <c r="D85" i="2"/>
  <c r="C86" i="2"/>
  <c r="C88" i="2"/>
  <c r="L60" i="2"/>
  <c r="C78" i="2"/>
  <c r="C80" i="2"/>
  <c r="L59" i="2"/>
  <c r="K10" i="2"/>
  <c r="J8" i="2"/>
  <c r="L10" i="2"/>
  <c r="K8" i="2"/>
  <c r="M10" i="2"/>
  <c r="M8" i="2"/>
  <c r="L8" i="2"/>
  <c r="Q53" i="1"/>
  <c r="U61" i="1"/>
  <c r="K93" i="1"/>
  <c r="J93" i="1"/>
  <c r="C93" i="1"/>
  <c r="M88" i="1"/>
  <c r="L88" i="1"/>
  <c r="K88" i="1"/>
  <c r="J88" i="1"/>
  <c r="I88" i="1"/>
  <c r="H88" i="1"/>
  <c r="G88" i="1"/>
  <c r="F88" i="1"/>
  <c r="E88" i="1"/>
  <c r="D88" i="1"/>
  <c r="C88" i="1"/>
  <c r="M84" i="1"/>
  <c r="M86" i="1"/>
  <c r="L84" i="1"/>
  <c r="K84" i="1"/>
  <c r="J84" i="1"/>
  <c r="I84" i="1"/>
  <c r="H84" i="1"/>
  <c r="G84" i="1"/>
  <c r="F84" i="1"/>
  <c r="E84" i="1"/>
  <c r="D84" i="1"/>
  <c r="C84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D57" i="1"/>
  <c r="N57" i="1"/>
  <c r="V54" i="1"/>
  <c r="W54" i="1"/>
  <c r="X54" i="1"/>
  <c r="P54" i="1"/>
  <c r="Q54" i="1"/>
  <c r="X53" i="1"/>
  <c r="W53" i="1"/>
  <c r="M53" i="1"/>
  <c r="L53" i="1"/>
  <c r="K53" i="1"/>
  <c r="J53" i="1"/>
  <c r="I53" i="1"/>
  <c r="H53" i="1"/>
  <c r="G53" i="1"/>
  <c r="F53" i="1"/>
  <c r="E53" i="1"/>
  <c r="D53" i="1"/>
  <c r="W50" i="1"/>
  <c r="V57" i="1"/>
  <c r="W57" i="1"/>
  <c r="X57" i="1"/>
  <c r="R45" i="1"/>
  <c r="P57" i="1"/>
  <c r="Q57" i="1"/>
  <c r="L93" i="1"/>
  <c r="D93" i="1"/>
  <c r="M27" i="1"/>
  <c r="L27" i="1"/>
  <c r="K27" i="1"/>
  <c r="J27" i="1"/>
  <c r="I27" i="1"/>
  <c r="H27" i="1"/>
  <c r="G27" i="1"/>
  <c r="F27" i="1"/>
  <c r="E27" i="1"/>
  <c r="D27" i="1"/>
  <c r="M25" i="1"/>
  <c r="M69" i="1"/>
  <c r="L25" i="1"/>
  <c r="L44" i="1"/>
  <c r="K25" i="1"/>
  <c r="K69" i="1"/>
  <c r="J25" i="1"/>
  <c r="J69" i="1"/>
  <c r="I25" i="1"/>
  <c r="I69" i="1"/>
  <c r="H25" i="1"/>
  <c r="H44" i="1"/>
  <c r="G25" i="1"/>
  <c r="G69" i="1"/>
  <c r="F25" i="1"/>
  <c r="F69" i="1"/>
  <c r="E25" i="1"/>
  <c r="E69" i="1"/>
  <c r="D25" i="1"/>
  <c r="D44" i="1"/>
  <c r="D46" i="1"/>
  <c r="M21" i="1"/>
  <c r="I21" i="1"/>
  <c r="J21" i="1"/>
  <c r="K21" i="1"/>
  <c r="E21" i="1"/>
  <c r="F21" i="1"/>
  <c r="G21" i="1"/>
  <c r="D14" i="1"/>
  <c r="D31" i="2"/>
  <c r="E11" i="1"/>
  <c r="F11" i="1"/>
  <c r="G11" i="1"/>
  <c r="H11" i="1"/>
  <c r="I11" i="1"/>
  <c r="J11" i="1"/>
  <c r="K11" i="1"/>
  <c r="L11" i="1"/>
  <c r="M11" i="1"/>
  <c r="E10" i="1"/>
  <c r="F10" i="1"/>
  <c r="D8" i="1"/>
  <c r="D50" i="1"/>
  <c r="L7" i="1"/>
  <c r="H7" i="1"/>
  <c r="D7" i="1"/>
  <c r="M6" i="1"/>
  <c r="M7" i="1"/>
  <c r="I6" i="1"/>
  <c r="I7" i="1"/>
  <c r="E6" i="1"/>
  <c r="E7" i="1"/>
  <c r="F6" i="1"/>
  <c r="G6" i="1"/>
  <c r="G7" i="1"/>
  <c r="N53" i="1"/>
  <c r="D32" i="2"/>
  <c r="D52" i="2"/>
  <c r="E93" i="1"/>
  <c r="M93" i="1"/>
  <c r="G10" i="1"/>
  <c r="F8" i="1"/>
  <c r="F50" i="1"/>
  <c r="C76" i="1"/>
  <c r="F7" i="1"/>
  <c r="J6" i="1"/>
  <c r="E8" i="1"/>
  <c r="E50" i="1"/>
  <c r="E14" i="1"/>
  <c r="H93" i="1"/>
  <c r="I93" i="1"/>
  <c r="X59" i="1"/>
  <c r="C97" i="1"/>
  <c r="H69" i="1"/>
  <c r="D68" i="1"/>
  <c r="E44" i="1"/>
  <c r="I44" i="1"/>
  <c r="M44" i="1"/>
  <c r="O89" i="1"/>
  <c r="O90" i="1"/>
  <c r="M90" i="1"/>
  <c r="D69" i="1"/>
  <c r="L69" i="1"/>
  <c r="C107" i="1"/>
  <c r="D33" i="2"/>
  <c r="D64" i="2"/>
  <c r="D66" i="2"/>
  <c r="D69" i="2"/>
  <c r="D70" i="1"/>
  <c r="D71" i="1"/>
  <c r="C81" i="1"/>
  <c r="F44" i="1"/>
  <c r="D76" i="1"/>
  <c r="C95" i="1"/>
  <c r="C110" i="1"/>
  <c r="E76" i="1"/>
  <c r="J44" i="1"/>
  <c r="F93" i="1"/>
  <c r="G93" i="1"/>
  <c r="E16" i="1"/>
  <c r="E39" i="1"/>
  <c r="D80" i="1"/>
  <c r="F14" i="1"/>
  <c r="J7" i="1"/>
  <c r="K6" i="1"/>
  <c r="K7" i="1"/>
  <c r="H10" i="1"/>
  <c r="G8" i="1"/>
  <c r="G50" i="1"/>
  <c r="C98" i="1"/>
  <c r="C120" i="1"/>
  <c r="C116" i="1"/>
  <c r="C124" i="1"/>
  <c r="C121" i="1"/>
  <c r="C117" i="1"/>
  <c r="C125" i="1"/>
  <c r="D72" i="1"/>
  <c r="H8" i="1"/>
  <c r="H50" i="1"/>
  <c r="I10" i="1"/>
  <c r="E68" i="1"/>
  <c r="F76" i="1"/>
  <c r="G14" i="1"/>
  <c r="F16" i="1"/>
  <c r="F39" i="1"/>
  <c r="E80" i="1"/>
  <c r="E46" i="1"/>
  <c r="K44" i="1"/>
  <c r="F46" i="1"/>
  <c r="G44" i="1"/>
  <c r="H14" i="1"/>
  <c r="G16" i="1"/>
  <c r="G39" i="1"/>
  <c r="F80" i="1"/>
  <c r="J10" i="1"/>
  <c r="I8" i="1"/>
  <c r="I50" i="1"/>
  <c r="F68" i="1"/>
  <c r="E70" i="1"/>
  <c r="E71" i="1"/>
  <c r="D81" i="1"/>
  <c r="D95" i="1"/>
  <c r="D110" i="1"/>
  <c r="G76" i="1"/>
  <c r="G68" i="1"/>
  <c r="D120" i="1"/>
  <c r="D121" i="1"/>
  <c r="D124" i="1"/>
  <c r="D125" i="1"/>
  <c r="D116" i="1"/>
  <c r="D117" i="1"/>
  <c r="F70" i="1"/>
  <c r="F71" i="1"/>
  <c r="E81" i="1"/>
  <c r="E72" i="1"/>
  <c r="E95" i="1"/>
  <c r="K10" i="1"/>
  <c r="J8" i="1"/>
  <c r="J50" i="1"/>
  <c r="D98" i="1"/>
  <c r="H76" i="1"/>
  <c r="H16" i="1"/>
  <c r="H39" i="1"/>
  <c r="I14" i="1"/>
  <c r="G70" i="1"/>
  <c r="G71" i="1"/>
  <c r="F81" i="1"/>
  <c r="G46" i="1"/>
  <c r="E98" i="1"/>
  <c r="E110" i="1"/>
  <c r="G72" i="1"/>
  <c r="G80" i="1"/>
  <c r="H46" i="1"/>
  <c r="H68" i="1"/>
  <c r="L10" i="1"/>
  <c r="K8" i="1"/>
  <c r="K50" i="1"/>
  <c r="I16" i="1"/>
  <c r="I39" i="1"/>
  <c r="J14" i="1"/>
  <c r="I76" i="1"/>
  <c r="F72" i="1"/>
  <c r="F95" i="1"/>
  <c r="F110" i="1"/>
  <c r="F124" i="1"/>
  <c r="F125" i="1"/>
  <c r="F116" i="1"/>
  <c r="F117" i="1"/>
  <c r="F120" i="1"/>
  <c r="F121" i="1"/>
  <c r="E120" i="1"/>
  <c r="E121" i="1"/>
  <c r="E124" i="1"/>
  <c r="E125" i="1"/>
  <c r="E116" i="1"/>
  <c r="E117" i="1"/>
  <c r="F98" i="1"/>
  <c r="K14" i="1"/>
  <c r="J16" i="1"/>
  <c r="J39" i="1"/>
  <c r="L8" i="1"/>
  <c r="L50" i="1"/>
  <c r="M10" i="1"/>
  <c r="M8" i="1"/>
  <c r="M50" i="1"/>
  <c r="H70" i="1"/>
  <c r="H71" i="1"/>
  <c r="G81" i="1"/>
  <c r="G95" i="1"/>
  <c r="G110" i="1"/>
  <c r="H80" i="1"/>
  <c r="I46" i="1"/>
  <c r="I68" i="1"/>
  <c r="J76" i="1"/>
  <c r="G124" i="1"/>
  <c r="G125" i="1"/>
  <c r="G116" i="1"/>
  <c r="G117" i="1"/>
  <c r="G120" i="1"/>
  <c r="G121" i="1"/>
  <c r="G98" i="1"/>
  <c r="I70" i="1"/>
  <c r="I71" i="1"/>
  <c r="H81" i="1"/>
  <c r="K76" i="1"/>
  <c r="I80" i="1"/>
  <c r="J46" i="1"/>
  <c r="J68" i="1"/>
  <c r="H72" i="1"/>
  <c r="L76" i="1"/>
  <c r="M76" i="1"/>
  <c r="K16" i="1"/>
  <c r="K39" i="1"/>
  <c r="L14" i="1"/>
  <c r="L16" i="1"/>
  <c r="L39" i="1"/>
  <c r="M14" i="1"/>
  <c r="J80" i="1"/>
  <c r="K46" i="1"/>
  <c r="K68" i="1"/>
  <c r="H95" i="1"/>
  <c r="J70" i="1"/>
  <c r="J71" i="1"/>
  <c r="I81" i="1"/>
  <c r="J72" i="1"/>
  <c r="I72" i="1"/>
  <c r="I95" i="1"/>
  <c r="H98" i="1"/>
  <c r="H110" i="1"/>
  <c r="I98" i="1"/>
  <c r="I110" i="1"/>
  <c r="K80" i="1"/>
  <c r="L46" i="1"/>
  <c r="L68" i="1"/>
  <c r="K70" i="1"/>
  <c r="K71" i="1"/>
  <c r="J81" i="1"/>
  <c r="J95" i="1"/>
  <c r="M16" i="1"/>
  <c r="M39" i="1"/>
  <c r="J98" i="1"/>
  <c r="J110" i="1"/>
  <c r="H120" i="1"/>
  <c r="H121" i="1"/>
  <c r="H124" i="1"/>
  <c r="H125" i="1"/>
  <c r="H116" i="1"/>
  <c r="H117" i="1"/>
  <c r="I120" i="1"/>
  <c r="I121" i="1"/>
  <c r="I124" i="1"/>
  <c r="I125" i="1"/>
  <c r="I116" i="1"/>
  <c r="I117" i="1"/>
  <c r="L80" i="1"/>
  <c r="M80" i="1"/>
  <c r="M46" i="1"/>
  <c r="M68" i="1"/>
  <c r="K72" i="1"/>
  <c r="L70" i="1"/>
  <c r="L71" i="1"/>
  <c r="K81" i="1"/>
  <c r="J124" i="1"/>
  <c r="J125" i="1"/>
  <c r="J116" i="1"/>
  <c r="J117" i="1"/>
  <c r="J120" i="1"/>
  <c r="J121" i="1"/>
  <c r="L72" i="1"/>
  <c r="M70" i="1"/>
  <c r="M71" i="1"/>
  <c r="M72" i="1"/>
  <c r="K95" i="1"/>
  <c r="K98" i="1"/>
  <c r="K110" i="1"/>
  <c r="N58" i="1"/>
  <c r="N61" i="1"/>
  <c r="M81" i="1"/>
  <c r="M95" i="1"/>
  <c r="M110" i="1"/>
  <c r="L81" i="1"/>
  <c r="L95" i="1"/>
  <c r="M120" i="1"/>
  <c r="M121" i="1"/>
  <c r="M116" i="1"/>
  <c r="M117" i="1"/>
  <c r="M124" i="1"/>
  <c r="M125" i="1"/>
  <c r="L98" i="1"/>
  <c r="L110" i="1"/>
  <c r="K124" i="1"/>
  <c r="K125" i="1"/>
  <c r="K116" i="1"/>
  <c r="K117" i="1"/>
  <c r="K120" i="1"/>
  <c r="K121" i="1"/>
  <c r="M98" i="1"/>
  <c r="C102" i="1"/>
  <c r="C96" i="1"/>
  <c r="L120" i="1"/>
  <c r="L121" i="1"/>
  <c r="C122" i="1"/>
  <c r="L124" i="1"/>
  <c r="L125" i="1"/>
  <c r="C126" i="1"/>
  <c r="L116" i="1"/>
  <c r="L117" i="1"/>
  <c r="C118" i="1"/>
  <c r="O58" i="1"/>
  <c r="O54" i="1"/>
  <c r="R54" i="1"/>
  <c r="O53" i="1"/>
  <c r="O57" i="1"/>
  <c r="R57" i="1"/>
  <c r="C99" i="1"/>
  <c r="C128" i="1"/>
  <c r="O61" i="1"/>
  <c r="R47" i="1"/>
  <c r="P39" i="1"/>
  <c r="P40" i="1"/>
  <c r="W47" i="1"/>
  <c r="R53" i="1"/>
  <c r="R59" i="1"/>
</calcChain>
</file>

<file path=xl/sharedStrings.xml><?xml version="1.0" encoding="utf-8"?>
<sst xmlns="http://schemas.openxmlformats.org/spreadsheetml/2006/main" count="230" uniqueCount="131">
  <si>
    <t>BrickandNet</t>
  </si>
  <si>
    <t>FORECAST</t>
  </si>
  <si>
    <t>Year</t>
  </si>
  <si>
    <t>Stores</t>
  </si>
  <si>
    <t>Days Payable</t>
  </si>
  <si>
    <t xml:space="preserve"> inventory turnover</t>
  </si>
  <si>
    <t>Inventory days</t>
  </si>
  <si>
    <t>COGS per item Stores</t>
  </si>
  <si>
    <t>Tax Rate</t>
  </si>
  <si>
    <t>Sales item store</t>
  </si>
  <si>
    <t>3% increase per year</t>
  </si>
  <si>
    <t>Projected Units Store Items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</si>
  <si>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</si>
  <si>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</si>
  <si>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</si>
  <si>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</si>
  <si>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</si>
  <si>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</si>
  <si>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</si>
  <si>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</si>
  <si>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</si>
  <si>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</si>
  <si>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INCOME STATEMENT</t>
  </si>
  <si>
    <t>Sales Revenue - Stores</t>
  </si>
  <si>
    <t>Cost of Goods Sold</t>
  </si>
  <si>
    <t>cogs internet</t>
  </si>
  <si>
    <t>cogs store</t>
  </si>
  <si>
    <t>Operating Expenses</t>
  </si>
  <si>
    <t>Marketing</t>
  </si>
  <si>
    <t>General and Administrative</t>
  </si>
  <si>
    <t>Store Building Maintenance Exp</t>
  </si>
  <si>
    <t>Utilities</t>
  </si>
  <si>
    <t>Depreciation Expense</t>
  </si>
  <si>
    <t>Mortgage Loan Interest Expense</t>
  </si>
  <si>
    <t>Extra Bank Loan Interest Expense</t>
  </si>
  <si>
    <t>Taxable Income</t>
  </si>
  <si>
    <t>Income Tax Expense</t>
  </si>
  <si>
    <t>Net Income</t>
  </si>
  <si>
    <t>BALANCE SHEET</t>
  </si>
  <si>
    <t>Assets</t>
  </si>
  <si>
    <t>Minimum Cash Inventory</t>
  </si>
  <si>
    <t>Cash Above Minimum</t>
  </si>
  <si>
    <t>levered beta</t>
  </si>
  <si>
    <t>(reg beta)/[1+(1-tax rate)(d/e)]</t>
  </si>
  <si>
    <t>Accounts Receivable</t>
  </si>
  <si>
    <t>Inventory</t>
  </si>
  <si>
    <t>unleved beta</t>
  </si>
  <si>
    <t>Goodwill</t>
  </si>
  <si>
    <t>relevered</t>
  </si>
  <si>
    <t>CAPM</t>
  </si>
  <si>
    <t>Land</t>
  </si>
  <si>
    <t>Unlevered retail/   Beta</t>
  </si>
  <si>
    <t>Buildings</t>
  </si>
  <si>
    <t>T-Bills rate 10 year</t>
  </si>
  <si>
    <t>Less:  Accumulated Depreciation</t>
  </si>
  <si>
    <t>S&amp;P 500 rate</t>
  </si>
  <si>
    <t>Return equity holders want</t>
  </si>
  <si>
    <t>Total Assets</t>
  </si>
  <si>
    <t>unlevered Hotel/Gaming Beta</t>
  </si>
  <si>
    <t>relevered Hotel/Gaming Beta</t>
  </si>
  <si>
    <t>Liabilities and Equity</t>
  </si>
  <si>
    <t>Liaiblities</t>
  </si>
  <si>
    <t>Accounts Payable</t>
  </si>
  <si>
    <t>Income Tax Payable</t>
  </si>
  <si>
    <t>Ave</t>
  </si>
  <si>
    <t>Prop</t>
  </si>
  <si>
    <t>Rate</t>
  </si>
  <si>
    <t>After Tax</t>
  </si>
  <si>
    <t>Weighted</t>
  </si>
  <si>
    <t>Mortgage Loan</t>
  </si>
  <si>
    <t>Extra Bank Loan</t>
  </si>
  <si>
    <t>Equity</t>
  </si>
  <si>
    <t>Common Stock</t>
  </si>
  <si>
    <t>Retained Earnings</t>
  </si>
  <si>
    <t>Total Liabilities and Equity</t>
  </si>
  <si>
    <t>Secured</t>
  </si>
  <si>
    <t>Unsecured</t>
  </si>
  <si>
    <t>DFN</t>
  </si>
  <si>
    <t>FREE CASH FLOWS</t>
  </si>
  <si>
    <t>Cash from Operations</t>
  </si>
  <si>
    <t>Operating Profit</t>
  </si>
  <si>
    <t>Less: Depreciation</t>
  </si>
  <si>
    <t>Taxable Operating Profit</t>
  </si>
  <si>
    <t>Taxes on Operations</t>
  </si>
  <si>
    <t>Cash form Operations</t>
  </si>
  <si>
    <t>Cash from Changes in Balance Sheet</t>
  </si>
  <si>
    <t>Working Capital</t>
  </si>
  <si>
    <t>(+)</t>
  </si>
  <si>
    <t>(-)</t>
  </si>
  <si>
    <t>Minimum Cash Balance</t>
  </si>
  <si>
    <t>Extra Cash</t>
  </si>
  <si>
    <t>Taxes Payable</t>
  </si>
  <si>
    <t>Fixed and Other Assets</t>
  </si>
  <si>
    <t>FMV</t>
  </si>
  <si>
    <t>Adjustment for Resale</t>
  </si>
  <si>
    <t>Taxes on Resale</t>
  </si>
  <si>
    <t>Gain</t>
  </si>
  <si>
    <t>TOTAL FREE CASH FLOWS</t>
  </si>
  <si>
    <t>IRR</t>
  </si>
  <si>
    <t>WACC</t>
  </si>
  <si>
    <t>PV of TOTal free cash flows</t>
  </si>
  <si>
    <t>NPV</t>
  </si>
  <si>
    <t>DCF</t>
  </si>
  <si>
    <t>npv start year 1</t>
  </si>
  <si>
    <t>15% decrease</t>
  </si>
  <si>
    <t>% Sale</t>
  </si>
  <si>
    <t>Total</t>
  </si>
  <si>
    <t>Extra</t>
  </si>
  <si>
    <t>Admin</t>
  </si>
  <si>
    <t>Remaining</t>
  </si>
  <si>
    <t>TOTAL</t>
  </si>
  <si>
    <t>On the $</t>
  </si>
  <si>
    <t>DEBT</t>
  </si>
  <si>
    <t>Mortgage on Buildings</t>
  </si>
  <si>
    <t>Principal Loans (Balance Sheet)</t>
  </si>
  <si>
    <t>Bankruptcy Payout</t>
  </si>
  <si>
    <t>Interest Paid (Income Statement)</t>
  </si>
  <si>
    <t>Probability</t>
  </si>
  <si>
    <t>If IRR not bankruptcy</t>
  </si>
  <si>
    <t>Expected IRR</t>
  </si>
  <si>
    <t>BV</t>
  </si>
  <si>
    <t>Good</t>
  </si>
  <si>
    <t>PV of Cash Flows</t>
  </si>
  <si>
    <t>Sum of PVs</t>
  </si>
  <si>
    <t>Medium</t>
  </si>
  <si>
    <t>Bad</t>
  </si>
  <si>
    <t>Total Free Cash Flows</t>
  </si>
  <si>
    <t>Store</t>
  </si>
  <si>
    <t>Sale of Business:</t>
  </si>
  <si>
    <t>Do it!</t>
  </si>
  <si>
    <t>Mountain View Natural Foods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</si>
</sst>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1" applyFont="1"/>
    <xf numFmtId="164" fontId="0" fillId="0" borderId="0" xfId="2" applyNumberFormat="1" applyFont="1"/>
    <xf numFmtId="164" fontId="0" fillId="0" borderId="1" xfId="2" applyNumberFormat="1" applyFont="1" applyBorder="1"/>
    <xf numFmtId="164" fontId="0" fillId="2" borderId="0" xfId="2" applyNumberFormat="1" applyFont="1" applyFill="1"/>
    <xf numFmtId="164" fontId="0" fillId="3" borderId="0" xfId="2" applyNumberFormat="1" applyFont="1" applyFill="1"/>
    <xf numFmtId="43" fontId="0" fillId="0" borderId="0" xfId="2" applyNumberFormat="1" applyFont="1"/>
    <xf numFmtId="164" fontId="0" fillId="0" borderId="0" xfId="2" applyNumberFormat="1" applyFont="1" applyBorder="1"/>
    <xf numFmtId="10" fontId="0" fillId="0" borderId="0" xfId="1" applyNumberFormat="1" applyFont="1"/>
    <xf numFmtId="9" fontId="0" fillId="0" borderId="0" xfId="1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9" fontId="0" fillId="0" borderId="0" xfId="2" applyNumberFormat="1" applyFont="1"/>
    <xf numFmtId="10" fontId="0" fillId="2" borderId="0" xfId="1" applyNumberFormat="1" applyFont="1" applyFill="1"/>
    <xf numFmtId="43" fontId="5" fillId="0" borderId="0" xfId="2" applyNumberFormat="1" applyFont="1"/>
    <xf numFmtId="164" fontId="5" fillId="0" borderId="0" xfId="2" applyNumberFormat="1" applyFont="1"/>
    <xf numFmtId="164" fontId="6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co%20480/Downloads/B401%20Store%20Forecast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/Downloads/B401%20Store%20Forecast%20Upgrad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1"/>
      <sheetName val="Sheet2"/>
      <sheetName val="Sheet3"/>
      <sheetName val="K"/>
    </sheetNames>
    <sheetDataSet>
      <sheetData sheetId="0"/>
      <sheetData sheetId="1">
        <row r="13">
          <cell r="F13">
            <v>147786.9519816488</v>
          </cell>
        </row>
        <row r="14">
          <cell r="D14">
            <v>7449.7411958672828</v>
          </cell>
        </row>
        <row r="27">
          <cell r="F27">
            <v>145460.68022657532</v>
          </cell>
        </row>
        <row r="28">
          <cell r="D28">
            <v>7336.5174591450259</v>
          </cell>
        </row>
        <row r="41">
          <cell r="F41">
            <v>143015.39199352363</v>
          </cell>
        </row>
        <row r="42">
          <cell r="D42">
            <v>7217.500981166796</v>
          </cell>
        </row>
        <row r="55">
          <cell r="F55">
            <v>140444.99817360111</v>
          </cell>
        </row>
        <row r="56">
          <cell r="D56">
            <v>7092.3953942960015</v>
          </cell>
        </row>
        <row r="69">
          <cell r="F69">
            <v>137743.09812754783</v>
          </cell>
        </row>
        <row r="70">
          <cell r="D70">
            <v>6960.8891681652876</v>
          </cell>
        </row>
        <row r="83">
          <cell r="F83">
            <v>134902.96374725178</v>
          </cell>
        </row>
        <row r="84">
          <cell r="D84">
            <v>6822.654833922461</v>
          </cell>
        </row>
        <row r="97">
          <cell r="F97">
            <v>131917.52270182056</v>
          </cell>
        </row>
        <row r="98">
          <cell r="D98">
            <v>6677.3481687873527</v>
          </cell>
        </row>
        <row r="111">
          <cell r="F111">
            <v>128779.34082649114</v>
          </cell>
        </row>
        <row r="112">
          <cell r="D112">
            <v>6524.6073388890673</v>
          </cell>
        </row>
        <row r="125">
          <cell r="F125">
            <v>125480.60361052181</v>
          </cell>
        </row>
        <row r="126">
          <cell r="D126">
            <v>6364.0519982491578</v>
          </cell>
        </row>
        <row r="139">
          <cell r="F139">
            <v>122013.09673797035</v>
          </cell>
        </row>
        <row r="140">
          <cell r="D140">
            <v>6195.2823416670626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1"/>
      <sheetName val="Sheet2"/>
      <sheetName val="Sheet3"/>
      <sheetName val="K"/>
    </sheetNames>
    <sheetDataSet>
      <sheetData sheetId="0"/>
      <sheetData sheetId="1">
        <row r="1">
          <cell r="I1">
            <v>0.05</v>
          </cell>
        </row>
        <row r="13">
          <cell r="F13">
            <v>147786.9519816488</v>
          </cell>
        </row>
        <row r="14">
          <cell r="D14">
            <v>7449.7411958672828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tabSelected="1" zoomScale="130" zoomScaleNormal="130" workbookViewId="0">
      <selection activeCell="M63" sqref="M63"/>
    </sheetView>
  </sheetViews>
  <sheetFormatPr defaultRowHeight="15" x14ac:dyDescent="0.25"/>
  <cols>
    <col min="1" max="1" width="9.140625" style="2"/>
    <col min="2" max="2" width="30.28515625" style="2" bestFit="1" customWidth="1"/>
    <col min="3" max="3" width="16" style="2" bestFit="1" customWidth="1"/>
    <col min="4" max="4" width="12.85546875" style="2" bestFit="1" customWidth="1"/>
    <col min="5" max="6" width="13" style="2" bestFit="1" customWidth="1"/>
    <col min="7" max="7" width="13.5703125" style="2" bestFit="1" customWidth="1"/>
    <col min="8" max="9" width="13" style="2" bestFit="1" customWidth="1"/>
    <col min="10" max="10" width="13.7109375" style="2" bestFit="1" customWidth="1"/>
    <col min="11" max="13" width="13" style="2" bestFit="1" customWidth="1"/>
    <col min="14" max="16" width="11.5703125" style="2" bestFit="1" customWidth="1"/>
    <col min="17" max="18" width="9.28515625" style="2" bestFit="1" customWidth="1"/>
    <col min="19" max="20" width="9.140625" style="2"/>
    <col min="21" max="24" width="9.28515625" style="2" bestFit="1" customWidth="1"/>
    <col min="25" max="16384" width="9.140625" style="2"/>
  </cols>
  <sheetData>
    <row r="1" spans="1:15" x14ac:dyDescent="0.25">
      <c r="A1" s="19" t="s">
        <v>130</v>
      </c>
    </row>
    <row r="2" spans="1:15" x14ac:dyDescent="0.25">
      <c r="A2" s="2" t="s">
        <v>1</v>
      </c>
    </row>
    <row r="3" spans="1:15" x14ac:dyDescent="0.25">
      <c r="B3" s="2" t="s">
        <v>2</v>
      </c>
      <c r="C3" s="2">
        <v>2013</v>
      </c>
    </row>
    <row r="4" spans="1:15" x14ac:dyDescent="0.25">
      <c r="B4" s="2" t="s">
        <v>3</v>
      </c>
      <c r="C4" s="2">
        <v>360</v>
      </c>
    </row>
    <row r="5" spans="1:15" x14ac:dyDescent="0.25">
      <c r="B5" s="2" t="s">
        <v>4</v>
      </c>
      <c r="D5" s="2">
        <v>30</v>
      </c>
      <c r="E5" s="2">
        <v>30</v>
      </c>
      <c r="F5" s="2">
        <v>30</v>
      </c>
      <c r="G5" s="2">
        <v>30</v>
      </c>
      <c r="H5" s="2">
        <v>30</v>
      </c>
      <c r="I5" s="2">
        <v>30</v>
      </c>
      <c r="J5" s="2">
        <v>30</v>
      </c>
      <c r="K5" s="2">
        <v>30</v>
      </c>
      <c r="L5" s="2">
        <v>30</v>
      </c>
      <c r="M5" s="2">
        <v>30</v>
      </c>
    </row>
    <row r="6" spans="1:15" x14ac:dyDescent="0.25">
      <c r="B6" s="2" t="s">
        <v>5</v>
      </c>
      <c r="D6" s="2">
        <v>6</v>
      </c>
      <c r="E6" s="2">
        <f>D6-(D6*0.15)</f>
        <v>5.0999999999999996</v>
      </c>
      <c r="F6" s="2">
        <f t="shared" ref="F6:G6" si="0">E6-(E6*0.15)</f>
        <v>4.335</v>
      </c>
      <c r="G6" s="2">
        <f t="shared" si="0"/>
        <v>3.6847500000000002</v>
      </c>
      <c r="H6" s="2">
        <v>7</v>
      </c>
      <c r="I6" s="2">
        <f t="shared" ref="I6:K6" si="1">H6-(H6*0.15)</f>
        <v>5.95</v>
      </c>
      <c r="J6" s="2">
        <f t="shared" si="1"/>
        <v>5.0575000000000001</v>
      </c>
      <c r="K6" s="2">
        <f t="shared" si="1"/>
        <v>4.2988749999999998</v>
      </c>
      <c r="L6" s="2">
        <v>8</v>
      </c>
      <c r="M6" s="2">
        <f t="shared" ref="M6" si="2">L6-(L6*0.15)</f>
        <v>6.8</v>
      </c>
    </row>
    <row r="7" spans="1:15" x14ac:dyDescent="0.25">
      <c r="B7" s="2" t="s">
        <v>6</v>
      </c>
      <c r="D7" s="2">
        <f>365/D6</f>
        <v>60.833333333333336</v>
      </c>
      <c r="E7" s="2">
        <f t="shared" ref="E7:M7" si="3">365/E6</f>
        <v>71.568627450980401</v>
      </c>
      <c r="F7" s="2">
        <f t="shared" si="3"/>
        <v>84.198385236447521</v>
      </c>
      <c r="G7" s="2">
        <f t="shared" si="3"/>
        <v>99.056923807585306</v>
      </c>
      <c r="H7" s="2">
        <f t="shared" si="3"/>
        <v>52.142857142857146</v>
      </c>
      <c r="I7" s="2">
        <f t="shared" si="3"/>
        <v>61.344537815126046</v>
      </c>
      <c r="J7" s="2">
        <f t="shared" si="3"/>
        <v>72.170044488383581</v>
      </c>
      <c r="K7" s="2">
        <f t="shared" si="3"/>
        <v>84.905934692215993</v>
      </c>
      <c r="L7" s="2">
        <f t="shared" si="3"/>
        <v>45.625</v>
      </c>
      <c r="M7" s="2">
        <f t="shared" si="3"/>
        <v>53.676470588235297</v>
      </c>
    </row>
    <row r="8" spans="1:15" x14ac:dyDescent="0.25">
      <c r="B8" s="2" t="s">
        <v>7</v>
      </c>
      <c r="D8" s="2">
        <f>D10/1.8</f>
        <v>5.5555555555555554</v>
      </c>
      <c r="E8" s="2">
        <f t="shared" ref="E8:M8" si="4">E10/1.8</f>
        <v>5.7222222222222223</v>
      </c>
      <c r="F8" s="2">
        <f t="shared" si="4"/>
        <v>5.8938888888888892</v>
      </c>
      <c r="G8" s="2">
        <f t="shared" si="4"/>
        <v>6.0707055555555556</v>
      </c>
      <c r="H8" s="2">
        <f t="shared" si="4"/>
        <v>6.2528267222222222</v>
      </c>
      <c r="I8" s="2">
        <f t="shared" si="4"/>
        <v>6.4404115238888888</v>
      </c>
      <c r="J8" s="2">
        <f t="shared" si="4"/>
        <v>6.6336238696055556</v>
      </c>
      <c r="K8" s="2">
        <f t="shared" si="4"/>
        <v>6.8326325856937222</v>
      </c>
      <c r="L8" s="2">
        <f t="shared" si="4"/>
        <v>7.0376115632645337</v>
      </c>
      <c r="M8" s="2">
        <f t="shared" si="4"/>
        <v>7.2487399101624694</v>
      </c>
    </row>
    <row r="9" spans="1:15" x14ac:dyDescent="0.25">
      <c r="B9" s="2" t="s">
        <v>8</v>
      </c>
      <c r="C9" s="1">
        <v>0.25</v>
      </c>
    </row>
    <row r="10" spans="1:15" x14ac:dyDescent="0.25">
      <c r="B10" s="2" t="s">
        <v>9</v>
      </c>
      <c r="D10" s="2">
        <v>10</v>
      </c>
      <c r="E10" s="2">
        <f t="shared" ref="E10:M10" si="5">D10+(D10*0.03)</f>
        <v>10.3</v>
      </c>
      <c r="F10" s="2">
        <f t="shared" si="5"/>
        <v>10.609</v>
      </c>
      <c r="G10" s="2">
        <f t="shared" si="5"/>
        <v>10.92727</v>
      </c>
      <c r="H10" s="2">
        <f t="shared" si="5"/>
        <v>11.2550881</v>
      </c>
      <c r="I10" s="2">
        <f t="shared" si="5"/>
        <v>11.592740743</v>
      </c>
      <c r="J10" s="2">
        <f t="shared" si="5"/>
        <v>11.94052296529</v>
      </c>
      <c r="K10" s="2">
        <f t="shared" si="5"/>
        <v>12.2987386542487</v>
      </c>
      <c r="L10" s="2">
        <f t="shared" si="5"/>
        <v>12.667700813876161</v>
      </c>
      <c r="M10" s="2">
        <f t="shared" si="5"/>
        <v>13.047731838292446</v>
      </c>
      <c r="N10" s="2" t="s">
        <v>10</v>
      </c>
    </row>
    <row r="11" spans="1:15" x14ac:dyDescent="0.25">
      <c r="B11" s="2" t="s">
        <v>11</v>
      </c>
      <c r="D11" s="2">
        <v>5000</v>
      </c>
      <c r="E11" s="2">
        <f>(0.05*D11)+D11</f>
        <v>5250</v>
      </c>
      <c r="F11" s="2">
        <f t="shared" ref="F11:M11" si="6">(0.05*E11)+E11</f>
        <v>5512.5</v>
      </c>
      <c r="G11" s="2">
        <f t="shared" si="6"/>
        <v>5788.125</v>
      </c>
      <c r="H11" s="2">
        <f t="shared" si="6"/>
        <v>6077.53125</v>
      </c>
      <c r="I11" s="2">
        <f t="shared" si="6"/>
        <v>6381.4078124999996</v>
      </c>
      <c r="J11" s="2">
        <f t="shared" si="6"/>
        <v>6700.4782031249997</v>
      </c>
      <c r="K11" s="2">
        <f t="shared" si="6"/>
        <v>7035.5021132812499</v>
      </c>
      <c r="L11" s="2">
        <f t="shared" si="6"/>
        <v>7387.2772189453126</v>
      </c>
      <c r="M11" s="2">
        <f t="shared" si="6"/>
        <v>7756.6410798925781</v>
      </c>
    </row>
    <row r="12" spans="1:15" x14ac:dyDescent="0.25">
      <c r="D12" s="2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I12" s="2" t="s">
        <v>17</v>
      </c>
      <c r="J12" s="2" t="s">
        <v>18</v>
      </c>
      <c r="K12" s="2" t="s">
        <v>19</v>
      </c>
      <c r="L12" s="2" t="s">
        <v>20</v>
      </c>
      <c r="M12" s="2" t="s">
        <v>21</v>
      </c>
    </row>
    <row r="13" spans="1:15" x14ac:dyDescent="0.25">
      <c r="A13" s="2" t="s">
        <v>22</v>
      </c>
    </row>
    <row r="14" spans="1:15" x14ac:dyDescent="0.25">
      <c r="A14" s="2" t="s">
        <v>23</v>
      </c>
      <c r="D14" s="2">
        <f>D39*6</f>
        <v>180000</v>
      </c>
      <c r="E14" s="2">
        <f>1.04*D14</f>
        <v>187200</v>
      </c>
      <c r="F14" s="2">
        <f t="shared" ref="F14:M14" si="7">1.04*E14</f>
        <v>194688</v>
      </c>
      <c r="G14" s="2">
        <f t="shared" si="7"/>
        <v>202475.52000000002</v>
      </c>
      <c r="H14" s="2">
        <f t="shared" si="7"/>
        <v>210574.54080000002</v>
      </c>
      <c r="I14" s="2">
        <f t="shared" si="7"/>
        <v>218997.52243200003</v>
      </c>
      <c r="J14" s="2">
        <f t="shared" si="7"/>
        <v>227757.42332928005</v>
      </c>
      <c r="K14" s="2">
        <f t="shared" si="7"/>
        <v>236867.72026245127</v>
      </c>
      <c r="L14" s="2">
        <f t="shared" si="7"/>
        <v>246342.42907294934</v>
      </c>
      <c r="M14" s="2">
        <f t="shared" si="7"/>
        <v>256196.12623586733</v>
      </c>
    </row>
    <row r="16" spans="1:15" x14ac:dyDescent="0.25">
      <c r="A16" s="2" t="s">
        <v>24</v>
      </c>
      <c r="D16" s="2">
        <f>D14/$N$17</f>
        <v>45000</v>
      </c>
      <c r="E16" s="2">
        <f t="shared" ref="E16:M16" si="8">E14/$N$17</f>
        <v>46800</v>
      </c>
      <c r="F16" s="2">
        <f t="shared" si="8"/>
        <v>48672</v>
      </c>
      <c r="G16" s="2">
        <f t="shared" si="8"/>
        <v>50618.880000000005</v>
      </c>
      <c r="H16" s="2">
        <f t="shared" si="8"/>
        <v>52643.635200000004</v>
      </c>
      <c r="I16" s="2">
        <f t="shared" si="8"/>
        <v>54749.380608000007</v>
      </c>
      <c r="J16" s="2">
        <f t="shared" si="8"/>
        <v>56939.355832320012</v>
      </c>
      <c r="K16" s="2">
        <f t="shared" si="8"/>
        <v>59216.930065612818</v>
      </c>
      <c r="L16" s="2">
        <f t="shared" si="8"/>
        <v>61585.607268237334</v>
      </c>
      <c r="M16" s="2">
        <f t="shared" si="8"/>
        <v>64049.031558966832</v>
      </c>
      <c r="N16" s="2">
        <v>1.2</v>
      </c>
      <c r="O16" s="2" t="s">
        <v>25</v>
      </c>
    </row>
    <row r="17" spans="1:15" x14ac:dyDescent="0.25">
      <c r="N17" s="2">
        <v>4</v>
      </c>
      <c r="O17" s="2" t="s">
        <v>26</v>
      </c>
    </row>
    <row r="18" spans="1:15" x14ac:dyDescent="0.25">
      <c r="A18" s="2" t="s">
        <v>27</v>
      </c>
    </row>
    <row r="19" spans="1:15" x14ac:dyDescent="0.25">
      <c r="B19" s="2" t="s">
        <v>28</v>
      </c>
      <c r="D19" s="2">
        <v>500</v>
      </c>
      <c r="E19" s="2">
        <v>500</v>
      </c>
      <c r="F19" s="2">
        <v>500</v>
      </c>
      <c r="G19" s="2">
        <v>500</v>
      </c>
      <c r="H19" s="2">
        <v>500</v>
      </c>
      <c r="I19" s="2">
        <v>500</v>
      </c>
      <c r="J19" s="2">
        <v>500</v>
      </c>
      <c r="K19" s="2">
        <v>500</v>
      </c>
      <c r="L19" s="2">
        <v>500</v>
      </c>
      <c r="M19" s="2">
        <v>500</v>
      </c>
    </row>
    <row r="20" spans="1:15" x14ac:dyDescent="0.25">
      <c r="B20" s="2" t="s">
        <v>29</v>
      </c>
      <c r="D20" s="2">
        <v>60000</v>
      </c>
      <c r="E20" s="2">
        <v>60000</v>
      </c>
      <c r="F20" s="2">
        <v>60000</v>
      </c>
      <c r="G20" s="2">
        <v>60000</v>
      </c>
      <c r="H20" s="2">
        <v>60000</v>
      </c>
      <c r="I20" s="2">
        <v>60000</v>
      </c>
      <c r="J20" s="2">
        <v>60000</v>
      </c>
      <c r="K20" s="2">
        <v>60000</v>
      </c>
      <c r="L20" s="2">
        <v>60000</v>
      </c>
      <c r="M20" s="2">
        <v>60000</v>
      </c>
    </row>
    <row r="21" spans="1:15" x14ac:dyDescent="0.25">
      <c r="B21" s="2" t="s">
        <v>30</v>
      </c>
      <c r="D21" s="2">
        <v>55000</v>
      </c>
      <c r="E21" s="2">
        <f>(D21*0.03)+D21</f>
        <v>56650</v>
      </c>
      <c r="F21" s="2">
        <f t="shared" ref="F21:G21" si="9">(E21*0.03)+E21</f>
        <v>58349.5</v>
      </c>
      <c r="G21" s="2">
        <f t="shared" si="9"/>
        <v>60099.985000000001</v>
      </c>
      <c r="H21" s="2">
        <v>55000</v>
      </c>
      <c r="I21" s="2">
        <f t="shared" ref="I21:K21" si="10">(H21*0.03)+H21</f>
        <v>56650</v>
      </c>
      <c r="J21" s="2">
        <f t="shared" si="10"/>
        <v>58349.5</v>
      </c>
      <c r="K21" s="2">
        <f t="shared" si="10"/>
        <v>60099.985000000001</v>
      </c>
      <c r="L21" s="2">
        <v>55000</v>
      </c>
      <c r="M21" s="2">
        <f t="shared" ref="M21" si="11">(L21*0.03)+L21</f>
        <v>56650</v>
      </c>
    </row>
    <row r="22" spans="1:15" x14ac:dyDescent="0.25">
      <c r="B22" s="2" t="s">
        <v>31</v>
      </c>
      <c r="D22" s="2">
        <v>3000</v>
      </c>
      <c r="E22" s="2">
        <v>3000</v>
      </c>
      <c r="F22" s="2">
        <v>3000</v>
      </c>
      <c r="G22" s="2">
        <v>3000</v>
      </c>
      <c r="H22" s="2">
        <v>3000</v>
      </c>
      <c r="I22" s="2">
        <v>3000</v>
      </c>
      <c r="J22" s="2">
        <v>3000</v>
      </c>
      <c r="K22" s="2">
        <v>3000</v>
      </c>
      <c r="L22" s="2">
        <v>3000</v>
      </c>
      <c r="M22" s="2">
        <v>3000</v>
      </c>
    </row>
    <row r="25" spans="1:15" x14ac:dyDescent="0.25">
      <c r="A25" s="2" t="s">
        <v>32</v>
      </c>
      <c r="D25" s="2">
        <f>D43/30</f>
        <v>4633.333333333333</v>
      </c>
      <c r="E25" s="2">
        <f t="shared" ref="E25:M25" si="12">E43/30</f>
        <v>4633.333333333333</v>
      </c>
      <c r="F25" s="2">
        <f t="shared" si="12"/>
        <v>4633.333333333333</v>
      </c>
      <c r="G25" s="2">
        <f t="shared" si="12"/>
        <v>4633.333333333333</v>
      </c>
      <c r="H25" s="2">
        <f t="shared" si="12"/>
        <v>4633.333333333333</v>
      </c>
      <c r="I25" s="2">
        <f t="shared" si="12"/>
        <v>4633.333333333333</v>
      </c>
      <c r="J25" s="2">
        <f t="shared" si="12"/>
        <v>4633.333333333333</v>
      </c>
      <c r="K25" s="2">
        <f t="shared" si="12"/>
        <v>4633.333333333333</v>
      </c>
      <c r="L25" s="2">
        <f t="shared" si="12"/>
        <v>4633.333333333333</v>
      </c>
      <c r="M25" s="2">
        <f t="shared" si="12"/>
        <v>4633.333333333333</v>
      </c>
    </row>
    <row r="27" spans="1:15" x14ac:dyDescent="0.25">
      <c r="A27" s="2" t="s">
        <v>33</v>
      </c>
      <c r="D27" s="2">
        <f>[1]Mortgage!D14</f>
        <v>7449.7411958672828</v>
      </c>
      <c r="E27" s="2">
        <f>[1]Mortgage!D28</f>
        <v>7336.5174591450259</v>
      </c>
      <c r="F27" s="2">
        <f>[1]Mortgage!D42</f>
        <v>7217.500981166796</v>
      </c>
      <c r="G27" s="2">
        <f>[1]Mortgage!D56</f>
        <v>7092.3953942960015</v>
      </c>
      <c r="H27" s="2">
        <f>[1]Mortgage!D70</f>
        <v>6960.8891681652876</v>
      </c>
      <c r="I27" s="2">
        <f>[1]Mortgage!D84</f>
        <v>6822.654833922461</v>
      </c>
      <c r="J27" s="2">
        <f>[1]Mortgage!D98</f>
        <v>6677.3481687873527</v>
      </c>
      <c r="K27" s="2">
        <f>[1]Mortgage!D112</f>
        <v>6524.6073388890673</v>
      </c>
      <c r="L27" s="2">
        <f>[1]Mortgage!D126</f>
        <v>6364.0519982491578</v>
      </c>
      <c r="M27" s="2">
        <f>[1]Mortgage!D140</f>
        <v>6195.2823416670626</v>
      </c>
    </row>
    <row r="28" spans="1:15" x14ac:dyDescent="0.25">
      <c r="A28" s="2" t="s">
        <v>34</v>
      </c>
      <c r="D28" s="2">
        <f>D54*0.1</f>
        <v>12778.187132376386</v>
      </c>
      <c r="E28" s="2">
        <f t="shared" ref="E28:M28" si="13">E54*0.1</f>
        <v>10673.450896317425</v>
      </c>
      <c r="F28" s="2">
        <f t="shared" si="13"/>
        <v>10453.419026262056</v>
      </c>
      <c r="G28" s="2">
        <f t="shared" si="13"/>
        <v>9855.3293674417637</v>
      </c>
      <c r="H28" s="2">
        <f t="shared" si="13"/>
        <v>8687.1081404521974</v>
      </c>
      <c r="I28" s="2">
        <f t="shared" si="13"/>
        <v>6516.6244584707892</v>
      </c>
      <c r="J28" s="2">
        <f t="shared" si="13"/>
        <v>3797.0405912035308</v>
      </c>
      <c r="K28" s="2">
        <f t="shared" si="13"/>
        <v>474.04899698244481</v>
      </c>
      <c r="L28" s="2">
        <f t="shared" si="13"/>
        <v>6894.6418286457338</v>
      </c>
      <c r="M28" s="2">
        <f t="shared" si="13"/>
        <v>2230.6480162641451</v>
      </c>
      <c r="N28" s="1">
        <v>0.1</v>
      </c>
    </row>
    <row r="30" spans="1:15" x14ac:dyDescent="0.25">
      <c r="A30" s="2" t="s">
        <v>35</v>
      </c>
      <c r="D30" s="2">
        <f>SUM(D14:D14)-SUM(D16:D28)</f>
        <v>-8361.2616615770094</v>
      </c>
      <c r="E30" s="2">
        <f>SUM(E14:E14)-SUM(E16:E28)</f>
        <v>-2393.3016887957929</v>
      </c>
      <c r="F30" s="2">
        <f>SUM(F14:F14)-SUM(F16:F28)</f>
        <v>1862.2466592378041</v>
      </c>
      <c r="G30" s="2">
        <f>SUM(G14:G14)-SUM(G16:G28)</f>
        <v>6675.5969049289124</v>
      </c>
      <c r="H30" s="2">
        <f t="shared" ref="H30:M30" si="14">SUM(H14:H14)-SUM(H16:H28)</f>
        <v>19149.574958049168</v>
      </c>
      <c r="I30" s="2">
        <f t="shared" si="14"/>
        <v>26125.529198273434</v>
      </c>
      <c r="J30" s="2">
        <f t="shared" si="14"/>
        <v>33860.845403635845</v>
      </c>
      <c r="K30" s="2">
        <f t="shared" si="14"/>
        <v>42418.815527633589</v>
      </c>
      <c r="L30" s="2">
        <f t="shared" si="14"/>
        <v>48364.794644483773</v>
      </c>
      <c r="M30" s="2">
        <f t="shared" si="14"/>
        <v>58937.830985635926</v>
      </c>
    </row>
    <row r="31" spans="1:15" x14ac:dyDescent="0.25">
      <c r="A31" s="2" t="s">
        <v>36</v>
      </c>
      <c r="D31" s="2">
        <f>IF(D30&lt;0,0,0.25*D30)</f>
        <v>0</v>
      </c>
      <c r="E31" s="2">
        <f t="shared" ref="E31:M31" si="15">IF(E30&lt;0,0,0.25*E30)</f>
        <v>0</v>
      </c>
      <c r="F31" s="2">
        <f t="shared" si="15"/>
        <v>465.56166480945103</v>
      </c>
      <c r="G31" s="2">
        <f t="shared" si="15"/>
        <v>1668.8992262322281</v>
      </c>
      <c r="H31" s="2">
        <f t="shared" si="15"/>
        <v>4787.3937395122921</v>
      </c>
      <c r="I31" s="2">
        <f t="shared" si="15"/>
        <v>6531.3822995683586</v>
      </c>
      <c r="J31" s="2">
        <f t="shared" si="15"/>
        <v>8465.2113509089613</v>
      </c>
      <c r="K31" s="2">
        <f t="shared" si="15"/>
        <v>10604.703881908397</v>
      </c>
      <c r="L31" s="2">
        <f t="shared" si="15"/>
        <v>12091.198661120943</v>
      </c>
      <c r="M31" s="2">
        <f t="shared" si="15"/>
        <v>14734.457746408982</v>
      </c>
    </row>
    <row r="32" spans="1:15" x14ac:dyDescent="0.25">
      <c r="A32" s="2" t="s">
        <v>37</v>
      </c>
      <c r="D32" s="2">
        <f>D30-D31</f>
        <v>-8361.2616615770094</v>
      </c>
      <c r="E32" s="2">
        <f t="shared" ref="E32:M32" si="16">E30-E31</f>
        <v>-2393.3016887957929</v>
      </c>
      <c r="F32" s="2">
        <f t="shared" si="16"/>
        <v>1396.6849944283531</v>
      </c>
      <c r="G32" s="2">
        <f t="shared" si="16"/>
        <v>5006.6976786966843</v>
      </c>
      <c r="H32" s="2">
        <f t="shared" si="16"/>
        <v>14362.181218536876</v>
      </c>
      <c r="I32" s="2">
        <f t="shared" si="16"/>
        <v>19594.146898705076</v>
      </c>
      <c r="J32" s="2">
        <f t="shared" si="16"/>
        <v>25395.634052726884</v>
      </c>
      <c r="K32" s="2">
        <f t="shared" si="16"/>
        <v>31814.111645725192</v>
      </c>
      <c r="L32" s="2">
        <f t="shared" si="16"/>
        <v>36273.595983362829</v>
      </c>
      <c r="M32" s="2">
        <f t="shared" si="16"/>
        <v>44203.373239226945</v>
      </c>
    </row>
    <row r="34" spans="1:23" x14ac:dyDescent="0.25">
      <c r="A34" s="2" t="s">
        <v>38</v>
      </c>
    </row>
    <row r="35" spans="1:23" x14ac:dyDescent="0.25">
      <c r="A35" s="2" t="s">
        <v>39</v>
      </c>
    </row>
    <row r="36" spans="1:23" x14ac:dyDescent="0.25">
      <c r="B36" s="2" t="s">
        <v>40</v>
      </c>
      <c r="D36" s="2">
        <v>5000</v>
      </c>
      <c r="E36" s="2">
        <v>5000</v>
      </c>
      <c r="F36" s="2">
        <v>5000</v>
      </c>
      <c r="G36" s="2">
        <v>5000</v>
      </c>
      <c r="H36" s="2">
        <v>5000</v>
      </c>
      <c r="I36" s="2">
        <v>5000</v>
      </c>
      <c r="J36" s="2">
        <v>5000</v>
      </c>
      <c r="K36" s="2">
        <v>5000</v>
      </c>
      <c r="L36" s="2">
        <v>5000</v>
      </c>
      <c r="M36" s="2">
        <v>5000</v>
      </c>
    </row>
    <row r="37" spans="1:23" x14ac:dyDescent="0.25">
      <c r="B37" s="2" t="s">
        <v>41</v>
      </c>
      <c r="R37" s="2" t="s">
        <v>42</v>
      </c>
      <c r="S37" s="2" t="s">
        <v>43</v>
      </c>
    </row>
    <row r="38" spans="1:23" x14ac:dyDescent="0.25">
      <c r="B38" s="2" t="s">
        <v>44</v>
      </c>
    </row>
    <row r="39" spans="1:23" x14ac:dyDescent="0.25">
      <c r="B39" s="2" t="s">
        <v>45</v>
      </c>
      <c r="D39" s="2">
        <v>30000</v>
      </c>
      <c r="E39" s="2">
        <f>(E16/365)*E7</f>
        <v>9176.4705882352955</v>
      </c>
      <c r="F39" s="2">
        <f>(F16/365)*F7</f>
        <v>11227.681660899654</v>
      </c>
      <c r="G39" s="2">
        <f>(G16/365)*G7</f>
        <v>13737.398738041928</v>
      </c>
      <c r="H39" s="2">
        <f t="shared" ref="H39:M39" si="17">(H16/365)*H7</f>
        <v>7520.5193142857152</v>
      </c>
      <c r="I39" s="2">
        <f t="shared" si="17"/>
        <v>9201.5765727731105</v>
      </c>
      <c r="J39" s="2">
        <f t="shared" si="17"/>
        <v>11258.399571392982</v>
      </c>
      <c r="K39" s="2">
        <f t="shared" si="17"/>
        <v>13774.983004998476</v>
      </c>
      <c r="L39" s="2">
        <f t="shared" si="17"/>
        <v>7698.2009085296668</v>
      </c>
      <c r="M39" s="2">
        <f t="shared" si="17"/>
        <v>9418.9752292598296</v>
      </c>
      <c r="O39" s="2" t="s">
        <v>46</v>
      </c>
      <c r="P39" s="6">
        <f>R47</f>
        <v>1.0199698469546541</v>
      </c>
    </row>
    <row r="40" spans="1:23" x14ac:dyDescent="0.25">
      <c r="B40" s="2" t="s">
        <v>47</v>
      </c>
      <c r="D40" s="2">
        <v>40000</v>
      </c>
      <c r="E40" s="2">
        <f t="shared" ref="E40:M40" si="18">D40</f>
        <v>40000</v>
      </c>
      <c r="F40" s="2">
        <f t="shared" si="18"/>
        <v>40000</v>
      </c>
      <c r="G40" s="2">
        <f t="shared" si="18"/>
        <v>40000</v>
      </c>
      <c r="H40" s="2">
        <f t="shared" si="18"/>
        <v>40000</v>
      </c>
      <c r="I40" s="2">
        <f t="shared" si="18"/>
        <v>40000</v>
      </c>
      <c r="J40" s="2">
        <f t="shared" si="18"/>
        <v>40000</v>
      </c>
      <c r="K40" s="2">
        <f t="shared" si="18"/>
        <v>40000</v>
      </c>
      <c r="L40" s="2">
        <f t="shared" si="18"/>
        <v>40000</v>
      </c>
      <c r="M40" s="2">
        <f t="shared" si="18"/>
        <v>40000</v>
      </c>
      <c r="O40" s="2" t="s">
        <v>48</v>
      </c>
      <c r="P40" s="6">
        <f>(1+(1-C9)*(SUM(U53:U54)/SUM(U57)/P39))</f>
        <v>2.5625461916923267</v>
      </c>
    </row>
    <row r="41" spans="1:23" x14ac:dyDescent="0.25">
      <c r="O41" s="2" t="s">
        <v>49</v>
      </c>
    </row>
    <row r="42" spans="1:23" x14ac:dyDescent="0.25">
      <c r="B42" s="2" t="s">
        <v>50</v>
      </c>
      <c r="D42" s="2">
        <v>90000</v>
      </c>
      <c r="E42" s="2">
        <v>90000</v>
      </c>
      <c r="F42" s="2">
        <v>90000</v>
      </c>
      <c r="G42" s="2">
        <v>90000</v>
      </c>
      <c r="H42" s="2">
        <v>90000</v>
      </c>
      <c r="I42" s="2">
        <v>90000</v>
      </c>
      <c r="J42" s="2">
        <v>90000</v>
      </c>
      <c r="K42" s="2">
        <v>90000</v>
      </c>
      <c r="L42" s="2">
        <v>90000</v>
      </c>
      <c r="M42" s="2">
        <v>90000</v>
      </c>
      <c r="O42" s="2" t="s">
        <v>51</v>
      </c>
      <c r="R42" s="6">
        <v>0.81</v>
      </c>
    </row>
    <row r="43" spans="1:23" x14ac:dyDescent="0.25">
      <c r="B43" s="2" t="s">
        <v>52</v>
      </c>
      <c r="D43" s="2">
        <v>139000</v>
      </c>
      <c r="E43" s="2">
        <v>139000</v>
      </c>
      <c r="F43" s="2">
        <v>139000</v>
      </c>
      <c r="G43" s="2">
        <v>139000</v>
      </c>
      <c r="H43" s="2">
        <v>139000</v>
      </c>
      <c r="I43" s="2">
        <v>139000</v>
      </c>
      <c r="J43" s="2">
        <v>139000</v>
      </c>
      <c r="K43" s="2">
        <v>139000</v>
      </c>
      <c r="L43" s="2">
        <v>139000</v>
      </c>
      <c r="M43" s="2">
        <v>139000</v>
      </c>
      <c r="O43" s="2" t="s">
        <v>53</v>
      </c>
      <c r="R43" s="6">
        <v>2.58E-2</v>
      </c>
    </row>
    <row r="44" spans="1:23" x14ac:dyDescent="0.25">
      <c r="B44" s="2" t="s">
        <v>54</v>
      </c>
      <c r="D44" s="2">
        <f>D25</f>
        <v>4633.333333333333</v>
      </c>
      <c r="E44" s="2">
        <f>D44+E25</f>
        <v>9266.6666666666661</v>
      </c>
      <c r="F44" s="2">
        <f t="shared" ref="F44:G44" si="19">E44+F25</f>
        <v>13900</v>
      </c>
      <c r="G44" s="2">
        <f t="shared" si="19"/>
        <v>18533.333333333332</v>
      </c>
      <c r="H44" s="2">
        <f t="shared" ref="H44" si="20">H25</f>
        <v>4633.333333333333</v>
      </c>
      <c r="I44" s="2">
        <f t="shared" ref="I44:K44" si="21">H44+I25</f>
        <v>9266.6666666666661</v>
      </c>
      <c r="J44" s="2">
        <f t="shared" si="21"/>
        <v>13900</v>
      </c>
      <c r="K44" s="2">
        <f t="shared" si="21"/>
        <v>18533.333333333332</v>
      </c>
      <c r="L44" s="2">
        <f t="shared" ref="L44" si="22">L25</f>
        <v>4633.333333333333</v>
      </c>
      <c r="M44" s="2">
        <f t="shared" ref="M44" si="23">L44+M25</f>
        <v>9266.6666666666661</v>
      </c>
      <c r="O44" s="2" t="s">
        <v>55</v>
      </c>
      <c r="R44" s="6">
        <v>7.7799999999999994E-2</v>
      </c>
    </row>
    <row r="45" spans="1:23" x14ac:dyDescent="0.25">
      <c r="O45" s="2" t="s">
        <v>56</v>
      </c>
      <c r="R45" s="8">
        <f>(R43+R42*(R44-R43))</f>
        <v>6.7919999999999994E-2</v>
      </c>
    </row>
    <row r="46" spans="1:23" x14ac:dyDescent="0.25">
      <c r="A46" s="2" t="s">
        <v>57</v>
      </c>
      <c r="D46" s="2">
        <f t="shared" ref="D46:M46" si="24">SUM(D36:D43)-D44</f>
        <v>299366.66666666669</v>
      </c>
      <c r="E46" s="2">
        <f t="shared" si="24"/>
        <v>273909.80392156861</v>
      </c>
      <c r="F46" s="2">
        <f t="shared" si="24"/>
        <v>271327.68166089966</v>
      </c>
      <c r="G46" s="2">
        <f t="shared" si="24"/>
        <v>269204.06540470861</v>
      </c>
      <c r="H46" s="2">
        <f t="shared" si="24"/>
        <v>276887.1859809524</v>
      </c>
      <c r="I46" s="2">
        <f t="shared" si="24"/>
        <v>273934.90990610642</v>
      </c>
      <c r="J46" s="2">
        <f t="shared" si="24"/>
        <v>271358.39957139298</v>
      </c>
      <c r="K46" s="2">
        <f t="shared" si="24"/>
        <v>269241.64967166516</v>
      </c>
      <c r="L46" s="2">
        <f t="shared" si="24"/>
        <v>277064.86757519637</v>
      </c>
      <c r="M46" s="2">
        <f t="shared" si="24"/>
        <v>274152.30856259313</v>
      </c>
      <c r="W46" s="2">
        <v>2.5</v>
      </c>
    </row>
    <row r="47" spans="1:23" x14ac:dyDescent="0.25">
      <c r="O47" s="2" t="s">
        <v>58</v>
      </c>
      <c r="R47" s="2">
        <f>R42/1+(1-C9)/(SUM(O53:O54)/SUM(O57:O58))</f>
        <v>1.0199698469546541</v>
      </c>
      <c r="T47" s="2" t="s">
        <v>59</v>
      </c>
      <c r="W47" s="2">
        <f>P40</f>
        <v>2.5625461916923267</v>
      </c>
    </row>
    <row r="48" spans="1:23" x14ac:dyDescent="0.25">
      <c r="A48" s="2" t="s">
        <v>60</v>
      </c>
      <c r="O48" s="2" t="s">
        <v>53</v>
      </c>
      <c r="R48" s="2">
        <v>2.58E-2</v>
      </c>
      <c r="T48" s="2" t="s">
        <v>53</v>
      </c>
      <c r="W48" s="6">
        <v>2.58E-2</v>
      </c>
    </row>
    <row r="49" spans="1:25" x14ac:dyDescent="0.25">
      <c r="A49" s="2" t="s">
        <v>61</v>
      </c>
      <c r="O49" s="2" t="s">
        <v>55</v>
      </c>
      <c r="R49" s="2">
        <v>7.7799999999999994E-2</v>
      </c>
      <c r="T49" s="2" t="s">
        <v>55</v>
      </c>
      <c r="W49" s="6">
        <v>7.7799999999999994E-2</v>
      </c>
    </row>
    <row r="50" spans="1:25" x14ac:dyDescent="0.25">
      <c r="B50" s="2" t="s">
        <v>62</v>
      </c>
      <c r="D50" s="2">
        <f>D5*((D8*D11))/365</f>
        <v>2283.1050228310505</v>
      </c>
      <c r="E50" s="2">
        <f t="shared" ref="E50:M50" si="25">E5*((E8*E11))/365</f>
        <v>2469.178082191781</v>
      </c>
      <c r="F50" s="2">
        <f t="shared" si="25"/>
        <v>2670.4160958904108</v>
      </c>
      <c r="G50" s="2">
        <f t="shared" si="25"/>
        <v>2888.0550077054795</v>
      </c>
      <c r="H50" s="2">
        <f t="shared" si="25"/>
        <v>3123.4314908334754</v>
      </c>
      <c r="I50" s="2">
        <f t="shared" si="25"/>
        <v>3377.9911573364043</v>
      </c>
      <c r="J50" s="2">
        <f t="shared" si="25"/>
        <v>3653.2974366593212</v>
      </c>
      <c r="K50" s="2">
        <f t="shared" si="25"/>
        <v>3951.0411777470563</v>
      </c>
      <c r="L50" s="2">
        <f t="shared" si="25"/>
        <v>4273.0510337334408</v>
      </c>
      <c r="M50" s="2">
        <f t="shared" si="25"/>
        <v>4621.304692982716</v>
      </c>
      <c r="O50" s="2" t="s">
        <v>56</v>
      </c>
      <c r="T50" s="2" t="s">
        <v>56</v>
      </c>
      <c r="W50" s="8">
        <f>(W48+W46*(W49-W48))</f>
        <v>0.15579999999999997</v>
      </c>
    </row>
    <row r="51" spans="1:25" x14ac:dyDescent="0.25">
      <c r="B51" s="2" t="s">
        <v>63</v>
      </c>
      <c r="D51" s="2">
        <f>D31</f>
        <v>0</v>
      </c>
      <c r="E51" s="2">
        <f t="shared" ref="E51:M51" si="26">E31</f>
        <v>0</v>
      </c>
      <c r="F51" s="2">
        <f t="shared" si="26"/>
        <v>465.56166480945103</v>
      </c>
      <c r="G51" s="2">
        <f t="shared" si="26"/>
        <v>1668.8992262322281</v>
      </c>
      <c r="H51" s="2">
        <f t="shared" si="26"/>
        <v>4787.3937395122921</v>
      </c>
      <c r="I51" s="2">
        <f t="shared" si="26"/>
        <v>6531.3822995683586</v>
      </c>
      <c r="J51" s="2">
        <f t="shared" si="26"/>
        <v>8465.2113509089613</v>
      </c>
      <c r="K51" s="2">
        <f t="shared" si="26"/>
        <v>10604.703881908397</v>
      </c>
      <c r="L51" s="2">
        <f t="shared" si="26"/>
        <v>12091.198661120943</v>
      </c>
      <c r="M51" s="2">
        <f t="shared" si="26"/>
        <v>14734.457746408982</v>
      </c>
    </row>
    <row r="52" spans="1:25" x14ac:dyDescent="0.25">
      <c r="N52" s="2" t="s">
        <v>64</v>
      </c>
      <c r="O52" s="2" t="s">
        <v>65</v>
      </c>
      <c r="P52" s="2" t="s">
        <v>66</v>
      </c>
      <c r="Q52" s="2" t="s">
        <v>67</v>
      </c>
      <c r="R52" s="2" t="s">
        <v>68</v>
      </c>
      <c r="U52" s="2" t="s">
        <v>65</v>
      </c>
      <c r="V52" s="2" t="s">
        <v>66</v>
      </c>
      <c r="W52" s="2" t="s">
        <v>67</v>
      </c>
      <c r="X52" s="2" t="s">
        <v>68</v>
      </c>
    </row>
    <row r="53" spans="1:25" x14ac:dyDescent="0.25">
      <c r="B53" s="2" t="s">
        <v>69</v>
      </c>
      <c r="D53" s="2">
        <f>[1]Mortgage!F13</f>
        <v>147786.9519816488</v>
      </c>
      <c r="E53" s="2">
        <f>[1]Mortgage!F27</f>
        <v>145460.68022657532</v>
      </c>
      <c r="F53" s="2">
        <f>[1]Mortgage!F41</f>
        <v>143015.39199352363</v>
      </c>
      <c r="G53" s="2">
        <f>[1]Mortgage!F55</f>
        <v>140444.99817360111</v>
      </c>
      <c r="H53" s="2">
        <f>[1]Mortgage!F69</f>
        <v>137743.09812754783</v>
      </c>
      <c r="I53" s="2">
        <f>[1]Mortgage!F83</f>
        <v>134902.96374725178</v>
      </c>
      <c r="J53" s="2">
        <f>[1]Mortgage!F97</f>
        <v>131917.52270182056</v>
      </c>
      <c r="K53" s="2">
        <f>[1]Mortgage!F111</f>
        <v>128779.34082649114</v>
      </c>
      <c r="L53" s="2">
        <f>[1]Mortgage!F125</f>
        <v>125480.60361052181</v>
      </c>
      <c r="M53" s="2">
        <f>[1]Mortgage!F139</f>
        <v>122013.09673797035</v>
      </c>
      <c r="N53" s="2">
        <f>AVERAGE(D53:M53)</f>
        <v>135754.46481269525</v>
      </c>
      <c r="O53" s="9">
        <f>N53/$N$61</f>
        <v>0.50962941491835634</v>
      </c>
      <c r="P53" s="8">
        <v>0.05</v>
      </c>
      <c r="Q53" s="8">
        <f>P53*(1-C9)</f>
        <v>3.7500000000000006E-2</v>
      </c>
      <c r="R53" s="6">
        <f>Q53*O53</f>
        <v>1.9111103059438365E-2</v>
      </c>
      <c r="S53" s="6"/>
      <c r="T53" s="6"/>
      <c r="U53" s="6">
        <v>0.23</v>
      </c>
      <c r="V53" s="6">
        <v>0.05</v>
      </c>
      <c r="W53" s="6">
        <f>V53*(1-$C$9)</f>
        <v>3.7500000000000006E-2</v>
      </c>
      <c r="X53" s="6">
        <f>W53*U53</f>
        <v>8.6250000000000025E-3</v>
      </c>
    </row>
    <row r="54" spans="1:25" x14ac:dyDescent="0.25">
      <c r="B54" s="2" t="s">
        <v>70</v>
      </c>
      <c r="D54" s="2">
        <v>127781.87132376386</v>
      </c>
      <c r="E54" s="2">
        <v>106734.50896317424</v>
      </c>
      <c r="F54" s="2">
        <v>104534.19026262056</v>
      </c>
      <c r="G54" s="2">
        <v>98553.293674417626</v>
      </c>
      <c r="H54" s="2">
        <v>86871.081404521974</v>
      </c>
      <c r="I54" s="2">
        <v>65166.244584707892</v>
      </c>
      <c r="J54" s="2">
        <v>37970.405912035305</v>
      </c>
      <c r="K54" s="2">
        <v>4740.4899698244481</v>
      </c>
      <c r="L54" s="2">
        <v>68946.418286457338</v>
      </c>
      <c r="M54" s="2">
        <v>22306.480162641448</v>
      </c>
      <c r="N54" s="2">
        <f>AVERAGE(D54:M54)</f>
        <v>72360.498454416462</v>
      </c>
      <c r="O54" s="9">
        <f>N54/$N$61</f>
        <v>0.27164512446353284</v>
      </c>
      <c r="P54" s="8">
        <f>N28</f>
        <v>0.1</v>
      </c>
      <c r="Q54" s="8">
        <f t="shared" ref="Q54:Q57" si="27">P54*(1-C10)</f>
        <v>0.1</v>
      </c>
      <c r="R54" s="6">
        <f t="shared" ref="R54:R57" si="28">Q54*O54</f>
        <v>2.7164512446353286E-2</v>
      </c>
      <c r="S54" s="6"/>
      <c r="T54" s="6"/>
      <c r="U54" s="6">
        <v>0.45</v>
      </c>
      <c r="V54" s="6">
        <f>N28</f>
        <v>0.1</v>
      </c>
      <c r="W54" s="6">
        <f>V54*(1-$C$9)</f>
        <v>7.5000000000000011E-2</v>
      </c>
      <c r="X54" s="6">
        <f t="shared" ref="X54:X57" si="29">W54*U54</f>
        <v>3.3750000000000009E-2</v>
      </c>
    </row>
    <row r="55" spans="1:25" x14ac:dyDescent="0.25">
      <c r="O55" s="9"/>
      <c r="P55" s="8"/>
      <c r="Q55" s="8"/>
      <c r="R55" s="6"/>
      <c r="S55" s="6"/>
      <c r="T55" s="6"/>
      <c r="U55" s="6"/>
      <c r="V55" s="6"/>
      <c r="W55" s="6"/>
      <c r="X55" s="6"/>
    </row>
    <row r="56" spans="1:25" x14ac:dyDescent="0.25">
      <c r="A56" s="2" t="s">
        <v>71</v>
      </c>
      <c r="O56" s="9"/>
      <c r="P56" s="8"/>
      <c r="Q56" s="8"/>
      <c r="R56" s="6"/>
      <c r="S56" s="6"/>
      <c r="T56" s="6"/>
      <c r="U56" s="6"/>
      <c r="V56" s="6"/>
      <c r="W56" s="6"/>
      <c r="X56" s="6"/>
    </row>
    <row r="57" spans="1:25" x14ac:dyDescent="0.25">
      <c r="B57" s="2" t="s">
        <v>72</v>
      </c>
      <c r="D57" s="2">
        <f>30000-124</f>
        <v>29876</v>
      </c>
      <c r="E57" s="2">
        <v>30000</v>
      </c>
      <c r="F57" s="2">
        <v>30000</v>
      </c>
      <c r="G57" s="2">
        <v>30000</v>
      </c>
      <c r="H57" s="2">
        <v>30000</v>
      </c>
      <c r="I57" s="2">
        <v>30000</v>
      </c>
      <c r="J57" s="2">
        <v>30000</v>
      </c>
      <c r="K57" s="2">
        <v>30000</v>
      </c>
      <c r="L57" s="2">
        <v>30000</v>
      </c>
      <c r="M57" s="2">
        <v>30000</v>
      </c>
      <c r="N57" s="2">
        <f t="shared" ref="N57:N58" si="30">AVERAGE(D57:M57)</f>
        <v>29987.599999999999</v>
      </c>
      <c r="O57" s="9">
        <f t="shared" ref="O57:O58" si="31">N57/$N$61</f>
        <v>0.1125750306915617</v>
      </c>
      <c r="P57" s="8">
        <f>R45</f>
        <v>6.7919999999999994E-2</v>
      </c>
      <c r="Q57" s="8">
        <f t="shared" si="27"/>
        <v>6.7919999999999994E-2</v>
      </c>
      <c r="R57" s="6">
        <f t="shared" si="28"/>
        <v>7.6460960845708701E-3</v>
      </c>
      <c r="S57" s="6"/>
      <c r="T57" s="6"/>
      <c r="U57" s="6">
        <v>0.32</v>
      </c>
      <c r="V57" s="6">
        <f>W50</f>
        <v>0.15579999999999997</v>
      </c>
      <c r="W57" s="6">
        <f t="shared" ref="W57" si="32">V57*(1-$C$9)</f>
        <v>0.11684999999999998</v>
      </c>
      <c r="X57" s="6">
        <f t="shared" si="29"/>
        <v>3.7391999999999995E-2</v>
      </c>
    </row>
    <row r="58" spans="1:25" x14ac:dyDescent="0.25">
      <c r="B58" s="2" t="s">
        <v>73</v>
      </c>
      <c r="D58" s="2">
        <f>D32</f>
        <v>-8361.2616615770094</v>
      </c>
      <c r="E58" s="2">
        <f>D58+E32</f>
        <v>-10754.563350372802</v>
      </c>
      <c r="F58" s="2">
        <f t="shared" ref="F58:G58" si="33">E58+F32</f>
        <v>-9357.8783559444491</v>
      </c>
      <c r="G58" s="2">
        <f t="shared" si="33"/>
        <v>-4351.1806772477648</v>
      </c>
      <c r="H58" s="2">
        <f t="shared" ref="H58" si="34">H32</f>
        <v>14362.181218536876</v>
      </c>
      <c r="I58" s="2">
        <f t="shared" ref="I58:K58" si="35">H58+I32</f>
        <v>33956.328117241952</v>
      </c>
      <c r="J58" s="2">
        <f t="shared" si="35"/>
        <v>59351.962169968836</v>
      </c>
      <c r="K58" s="2">
        <f t="shared" si="35"/>
        <v>91166.073815694021</v>
      </c>
      <c r="L58" s="2">
        <f>L32</f>
        <v>36273.595983362829</v>
      </c>
      <c r="M58" s="2">
        <f t="shared" ref="M58" si="36">L58+M32</f>
        <v>80476.969222589774</v>
      </c>
      <c r="N58" s="2">
        <f t="shared" si="30"/>
        <v>28276.222648225223</v>
      </c>
      <c r="O58" s="9">
        <f t="shared" si="31"/>
        <v>0.1061504299265492</v>
      </c>
      <c r="P58" s="8"/>
      <c r="Q58" s="8"/>
      <c r="R58" s="6"/>
      <c r="S58" s="6"/>
      <c r="T58" s="6"/>
      <c r="U58" s="6"/>
      <c r="V58" s="6"/>
      <c r="W58" s="6"/>
      <c r="X58" s="6"/>
    </row>
    <row r="59" spans="1:25" x14ac:dyDescent="0.25">
      <c r="O59" s="6"/>
      <c r="P59" s="6"/>
      <c r="Q59" s="6"/>
      <c r="R59" s="8">
        <f>SUM(R53:R57)</f>
        <v>5.392171159036252E-2</v>
      </c>
      <c r="S59" s="6" t="s">
        <v>99</v>
      </c>
      <c r="T59" s="6"/>
      <c r="U59" s="6"/>
      <c r="V59" s="6"/>
      <c r="W59" s="6"/>
      <c r="X59" s="8">
        <f>SUM(X53:X57)</f>
        <v>7.9767000000000005E-2</v>
      </c>
      <c r="Y59" s="2" t="s">
        <v>99</v>
      </c>
    </row>
    <row r="60" spans="1:25" x14ac:dyDescent="0.25">
      <c r="A60" s="2" t="s">
        <v>74</v>
      </c>
      <c r="D60" s="2">
        <f>SUM(D50:D58)</f>
        <v>299366.66666666674</v>
      </c>
      <c r="E60" s="2">
        <f t="shared" ref="E60:M60" si="37">SUM(E50:E58)</f>
        <v>273909.80392156856</v>
      </c>
      <c r="F60" s="2">
        <f t="shared" si="37"/>
        <v>271327.6816608996</v>
      </c>
      <c r="G60" s="2">
        <f t="shared" si="37"/>
        <v>269204.06540470867</v>
      </c>
      <c r="H60" s="2">
        <f t="shared" si="37"/>
        <v>276887.1859809524</v>
      </c>
      <c r="I60" s="2">
        <f t="shared" si="37"/>
        <v>273934.90990610636</v>
      </c>
      <c r="J60" s="2">
        <f t="shared" si="37"/>
        <v>271358.39957139298</v>
      </c>
      <c r="K60" s="2">
        <f t="shared" si="37"/>
        <v>269241.64967166504</v>
      </c>
      <c r="L60" s="2">
        <f t="shared" si="37"/>
        <v>277064.86757519637</v>
      </c>
      <c r="M60" s="2">
        <f t="shared" si="37"/>
        <v>274152.3085625933</v>
      </c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5" x14ac:dyDescent="0.25">
      <c r="N61" s="2">
        <f>SUM(N53:N60)</f>
        <v>266378.78591533692</v>
      </c>
      <c r="O61" s="15">
        <f>SUM(O53:O60)</f>
        <v>1</v>
      </c>
      <c r="P61" s="6"/>
      <c r="Q61" s="6"/>
      <c r="R61" s="6"/>
      <c r="S61" s="6"/>
      <c r="T61" s="6"/>
      <c r="U61" s="1">
        <f>SUM(U53:U60)</f>
        <v>1</v>
      </c>
      <c r="V61" s="6"/>
      <c r="W61" s="6"/>
      <c r="X61" s="6"/>
    </row>
    <row r="63" spans="1:25" x14ac:dyDescent="0.25">
      <c r="A63" s="7" t="s">
        <v>77</v>
      </c>
      <c r="B63" s="7"/>
      <c r="C63" s="7"/>
      <c r="D63" s="7">
        <f t="shared" ref="D63:M63" si="38">D46-D60</f>
        <v>0</v>
      </c>
      <c r="E63" s="7">
        <f t="shared" si="38"/>
        <v>0</v>
      </c>
      <c r="F63" s="7">
        <f t="shared" si="38"/>
        <v>0</v>
      </c>
      <c r="G63" s="7">
        <f t="shared" si="38"/>
        <v>0</v>
      </c>
      <c r="H63" s="7">
        <f t="shared" si="38"/>
        <v>0</v>
      </c>
      <c r="I63" s="7">
        <f t="shared" si="38"/>
        <v>0</v>
      </c>
      <c r="J63" s="7">
        <f t="shared" si="38"/>
        <v>0</v>
      </c>
      <c r="K63" s="7">
        <f t="shared" si="38"/>
        <v>0</v>
      </c>
      <c r="L63" s="7">
        <f t="shared" si="38"/>
        <v>0</v>
      </c>
      <c r="M63" s="7">
        <f t="shared" si="38"/>
        <v>0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13" x14ac:dyDescent="0.25">
      <c r="C65" s="2">
        <v>0</v>
      </c>
      <c r="D65" s="2">
        <v>1</v>
      </c>
      <c r="E65" s="2">
        <v>2</v>
      </c>
      <c r="F65" s="2">
        <v>3</v>
      </c>
      <c r="G65" s="2">
        <v>4</v>
      </c>
      <c r="H65" s="2">
        <v>5</v>
      </c>
      <c r="I65" s="2">
        <v>6</v>
      </c>
      <c r="J65" s="2">
        <v>7</v>
      </c>
      <c r="K65" s="2">
        <v>8</v>
      </c>
      <c r="L65" s="2">
        <v>9</v>
      </c>
      <c r="M65" s="2">
        <v>10</v>
      </c>
    </row>
    <row r="66" spans="1:13" x14ac:dyDescent="0.25">
      <c r="A66" s="2" t="s">
        <v>78</v>
      </c>
    </row>
    <row r="67" spans="1:13" x14ac:dyDescent="0.25">
      <c r="A67" s="2" t="s">
        <v>79</v>
      </c>
    </row>
    <row r="68" spans="1:13" x14ac:dyDescent="0.25">
      <c r="B68" s="2" t="s">
        <v>80</v>
      </c>
      <c r="D68" s="2">
        <f>D14-D16-D19-D20-D21-D22</f>
        <v>16500</v>
      </c>
      <c r="E68" s="2">
        <f t="shared" ref="E68:M68" si="39">E14-E16-E19-E20-E21-E22</f>
        <v>20250</v>
      </c>
      <c r="F68" s="2">
        <f t="shared" si="39"/>
        <v>24166.5</v>
      </c>
      <c r="G68" s="2">
        <f t="shared" si="39"/>
        <v>28256.655000000013</v>
      </c>
      <c r="H68" s="2">
        <f t="shared" si="39"/>
        <v>39430.905599999998</v>
      </c>
      <c r="I68" s="2">
        <f t="shared" si="39"/>
        <v>44098.14182400002</v>
      </c>
      <c r="J68" s="2">
        <f t="shared" si="39"/>
        <v>48968.567496960051</v>
      </c>
      <c r="K68" s="2">
        <f t="shared" si="39"/>
        <v>54050.805196838439</v>
      </c>
      <c r="L68" s="2">
        <f t="shared" si="39"/>
        <v>66256.821804712003</v>
      </c>
      <c r="M68" s="2">
        <f t="shared" si="39"/>
        <v>71997.09467690048</v>
      </c>
    </row>
    <row r="69" spans="1:13" x14ac:dyDescent="0.25">
      <c r="B69" s="2" t="s">
        <v>81</v>
      </c>
      <c r="D69" s="2">
        <f>D25</f>
        <v>4633.333333333333</v>
      </c>
      <c r="E69" s="2">
        <f t="shared" ref="E69:M69" si="40">E25</f>
        <v>4633.333333333333</v>
      </c>
      <c r="F69" s="2">
        <f t="shared" si="40"/>
        <v>4633.333333333333</v>
      </c>
      <c r="G69" s="2">
        <f t="shared" si="40"/>
        <v>4633.333333333333</v>
      </c>
      <c r="H69" s="2">
        <f t="shared" si="40"/>
        <v>4633.333333333333</v>
      </c>
      <c r="I69" s="2">
        <f t="shared" si="40"/>
        <v>4633.333333333333</v>
      </c>
      <c r="J69" s="2">
        <f t="shared" si="40"/>
        <v>4633.333333333333</v>
      </c>
      <c r="K69" s="2">
        <f t="shared" si="40"/>
        <v>4633.333333333333</v>
      </c>
      <c r="L69" s="2">
        <f t="shared" si="40"/>
        <v>4633.333333333333</v>
      </c>
      <c r="M69" s="2">
        <f t="shared" si="40"/>
        <v>4633.333333333333</v>
      </c>
    </row>
    <row r="70" spans="1:13" x14ac:dyDescent="0.25">
      <c r="B70" s="2" t="s">
        <v>82</v>
      </c>
      <c r="D70" s="2">
        <f>D68-D69</f>
        <v>11866.666666666668</v>
      </c>
      <c r="E70" s="2">
        <f t="shared" ref="E70:M70" si="41">E68-E69</f>
        <v>15616.666666666668</v>
      </c>
      <c r="F70" s="2">
        <f t="shared" si="41"/>
        <v>19533.166666666668</v>
      </c>
      <c r="G70" s="2">
        <f t="shared" si="41"/>
        <v>23623.321666666681</v>
      </c>
      <c r="H70" s="2">
        <f t="shared" si="41"/>
        <v>34797.572266666662</v>
      </c>
      <c r="I70" s="2">
        <f t="shared" si="41"/>
        <v>39464.808490666685</v>
      </c>
      <c r="J70" s="2">
        <f t="shared" si="41"/>
        <v>44335.234163626716</v>
      </c>
      <c r="K70" s="2">
        <f t="shared" si="41"/>
        <v>49417.471863505103</v>
      </c>
      <c r="L70" s="2">
        <f t="shared" si="41"/>
        <v>61623.488471378667</v>
      </c>
      <c r="M70" s="2">
        <f t="shared" si="41"/>
        <v>67363.761343567152</v>
      </c>
    </row>
    <row r="71" spans="1:13" x14ac:dyDescent="0.25">
      <c r="B71" s="2" t="s">
        <v>83</v>
      </c>
      <c r="D71" s="2">
        <f>D70*$C$9</f>
        <v>2966.666666666667</v>
      </c>
      <c r="E71" s="2">
        <f t="shared" ref="E71:M71" si="42">E70*$C$9</f>
        <v>3904.166666666667</v>
      </c>
      <c r="F71" s="2">
        <f t="shared" si="42"/>
        <v>4883.291666666667</v>
      </c>
      <c r="G71" s="2">
        <f t="shared" si="42"/>
        <v>5905.8304166666703</v>
      </c>
      <c r="H71" s="2">
        <f t="shared" si="42"/>
        <v>8699.3930666666656</v>
      </c>
      <c r="I71" s="2">
        <f t="shared" si="42"/>
        <v>9866.2021226666711</v>
      </c>
      <c r="J71" s="2">
        <f t="shared" si="42"/>
        <v>11083.808540906679</v>
      </c>
      <c r="K71" s="2">
        <f t="shared" si="42"/>
        <v>12354.367965876276</v>
      </c>
      <c r="L71" s="2">
        <f t="shared" si="42"/>
        <v>15405.872117844667</v>
      </c>
      <c r="M71" s="2">
        <f t="shared" si="42"/>
        <v>16840.940335891788</v>
      </c>
    </row>
    <row r="72" spans="1:13" x14ac:dyDescent="0.25">
      <c r="B72" s="2" t="s">
        <v>84</v>
      </c>
      <c r="D72" s="2">
        <f>D68-D71</f>
        <v>13533.333333333332</v>
      </c>
      <c r="E72" s="2">
        <f t="shared" ref="E72:M72" si="43">E68-E71</f>
        <v>16345.833333333332</v>
      </c>
      <c r="F72" s="2">
        <f t="shared" si="43"/>
        <v>19283.208333333332</v>
      </c>
      <c r="G72" s="2">
        <f t="shared" si="43"/>
        <v>22350.824583333342</v>
      </c>
      <c r="H72" s="2">
        <f t="shared" si="43"/>
        <v>30731.512533333334</v>
      </c>
      <c r="I72" s="2">
        <f t="shared" si="43"/>
        <v>34231.939701333351</v>
      </c>
      <c r="J72" s="2">
        <f t="shared" si="43"/>
        <v>37884.758956053374</v>
      </c>
      <c r="K72" s="2">
        <f t="shared" si="43"/>
        <v>41696.437230962161</v>
      </c>
      <c r="L72" s="2">
        <f t="shared" si="43"/>
        <v>50850.949686867338</v>
      </c>
      <c r="M72" s="2">
        <f t="shared" si="43"/>
        <v>55156.154341008689</v>
      </c>
    </row>
    <row r="74" spans="1:13" x14ac:dyDescent="0.25">
      <c r="A74" s="2" t="s">
        <v>85</v>
      </c>
    </row>
    <row r="75" spans="1:13" x14ac:dyDescent="0.25">
      <c r="A75" s="2" t="s">
        <v>86</v>
      </c>
    </row>
    <row r="76" spans="1:13" x14ac:dyDescent="0.25">
      <c r="A76" s="2" t="s">
        <v>87</v>
      </c>
      <c r="B76" s="2" t="s">
        <v>62</v>
      </c>
      <c r="C76" s="2">
        <f>D50-C50</f>
        <v>2283.1050228310505</v>
      </c>
      <c r="D76" s="2">
        <f t="shared" ref="D76:M76" si="44">E50-D50</f>
        <v>186.07305936073044</v>
      </c>
      <c r="E76" s="2">
        <f t="shared" si="44"/>
        <v>201.23801369862986</v>
      </c>
      <c r="F76" s="2">
        <f t="shared" si="44"/>
        <v>217.6389118150687</v>
      </c>
      <c r="G76" s="2">
        <f t="shared" si="44"/>
        <v>235.37648312799593</v>
      </c>
      <c r="H76" s="2">
        <f t="shared" si="44"/>
        <v>254.55966650292885</v>
      </c>
      <c r="I76" s="2">
        <f t="shared" si="44"/>
        <v>275.30627932291691</v>
      </c>
      <c r="J76" s="2">
        <f t="shared" si="44"/>
        <v>297.74374108773509</v>
      </c>
      <c r="K76" s="2">
        <f t="shared" si="44"/>
        <v>322.00985598638454</v>
      </c>
      <c r="L76" s="2">
        <f t="shared" si="44"/>
        <v>348.25365924927519</v>
      </c>
      <c r="M76" s="2">
        <f t="shared" si="44"/>
        <v>-4621.304692982716</v>
      </c>
    </row>
    <row r="77" spans="1:13" x14ac:dyDescent="0.25">
      <c r="A77" s="2" t="s">
        <v>88</v>
      </c>
      <c r="B77" s="2" t="s">
        <v>89</v>
      </c>
      <c r="C77" s="2">
        <f>-(D36-C36)</f>
        <v>-5000</v>
      </c>
      <c r="D77" s="2">
        <f t="shared" ref="D77:M77" si="45">-(E36-D36)</f>
        <v>0</v>
      </c>
      <c r="E77" s="2">
        <f t="shared" si="45"/>
        <v>0</v>
      </c>
      <c r="F77" s="2">
        <f t="shared" si="45"/>
        <v>0</v>
      </c>
      <c r="G77" s="2">
        <f t="shared" si="45"/>
        <v>0</v>
      </c>
      <c r="H77" s="2">
        <f t="shared" si="45"/>
        <v>0</v>
      </c>
      <c r="I77" s="2">
        <f t="shared" si="45"/>
        <v>0</v>
      </c>
      <c r="J77" s="2">
        <f t="shared" si="45"/>
        <v>0</v>
      </c>
      <c r="K77" s="2">
        <f t="shared" si="45"/>
        <v>0</v>
      </c>
      <c r="L77" s="2">
        <f t="shared" si="45"/>
        <v>0</v>
      </c>
      <c r="M77" s="2">
        <f t="shared" si="45"/>
        <v>5000</v>
      </c>
    </row>
    <row r="78" spans="1:13" x14ac:dyDescent="0.25">
      <c r="A78" s="2" t="s">
        <v>88</v>
      </c>
      <c r="B78" s="2" t="s">
        <v>44</v>
      </c>
      <c r="C78" s="2">
        <f>-(D38-C38)</f>
        <v>0</v>
      </c>
      <c r="D78" s="2">
        <f t="shared" ref="D78:M78" si="46">-(E38-D38)</f>
        <v>0</v>
      </c>
      <c r="E78" s="2">
        <f t="shared" si="46"/>
        <v>0</v>
      </c>
      <c r="F78" s="2">
        <f t="shared" si="46"/>
        <v>0</v>
      </c>
      <c r="G78" s="2">
        <f t="shared" si="46"/>
        <v>0</v>
      </c>
      <c r="H78" s="2">
        <f t="shared" si="46"/>
        <v>0</v>
      </c>
      <c r="I78" s="2">
        <f t="shared" si="46"/>
        <v>0</v>
      </c>
      <c r="J78" s="2">
        <f t="shared" si="46"/>
        <v>0</v>
      </c>
      <c r="K78" s="2">
        <f t="shared" si="46"/>
        <v>0</v>
      </c>
      <c r="L78" s="2">
        <f t="shared" si="46"/>
        <v>0</v>
      </c>
      <c r="M78" s="2">
        <f t="shared" si="46"/>
        <v>0</v>
      </c>
    </row>
    <row r="79" spans="1:13" x14ac:dyDescent="0.25">
      <c r="A79" s="2" t="s">
        <v>88</v>
      </c>
      <c r="B79" s="2" t="s">
        <v>90</v>
      </c>
      <c r="C79" s="2">
        <f>-(D37-C37)</f>
        <v>0</v>
      </c>
      <c r="D79" s="2">
        <f>-(E37-D37)</f>
        <v>0</v>
      </c>
      <c r="E79" s="2">
        <f t="shared" ref="E79:M79" si="47">-(F37-E37)</f>
        <v>0</v>
      </c>
      <c r="F79" s="2">
        <f t="shared" si="47"/>
        <v>0</v>
      </c>
      <c r="G79" s="2">
        <f t="shared" si="47"/>
        <v>0</v>
      </c>
      <c r="H79" s="2">
        <f t="shared" si="47"/>
        <v>0</v>
      </c>
      <c r="I79" s="2">
        <f t="shared" si="47"/>
        <v>0</v>
      </c>
      <c r="J79" s="2">
        <f t="shared" si="47"/>
        <v>0</v>
      </c>
      <c r="K79" s="2">
        <f t="shared" si="47"/>
        <v>0</v>
      </c>
      <c r="L79" s="2">
        <f t="shared" si="47"/>
        <v>0</v>
      </c>
      <c r="M79" s="2">
        <f t="shared" si="47"/>
        <v>0</v>
      </c>
    </row>
    <row r="80" spans="1:13" x14ac:dyDescent="0.25">
      <c r="B80" s="2" t="s">
        <v>45</v>
      </c>
      <c r="C80" s="2">
        <f>-(D39-C39)</f>
        <v>-30000</v>
      </c>
      <c r="D80" s="2">
        <f t="shared" ref="D80:M80" si="48">-(E39-D39)</f>
        <v>20823.529411764706</v>
      </c>
      <c r="E80" s="2">
        <f t="shared" si="48"/>
        <v>-2051.2110726643587</v>
      </c>
      <c r="F80" s="2">
        <f t="shared" si="48"/>
        <v>-2509.7170771422734</v>
      </c>
      <c r="G80" s="2">
        <f t="shared" si="48"/>
        <v>6216.8794237562124</v>
      </c>
      <c r="H80" s="2">
        <f t="shared" si="48"/>
        <v>-1681.0572584873953</v>
      </c>
      <c r="I80" s="2">
        <f t="shared" si="48"/>
        <v>-2056.8229986198712</v>
      </c>
      <c r="J80" s="2">
        <f t="shared" si="48"/>
        <v>-2516.5834336054941</v>
      </c>
      <c r="K80" s="2">
        <f t="shared" si="48"/>
        <v>6076.782096468809</v>
      </c>
      <c r="L80" s="2">
        <f t="shared" si="48"/>
        <v>-1720.7743207301628</v>
      </c>
      <c r="M80" s="2">
        <f t="shared" si="48"/>
        <v>9418.9752292598296</v>
      </c>
    </row>
    <row r="81" spans="1:16" x14ac:dyDescent="0.25">
      <c r="B81" s="2" t="s">
        <v>91</v>
      </c>
      <c r="C81" s="2">
        <f>D71-C71</f>
        <v>2966.666666666667</v>
      </c>
      <c r="D81" s="2">
        <f t="shared" ref="D81:M81" si="49">E71-D71</f>
        <v>937.5</v>
      </c>
      <c r="E81" s="2">
        <f t="shared" si="49"/>
        <v>979.125</v>
      </c>
      <c r="F81" s="2">
        <f t="shared" si="49"/>
        <v>1022.5387500000033</v>
      </c>
      <c r="G81" s="2">
        <f t="shared" si="49"/>
        <v>2793.5626499999953</v>
      </c>
      <c r="H81" s="2">
        <f t="shared" si="49"/>
        <v>1166.8090560000055</v>
      </c>
      <c r="I81" s="2">
        <f t="shared" si="49"/>
        <v>1217.6064182400078</v>
      </c>
      <c r="J81" s="2">
        <f t="shared" si="49"/>
        <v>1270.5594249695969</v>
      </c>
      <c r="K81" s="2">
        <f t="shared" si="49"/>
        <v>3051.5041519683909</v>
      </c>
      <c r="L81" s="2">
        <f t="shared" si="49"/>
        <v>1435.0682180471213</v>
      </c>
      <c r="M81" s="2">
        <f t="shared" si="49"/>
        <v>-16840.940335891788</v>
      </c>
    </row>
    <row r="83" spans="1:16" x14ac:dyDescent="0.25">
      <c r="A83" s="2" t="s">
        <v>92</v>
      </c>
    </row>
    <row r="84" spans="1:16" x14ac:dyDescent="0.25">
      <c r="B84" s="2" t="s">
        <v>50</v>
      </c>
      <c r="C84" s="2">
        <f>-(D42-C42)</f>
        <v>-90000</v>
      </c>
      <c r="D84" s="2">
        <f t="shared" ref="D84:M84" si="50">-(E42-D42)</f>
        <v>0</v>
      </c>
      <c r="E84" s="2">
        <f t="shared" si="50"/>
        <v>0</v>
      </c>
      <c r="F84" s="2">
        <f t="shared" si="50"/>
        <v>0</v>
      </c>
      <c r="G84" s="2">
        <f t="shared" si="50"/>
        <v>0</v>
      </c>
      <c r="H84" s="2">
        <f t="shared" si="50"/>
        <v>0</v>
      </c>
      <c r="I84" s="2">
        <f t="shared" si="50"/>
        <v>0</v>
      </c>
      <c r="J84" s="2">
        <f t="shared" si="50"/>
        <v>0</v>
      </c>
      <c r="K84" s="2">
        <f t="shared" si="50"/>
        <v>0</v>
      </c>
      <c r="L84" s="2">
        <f t="shared" si="50"/>
        <v>0</v>
      </c>
      <c r="M84" s="2">
        <f t="shared" si="50"/>
        <v>90000</v>
      </c>
      <c r="P84" s="2" t="s">
        <v>93</v>
      </c>
    </row>
    <row r="85" spans="1:16" x14ac:dyDescent="0.25">
      <c r="B85" s="2" t="s">
        <v>94</v>
      </c>
      <c r="M85" s="2">
        <v>0</v>
      </c>
      <c r="N85" s="2" t="s">
        <v>120</v>
      </c>
      <c r="O85" s="2">
        <f>M42</f>
        <v>90000</v>
      </c>
      <c r="P85" s="2">
        <v>144733</v>
      </c>
    </row>
    <row r="86" spans="1:16" x14ac:dyDescent="0.25">
      <c r="B86" s="2" t="s">
        <v>95</v>
      </c>
      <c r="M86" s="2">
        <f>+O86*-C9</f>
        <v>-13683.25</v>
      </c>
      <c r="N86" s="2" t="s">
        <v>96</v>
      </c>
      <c r="O86" s="2">
        <f>+P85-O85</f>
        <v>54733</v>
      </c>
    </row>
    <row r="88" spans="1:16" x14ac:dyDescent="0.25">
      <c r="B88" s="2" t="s">
        <v>52</v>
      </c>
      <c r="C88" s="2">
        <f>-(D43-C43)</f>
        <v>-139000</v>
      </c>
      <c r="D88" s="2">
        <f t="shared" ref="D88:M88" si="51">-(E43-D43)</f>
        <v>0</v>
      </c>
      <c r="E88" s="2">
        <f t="shared" si="51"/>
        <v>0</v>
      </c>
      <c r="F88" s="2">
        <f t="shared" si="51"/>
        <v>0</v>
      </c>
      <c r="G88" s="2">
        <f t="shared" si="51"/>
        <v>0</v>
      </c>
      <c r="H88" s="2">
        <f t="shared" si="51"/>
        <v>0</v>
      </c>
      <c r="I88" s="2">
        <f t="shared" si="51"/>
        <v>0</v>
      </c>
      <c r="J88" s="2">
        <f t="shared" si="51"/>
        <v>0</v>
      </c>
      <c r="K88" s="2">
        <f t="shared" si="51"/>
        <v>0</v>
      </c>
      <c r="L88" s="2">
        <f t="shared" si="51"/>
        <v>0</v>
      </c>
      <c r="M88" s="2">
        <f t="shared" si="51"/>
        <v>139000</v>
      </c>
      <c r="P88" s="2" t="s">
        <v>93</v>
      </c>
    </row>
    <row r="89" spans="1:16" x14ac:dyDescent="0.25">
      <c r="B89" s="2" t="s">
        <v>94</v>
      </c>
      <c r="N89" s="2" t="s">
        <v>120</v>
      </c>
      <c r="O89" s="2">
        <f>M43-M44</f>
        <v>129733.33333333333</v>
      </c>
      <c r="P89" s="2">
        <v>484925</v>
      </c>
    </row>
    <row r="90" spans="1:16" x14ac:dyDescent="0.25">
      <c r="B90" s="2" t="s">
        <v>95</v>
      </c>
      <c r="M90" s="2">
        <f>-O90*C9</f>
        <v>-88797.916666666672</v>
      </c>
      <c r="N90" s="2" t="s">
        <v>96</v>
      </c>
      <c r="O90" s="2">
        <f>P89-O89</f>
        <v>355191.66666666669</v>
      </c>
    </row>
    <row r="93" spans="1:16" x14ac:dyDescent="0.25">
      <c r="B93" s="2" t="s">
        <v>47</v>
      </c>
      <c r="C93" s="2">
        <f>-(D40-C40)</f>
        <v>-40000</v>
      </c>
      <c r="D93" s="2">
        <f t="shared" ref="D93:M93" si="52">-(E40-D40)</f>
        <v>0</v>
      </c>
      <c r="E93" s="2">
        <f t="shared" si="52"/>
        <v>0</v>
      </c>
      <c r="F93" s="2">
        <f t="shared" si="52"/>
        <v>0</v>
      </c>
      <c r="G93" s="2">
        <f t="shared" si="52"/>
        <v>0</v>
      </c>
      <c r="H93" s="2">
        <f t="shared" si="52"/>
        <v>0</v>
      </c>
      <c r="I93" s="2">
        <f t="shared" si="52"/>
        <v>0</v>
      </c>
      <c r="J93" s="2">
        <f t="shared" si="52"/>
        <v>0</v>
      </c>
      <c r="K93" s="2">
        <f t="shared" si="52"/>
        <v>0</v>
      </c>
      <c r="L93" s="2">
        <f t="shared" si="52"/>
        <v>0</v>
      </c>
      <c r="M93" s="2">
        <f t="shared" si="52"/>
        <v>40000</v>
      </c>
    </row>
    <row r="95" spans="1:16" x14ac:dyDescent="0.25">
      <c r="A95" s="2" t="s">
        <v>97</v>
      </c>
      <c r="C95" s="2">
        <f>SUM(C72:C93)</f>
        <v>-298750.22831050225</v>
      </c>
      <c r="D95" s="2">
        <f t="shared" ref="D95:M95" si="53">SUM(D72:D93)</f>
        <v>35480.435804458772</v>
      </c>
      <c r="E95" s="2">
        <f t="shared" si="53"/>
        <v>15474.985274367602</v>
      </c>
      <c r="F95" s="2">
        <f t="shared" si="53"/>
        <v>18013.668918006133</v>
      </c>
      <c r="G95" s="2">
        <f t="shared" si="53"/>
        <v>31596.643140217548</v>
      </c>
      <c r="H95" s="2">
        <f t="shared" si="53"/>
        <v>30471.823997348874</v>
      </c>
      <c r="I95" s="2">
        <f t="shared" si="53"/>
        <v>33668.029400276406</v>
      </c>
      <c r="J95" s="2">
        <f t="shared" si="53"/>
        <v>36936.478688505216</v>
      </c>
      <c r="K95" s="2">
        <f t="shared" si="53"/>
        <v>51146.733335385739</v>
      </c>
      <c r="L95" s="2">
        <f t="shared" si="53"/>
        <v>50913.497243433572</v>
      </c>
      <c r="M95" s="2">
        <f t="shared" si="53"/>
        <v>214631.71787472733</v>
      </c>
    </row>
    <row r="96" spans="1:16" x14ac:dyDescent="0.25">
      <c r="A96" s="2" t="s">
        <v>98</v>
      </c>
      <c r="C96" s="8">
        <f>IRR(C95:M95)</f>
        <v>8.0492196599999177E-2</v>
      </c>
    </row>
    <row r="97" spans="1:25" x14ac:dyDescent="0.25">
      <c r="A97" s="2" t="s">
        <v>99</v>
      </c>
      <c r="C97" s="8">
        <f>X59</f>
        <v>7.9767000000000005E-2</v>
      </c>
    </row>
    <row r="98" spans="1:25" x14ac:dyDescent="0.25">
      <c r="A98" s="2" t="s">
        <v>100</v>
      </c>
      <c r="C98" s="2">
        <f>-PV($C$97,C65,,C95)</f>
        <v>-298750.22831050225</v>
      </c>
      <c r="D98" s="2">
        <f>-PV($C$97,D65,,D95)</f>
        <v>32859.344473815901</v>
      </c>
      <c r="E98" s="2">
        <f t="shared" ref="E98:M98" si="54">-PV($C$97,E65,,E95)</f>
        <v>13273.032069073808</v>
      </c>
      <c r="F98" s="2">
        <f t="shared" si="54"/>
        <v>14309.090329551154</v>
      </c>
      <c r="G98" s="2">
        <f t="shared" si="54"/>
        <v>23244.528633082227</v>
      </c>
      <c r="H98" s="2">
        <f t="shared" si="54"/>
        <v>20760.996698669202</v>
      </c>
      <c r="I98" s="2">
        <f t="shared" si="54"/>
        <v>21244.053945164</v>
      </c>
      <c r="J98" s="2">
        <f t="shared" si="54"/>
        <v>21584.656287893351</v>
      </c>
      <c r="K98" s="2">
        <f t="shared" si="54"/>
        <v>27680.727391181274</v>
      </c>
      <c r="L98" s="2">
        <f t="shared" si="54"/>
        <v>25518.930928975496</v>
      </c>
      <c r="M98" s="2">
        <f t="shared" si="54"/>
        <v>99630.749618328424</v>
      </c>
    </row>
    <row r="99" spans="1:25" x14ac:dyDescent="0.25">
      <c r="A99" s="2" t="s">
        <v>101</v>
      </c>
      <c r="C99" s="2">
        <f>SUM(C98:M98)</f>
        <v>1355.8820652325667</v>
      </c>
    </row>
    <row r="102" spans="1:25" x14ac:dyDescent="0.25">
      <c r="A102" s="2" t="s">
        <v>102</v>
      </c>
      <c r="B102" s="2" t="s">
        <v>103</v>
      </c>
      <c r="C102" s="2">
        <f>SUM(D98:M98)</f>
        <v>300106.11037573486</v>
      </c>
    </row>
    <row r="103" spans="1:2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7" spans="1:25" x14ac:dyDescent="0.25">
      <c r="A107" s="12" t="s">
        <v>99</v>
      </c>
      <c r="C107" s="8">
        <f>C97</f>
        <v>7.9767000000000005E-2</v>
      </c>
    </row>
    <row r="108" spans="1:25" x14ac:dyDescent="0.25">
      <c r="A108" s="12"/>
    </row>
    <row r="109" spans="1:25" x14ac:dyDescent="0.25">
      <c r="A109" s="12" t="s">
        <v>127</v>
      </c>
      <c r="C109" s="13">
        <v>0</v>
      </c>
      <c r="D109" s="14">
        <v>1</v>
      </c>
      <c r="E109" s="13">
        <v>2</v>
      </c>
      <c r="F109" s="14">
        <v>3</v>
      </c>
      <c r="G109" s="13">
        <v>4</v>
      </c>
      <c r="H109" s="14">
        <v>5</v>
      </c>
      <c r="I109" s="13">
        <v>6</v>
      </c>
      <c r="J109" s="14">
        <v>7</v>
      </c>
      <c r="K109" s="13">
        <v>8</v>
      </c>
      <c r="L109" s="14">
        <v>9</v>
      </c>
      <c r="M109" s="13">
        <v>10</v>
      </c>
    </row>
    <row r="110" spans="1:25" x14ac:dyDescent="0.25">
      <c r="A110" s="12" t="s">
        <v>126</v>
      </c>
      <c r="C110" s="2">
        <f>C95</f>
        <v>-298750.22831050225</v>
      </c>
      <c r="D110" s="2">
        <f t="shared" ref="D110:M110" si="55">D95</f>
        <v>35480.435804458772</v>
      </c>
      <c r="E110" s="2">
        <f t="shared" si="55"/>
        <v>15474.985274367602</v>
      </c>
      <c r="F110" s="2">
        <f t="shared" si="55"/>
        <v>18013.668918006133</v>
      </c>
      <c r="G110" s="2">
        <f t="shared" si="55"/>
        <v>31596.643140217548</v>
      </c>
      <c r="H110" s="2">
        <f t="shared" si="55"/>
        <v>30471.823997348874</v>
      </c>
      <c r="I110" s="2">
        <f t="shared" si="55"/>
        <v>33668.029400276406</v>
      </c>
      <c r="J110" s="2">
        <f t="shared" si="55"/>
        <v>36936.478688505216</v>
      </c>
      <c r="K110" s="2">
        <f t="shared" si="55"/>
        <v>51146.733335385739</v>
      </c>
      <c r="L110" s="2">
        <f t="shared" si="55"/>
        <v>50913.497243433572</v>
      </c>
      <c r="M110" s="2">
        <f t="shared" si="55"/>
        <v>214631.71787472733</v>
      </c>
    </row>
    <row r="111" spans="1:25" x14ac:dyDescent="0.25">
      <c r="A111" s="12" t="s">
        <v>128</v>
      </c>
      <c r="M111" s="2">
        <v>500000</v>
      </c>
      <c r="N111" s="2" t="str">
        <f>A116</f>
        <v>Good</v>
      </c>
    </row>
    <row r="112" spans="1:25" x14ac:dyDescent="0.25">
      <c r="M112" s="2">
        <v>300000</v>
      </c>
      <c r="N112" s="2" t="str">
        <f>A120</f>
        <v>Medium</v>
      </c>
    </row>
    <row r="113" spans="1:14" x14ac:dyDescent="0.25">
      <c r="M113" s="2">
        <v>100000</v>
      </c>
      <c r="N113" s="2" t="str">
        <f>A124</f>
        <v>Bad</v>
      </c>
    </row>
    <row r="116" spans="1:14" ht="15.75" x14ac:dyDescent="0.25">
      <c r="A116" s="10" t="s">
        <v>121</v>
      </c>
      <c r="C116" s="2">
        <f>+C110+C111</f>
        <v>-298750.22831050225</v>
      </c>
      <c r="D116" s="2">
        <f t="shared" ref="D116:L116" si="56">+D110+D111</f>
        <v>35480.435804458772</v>
      </c>
      <c r="E116" s="2">
        <f t="shared" si="56"/>
        <v>15474.985274367602</v>
      </c>
      <c r="F116" s="2">
        <f t="shared" si="56"/>
        <v>18013.668918006133</v>
      </c>
      <c r="G116" s="2">
        <f t="shared" si="56"/>
        <v>31596.643140217548</v>
      </c>
      <c r="H116" s="2">
        <f t="shared" si="56"/>
        <v>30471.823997348874</v>
      </c>
      <c r="I116" s="2">
        <f t="shared" si="56"/>
        <v>33668.029400276406</v>
      </c>
      <c r="J116" s="2">
        <f t="shared" si="56"/>
        <v>36936.478688505216</v>
      </c>
      <c r="K116" s="2">
        <f t="shared" si="56"/>
        <v>51146.733335385739</v>
      </c>
      <c r="L116" s="2">
        <f t="shared" si="56"/>
        <v>50913.497243433572</v>
      </c>
      <c r="M116" s="2">
        <f>+M110+M111</f>
        <v>714631.71787472733</v>
      </c>
    </row>
    <row r="117" spans="1:14" ht="15.75" x14ac:dyDescent="0.25">
      <c r="A117" s="11" t="s">
        <v>122</v>
      </c>
      <c r="C117" s="2">
        <f>-PV($C$107,C109,,C116)</f>
        <v>-298750.22831050225</v>
      </c>
      <c r="D117" s="2">
        <f t="shared" ref="D117:M117" si="57">-PV($C$107,D109,,D116)</f>
        <v>32859.344473815901</v>
      </c>
      <c r="E117" s="2">
        <f t="shared" si="57"/>
        <v>13273.032069073808</v>
      </c>
      <c r="F117" s="2">
        <f t="shared" si="57"/>
        <v>14309.090329551154</v>
      </c>
      <c r="G117" s="2">
        <f t="shared" si="57"/>
        <v>23244.528633082227</v>
      </c>
      <c r="H117" s="2">
        <f t="shared" si="57"/>
        <v>20760.996698669202</v>
      </c>
      <c r="I117" s="2">
        <f t="shared" si="57"/>
        <v>21244.053945164</v>
      </c>
      <c r="J117" s="2">
        <f t="shared" si="57"/>
        <v>21584.656287893351</v>
      </c>
      <c r="K117" s="2">
        <f t="shared" si="57"/>
        <v>27680.727391181274</v>
      </c>
      <c r="L117" s="2">
        <f t="shared" si="57"/>
        <v>25518.930928975496</v>
      </c>
      <c r="M117" s="2">
        <f t="shared" si="57"/>
        <v>331727.73557377618</v>
      </c>
    </row>
    <row r="118" spans="1:14" ht="15.75" x14ac:dyDescent="0.25">
      <c r="A118" s="10" t="s">
        <v>123</v>
      </c>
      <c r="C118" s="2">
        <f>SUM(C117:M117)</f>
        <v>233452.86802068033</v>
      </c>
      <c r="D118" s="1">
        <v>0.6</v>
      </c>
    </row>
    <row r="119" spans="1:14" ht="15.75" x14ac:dyDescent="0.25">
      <c r="A119" s="11"/>
    </row>
    <row r="120" spans="1:14" ht="15.75" x14ac:dyDescent="0.25">
      <c r="A120" s="10" t="s">
        <v>124</v>
      </c>
      <c r="C120" s="2">
        <f>+C110+C112</f>
        <v>-298750.22831050225</v>
      </c>
      <c r="D120" s="2">
        <f t="shared" ref="D120:L120" si="58">+D110+D112</f>
        <v>35480.435804458772</v>
      </c>
      <c r="E120" s="2">
        <f t="shared" si="58"/>
        <v>15474.985274367602</v>
      </c>
      <c r="F120" s="2">
        <f t="shared" si="58"/>
        <v>18013.668918006133</v>
      </c>
      <c r="G120" s="2">
        <f t="shared" si="58"/>
        <v>31596.643140217548</v>
      </c>
      <c r="H120" s="2">
        <f t="shared" si="58"/>
        <v>30471.823997348874</v>
      </c>
      <c r="I120" s="2">
        <f t="shared" si="58"/>
        <v>33668.029400276406</v>
      </c>
      <c r="J120" s="2">
        <f t="shared" si="58"/>
        <v>36936.478688505216</v>
      </c>
      <c r="K120" s="2">
        <f t="shared" si="58"/>
        <v>51146.733335385739</v>
      </c>
      <c r="L120" s="2">
        <f t="shared" si="58"/>
        <v>50913.497243433572</v>
      </c>
      <c r="M120" s="2">
        <f>+M110+M112</f>
        <v>514631.71787472733</v>
      </c>
    </row>
    <row r="121" spans="1:14" ht="15.75" x14ac:dyDescent="0.25">
      <c r="A121" s="11" t="s">
        <v>122</v>
      </c>
      <c r="C121" s="2">
        <f>-PV($C$107,C109,,C120)</f>
        <v>-298750.22831050225</v>
      </c>
      <c r="D121" s="2">
        <f t="shared" ref="D121:M121" si="59">-PV($C$107,D109,,D120)</f>
        <v>32859.344473815901</v>
      </c>
      <c r="E121" s="2">
        <f t="shared" si="59"/>
        <v>13273.032069073808</v>
      </c>
      <c r="F121" s="2">
        <f t="shared" si="59"/>
        <v>14309.090329551154</v>
      </c>
      <c r="G121" s="2">
        <f t="shared" si="59"/>
        <v>23244.528633082227</v>
      </c>
      <c r="H121" s="2">
        <f t="shared" si="59"/>
        <v>20760.996698669202</v>
      </c>
      <c r="I121" s="2">
        <f t="shared" si="59"/>
        <v>21244.053945164</v>
      </c>
      <c r="J121" s="2">
        <f t="shared" si="59"/>
        <v>21584.656287893351</v>
      </c>
      <c r="K121" s="2">
        <f t="shared" si="59"/>
        <v>27680.727391181274</v>
      </c>
      <c r="L121" s="2">
        <f t="shared" si="59"/>
        <v>25518.930928975496</v>
      </c>
      <c r="M121" s="2">
        <f t="shared" si="59"/>
        <v>238888.94119159708</v>
      </c>
    </row>
    <row r="122" spans="1:14" ht="15.75" x14ac:dyDescent="0.25">
      <c r="A122" s="10" t="s">
        <v>123</v>
      </c>
      <c r="C122" s="2">
        <f>SUM(C121:M121)</f>
        <v>140614.07363850123</v>
      </c>
      <c r="D122" s="1">
        <v>0.2</v>
      </c>
    </row>
    <row r="123" spans="1:14" ht="15.75" x14ac:dyDescent="0.25">
      <c r="A123" s="11"/>
    </row>
    <row r="124" spans="1:14" ht="15.75" x14ac:dyDescent="0.25">
      <c r="A124" s="10" t="s">
        <v>125</v>
      </c>
      <c r="C124" s="2">
        <f>+C110+C113</f>
        <v>-298750.22831050225</v>
      </c>
      <c r="D124" s="2">
        <f t="shared" ref="D124:M124" si="60">+D110+D113</f>
        <v>35480.435804458772</v>
      </c>
      <c r="E124" s="2">
        <f t="shared" si="60"/>
        <v>15474.985274367602</v>
      </c>
      <c r="F124" s="2">
        <f t="shared" si="60"/>
        <v>18013.668918006133</v>
      </c>
      <c r="G124" s="2">
        <f t="shared" si="60"/>
        <v>31596.643140217548</v>
      </c>
      <c r="H124" s="2">
        <f t="shared" si="60"/>
        <v>30471.823997348874</v>
      </c>
      <c r="I124" s="2">
        <f t="shared" si="60"/>
        <v>33668.029400276406</v>
      </c>
      <c r="J124" s="2">
        <f t="shared" si="60"/>
        <v>36936.478688505216</v>
      </c>
      <c r="K124" s="2">
        <f t="shared" si="60"/>
        <v>51146.733335385739</v>
      </c>
      <c r="L124" s="2">
        <f t="shared" si="60"/>
        <v>50913.497243433572</v>
      </c>
      <c r="M124" s="2">
        <f t="shared" si="60"/>
        <v>314631.71787472733</v>
      </c>
    </row>
    <row r="125" spans="1:14" ht="15.75" x14ac:dyDescent="0.25">
      <c r="A125" s="11" t="s">
        <v>122</v>
      </c>
      <c r="C125" s="2">
        <f>-PV($C$107,C109,,C124)</f>
        <v>-298750.22831050225</v>
      </c>
      <c r="D125" s="2">
        <f t="shared" ref="D125:M125" si="61">-PV($C$107,D109,,D124)</f>
        <v>32859.344473815901</v>
      </c>
      <c r="E125" s="2">
        <f t="shared" si="61"/>
        <v>13273.032069073808</v>
      </c>
      <c r="F125" s="2">
        <f t="shared" si="61"/>
        <v>14309.090329551154</v>
      </c>
      <c r="G125" s="2">
        <f t="shared" si="61"/>
        <v>23244.528633082227</v>
      </c>
      <c r="H125" s="2">
        <f t="shared" si="61"/>
        <v>20760.996698669202</v>
      </c>
      <c r="I125" s="2">
        <f t="shared" si="61"/>
        <v>21244.053945164</v>
      </c>
      <c r="J125" s="2">
        <f t="shared" si="61"/>
        <v>21584.656287893351</v>
      </c>
      <c r="K125" s="2">
        <f t="shared" si="61"/>
        <v>27680.727391181274</v>
      </c>
      <c r="L125" s="2">
        <f t="shared" si="61"/>
        <v>25518.930928975496</v>
      </c>
      <c r="M125" s="2">
        <f t="shared" si="61"/>
        <v>146050.14680941799</v>
      </c>
    </row>
    <row r="126" spans="1:14" ht="15.75" x14ac:dyDescent="0.25">
      <c r="A126" s="10" t="s">
        <v>123</v>
      </c>
      <c r="C126" s="2">
        <f>SUM(C125:M125)</f>
        <v>47775.27925632213</v>
      </c>
      <c r="D126" s="1">
        <v>0.2</v>
      </c>
    </row>
    <row r="127" spans="1:14" ht="15.75" x14ac:dyDescent="0.25">
      <c r="A127" s="11"/>
    </row>
    <row r="128" spans="1:14" ht="15.75" x14ac:dyDescent="0.25">
      <c r="A128" s="11" t="s">
        <v>110</v>
      </c>
      <c r="C128" s="17">
        <f>C118*D118+C122*D122+C126*D126</f>
        <v>177749.59139137287</v>
      </c>
      <c r="D128" s="18" t="s">
        <v>129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A43" zoomScale="70" zoomScaleNormal="70" workbookViewId="0">
      <selection activeCell="H73" sqref="H73"/>
    </sheetView>
  </sheetViews>
  <sheetFormatPr defaultRowHeight="15" x14ac:dyDescent="0.25"/>
  <cols>
    <col min="1" max="1" width="9.140625" style="2"/>
    <col min="2" max="2" width="31.140625" style="2" bestFit="1" customWidth="1"/>
    <col min="3" max="3" width="13.42578125" style="2" bestFit="1" customWidth="1"/>
    <col min="4" max="4" width="11.28515625" style="2" bestFit="1" customWidth="1"/>
    <col min="5" max="13" width="12.5703125" style="2" bestFit="1" customWidth="1"/>
    <col min="14" max="16384" width="9.140625" style="2"/>
  </cols>
  <sheetData>
    <row r="1" spans="1:15" x14ac:dyDescent="0.25">
      <c r="A1" s="2" t="s">
        <v>0</v>
      </c>
    </row>
    <row r="2" spans="1:15" x14ac:dyDescent="0.25">
      <c r="A2" s="2" t="s">
        <v>1</v>
      </c>
    </row>
    <row r="3" spans="1:15" x14ac:dyDescent="0.25">
      <c r="B3" s="2" t="s">
        <v>2</v>
      </c>
      <c r="C3" s="2">
        <v>2013</v>
      </c>
    </row>
    <row r="4" spans="1:15" x14ac:dyDescent="0.25">
      <c r="B4" s="2" t="s">
        <v>3</v>
      </c>
      <c r="C4" s="2">
        <v>360</v>
      </c>
    </row>
    <row r="5" spans="1:15" x14ac:dyDescent="0.25">
      <c r="B5" s="2" t="s">
        <v>4</v>
      </c>
      <c r="D5" s="2">
        <v>30</v>
      </c>
      <c r="E5" s="2">
        <v>30</v>
      </c>
      <c r="F5" s="2">
        <v>30</v>
      </c>
      <c r="G5" s="2">
        <v>30</v>
      </c>
      <c r="H5" s="2">
        <v>30</v>
      </c>
      <c r="I5" s="2">
        <v>30</v>
      </c>
      <c r="J5" s="2">
        <v>30</v>
      </c>
      <c r="K5" s="2">
        <v>30</v>
      </c>
      <c r="L5" s="2">
        <v>30</v>
      </c>
      <c r="M5" s="2">
        <v>30</v>
      </c>
    </row>
    <row r="6" spans="1:15" x14ac:dyDescent="0.25">
      <c r="B6" s="2" t="s">
        <v>5</v>
      </c>
      <c r="D6" s="2">
        <v>6</v>
      </c>
      <c r="E6" s="2">
        <f>D6-(D6*0.15)</f>
        <v>5.0999999999999996</v>
      </c>
      <c r="F6" s="2">
        <f t="shared" ref="F6:G6" si="0">E6-(E6*0.15)</f>
        <v>4.335</v>
      </c>
      <c r="G6" s="2">
        <f t="shared" si="0"/>
        <v>3.6847500000000002</v>
      </c>
      <c r="H6" s="2">
        <v>7</v>
      </c>
      <c r="I6" s="2">
        <f t="shared" ref="I6:K6" si="1">H6-(H6*0.15)</f>
        <v>5.95</v>
      </c>
      <c r="J6" s="2">
        <f t="shared" si="1"/>
        <v>5.0575000000000001</v>
      </c>
      <c r="K6" s="2">
        <f t="shared" si="1"/>
        <v>4.2988749999999998</v>
      </c>
      <c r="L6" s="2">
        <v>8</v>
      </c>
      <c r="M6" s="2">
        <f t="shared" ref="M6" si="2">L6-(L6*0.15)</f>
        <v>6.8</v>
      </c>
      <c r="N6" s="2" t="s">
        <v>104</v>
      </c>
    </row>
    <row r="7" spans="1:15" x14ac:dyDescent="0.25">
      <c r="B7" s="2" t="s">
        <v>6</v>
      </c>
      <c r="D7" s="2">
        <f>365/D6</f>
        <v>60.833333333333336</v>
      </c>
      <c r="E7" s="2">
        <f t="shared" ref="E7:M7" si="3">365/E6</f>
        <v>71.568627450980401</v>
      </c>
      <c r="F7" s="2">
        <f t="shared" si="3"/>
        <v>84.198385236447521</v>
      </c>
      <c r="G7" s="2">
        <f t="shared" si="3"/>
        <v>99.056923807585306</v>
      </c>
      <c r="H7" s="2">
        <f t="shared" si="3"/>
        <v>52.142857142857146</v>
      </c>
      <c r="I7" s="2">
        <f t="shared" si="3"/>
        <v>61.344537815126046</v>
      </c>
      <c r="J7" s="2">
        <f t="shared" si="3"/>
        <v>72.170044488383581</v>
      </c>
      <c r="K7" s="2">
        <f t="shared" si="3"/>
        <v>84.905934692215993</v>
      </c>
      <c r="L7" s="2">
        <f t="shared" si="3"/>
        <v>45.625</v>
      </c>
      <c r="M7" s="2">
        <f t="shared" si="3"/>
        <v>53.676470588235297</v>
      </c>
    </row>
    <row r="8" spans="1:15" x14ac:dyDescent="0.25">
      <c r="B8" s="2" t="s">
        <v>7</v>
      </c>
      <c r="D8" s="2">
        <f>D10/1.8</f>
        <v>4.4444444444444446</v>
      </c>
      <c r="E8" s="2">
        <f t="shared" ref="E8:M8" si="4">E10/1.8</f>
        <v>4.5777777777777775</v>
      </c>
      <c r="F8" s="2">
        <f t="shared" si="4"/>
        <v>4.7151111111111108</v>
      </c>
      <c r="G8" s="2">
        <f t="shared" si="4"/>
        <v>4.8565644444444445</v>
      </c>
      <c r="H8" s="2">
        <f t="shared" si="4"/>
        <v>5.0022613777777769</v>
      </c>
      <c r="I8" s="2">
        <f t="shared" si="4"/>
        <v>5.1523292191111105</v>
      </c>
      <c r="J8" s="2">
        <f t="shared" si="4"/>
        <v>5.306899095684444</v>
      </c>
      <c r="K8" s="2">
        <f t="shared" si="4"/>
        <v>5.4661060685549776</v>
      </c>
      <c r="L8" s="2">
        <f t="shared" si="4"/>
        <v>5.6300892506116273</v>
      </c>
      <c r="M8" s="2">
        <f t="shared" si="4"/>
        <v>5.7989919281299764</v>
      </c>
    </row>
    <row r="9" spans="1:15" x14ac:dyDescent="0.25">
      <c r="B9" s="2" t="s">
        <v>8</v>
      </c>
      <c r="C9" s="1">
        <v>0.25</v>
      </c>
    </row>
    <row r="10" spans="1:15" x14ac:dyDescent="0.25">
      <c r="B10" s="2" t="s">
        <v>9</v>
      </c>
      <c r="D10" s="2">
        <v>8</v>
      </c>
      <c r="E10" s="2">
        <f t="shared" ref="E10:M10" si="5">D10+(D10*0.03)</f>
        <v>8.24</v>
      </c>
      <c r="F10" s="2">
        <f t="shared" si="5"/>
        <v>8.4871999999999996</v>
      </c>
      <c r="G10" s="2">
        <f t="shared" si="5"/>
        <v>8.741816</v>
      </c>
      <c r="H10" s="2">
        <f t="shared" si="5"/>
        <v>9.0040704799999993</v>
      </c>
      <c r="I10" s="2">
        <f t="shared" si="5"/>
        <v>9.2741925943999988</v>
      </c>
      <c r="J10" s="2">
        <f t="shared" si="5"/>
        <v>9.5524183722319993</v>
      </c>
      <c r="K10" s="2">
        <f t="shared" si="5"/>
        <v>9.8389909233989599</v>
      </c>
      <c r="L10" s="2">
        <f t="shared" si="5"/>
        <v>10.134160651100929</v>
      </c>
      <c r="M10" s="2">
        <f t="shared" si="5"/>
        <v>10.438185470633957</v>
      </c>
      <c r="N10" s="2" t="s">
        <v>10</v>
      </c>
    </row>
    <row r="11" spans="1:15" x14ac:dyDescent="0.25">
      <c r="B11" s="2" t="s">
        <v>11</v>
      </c>
      <c r="D11" s="2">
        <v>5000</v>
      </c>
      <c r="E11" s="2">
        <f>(0.05*D11)+D11</f>
        <v>5250</v>
      </c>
      <c r="F11" s="2">
        <f t="shared" ref="F11:M11" si="6">(0.05*E11)+E11</f>
        <v>5512.5</v>
      </c>
      <c r="G11" s="2">
        <f t="shared" si="6"/>
        <v>5788.125</v>
      </c>
      <c r="H11" s="2">
        <f t="shared" si="6"/>
        <v>6077.53125</v>
      </c>
      <c r="I11" s="2">
        <f t="shared" si="6"/>
        <v>6381.4078124999996</v>
      </c>
      <c r="J11" s="2">
        <f t="shared" si="6"/>
        <v>6700.4782031249997</v>
      </c>
      <c r="K11" s="2">
        <f t="shared" si="6"/>
        <v>7035.5021132812499</v>
      </c>
      <c r="L11" s="2">
        <f t="shared" si="6"/>
        <v>7387.2772189453126</v>
      </c>
      <c r="M11" s="2">
        <f t="shared" si="6"/>
        <v>7756.6410798925781</v>
      </c>
      <c r="N11" s="2">
        <v>4</v>
      </c>
      <c r="O11" s="2" t="s">
        <v>26</v>
      </c>
    </row>
    <row r="13" spans="1:15" x14ac:dyDescent="0.25">
      <c r="D13" s="2" t="s">
        <v>12</v>
      </c>
    </row>
    <row r="14" spans="1:15" x14ac:dyDescent="0.25">
      <c r="A14" s="2" t="s">
        <v>22</v>
      </c>
    </row>
    <row r="15" spans="1:15" x14ac:dyDescent="0.25">
      <c r="A15" s="2" t="s">
        <v>23</v>
      </c>
      <c r="D15" s="2">
        <f>D11*D10</f>
        <v>40000</v>
      </c>
    </row>
    <row r="17" spans="1:14" x14ac:dyDescent="0.25">
      <c r="A17" s="2" t="s">
        <v>24</v>
      </c>
      <c r="D17" s="2">
        <f>D15/N11</f>
        <v>10000</v>
      </c>
    </row>
    <row r="19" spans="1:14" x14ac:dyDescent="0.25">
      <c r="A19" s="2" t="s">
        <v>27</v>
      </c>
    </row>
    <row r="20" spans="1:14" x14ac:dyDescent="0.25">
      <c r="B20" s="2" t="s">
        <v>28</v>
      </c>
      <c r="D20" s="2">
        <v>500</v>
      </c>
    </row>
    <row r="21" spans="1:14" x14ac:dyDescent="0.25">
      <c r="B21" s="2" t="s">
        <v>29</v>
      </c>
      <c r="D21" s="2">
        <v>60000</v>
      </c>
    </row>
    <row r="22" spans="1:14" x14ac:dyDescent="0.25">
      <c r="B22" s="2" t="s">
        <v>30</v>
      </c>
      <c r="D22" s="2">
        <v>55000</v>
      </c>
    </row>
    <row r="23" spans="1:14" x14ac:dyDescent="0.25">
      <c r="B23" s="2" t="s">
        <v>31</v>
      </c>
      <c r="D23" s="2">
        <v>3000</v>
      </c>
    </row>
    <row r="26" spans="1:14" x14ac:dyDescent="0.25">
      <c r="A26" s="2" t="s">
        <v>32</v>
      </c>
      <c r="D26" s="2">
        <f>D44/30</f>
        <v>4633.333333333333</v>
      </c>
    </row>
    <row r="28" spans="1:14" x14ac:dyDescent="0.25">
      <c r="A28" s="2" t="s">
        <v>33</v>
      </c>
      <c r="D28" s="2">
        <f>[2]Mortgage!D14</f>
        <v>7449.7411958672828</v>
      </c>
    </row>
    <row r="29" spans="1:14" x14ac:dyDescent="0.25">
      <c r="A29" s="2" t="s">
        <v>34</v>
      </c>
      <c r="D29" s="2">
        <f>D60*N29</f>
        <v>21005.501239938254</v>
      </c>
      <c r="N29" s="1">
        <v>0.1</v>
      </c>
    </row>
    <row r="31" spans="1:14" x14ac:dyDescent="0.25">
      <c r="A31" s="2" t="s">
        <v>35</v>
      </c>
      <c r="D31" s="2">
        <f>SUM(D15:D15)-SUM(D17:D29)</f>
        <v>-121588.57576913887</v>
      </c>
    </row>
    <row r="32" spans="1:14" x14ac:dyDescent="0.25">
      <c r="A32" s="2" t="s">
        <v>36</v>
      </c>
      <c r="D32" s="2">
        <f>IF(D31&lt;0,0,0.25*D31)</f>
        <v>0</v>
      </c>
    </row>
    <row r="33" spans="1:8" x14ac:dyDescent="0.25">
      <c r="A33" s="2" t="s">
        <v>37</v>
      </c>
      <c r="D33" s="2">
        <f>D31-D32</f>
        <v>-121588.57576913887</v>
      </c>
    </row>
    <row r="35" spans="1:8" x14ac:dyDescent="0.25">
      <c r="A35" s="2" t="s">
        <v>38</v>
      </c>
    </row>
    <row r="36" spans="1:8" x14ac:dyDescent="0.25">
      <c r="A36" s="2" t="s">
        <v>39</v>
      </c>
      <c r="F36" s="2" t="s">
        <v>105</v>
      </c>
      <c r="G36" s="2" t="s">
        <v>75</v>
      </c>
      <c r="H36" s="2" t="s">
        <v>76</v>
      </c>
    </row>
    <row r="37" spans="1:8" x14ac:dyDescent="0.25">
      <c r="B37" s="2" t="s">
        <v>40</v>
      </c>
      <c r="D37" s="2">
        <v>5000</v>
      </c>
      <c r="F37" s="1">
        <v>1</v>
      </c>
      <c r="H37" s="2">
        <f>+F37*D37</f>
        <v>5000</v>
      </c>
    </row>
    <row r="38" spans="1:8" x14ac:dyDescent="0.25">
      <c r="B38" s="2" t="s">
        <v>41</v>
      </c>
      <c r="F38" s="1"/>
    </row>
    <row r="39" spans="1:8" x14ac:dyDescent="0.25">
      <c r="B39" s="2" t="s">
        <v>44</v>
      </c>
      <c r="F39" s="1"/>
    </row>
    <row r="40" spans="1:8" x14ac:dyDescent="0.25">
      <c r="B40" s="2" t="s">
        <v>45</v>
      </c>
      <c r="D40" s="2">
        <v>30000</v>
      </c>
      <c r="F40" s="1">
        <v>0.7</v>
      </c>
      <c r="H40" s="2">
        <f>+F40*D40</f>
        <v>21000</v>
      </c>
    </row>
    <row r="41" spans="1:8" x14ac:dyDescent="0.25">
      <c r="B41" s="2" t="s">
        <v>47</v>
      </c>
      <c r="D41" s="2">
        <v>8589.2059634905927</v>
      </c>
      <c r="F41" s="1">
        <v>0.7</v>
      </c>
      <c r="H41" s="2">
        <f>+F41*D40</f>
        <v>21000</v>
      </c>
    </row>
    <row r="43" spans="1:8" x14ac:dyDescent="0.25">
      <c r="B43" s="2" t="s">
        <v>50</v>
      </c>
      <c r="D43" s="2">
        <v>90000</v>
      </c>
      <c r="F43" s="1">
        <v>0.85</v>
      </c>
      <c r="G43" s="2">
        <f>+F43*D43</f>
        <v>76500</v>
      </c>
    </row>
    <row r="44" spans="1:8" x14ac:dyDescent="0.25">
      <c r="B44" s="2" t="s">
        <v>52</v>
      </c>
      <c r="D44" s="2">
        <v>139000</v>
      </c>
      <c r="F44" s="1">
        <v>0.85</v>
      </c>
      <c r="G44" s="2">
        <f>+F44*D44</f>
        <v>118150</v>
      </c>
    </row>
    <row r="45" spans="1:8" x14ac:dyDescent="0.25">
      <c r="B45" s="2" t="s">
        <v>54</v>
      </c>
      <c r="D45" s="2">
        <f>D26</f>
        <v>4633.333333333333</v>
      </c>
      <c r="F45" s="1"/>
    </row>
    <row r="46" spans="1:8" x14ac:dyDescent="0.25">
      <c r="F46" s="1"/>
    </row>
    <row r="47" spans="1:8" x14ac:dyDescent="0.25">
      <c r="A47" s="2" t="s">
        <v>57</v>
      </c>
      <c r="D47" s="5">
        <f>SUM(D37:D44)-D45</f>
        <v>267955.87263015728</v>
      </c>
      <c r="F47" s="1"/>
    </row>
    <row r="48" spans="1:8" x14ac:dyDescent="0.25">
      <c r="D48" s="5">
        <f>D59+D60</f>
        <v>357841.96438103134</v>
      </c>
      <c r="F48" s="1"/>
    </row>
    <row r="49" spans="1:12" x14ac:dyDescent="0.25">
      <c r="A49" s="2" t="s">
        <v>60</v>
      </c>
      <c r="F49" s="1"/>
    </row>
    <row r="50" spans="1:12" x14ac:dyDescent="0.25">
      <c r="A50" s="2" t="s">
        <v>61</v>
      </c>
      <c r="F50" s="1"/>
    </row>
    <row r="51" spans="1:12" x14ac:dyDescent="0.25">
      <c r="B51" s="2" t="s">
        <v>62</v>
      </c>
      <c r="D51" s="2">
        <f>D5*((D8*D11))/365</f>
        <v>1826.4840182648402</v>
      </c>
      <c r="F51" s="1">
        <v>-1</v>
      </c>
      <c r="G51" s="3"/>
      <c r="H51" s="3">
        <f>+F51*D51</f>
        <v>-1826.4840182648402</v>
      </c>
    </row>
    <row r="52" spans="1:12" x14ac:dyDescent="0.25">
      <c r="B52" s="2" t="s">
        <v>63</v>
      </c>
      <c r="D52" s="2">
        <f>D32</f>
        <v>0</v>
      </c>
      <c r="F52" s="2" t="s">
        <v>106</v>
      </c>
      <c r="G52" s="4">
        <f>SUM(G37:G50)</f>
        <v>194650</v>
      </c>
      <c r="H52" s="4">
        <f>SUM(H37:H50)</f>
        <v>47000</v>
      </c>
    </row>
    <row r="53" spans="1:12" x14ac:dyDescent="0.25">
      <c r="F53" s="2" t="s">
        <v>107</v>
      </c>
      <c r="H53" s="2">
        <f>+G52-G59</f>
        <v>46863.048018351197</v>
      </c>
    </row>
    <row r="54" spans="1:12" x14ac:dyDescent="0.25">
      <c r="F54" s="2" t="s">
        <v>108</v>
      </c>
      <c r="H54" s="3">
        <v>2000</v>
      </c>
    </row>
    <row r="55" spans="1:12" x14ac:dyDescent="0.25">
      <c r="F55" s="2" t="s">
        <v>106</v>
      </c>
      <c r="H55" s="4">
        <f>+H52+H53-H54</f>
        <v>91863.048018351197</v>
      </c>
    </row>
    <row r="58" spans="1:12" x14ac:dyDescent="0.25">
      <c r="G58" s="2" t="s">
        <v>75</v>
      </c>
      <c r="H58" s="2" t="s">
        <v>109</v>
      </c>
      <c r="I58" s="2" t="s">
        <v>65</v>
      </c>
      <c r="J58" s="2" t="s">
        <v>76</v>
      </c>
      <c r="K58" s="2" t="s">
        <v>110</v>
      </c>
      <c r="L58" s="2" t="s">
        <v>111</v>
      </c>
    </row>
    <row r="59" spans="1:12" x14ac:dyDescent="0.25">
      <c r="B59" s="2" t="s">
        <v>69</v>
      </c>
      <c r="D59" s="2">
        <f>[2]Mortgage!F13</f>
        <v>147786.9519816488</v>
      </c>
      <c r="G59" s="2">
        <f>+D59</f>
        <v>147786.9519816488</v>
      </c>
      <c r="H59" s="2">
        <v>0</v>
      </c>
      <c r="I59" s="1">
        <f>+H59/$H$61</f>
        <v>0</v>
      </c>
      <c r="J59" s="2">
        <f>+$H$55*I59</f>
        <v>0</v>
      </c>
      <c r="K59" s="4">
        <f>+G59+J59</f>
        <v>147786.9519816488</v>
      </c>
      <c r="L59" s="6">
        <f>+K59/D59</f>
        <v>1</v>
      </c>
    </row>
    <row r="60" spans="1:12" x14ac:dyDescent="0.25">
      <c r="B60" s="2" t="s">
        <v>70</v>
      </c>
      <c r="D60" s="2">
        <v>210055.01239938251</v>
      </c>
      <c r="H60" s="3">
        <f>+D60</f>
        <v>210055.01239938251</v>
      </c>
      <c r="I60" s="1">
        <f>+H60/$H$61</f>
        <v>1</v>
      </c>
      <c r="J60" s="2">
        <f>+$H$55*I60</f>
        <v>91863.048018351197</v>
      </c>
      <c r="K60" s="4">
        <f>+G60+J60</f>
        <v>91863.048018351197</v>
      </c>
      <c r="L60" s="6">
        <f>+K60/D60</f>
        <v>0.43732852155743768</v>
      </c>
    </row>
    <row r="61" spans="1:12" x14ac:dyDescent="0.25">
      <c r="H61" s="2">
        <f>SUM(H59:H60)</f>
        <v>210055.01239938251</v>
      </c>
    </row>
    <row r="62" spans="1:12" x14ac:dyDescent="0.25">
      <c r="A62" s="2" t="s">
        <v>71</v>
      </c>
    </row>
    <row r="63" spans="1:12" x14ac:dyDescent="0.25">
      <c r="B63" s="2" t="s">
        <v>72</v>
      </c>
      <c r="D63" s="2">
        <f>30000-124</f>
        <v>29876</v>
      </c>
    </row>
    <row r="64" spans="1:12" x14ac:dyDescent="0.25">
      <c r="B64" s="2" t="s">
        <v>73</v>
      </c>
      <c r="D64" s="2">
        <f>D33</f>
        <v>-121588.57576913887</v>
      </c>
    </row>
    <row r="66" spans="1:12" x14ac:dyDescent="0.25">
      <c r="A66" s="2" t="s">
        <v>74</v>
      </c>
      <c r="D66" s="2">
        <f>SUM(D51:D64)</f>
        <v>267955.87263015728</v>
      </c>
    </row>
    <row r="68" spans="1:1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25">
      <c r="A69" s="3" t="s">
        <v>77</v>
      </c>
      <c r="B69" s="3"/>
      <c r="C69" s="3"/>
      <c r="D69" s="3">
        <f t="shared" ref="D69" si="7">D47-D66</f>
        <v>0</v>
      </c>
      <c r="E69" s="3"/>
      <c r="F69" s="3"/>
      <c r="G69" s="3"/>
      <c r="H69" s="3"/>
      <c r="I69" s="3"/>
      <c r="J69" s="3"/>
      <c r="K69" s="3"/>
      <c r="L69" s="3"/>
    </row>
    <row r="71" spans="1:12" x14ac:dyDescent="0.25">
      <c r="A71" s="2" t="s">
        <v>112</v>
      </c>
    </row>
    <row r="73" spans="1:12" x14ac:dyDescent="0.25">
      <c r="A73" s="2" t="s">
        <v>113</v>
      </c>
    </row>
    <row r="74" spans="1:12" x14ac:dyDescent="0.25">
      <c r="A74" s="2" t="s">
        <v>88</v>
      </c>
      <c r="B74" s="2" t="s">
        <v>114</v>
      </c>
      <c r="C74" s="2">
        <f>-(D59-C59)</f>
        <v>-147786.9519816488</v>
      </c>
    </row>
    <row r="75" spans="1:12" x14ac:dyDescent="0.25">
      <c r="A75" s="2" t="s">
        <v>87</v>
      </c>
      <c r="B75" s="2" t="s">
        <v>115</v>
      </c>
      <c r="D75" s="2">
        <f>K59</f>
        <v>147786.9519816488</v>
      </c>
    </row>
    <row r="76" spans="1:12" x14ac:dyDescent="0.25">
      <c r="A76" s="2" t="s">
        <v>87</v>
      </c>
      <c r="B76" s="2" t="s">
        <v>116</v>
      </c>
      <c r="D76" s="2">
        <f>+D28</f>
        <v>7449.7411958672828</v>
      </c>
    </row>
    <row r="77" spans="1:12" x14ac:dyDescent="0.25">
      <c r="B77" s="2" t="s">
        <v>106</v>
      </c>
      <c r="C77" s="2">
        <f>SUM(C74:C76)</f>
        <v>-147786.9519816488</v>
      </c>
      <c r="D77" s="2">
        <f>SUM(D74:D76)</f>
        <v>155236.69317751608</v>
      </c>
      <c r="E77" s="2" t="s">
        <v>117</v>
      </c>
    </row>
    <row r="78" spans="1:12" x14ac:dyDescent="0.25">
      <c r="B78" s="2" t="s">
        <v>98</v>
      </c>
      <c r="C78" s="16">
        <f>IRR(C77:D77)</f>
        <v>5.0408653104858425E-2</v>
      </c>
      <c r="E78" s="8">
        <v>0.05</v>
      </c>
    </row>
    <row r="79" spans="1:12" x14ac:dyDescent="0.25">
      <c r="B79" s="2" t="s">
        <v>118</v>
      </c>
      <c r="C79" s="8">
        <f>[2]Mortgage!I1</f>
        <v>0.05</v>
      </c>
      <c r="E79" s="8">
        <v>0.95</v>
      </c>
    </row>
    <row r="80" spans="1:12" x14ac:dyDescent="0.25">
      <c r="B80" s="2" t="s">
        <v>119</v>
      </c>
      <c r="C80" s="8">
        <f>+C78*E78+C79*E79</f>
        <v>5.0020432655242919E-2</v>
      </c>
    </row>
    <row r="81" spans="1:13" x14ac:dyDescent="0.25">
      <c r="A81" s="2" t="s">
        <v>70</v>
      </c>
    </row>
    <row r="82" spans="1:13" x14ac:dyDescent="0.25">
      <c r="A82" s="2" t="s">
        <v>88</v>
      </c>
      <c r="B82" s="2" t="s">
        <v>114</v>
      </c>
      <c r="C82" s="2">
        <f t="shared" ref="C82" si="8">-(D60-C60)</f>
        <v>-210055.01239938251</v>
      </c>
    </row>
    <row r="83" spans="1:13" x14ac:dyDescent="0.25">
      <c r="A83" s="2" t="s">
        <v>87</v>
      </c>
      <c r="B83" s="2" t="s">
        <v>115</v>
      </c>
      <c r="D83" s="2">
        <f>K60</f>
        <v>91863.048018351197</v>
      </c>
    </row>
    <row r="84" spans="1:13" x14ac:dyDescent="0.25">
      <c r="A84" s="2" t="s">
        <v>87</v>
      </c>
      <c r="B84" s="2" t="s">
        <v>116</v>
      </c>
      <c r="D84" s="2">
        <f>D29</f>
        <v>21005.501239938254</v>
      </c>
    </row>
    <row r="85" spans="1:13" x14ac:dyDescent="0.25">
      <c r="B85" s="2" t="s">
        <v>106</v>
      </c>
      <c r="C85" s="2">
        <f>SUM(C82:C84)</f>
        <v>-210055.01239938251</v>
      </c>
      <c r="D85" s="2">
        <f>SUM(D82:D84)</f>
        <v>112868.54925828945</v>
      </c>
      <c r="E85" s="2" t="s">
        <v>117</v>
      </c>
      <c r="M85" s="2">
        <f t="shared" ref="M85" si="9">SUM(M82:M84)</f>
        <v>0</v>
      </c>
    </row>
    <row r="86" spans="1:13" x14ac:dyDescent="0.25">
      <c r="B86" s="2" t="s">
        <v>98</v>
      </c>
      <c r="C86" s="16">
        <f>IRR(C85:D85)</f>
        <v>-0.46267147844256229</v>
      </c>
      <c r="E86" s="8">
        <v>0.05</v>
      </c>
    </row>
    <row r="87" spans="1:13" x14ac:dyDescent="0.25">
      <c r="B87" s="2" t="str">
        <f>B79</f>
        <v>If IRR not bankruptcy</v>
      </c>
      <c r="C87" s="8">
        <f>N29</f>
        <v>0.1</v>
      </c>
      <c r="E87" s="8">
        <v>0.95</v>
      </c>
    </row>
    <row r="88" spans="1:13" x14ac:dyDescent="0.25">
      <c r="B88" s="2" t="str">
        <f>B80</f>
        <v>Expected IRR</v>
      </c>
      <c r="C88" s="8">
        <f>+C86*E86+C87*E87</f>
        <v>7.1866426077871887E-2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 Year Forecast</vt:lpstr>
      <vt:lpstr>Bankrupcty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2014-07-21T15:41:49Z</dcterms:created>
  <dcterms:modified xsi:type="dcterms:W3CDTF">2019-08-22T21:49:15Z</dcterms:modified>
</cp:coreProperties>
</file>