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020" windowWidth="20730" windowHeight="9435"/>
  </bookViews>
  <sheets>
    <sheet name="Forecast" sheetId="1" r:id="rId1"/>
    <sheet name="Mortgage" sheetId="3" r:id="rId2"/>
    <sheet name="Forecast (2)" sheetId="6" r:id="rId3"/>
    <sheet name="Mortgage (2)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1" l="1"/>
  <c r="F53" i="1"/>
  <c r="G53" i="1" s="1"/>
  <c r="E53" i="1"/>
  <c r="F55" i="1"/>
  <c r="E55" i="1"/>
  <c r="D55" i="1"/>
  <c r="E104" i="1"/>
  <c r="D104" i="1"/>
  <c r="C104" i="1"/>
  <c r="G55" i="1" l="1"/>
  <c r="F104" i="1"/>
  <c r="H53" i="1"/>
  <c r="E4" i="6"/>
  <c r="F4" i="6" s="1"/>
  <c r="E5" i="6"/>
  <c r="F5" i="6" s="1"/>
  <c r="G5" i="6" s="1"/>
  <c r="H5" i="6" s="1"/>
  <c r="I5" i="6" s="1"/>
  <c r="J5" i="6" s="1"/>
  <c r="K5" i="6" s="1"/>
  <c r="L5" i="6" s="1"/>
  <c r="M5" i="6" s="1"/>
  <c r="N5" i="6" s="1"/>
  <c r="E6" i="6"/>
  <c r="F6" i="6" s="1"/>
  <c r="G6" i="6" s="1"/>
  <c r="H6" i="6" s="1"/>
  <c r="I6" i="6" s="1"/>
  <c r="J6" i="6" s="1"/>
  <c r="K6" i="6" s="1"/>
  <c r="L6" i="6" s="1"/>
  <c r="M6" i="6" s="1"/>
  <c r="N6" i="6" s="1"/>
  <c r="E8" i="6"/>
  <c r="F8" i="6" s="1"/>
  <c r="E9" i="6"/>
  <c r="F9" i="6" s="1"/>
  <c r="G9" i="6" s="1"/>
  <c r="H9" i="6" s="1"/>
  <c r="I9" i="6" s="1"/>
  <c r="J9" i="6" s="1"/>
  <c r="K9" i="6" s="1"/>
  <c r="L9" i="6" s="1"/>
  <c r="M9" i="6" s="1"/>
  <c r="N9" i="6" s="1"/>
  <c r="E11" i="6"/>
  <c r="F11" i="6" s="1"/>
  <c r="G11" i="6" s="1"/>
  <c r="H11" i="6" s="1"/>
  <c r="I11" i="6" s="1"/>
  <c r="J11" i="6" s="1"/>
  <c r="K11" i="6" s="1"/>
  <c r="L11" i="6" s="1"/>
  <c r="M11" i="6" s="1"/>
  <c r="N11" i="6" s="1"/>
  <c r="E16" i="6"/>
  <c r="F16" i="6" s="1"/>
  <c r="G16" i="6" s="1"/>
  <c r="H16" i="6" s="1"/>
  <c r="I16" i="6" s="1"/>
  <c r="J16" i="6" s="1"/>
  <c r="K16" i="6" s="1"/>
  <c r="L16" i="6" s="1"/>
  <c r="M16" i="6" s="1"/>
  <c r="N16" i="6" s="1"/>
  <c r="D19" i="6"/>
  <c r="E19" i="6"/>
  <c r="D20" i="6"/>
  <c r="E20" i="6"/>
  <c r="D22" i="6"/>
  <c r="E22" i="6"/>
  <c r="D25" i="6"/>
  <c r="E25" i="6"/>
  <c r="F25" i="6"/>
  <c r="G25" i="6"/>
  <c r="H25" i="6"/>
  <c r="I25" i="6"/>
  <c r="J25" i="6"/>
  <c r="K25" i="6"/>
  <c r="L25" i="6"/>
  <c r="M25" i="6"/>
  <c r="N25" i="6"/>
  <c r="D26" i="6"/>
  <c r="P26" i="6"/>
  <c r="D27" i="6"/>
  <c r="E27" i="6"/>
  <c r="F27" i="6" s="1"/>
  <c r="G27" i="6" s="1"/>
  <c r="H27" i="6" s="1"/>
  <c r="I27" i="6" s="1"/>
  <c r="J27" i="6" s="1"/>
  <c r="K27" i="6" s="1"/>
  <c r="L27" i="6" s="1"/>
  <c r="M27" i="6" s="1"/>
  <c r="N27" i="6" s="1"/>
  <c r="D28" i="6"/>
  <c r="E28" i="6" s="1"/>
  <c r="F28" i="6" s="1"/>
  <c r="G28" i="6" s="1"/>
  <c r="H28" i="6" s="1"/>
  <c r="I28" i="6" s="1"/>
  <c r="J28" i="6" s="1"/>
  <c r="K28" i="6" s="1"/>
  <c r="L28" i="6" s="1"/>
  <c r="M28" i="6" s="1"/>
  <c r="N28" i="6" s="1"/>
  <c r="D31" i="6"/>
  <c r="E31" i="6"/>
  <c r="F31" i="6"/>
  <c r="G31" i="6"/>
  <c r="H31" i="6"/>
  <c r="I31" i="6"/>
  <c r="J31" i="6"/>
  <c r="K31" i="6"/>
  <c r="L31" i="6"/>
  <c r="M31" i="6"/>
  <c r="N31" i="6"/>
  <c r="D32" i="6"/>
  <c r="E32" i="6"/>
  <c r="F32" i="6"/>
  <c r="G32" i="6"/>
  <c r="H32" i="6"/>
  <c r="I32" i="6"/>
  <c r="J32" i="6"/>
  <c r="K32" i="6"/>
  <c r="L32" i="6"/>
  <c r="M32" i="6"/>
  <c r="N32" i="6"/>
  <c r="D35" i="6"/>
  <c r="E35" i="6"/>
  <c r="F35" i="6"/>
  <c r="G35" i="6"/>
  <c r="H35" i="6"/>
  <c r="I35" i="6"/>
  <c r="J35" i="6"/>
  <c r="K35" i="6"/>
  <c r="L35" i="6"/>
  <c r="M35" i="6"/>
  <c r="N35" i="6"/>
  <c r="S43" i="6"/>
  <c r="S44" i="6"/>
  <c r="D45" i="6"/>
  <c r="E45" i="6"/>
  <c r="D46" i="6"/>
  <c r="E46" i="6"/>
  <c r="R48" i="6"/>
  <c r="R49" i="6"/>
  <c r="R59" i="6" s="1"/>
  <c r="S50" i="6"/>
  <c r="D51" i="6"/>
  <c r="E51" i="6" s="1"/>
  <c r="D57" i="6"/>
  <c r="E57" i="6"/>
  <c r="R65" i="6"/>
  <c r="S66" i="6"/>
  <c r="D79" i="6"/>
  <c r="D80" i="6"/>
  <c r="D81" i="6" s="1"/>
  <c r="D82" i="6"/>
  <c r="D83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B88" i="6"/>
  <c r="C88" i="6"/>
  <c r="D88" i="6"/>
  <c r="B89" i="6"/>
  <c r="C89" i="6"/>
  <c r="D89" i="6"/>
  <c r="B90" i="6"/>
  <c r="B91" i="6"/>
  <c r="C91" i="6"/>
  <c r="D91" i="6"/>
  <c r="C95" i="6"/>
  <c r="D95" i="6"/>
  <c r="E95" i="6"/>
  <c r="F95" i="6"/>
  <c r="G95" i="6"/>
  <c r="H95" i="6"/>
  <c r="I95" i="6"/>
  <c r="J95" i="6"/>
  <c r="K95" i="6"/>
  <c r="L95" i="6"/>
  <c r="M95" i="6"/>
  <c r="N95" i="6"/>
  <c r="N96" i="6"/>
  <c r="P97" i="6"/>
  <c r="P98" i="6" s="1"/>
  <c r="N97" i="6" s="1"/>
  <c r="C100" i="6"/>
  <c r="D100" i="6"/>
  <c r="E100" i="6"/>
  <c r="F100" i="6"/>
  <c r="G100" i="6"/>
  <c r="H100" i="6"/>
  <c r="I100" i="6"/>
  <c r="J100" i="6"/>
  <c r="K100" i="6"/>
  <c r="L100" i="6"/>
  <c r="M100" i="6"/>
  <c r="N100" i="6"/>
  <c r="N101" i="6"/>
  <c r="P102" i="6"/>
  <c r="P103" i="6" s="1"/>
  <c r="N102" i="6" s="1"/>
  <c r="C105" i="6"/>
  <c r="D105" i="6"/>
  <c r="E105" i="6"/>
  <c r="F105" i="6"/>
  <c r="G105" i="6"/>
  <c r="H105" i="6"/>
  <c r="I105" i="6"/>
  <c r="J105" i="6"/>
  <c r="K105" i="6"/>
  <c r="L105" i="6"/>
  <c r="M105" i="6"/>
  <c r="N105" i="6"/>
  <c r="N106" i="6"/>
  <c r="P107" i="6"/>
  <c r="P108" i="6"/>
  <c r="C142" i="6"/>
  <c r="C146" i="6"/>
  <c r="D146" i="6"/>
  <c r="D149" i="6" s="1"/>
  <c r="E146" i="6"/>
  <c r="F146" i="6"/>
  <c r="F149" i="6" s="1"/>
  <c r="G146" i="6"/>
  <c r="H146" i="6"/>
  <c r="H149" i="6" s="1"/>
  <c r="I146" i="6"/>
  <c r="J146" i="6"/>
  <c r="J149" i="6" s="1"/>
  <c r="K146" i="6"/>
  <c r="L146" i="6"/>
  <c r="L149" i="6" s="1"/>
  <c r="M146" i="6"/>
  <c r="D148" i="6"/>
  <c r="E148" i="6"/>
  <c r="E149" i="6" s="1"/>
  <c r="F148" i="6"/>
  <c r="G148" i="6"/>
  <c r="H148" i="6"/>
  <c r="I148" i="6"/>
  <c r="I149" i="6" s="1"/>
  <c r="J148" i="6"/>
  <c r="K148" i="6"/>
  <c r="L148" i="6"/>
  <c r="M148" i="6"/>
  <c r="M149" i="6" s="1"/>
  <c r="N148" i="6"/>
  <c r="C149" i="6"/>
  <c r="G149" i="6"/>
  <c r="K149" i="6"/>
  <c r="C1" i="5"/>
  <c r="C2" i="5"/>
  <c r="C3" i="5"/>
  <c r="C7" i="5" s="1"/>
  <c r="H55" i="1" l="1"/>
  <c r="G104" i="1"/>
  <c r="I53" i="1"/>
  <c r="F51" i="6"/>
  <c r="E53" i="6"/>
  <c r="E80" i="6"/>
  <c r="S60" i="6"/>
  <c r="D53" i="6"/>
  <c r="G8" i="6"/>
  <c r="F20" i="6"/>
  <c r="F26" i="6" s="1"/>
  <c r="G4" i="6"/>
  <c r="F19" i="6"/>
  <c r="F22" i="6"/>
  <c r="E26" i="6"/>
  <c r="D7" i="5"/>
  <c r="C4" i="5"/>
  <c r="I55" i="1" l="1"/>
  <c r="H104" i="1"/>
  <c r="J53" i="1"/>
  <c r="E79" i="6"/>
  <c r="F46" i="6"/>
  <c r="F79" i="6"/>
  <c r="F45" i="6"/>
  <c r="F53" i="6" s="1"/>
  <c r="F57" i="6"/>
  <c r="H4" i="6"/>
  <c r="G19" i="6"/>
  <c r="G22" i="6"/>
  <c r="G20" i="6"/>
  <c r="G26" i="6" s="1"/>
  <c r="H8" i="6"/>
  <c r="G51" i="6"/>
  <c r="F80" i="6"/>
  <c r="E7" i="5"/>
  <c r="F7" i="5" s="1"/>
  <c r="C8" i="5" s="1"/>
  <c r="K53" i="1" l="1"/>
  <c r="J55" i="1"/>
  <c r="I104" i="1"/>
  <c r="H51" i="6"/>
  <c r="G80" i="6"/>
  <c r="G45" i="6"/>
  <c r="F88" i="6" s="1"/>
  <c r="G57" i="6"/>
  <c r="F91" i="6" s="1"/>
  <c r="I4" i="6"/>
  <c r="H19" i="6"/>
  <c r="H22" i="6"/>
  <c r="G46" i="6"/>
  <c r="F89" i="6" s="1"/>
  <c r="G79" i="6"/>
  <c r="S57" i="6"/>
  <c r="E91" i="6"/>
  <c r="S46" i="6"/>
  <c r="E89" i="6"/>
  <c r="E81" i="6"/>
  <c r="E82" i="6" s="1"/>
  <c r="E83" i="6" s="1"/>
  <c r="I8" i="6"/>
  <c r="H20" i="6"/>
  <c r="H26" i="6" s="1"/>
  <c r="S45" i="6"/>
  <c r="S59" i="6" s="1"/>
  <c r="S62" i="6" s="1"/>
  <c r="E88" i="6"/>
  <c r="F81" i="6"/>
  <c r="F82" i="6" s="1"/>
  <c r="F83" i="6" s="1"/>
  <c r="D8" i="5"/>
  <c r="K55" i="1" l="1"/>
  <c r="J104" i="1"/>
  <c r="L53" i="1"/>
  <c r="G81" i="6"/>
  <c r="G82" i="6" s="1"/>
  <c r="G83" i="6" s="1"/>
  <c r="H46" i="6"/>
  <c r="G89" i="6" s="1"/>
  <c r="H79" i="6"/>
  <c r="I51" i="6"/>
  <c r="H80" i="6"/>
  <c r="I20" i="6"/>
  <c r="I26" i="6" s="1"/>
  <c r="J8" i="6"/>
  <c r="H45" i="6"/>
  <c r="G88" i="6" s="1"/>
  <c r="H57" i="6"/>
  <c r="G91" i="6" s="1"/>
  <c r="J4" i="6"/>
  <c r="I19" i="6"/>
  <c r="I22" i="6"/>
  <c r="G53" i="6"/>
  <c r="E8" i="5"/>
  <c r="F8" i="5" s="1"/>
  <c r="C9" i="5" s="1"/>
  <c r="L55" i="1" l="1"/>
  <c r="K104" i="1"/>
  <c r="M53" i="1"/>
  <c r="I45" i="6"/>
  <c r="H88" i="6" s="1"/>
  <c r="I57" i="6"/>
  <c r="H91" i="6" s="1"/>
  <c r="K4" i="6"/>
  <c r="J19" i="6"/>
  <c r="J22" i="6"/>
  <c r="H53" i="6"/>
  <c r="H81" i="6"/>
  <c r="H82" i="6" s="1"/>
  <c r="H83" i="6"/>
  <c r="I46" i="6"/>
  <c r="H89" i="6" s="1"/>
  <c r="I79" i="6"/>
  <c r="K8" i="6"/>
  <c r="J20" i="6"/>
  <c r="J26" i="6" s="1"/>
  <c r="J51" i="6"/>
  <c r="I53" i="6"/>
  <c r="I80" i="6"/>
  <c r="D9" i="5"/>
  <c r="M55" i="1" l="1"/>
  <c r="L104" i="1"/>
  <c r="N53" i="1"/>
  <c r="I81" i="6"/>
  <c r="I82" i="6" s="1"/>
  <c r="I83" i="6" s="1"/>
  <c r="K51" i="6"/>
  <c r="J80" i="6"/>
  <c r="K20" i="6"/>
  <c r="K26" i="6" s="1"/>
  <c r="L8" i="6"/>
  <c r="J45" i="6"/>
  <c r="I88" i="6" s="1"/>
  <c r="J57" i="6"/>
  <c r="I91" i="6" s="1"/>
  <c r="L4" i="6"/>
  <c r="K19" i="6"/>
  <c r="K22" i="6"/>
  <c r="J46" i="6"/>
  <c r="I89" i="6" s="1"/>
  <c r="J79" i="6"/>
  <c r="E9" i="5"/>
  <c r="F9" i="5" s="1"/>
  <c r="C10" i="5" s="1"/>
  <c r="N104" i="1" l="1"/>
  <c r="N55" i="1"/>
  <c r="M104" i="1"/>
  <c r="K45" i="6"/>
  <c r="J88" i="6" s="1"/>
  <c r="K57" i="6"/>
  <c r="J91" i="6" s="1"/>
  <c r="M4" i="6"/>
  <c r="L19" i="6"/>
  <c r="L22" i="6"/>
  <c r="J81" i="6"/>
  <c r="J82" i="6" s="1"/>
  <c r="J83" i="6"/>
  <c r="K46" i="6"/>
  <c r="J89" i="6" s="1"/>
  <c r="K79" i="6"/>
  <c r="M8" i="6"/>
  <c r="L20" i="6"/>
  <c r="L26" i="6" s="1"/>
  <c r="L51" i="6"/>
  <c r="K53" i="6"/>
  <c r="K80" i="6"/>
  <c r="J53" i="6"/>
  <c r="D10" i="5"/>
  <c r="M51" i="6" l="1"/>
  <c r="L80" i="6"/>
  <c r="M20" i="6"/>
  <c r="M26" i="6" s="1"/>
  <c r="N8" i="6"/>
  <c r="N20" i="6" s="1"/>
  <c r="N26" i="6" s="1"/>
  <c r="L45" i="6"/>
  <c r="K88" i="6" s="1"/>
  <c r="L57" i="6"/>
  <c r="K91" i="6" s="1"/>
  <c r="N4" i="6"/>
  <c r="M19" i="6"/>
  <c r="M22" i="6"/>
  <c r="K81" i="6"/>
  <c r="K82" i="6" s="1"/>
  <c r="K83" i="6"/>
  <c r="L46" i="6"/>
  <c r="K89" i="6" s="1"/>
  <c r="L79" i="6"/>
  <c r="E10" i="5"/>
  <c r="F10" i="5" s="1"/>
  <c r="C11" i="5" s="1"/>
  <c r="M45" i="6" l="1"/>
  <c r="L88" i="6" s="1"/>
  <c r="M57" i="6"/>
  <c r="L91" i="6" s="1"/>
  <c r="N19" i="6"/>
  <c r="N22" i="6"/>
  <c r="L81" i="6"/>
  <c r="L82" i="6" s="1"/>
  <c r="L83" i="6"/>
  <c r="M46" i="6"/>
  <c r="L89" i="6" s="1"/>
  <c r="M79" i="6"/>
  <c r="L53" i="6"/>
  <c r="N51" i="6"/>
  <c r="M53" i="6"/>
  <c r="M80" i="6"/>
  <c r="D11" i="5"/>
  <c r="E11" i="5" s="1"/>
  <c r="F11" i="5" s="1"/>
  <c r="C12" i="5" s="1"/>
  <c r="N45" i="6" l="1"/>
  <c r="N57" i="6"/>
  <c r="N80" i="6"/>
  <c r="M81" i="6"/>
  <c r="M82" i="6" s="1"/>
  <c r="M83" i="6" s="1"/>
  <c r="N46" i="6"/>
  <c r="N79" i="6"/>
  <c r="D12" i="5"/>
  <c r="E12" i="5" s="1"/>
  <c r="F12" i="5" s="1"/>
  <c r="C13" i="5" s="1"/>
  <c r="N81" i="6" l="1"/>
  <c r="N82" i="6" s="1"/>
  <c r="N83" i="6" s="1"/>
  <c r="N89" i="6"/>
  <c r="M89" i="6"/>
  <c r="N91" i="6"/>
  <c r="M91" i="6"/>
  <c r="N53" i="6"/>
  <c r="N88" i="6"/>
  <c r="M88" i="6"/>
  <c r="D13" i="5"/>
  <c r="E13" i="5" s="1"/>
  <c r="F13" i="5"/>
  <c r="C14" i="5" s="1"/>
  <c r="D14" i="5" l="1"/>
  <c r="E14" i="5" s="1"/>
  <c r="F14" i="5" s="1"/>
  <c r="C15" i="5" s="1"/>
  <c r="D15" i="5" l="1"/>
  <c r="E15" i="5" s="1"/>
  <c r="F15" i="5" s="1"/>
  <c r="C16" i="5" s="1"/>
  <c r="D16" i="5" l="1"/>
  <c r="E16" i="5" s="1"/>
  <c r="F16" i="5" s="1"/>
  <c r="C17" i="5" s="1"/>
  <c r="D17" i="5" l="1"/>
  <c r="E17" i="5" s="1"/>
  <c r="F17" i="5" s="1"/>
  <c r="C18" i="5" s="1"/>
  <c r="D18" i="5" l="1"/>
  <c r="E18" i="5" l="1"/>
  <c r="F18" i="5" s="1"/>
  <c r="H18" i="5"/>
  <c r="D34" i="6" s="1"/>
  <c r="D37" i="6" l="1"/>
  <c r="D139" i="6"/>
  <c r="C19" i="5"/>
  <c r="G18" i="5"/>
  <c r="D65" i="6" s="1"/>
  <c r="C137" i="6" s="1"/>
  <c r="C140" i="6" s="1"/>
  <c r="D38" i="6" l="1"/>
  <c r="D56" i="6" s="1"/>
  <c r="D19" i="5"/>
  <c r="C90" i="6" l="1"/>
  <c r="C110" i="6" s="1"/>
  <c r="D39" i="6"/>
  <c r="D69" i="6" s="1"/>
  <c r="E19" i="5"/>
  <c r="F19" i="5" s="1"/>
  <c r="C20" i="5" s="1"/>
  <c r="C124" i="6" l="1"/>
  <c r="C125" i="6" s="1"/>
  <c r="C112" i="6"/>
  <c r="C120" i="6"/>
  <c r="C121" i="6"/>
  <c r="C128" i="6"/>
  <c r="C129" i="6" s="1"/>
  <c r="D71" i="6"/>
  <c r="D73" i="6" s="1"/>
  <c r="D20" i="5"/>
  <c r="E20" i="5" l="1"/>
  <c r="F20" i="5" s="1"/>
  <c r="C21" i="5" s="1"/>
  <c r="D21" i="5" l="1"/>
  <c r="E21" i="5" l="1"/>
  <c r="F21" i="5" s="1"/>
  <c r="C22" i="5" s="1"/>
  <c r="D22" i="5" l="1"/>
  <c r="E22" i="5" l="1"/>
  <c r="F22" i="5" s="1"/>
  <c r="C23" i="5" s="1"/>
  <c r="D23" i="5" l="1"/>
  <c r="E23" i="5" l="1"/>
  <c r="F23" i="5" s="1"/>
  <c r="C24" i="5" s="1"/>
  <c r="D24" i="5" l="1"/>
  <c r="E24" i="5" s="1"/>
  <c r="F24" i="5" s="1"/>
  <c r="C25" i="5" s="1"/>
  <c r="D25" i="5" l="1"/>
  <c r="E25" i="5" s="1"/>
  <c r="F25" i="5" s="1"/>
  <c r="C26" i="5" s="1"/>
  <c r="D26" i="5" l="1"/>
  <c r="E26" i="5" s="1"/>
  <c r="F26" i="5" s="1"/>
  <c r="C27" i="5" s="1"/>
  <c r="D27" i="5" l="1"/>
  <c r="E27" i="5" s="1"/>
  <c r="F27" i="5" s="1"/>
  <c r="C28" i="5" s="1"/>
  <c r="D28" i="5" l="1"/>
  <c r="E28" i="5" s="1"/>
  <c r="F28" i="5" s="1"/>
  <c r="C29" i="5" s="1"/>
  <c r="D29" i="5" l="1"/>
  <c r="E29" i="5" s="1"/>
  <c r="F29" i="5" s="1"/>
  <c r="C30" i="5" s="1"/>
  <c r="D30" i="5" l="1"/>
  <c r="E30" i="5" l="1"/>
  <c r="F30" i="5" s="1"/>
  <c r="H30" i="5"/>
  <c r="E34" i="6" s="1"/>
  <c r="E139" i="6" l="1"/>
  <c r="E37" i="6"/>
  <c r="G30" i="5"/>
  <c r="E65" i="6" s="1"/>
  <c r="D137" i="6" s="1"/>
  <c r="D140" i="6" s="1"/>
  <c r="C31" i="5"/>
  <c r="E38" i="6" l="1"/>
  <c r="E56" i="6" s="1"/>
  <c r="E39" i="6"/>
  <c r="E69" i="6" s="1"/>
  <c r="D31" i="5"/>
  <c r="E71" i="6" l="1"/>
  <c r="E73" i="6" s="1"/>
  <c r="D90" i="6"/>
  <c r="D110" i="6" s="1"/>
  <c r="E31" i="5"/>
  <c r="F31" i="5" s="1"/>
  <c r="C32" i="5" s="1"/>
  <c r="D120" i="6" l="1"/>
  <c r="D121" i="6"/>
  <c r="D128" i="6"/>
  <c r="D129" i="6" s="1"/>
  <c r="D124" i="6"/>
  <c r="D125" i="6" s="1"/>
  <c r="D112" i="6"/>
  <c r="D32" i="5"/>
  <c r="E32" i="5" l="1"/>
  <c r="F32" i="5" s="1"/>
  <c r="C33" i="5" s="1"/>
  <c r="D33" i="5" l="1"/>
  <c r="E33" i="5" l="1"/>
  <c r="F33" i="5" s="1"/>
  <c r="C34" i="5" s="1"/>
  <c r="D34" i="5" l="1"/>
  <c r="E34" i="5" l="1"/>
  <c r="F34" i="5" s="1"/>
  <c r="C35" i="5" s="1"/>
  <c r="D35" i="5" l="1"/>
  <c r="E35" i="5" l="1"/>
  <c r="F35" i="5" s="1"/>
  <c r="C36" i="5" s="1"/>
  <c r="D36" i="5" l="1"/>
  <c r="E36" i="5" s="1"/>
  <c r="F36" i="5" s="1"/>
  <c r="C37" i="5" s="1"/>
  <c r="D37" i="5" l="1"/>
  <c r="E37" i="5" s="1"/>
  <c r="F37" i="5" s="1"/>
  <c r="C38" i="5" s="1"/>
  <c r="D38" i="5" l="1"/>
  <c r="E38" i="5" s="1"/>
  <c r="F38" i="5" s="1"/>
  <c r="C39" i="5" s="1"/>
  <c r="D39" i="5" l="1"/>
  <c r="E39" i="5" s="1"/>
  <c r="F39" i="5" s="1"/>
  <c r="C40" i="5" s="1"/>
  <c r="D40" i="5" l="1"/>
  <c r="E40" i="5" s="1"/>
  <c r="F40" i="5" s="1"/>
  <c r="C41" i="5" s="1"/>
  <c r="D41" i="5" l="1"/>
  <c r="E41" i="5" s="1"/>
  <c r="F41" i="5" s="1"/>
  <c r="C42" i="5" s="1"/>
  <c r="D42" i="5" l="1"/>
  <c r="E42" i="5" l="1"/>
  <c r="F42" i="5" s="1"/>
  <c r="H42" i="5"/>
  <c r="F34" i="6" s="1"/>
  <c r="F139" i="6" l="1"/>
  <c r="F37" i="6"/>
  <c r="C43" i="5"/>
  <c r="G42" i="5"/>
  <c r="F65" i="6" s="1"/>
  <c r="S65" i="6" l="1"/>
  <c r="E137" i="6"/>
  <c r="E140" i="6" s="1"/>
  <c r="F38" i="6"/>
  <c r="F56" i="6" s="1"/>
  <c r="D43" i="5"/>
  <c r="E90" i="6" l="1"/>
  <c r="E110" i="6" s="1"/>
  <c r="F39" i="6"/>
  <c r="F69" i="6" s="1"/>
  <c r="S67" i="6"/>
  <c r="T66" i="6" s="1"/>
  <c r="U66" i="6" s="1"/>
  <c r="V66" i="6" s="1"/>
  <c r="E43" i="5"/>
  <c r="F43" i="5" s="1"/>
  <c r="C44" i="5" s="1"/>
  <c r="W66" i="6" l="1"/>
  <c r="N147" i="6"/>
  <c r="N149" i="6" s="1"/>
  <c r="C150" i="6" s="1"/>
  <c r="C152" i="6" s="1"/>
  <c r="T65" i="6"/>
  <c r="U65" i="6" s="1"/>
  <c r="V65" i="6" s="1"/>
  <c r="E124" i="6"/>
  <c r="E125" i="6" s="1"/>
  <c r="E112" i="6"/>
  <c r="E120" i="6"/>
  <c r="E121" i="6"/>
  <c r="E128" i="6"/>
  <c r="E129" i="6" s="1"/>
  <c r="F71" i="6"/>
  <c r="F73" i="6" s="1"/>
  <c r="D44" i="5"/>
  <c r="N138" i="6" l="1"/>
  <c r="E44" i="5"/>
  <c r="F44" i="5" s="1"/>
  <c r="C45" i="5" s="1"/>
  <c r="D45" i="5" l="1"/>
  <c r="E45" i="5" l="1"/>
  <c r="F45" i="5" s="1"/>
  <c r="C46" i="5" s="1"/>
  <c r="D46" i="5" l="1"/>
  <c r="E46" i="5" l="1"/>
  <c r="F46" i="5" s="1"/>
  <c r="C47" i="5" s="1"/>
  <c r="D47" i="5" l="1"/>
  <c r="D82" i="1"/>
  <c r="D83" i="1"/>
  <c r="E83" i="1"/>
  <c r="F83" i="1"/>
  <c r="G83" i="1"/>
  <c r="H83" i="1"/>
  <c r="I83" i="1"/>
  <c r="J83" i="1"/>
  <c r="K83" i="1"/>
  <c r="L83" i="1"/>
  <c r="M83" i="1"/>
  <c r="N83" i="1"/>
  <c r="C83" i="1"/>
  <c r="C82" i="1"/>
  <c r="T57" i="1"/>
  <c r="D20" i="1"/>
  <c r="D19" i="1"/>
  <c r="D46" i="1" l="1"/>
  <c r="E47" i="5"/>
  <c r="F47" i="5" s="1"/>
  <c r="C48" i="5" s="1"/>
  <c r="S64" i="1"/>
  <c r="D48" i="5" l="1"/>
  <c r="E48" i="5" s="1"/>
  <c r="F48" i="5" s="1"/>
  <c r="C49" i="5" s="1"/>
  <c r="D49" i="5" l="1"/>
  <c r="E49" i="5" s="1"/>
  <c r="F49" i="5" s="1"/>
  <c r="C50" i="5" s="1"/>
  <c r="E4" i="1"/>
  <c r="F4" i="1" s="1"/>
  <c r="G4" i="1" s="1"/>
  <c r="H4" i="1" s="1"/>
  <c r="I4" i="1" s="1"/>
  <c r="J4" i="1" s="1"/>
  <c r="K4" i="1" s="1"/>
  <c r="L4" i="1" s="1"/>
  <c r="M4" i="1" s="1"/>
  <c r="N4" i="1" s="1"/>
  <c r="D101" i="1"/>
  <c r="E101" i="1"/>
  <c r="F101" i="1"/>
  <c r="G101" i="1"/>
  <c r="H101" i="1"/>
  <c r="I101" i="1"/>
  <c r="J101" i="1"/>
  <c r="K101" i="1"/>
  <c r="L101" i="1"/>
  <c r="M101" i="1"/>
  <c r="N101" i="1"/>
  <c r="C101" i="1"/>
  <c r="D96" i="1"/>
  <c r="E96" i="1"/>
  <c r="F96" i="1"/>
  <c r="G96" i="1"/>
  <c r="H96" i="1"/>
  <c r="I96" i="1"/>
  <c r="J96" i="1"/>
  <c r="K96" i="1"/>
  <c r="L96" i="1"/>
  <c r="M96" i="1"/>
  <c r="N96" i="1"/>
  <c r="C96" i="1"/>
  <c r="P93" i="1"/>
  <c r="D91" i="1"/>
  <c r="E91" i="1"/>
  <c r="F91" i="1"/>
  <c r="G91" i="1"/>
  <c r="H91" i="1"/>
  <c r="I91" i="1"/>
  <c r="J91" i="1"/>
  <c r="K91" i="1"/>
  <c r="L91" i="1"/>
  <c r="M91" i="1"/>
  <c r="N91" i="1"/>
  <c r="N92" i="1" s="1"/>
  <c r="C91" i="1"/>
  <c r="E82" i="1"/>
  <c r="F82" i="1"/>
  <c r="G82" i="1"/>
  <c r="H82" i="1"/>
  <c r="I82" i="1"/>
  <c r="J82" i="1"/>
  <c r="K82" i="1"/>
  <c r="L82" i="1"/>
  <c r="M82" i="1"/>
  <c r="N82" i="1"/>
  <c r="B87" i="1"/>
  <c r="B86" i="1"/>
  <c r="B84" i="1"/>
  <c r="B85" i="1"/>
  <c r="B82" i="1"/>
  <c r="N102" i="1" l="1"/>
  <c r="D50" i="5"/>
  <c r="E50" i="5" s="1"/>
  <c r="F50" i="5" s="1"/>
  <c r="C51" i="5" s="1"/>
  <c r="N97" i="1"/>
  <c r="P94" i="1"/>
  <c r="N93" i="1" s="1"/>
  <c r="D51" i="5" l="1"/>
  <c r="E51" i="5" s="1"/>
  <c r="F51" i="5" s="1"/>
  <c r="C52" i="5" s="1"/>
  <c r="U64" i="1"/>
  <c r="V64" i="1" s="1"/>
  <c r="V62" i="1"/>
  <c r="U62" i="1"/>
  <c r="U61" i="1"/>
  <c r="S62" i="1"/>
  <c r="D35" i="1"/>
  <c r="E32" i="1"/>
  <c r="F32" i="1"/>
  <c r="G32" i="1"/>
  <c r="H32" i="1"/>
  <c r="I32" i="1"/>
  <c r="J32" i="1"/>
  <c r="K32" i="1"/>
  <c r="L32" i="1"/>
  <c r="M32" i="1"/>
  <c r="N32" i="1"/>
  <c r="D32" i="1"/>
  <c r="E31" i="1"/>
  <c r="E75" i="1" s="1"/>
  <c r="F31" i="1"/>
  <c r="G31" i="1"/>
  <c r="G75" i="1" s="1"/>
  <c r="H31" i="1"/>
  <c r="I31" i="1"/>
  <c r="I75" i="1" s="1"/>
  <c r="J31" i="1"/>
  <c r="K31" i="1"/>
  <c r="K75" i="1" s="1"/>
  <c r="L31" i="1"/>
  <c r="M31" i="1"/>
  <c r="M75" i="1" s="1"/>
  <c r="N31" i="1"/>
  <c r="D31" i="1"/>
  <c r="N75" i="1" l="1"/>
  <c r="J75" i="1"/>
  <c r="F75" i="1"/>
  <c r="D75" i="1"/>
  <c r="P103" i="1"/>
  <c r="P104" i="1" s="1"/>
  <c r="L75" i="1"/>
  <c r="H75" i="1"/>
  <c r="D52" i="5"/>
  <c r="E52" i="5" s="1"/>
  <c r="F52" i="5" s="1"/>
  <c r="C53" i="5" s="1"/>
  <c r="D51" i="1"/>
  <c r="E51" i="1" s="1"/>
  <c r="P98" i="1"/>
  <c r="P99" i="1" s="1"/>
  <c r="N98" i="1" s="1"/>
  <c r="V61" i="1"/>
  <c r="C3" i="3"/>
  <c r="C1" i="3"/>
  <c r="C2" i="3"/>
  <c r="D53" i="5" l="1"/>
  <c r="E53" i="5" s="1"/>
  <c r="F53" i="5" s="1"/>
  <c r="C54" i="5" s="1"/>
  <c r="C7" i="3"/>
  <c r="D7" i="3" s="1"/>
  <c r="C4" i="3"/>
  <c r="F51" i="1"/>
  <c r="D54" i="5" l="1"/>
  <c r="G51" i="1"/>
  <c r="E7" i="3"/>
  <c r="E54" i="5" l="1"/>
  <c r="F54" i="5" s="1"/>
  <c r="H54" i="5"/>
  <c r="G34" i="6" s="1"/>
  <c r="H51" i="1"/>
  <c r="F7" i="3"/>
  <c r="C8" i="3" s="1"/>
  <c r="G139" i="6" l="1"/>
  <c r="G37" i="6"/>
  <c r="G54" i="5"/>
  <c r="G65" i="6" s="1"/>
  <c r="F137" i="6" s="1"/>
  <c r="F140" i="6" s="1"/>
  <c r="C55" i="5"/>
  <c r="I51" i="1"/>
  <c r="D8" i="3"/>
  <c r="E8" i="3" s="1"/>
  <c r="F8" i="3" s="1"/>
  <c r="G38" i="6" l="1"/>
  <c r="G56" i="6" s="1"/>
  <c r="D55" i="5"/>
  <c r="J51" i="1"/>
  <c r="C9" i="3"/>
  <c r="D9" i="3" s="1"/>
  <c r="G39" i="6" l="1"/>
  <c r="G69" i="6" s="1"/>
  <c r="G71" i="6" s="1"/>
  <c r="G73" i="6" s="1"/>
  <c r="F90" i="6"/>
  <c r="F110" i="6" s="1"/>
  <c r="E55" i="5"/>
  <c r="F55" i="5" s="1"/>
  <c r="C56" i="5" s="1"/>
  <c r="K51" i="1"/>
  <c r="E9" i="3"/>
  <c r="F9" i="3" s="1"/>
  <c r="F120" i="6" l="1"/>
  <c r="F121" i="6"/>
  <c r="F128" i="6"/>
  <c r="F129" i="6" s="1"/>
  <c r="F124" i="6"/>
  <c r="F125" i="6" s="1"/>
  <c r="F112" i="6"/>
  <c r="D56" i="5"/>
  <c r="L51" i="1"/>
  <c r="C10" i="3"/>
  <c r="E56" i="5" l="1"/>
  <c r="F56" i="5" s="1"/>
  <c r="C57" i="5" s="1"/>
  <c r="M51" i="1"/>
  <c r="D10" i="3"/>
  <c r="E10" i="3" s="1"/>
  <c r="F10" i="3" s="1"/>
  <c r="D57" i="5" l="1"/>
  <c r="N51" i="1"/>
  <c r="C11" i="3"/>
  <c r="E57" i="5" l="1"/>
  <c r="F57" i="5" s="1"/>
  <c r="C58" i="5" s="1"/>
  <c r="D11" i="3"/>
  <c r="E11" i="3" s="1"/>
  <c r="F11" i="3" s="1"/>
  <c r="D58" i="5" l="1"/>
  <c r="C12" i="3"/>
  <c r="E58" i="5" l="1"/>
  <c r="F58" i="5" s="1"/>
  <c r="C59" i="5" s="1"/>
  <c r="D12" i="3"/>
  <c r="E12" i="3" s="1"/>
  <c r="F12" i="3" s="1"/>
  <c r="D59" i="5" l="1"/>
  <c r="C13" i="3"/>
  <c r="E59" i="5" l="1"/>
  <c r="F59" i="5" s="1"/>
  <c r="C60" i="5" s="1"/>
  <c r="D13" i="3"/>
  <c r="E13" i="3" s="1"/>
  <c r="F13" i="3" s="1"/>
  <c r="D60" i="5" l="1"/>
  <c r="E60" i="5" s="1"/>
  <c r="F60" i="5" s="1"/>
  <c r="C61" i="5" s="1"/>
  <c r="C14" i="3"/>
  <c r="D61" i="5" l="1"/>
  <c r="E61" i="5" s="1"/>
  <c r="F61" i="5" s="1"/>
  <c r="C62" i="5" s="1"/>
  <c r="D14" i="3"/>
  <c r="E14" i="3" s="1"/>
  <c r="F14" i="3" s="1"/>
  <c r="D62" i="5" l="1"/>
  <c r="E62" i="5" s="1"/>
  <c r="F62" i="5" s="1"/>
  <c r="C63" i="5" s="1"/>
  <c r="C15" i="3"/>
  <c r="D63" i="5" l="1"/>
  <c r="E63" i="5" s="1"/>
  <c r="F63" i="5" s="1"/>
  <c r="C64" i="5" s="1"/>
  <c r="D15" i="3"/>
  <c r="D64" i="5" l="1"/>
  <c r="E64" i="5" s="1"/>
  <c r="F64" i="5" s="1"/>
  <c r="C65" i="5" s="1"/>
  <c r="E15" i="3"/>
  <c r="F15" i="3" s="1"/>
  <c r="D65" i="5" l="1"/>
  <c r="E65" i="5" s="1"/>
  <c r="F65" i="5" s="1"/>
  <c r="C66" i="5" s="1"/>
  <c r="C16" i="3"/>
  <c r="D66" i="5" l="1"/>
  <c r="D16" i="3"/>
  <c r="E66" i="5" l="1"/>
  <c r="F66" i="5" s="1"/>
  <c r="H66" i="5"/>
  <c r="H34" i="6" s="1"/>
  <c r="E16" i="3"/>
  <c r="F16" i="3" s="1"/>
  <c r="H139" i="6" l="1"/>
  <c r="H37" i="6"/>
  <c r="G66" i="5"/>
  <c r="H65" i="6" s="1"/>
  <c r="G137" i="6" s="1"/>
  <c r="G140" i="6" s="1"/>
  <c r="C67" i="5"/>
  <c r="C17" i="3"/>
  <c r="H39" i="6" l="1"/>
  <c r="H69" i="6" s="1"/>
  <c r="H38" i="6"/>
  <c r="H56" i="6" s="1"/>
  <c r="D67" i="5"/>
  <c r="D17" i="3"/>
  <c r="H71" i="6" l="1"/>
  <c r="H73" i="6" s="1"/>
  <c r="G90" i="6"/>
  <c r="G110" i="6" s="1"/>
  <c r="E67" i="5"/>
  <c r="F67" i="5" s="1"/>
  <c r="C68" i="5" s="1"/>
  <c r="E17" i="3"/>
  <c r="F17" i="3" s="1"/>
  <c r="G124" i="6" l="1"/>
  <c r="G125" i="6" s="1"/>
  <c r="G112" i="6"/>
  <c r="G120" i="6"/>
  <c r="G121" i="6"/>
  <c r="G128" i="6"/>
  <c r="G129" i="6" s="1"/>
  <c r="D68" i="5"/>
  <c r="C18" i="3"/>
  <c r="E68" i="5" l="1"/>
  <c r="F68" i="5" s="1"/>
  <c r="C69" i="5" s="1"/>
  <c r="D18" i="3"/>
  <c r="D69" i="5" l="1"/>
  <c r="E18" i="3"/>
  <c r="F18" i="3" s="1"/>
  <c r="H18" i="3"/>
  <c r="D34" i="1" s="1"/>
  <c r="E69" i="5" l="1"/>
  <c r="F69" i="5" s="1"/>
  <c r="C70" i="5" s="1"/>
  <c r="C19" i="3"/>
  <c r="G18" i="3"/>
  <c r="D61" i="1" s="1"/>
  <c r="D70" i="5" l="1"/>
  <c r="D19" i="3"/>
  <c r="E19" i="3" s="1"/>
  <c r="F19" i="3" s="1"/>
  <c r="E70" i="5" l="1"/>
  <c r="F70" i="5" s="1"/>
  <c r="C71" i="5" s="1"/>
  <c r="C20" i="3"/>
  <c r="D71" i="5" l="1"/>
  <c r="D20" i="3"/>
  <c r="E20" i="3" s="1"/>
  <c r="F20" i="3" s="1"/>
  <c r="E71" i="5" l="1"/>
  <c r="F71" i="5" s="1"/>
  <c r="C72" i="5" s="1"/>
  <c r="C21" i="3"/>
  <c r="D72" i="5" l="1"/>
  <c r="E72" i="5" s="1"/>
  <c r="F72" i="5" s="1"/>
  <c r="C73" i="5" s="1"/>
  <c r="D21" i="3"/>
  <c r="E21" i="3" s="1"/>
  <c r="F21" i="3" s="1"/>
  <c r="D73" i="5" l="1"/>
  <c r="E73" i="5" s="1"/>
  <c r="F73" i="5" s="1"/>
  <c r="C74" i="5" s="1"/>
  <c r="C22" i="3"/>
  <c r="D74" i="5" l="1"/>
  <c r="E74" i="5" s="1"/>
  <c r="F74" i="5" s="1"/>
  <c r="C75" i="5" s="1"/>
  <c r="D22" i="3"/>
  <c r="E22" i="3" s="1"/>
  <c r="F22" i="3" s="1"/>
  <c r="D75" i="5" l="1"/>
  <c r="E75" i="5" s="1"/>
  <c r="F75" i="5" s="1"/>
  <c r="C76" i="5" s="1"/>
  <c r="C23" i="3"/>
  <c r="D76" i="5" l="1"/>
  <c r="E76" i="5" s="1"/>
  <c r="F76" i="5" s="1"/>
  <c r="C77" i="5" s="1"/>
  <c r="D23" i="3"/>
  <c r="D77" i="5" l="1"/>
  <c r="E77" i="5" s="1"/>
  <c r="F77" i="5" s="1"/>
  <c r="C78" i="5" s="1"/>
  <c r="E23" i="3"/>
  <c r="F23" i="3" s="1"/>
  <c r="D78" i="5" l="1"/>
  <c r="C24" i="3"/>
  <c r="E78" i="5" l="1"/>
  <c r="F78" i="5" s="1"/>
  <c r="I65" i="6" s="1"/>
  <c r="H137" i="6" s="1"/>
  <c r="H140" i="6" s="1"/>
  <c r="H78" i="5"/>
  <c r="I34" i="6" s="1"/>
  <c r="D24" i="3"/>
  <c r="I139" i="6" l="1"/>
  <c r="I37" i="6"/>
  <c r="C79" i="5"/>
  <c r="E24" i="3"/>
  <c r="F24" i="3" s="1"/>
  <c r="I38" i="6" l="1"/>
  <c r="I56" i="6" s="1"/>
  <c r="I39" i="6"/>
  <c r="I69" i="6" s="1"/>
  <c r="D79" i="5"/>
  <c r="C25" i="3"/>
  <c r="I71" i="6" l="1"/>
  <c r="I73" i="6" s="1"/>
  <c r="H90" i="6"/>
  <c r="H110" i="6" s="1"/>
  <c r="E79" i="5"/>
  <c r="F79" i="5" s="1"/>
  <c r="C80" i="5" s="1"/>
  <c r="D25" i="3"/>
  <c r="H120" i="6" l="1"/>
  <c r="H121" i="6"/>
  <c r="H128" i="6"/>
  <c r="H129" i="6" s="1"/>
  <c r="H124" i="6"/>
  <c r="H125" i="6" s="1"/>
  <c r="H112" i="6"/>
  <c r="D80" i="5"/>
  <c r="E25" i="3"/>
  <c r="F25" i="3" s="1"/>
  <c r="E80" i="5" l="1"/>
  <c r="F80" i="5" s="1"/>
  <c r="C81" i="5" s="1"/>
  <c r="C26" i="3"/>
  <c r="D81" i="5" l="1"/>
  <c r="D26" i="3"/>
  <c r="E81" i="5" l="1"/>
  <c r="F81" i="5" s="1"/>
  <c r="C82" i="5" s="1"/>
  <c r="E26" i="3"/>
  <c r="F26" i="3" s="1"/>
  <c r="D82" i="5" l="1"/>
  <c r="C27" i="3"/>
  <c r="E82" i="5" l="1"/>
  <c r="F82" i="5" s="1"/>
  <c r="C83" i="5" s="1"/>
  <c r="D27" i="3"/>
  <c r="D83" i="5" l="1"/>
  <c r="E27" i="3"/>
  <c r="F27" i="3" s="1"/>
  <c r="E83" i="5" l="1"/>
  <c r="F83" i="5" s="1"/>
  <c r="C84" i="5" s="1"/>
  <c r="C28" i="3"/>
  <c r="D84" i="5" l="1"/>
  <c r="E84" i="5" s="1"/>
  <c r="F84" i="5" s="1"/>
  <c r="C85" i="5" s="1"/>
  <c r="D28" i="3"/>
  <c r="E28" i="3" s="1"/>
  <c r="F28" i="3" s="1"/>
  <c r="D85" i="5" l="1"/>
  <c r="E85" i="5" s="1"/>
  <c r="F85" i="5" s="1"/>
  <c r="C86" i="5" s="1"/>
  <c r="C29" i="3"/>
  <c r="D86" i="5" l="1"/>
  <c r="E86" i="5" s="1"/>
  <c r="F86" i="5" s="1"/>
  <c r="C87" i="5" s="1"/>
  <c r="D29" i="3"/>
  <c r="E29" i="3" s="1"/>
  <c r="F29" i="3" s="1"/>
  <c r="D87" i="5" l="1"/>
  <c r="E87" i="5" s="1"/>
  <c r="F87" i="5" s="1"/>
  <c r="C88" i="5" s="1"/>
  <c r="C30" i="3"/>
  <c r="D88" i="5" l="1"/>
  <c r="E88" i="5" s="1"/>
  <c r="F88" i="5" s="1"/>
  <c r="C89" i="5" s="1"/>
  <c r="D30" i="3"/>
  <c r="D89" i="5" l="1"/>
  <c r="E89" i="5" s="1"/>
  <c r="F89" i="5" s="1"/>
  <c r="C90" i="5" s="1"/>
  <c r="E30" i="3"/>
  <c r="F30" i="3" s="1"/>
  <c r="H30" i="3"/>
  <c r="E34" i="1" s="1"/>
  <c r="D90" i="5" l="1"/>
  <c r="C31" i="3"/>
  <c r="G30" i="3"/>
  <c r="E61" i="1" s="1"/>
  <c r="E90" i="5" l="1"/>
  <c r="F90" i="5" s="1"/>
  <c r="J65" i="6" s="1"/>
  <c r="I137" i="6" s="1"/>
  <c r="I140" i="6" s="1"/>
  <c r="H90" i="5"/>
  <c r="J34" i="6" s="1"/>
  <c r="D31" i="3"/>
  <c r="E31" i="3" s="1"/>
  <c r="F31" i="3" s="1"/>
  <c r="J139" i="6" l="1"/>
  <c r="J37" i="6"/>
  <c r="C91" i="5"/>
  <c r="C32" i="3"/>
  <c r="J38" i="6" l="1"/>
  <c r="J56" i="6" s="1"/>
  <c r="D91" i="5"/>
  <c r="D32" i="3"/>
  <c r="E32" i="3" s="1"/>
  <c r="F32" i="3" s="1"/>
  <c r="I90" i="6" l="1"/>
  <c r="I110" i="6" s="1"/>
  <c r="J39" i="6"/>
  <c r="J69" i="6" s="1"/>
  <c r="E91" i="5"/>
  <c r="F91" i="5" s="1"/>
  <c r="C92" i="5" s="1"/>
  <c r="C33" i="3"/>
  <c r="I124" i="6" l="1"/>
  <c r="I125" i="6" s="1"/>
  <c r="I112" i="6"/>
  <c r="I120" i="6"/>
  <c r="I121" i="6"/>
  <c r="I128" i="6"/>
  <c r="I129" i="6" s="1"/>
  <c r="J71" i="6"/>
  <c r="J73" i="6" s="1"/>
  <c r="D92" i="5"/>
  <c r="D33" i="3"/>
  <c r="E33" i="3" s="1"/>
  <c r="F33" i="3" s="1"/>
  <c r="E92" i="5" l="1"/>
  <c r="F92" i="5" s="1"/>
  <c r="C93" i="5" s="1"/>
  <c r="C34" i="3"/>
  <c r="E25" i="1"/>
  <c r="F25" i="1"/>
  <c r="G25" i="1"/>
  <c r="H25" i="1"/>
  <c r="I25" i="1"/>
  <c r="J25" i="1"/>
  <c r="K25" i="1"/>
  <c r="L25" i="1"/>
  <c r="M25" i="1"/>
  <c r="N25" i="1"/>
  <c r="D25" i="1"/>
  <c r="D93" i="5" l="1"/>
  <c r="D34" i="3"/>
  <c r="E34" i="3" s="1"/>
  <c r="F34" i="3" s="1"/>
  <c r="E93" i="5" l="1"/>
  <c r="F93" i="5" s="1"/>
  <c r="C94" i="5" s="1"/>
  <c r="C35" i="3"/>
  <c r="D94" i="5" l="1"/>
  <c r="D35" i="3"/>
  <c r="E35" i="3" s="1"/>
  <c r="F35" i="3" s="1"/>
  <c r="E94" i="5" l="1"/>
  <c r="F94" i="5" s="1"/>
  <c r="C95" i="5" s="1"/>
  <c r="C36" i="3"/>
  <c r="D95" i="5" l="1"/>
  <c r="D36" i="3"/>
  <c r="E36" i="3" s="1"/>
  <c r="F36" i="3" s="1"/>
  <c r="E95" i="5" l="1"/>
  <c r="F95" i="5" s="1"/>
  <c r="C96" i="5" s="1"/>
  <c r="C37" i="3"/>
  <c r="D96" i="5" l="1"/>
  <c r="E96" i="5" s="1"/>
  <c r="F96" i="5" s="1"/>
  <c r="C97" i="5" s="1"/>
  <c r="D37" i="3"/>
  <c r="E37" i="3" s="1"/>
  <c r="F37" i="3" s="1"/>
  <c r="D97" i="5" l="1"/>
  <c r="E97" i="5" s="1"/>
  <c r="F97" i="5" s="1"/>
  <c r="C98" i="5" s="1"/>
  <c r="C38" i="3"/>
  <c r="D98" i="5" l="1"/>
  <c r="E98" i="5" s="1"/>
  <c r="F98" i="5" s="1"/>
  <c r="C99" i="5" s="1"/>
  <c r="D38" i="3"/>
  <c r="E38" i="3" s="1"/>
  <c r="F38" i="3" s="1"/>
  <c r="D99" i="5" l="1"/>
  <c r="E99" i="5" s="1"/>
  <c r="F99" i="5" s="1"/>
  <c r="C100" i="5" s="1"/>
  <c r="C39" i="3"/>
  <c r="D100" i="5" l="1"/>
  <c r="E100" i="5" s="1"/>
  <c r="F100" i="5"/>
  <c r="C101" i="5" s="1"/>
  <c r="D39" i="3"/>
  <c r="E39" i="3" s="1"/>
  <c r="F39" i="3" s="1"/>
  <c r="D101" i="5" l="1"/>
  <c r="E101" i="5" s="1"/>
  <c r="F101" i="5"/>
  <c r="C102" i="5" s="1"/>
  <c r="C40" i="3"/>
  <c r="D102" i="5" l="1"/>
  <c r="D40" i="3"/>
  <c r="E40" i="3" s="1"/>
  <c r="F40" i="3" s="1"/>
  <c r="E102" i="5" l="1"/>
  <c r="F102" i="5" s="1"/>
  <c r="K65" i="6" s="1"/>
  <c r="J137" i="6" s="1"/>
  <c r="J140" i="6" s="1"/>
  <c r="H102" i="5"/>
  <c r="K34" i="6" s="1"/>
  <c r="C41" i="3"/>
  <c r="K139" i="6" l="1"/>
  <c r="K37" i="6"/>
  <c r="C103" i="5"/>
  <c r="D41" i="3"/>
  <c r="E41" i="3" s="1"/>
  <c r="F41" i="3" s="1"/>
  <c r="K38" i="6" l="1"/>
  <c r="K56" i="6" s="1"/>
  <c r="K39" i="6"/>
  <c r="K69" i="6" s="1"/>
  <c r="D103" i="5"/>
  <c r="C42" i="3"/>
  <c r="K71" i="6" l="1"/>
  <c r="K73" i="6" s="1"/>
  <c r="J90" i="6"/>
  <c r="J110" i="6" s="1"/>
  <c r="E103" i="5"/>
  <c r="F103" i="5" s="1"/>
  <c r="C104" i="5" s="1"/>
  <c r="D42" i="3"/>
  <c r="J112" i="6" l="1"/>
  <c r="J120" i="6"/>
  <c r="J121" i="6"/>
  <c r="J128" i="6"/>
  <c r="J129" i="6" s="1"/>
  <c r="J124" i="6"/>
  <c r="J125" i="6" s="1"/>
  <c r="D104" i="5"/>
  <c r="H42" i="3"/>
  <c r="F34" i="1" s="1"/>
  <c r="E42" i="3"/>
  <c r="F42" i="3" s="1"/>
  <c r="E104" i="5" l="1"/>
  <c r="F104" i="5" s="1"/>
  <c r="C105" i="5" s="1"/>
  <c r="G42" i="3"/>
  <c r="F61" i="1" s="1"/>
  <c r="C43" i="3"/>
  <c r="D105" i="5" l="1"/>
  <c r="D43" i="3"/>
  <c r="E105" i="5" l="1"/>
  <c r="F105" i="5" s="1"/>
  <c r="C106" i="5" s="1"/>
  <c r="E43" i="3"/>
  <c r="F43" i="3" s="1"/>
  <c r="D106" i="5" l="1"/>
  <c r="C44" i="3"/>
  <c r="E106" i="5" l="1"/>
  <c r="F106" i="5" s="1"/>
  <c r="C107" i="5" s="1"/>
  <c r="D44" i="3"/>
  <c r="D107" i="5" l="1"/>
  <c r="E44" i="3"/>
  <c r="F44" i="3" s="1"/>
  <c r="E107" i="5" l="1"/>
  <c r="F107" i="5" s="1"/>
  <c r="C108" i="5" s="1"/>
  <c r="C45" i="3"/>
  <c r="D108" i="5" l="1"/>
  <c r="E108" i="5" s="1"/>
  <c r="F108" i="5" s="1"/>
  <c r="C109" i="5" s="1"/>
  <c r="D45" i="3"/>
  <c r="D109" i="5" l="1"/>
  <c r="E109" i="5" s="1"/>
  <c r="F109" i="5" s="1"/>
  <c r="C110" i="5" s="1"/>
  <c r="E45" i="3"/>
  <c r="F45" i="3" s="1"/>
  <c r="D110" i="5" l="1"/>
  <c r="E110" i="5" s="1"/>
  <c r="F110" i="5" s="1"/>
  <c r="C111" i="5" s="1"/>
  <c r="C46" i="3"/>
  <c r="D111" i="5" l="1"/>
  <c r="E111" i="5" s="1"/>
  <c r="F111" i="5" s="1"/>
  <c r="C112" i="5" s="1"/>
  <c r="D46" i="3"/>
  <c r="D112" i="5" l="1"/>
  <c r="E112" i="5" s="1"/>
  <c r="F112" i="5" s="1"/>
  <c r="C113" i="5" s="1"/>
  <c r="E46" i="3"/>
  <c r="F46" i="3" s="1"/>
  <c r="D113" i="5" l="1"/>
  <c r="E113" i="5" s="1"/>
  <c r="F113" i="5" s="1"/>
  <c r="C114" i="5" s="1"/>
  <c r="C47" i="3"/>
  <c r="D114" i="5" l="1"/>
  <c r="D47" i="3"/>
  <c r="E47" i="3" s="1"/>
  <c r="F47" i="3" s="1"/>
  <c r="E114" i="5" l="1"/>
  <c r="F114" i="5" s="1"/>
  <c r="L65" i="6" s="1"/>
  <c r="K137" i="6" s="1"/>
  <c r="K140" i="6" s="1"/>
  <c r="H114" i="5"/>
  <c r="L34" i="6" s="1"/>
  <c r="C48" i="3"/>
  <c r="L139" i="6" l="1"/>
  <c r="L37" i="6"/>
  <c r="C115" i="5"/>
  <c r="D48" i="3"/>
  <c r="E48" i="3" s="1"/>
  <c r="F48" i="3" s="1"/>
  <c r="L38" i="6" l="1"/>
  <c r="L56" i="6" s="1"/>
  <c r="D115" i="5"/>
  <c r="C49" i="3"/>
  <c r="K90" i="6" l="1"/>
  <c r="K110" i="6" s="1"/>
  <c r="L39" i="6"/>
  <c r="L69" i="6" s="1"/>
  <c r="E115" i="5"/>
  <c r="F115" i="5" s="1"/>
  <c r="C116" i="5" s="1"/>
  <c r="D49" i="3"/>
  <c r="E49" i="3" s="1"/>
  <c r="F49" i="3" s="1"/>
  <c r="K124" i="6" l="1"/>
  <c r="K125" i="6" s="1"/>
  <c r="K112" i="6"/>
  <c r="K120" i="6"/>
  <c r="K121" i="6"/>
  <c r="K128" i="6"/>
  <c r="K129" i="6" s="1"/>
  <c r="L71" i="6"/>
  <c r="L73" i="6" s="1"/>
  <c r="D116" i="5"/>
  <c r="C50" i="3"/>
  <c r="E116" i="5" l="1"/>
  <c r="F116" i="5" s="1"/>
  <c r="C117" i="5" s="1"/>
  <c r="D50" i="3"/>
  <c r="E50" i="3" s="1"/>
  <c r="F50" i="3" s="1"/>
  <c r="D117" i="5" l="1"/>
  <c r="C51" i="3"/>
  <c r="E117" i="5" l="1"/>
  <c r="F117" i="5" s="1"/>
  <c r="C118" i="5" s="1"/>
  <c r="D51" i="3"/>
  <c r="E51" i="3" s="1"/>
  <c r="F51" i="3" s="1"/>
  <c r="D118" i="5" l="1"/>
  <c r="C52" i="3"/>
  <c r="E118" i="5" l="1"/>
  <c r="F118" i="5" s="1"/>
  <c r="C119" i="5" s="1"/>
  <c r="D52" i="3"/>
  <c r="E52" i="3" s="1"/>
  <c r="F52" i="3" s="1"/>
  <c r="D119" i="5" l="1"/>
  <c r="C53" i="3"/>
  <c r="E119" i="5" l="1"/>
  <c r="F119" i="5" s="1"/>
  <c r="C120" i="5" s="1"/>
  <c r="D53" i="3"/>
  <c r="E53" i="3" s="1"/>
  <c r="F53" i="3" s="1"/>
  <c r="D120" i="5" l="1"/>
  <c r="E120" i="5" s="1"/>
  <c r="F120" i="5" s="1"/>
  <c r="C121" i="5" s="1"/>
  <c r="C54" i="3"/>
  <c r="D121" i="5" l="1"/>
  <c r="E121" i="5" s="1"/>
  <c r="F121" i="5" s="1"/>
  <c r="C122" i="5" s="1"/>
  <c r="D54" i="3"/>
  <c r="D122" i="5" l="1"/>
  <c r="E122" i="5" s="1"/>
  <c r="F122" i="5" s="1"/>
  <c r="C123" i="5" s="1"/>
  <c r="E54" i="3"/>
  <c r="F54" i="3" s="1"/>
  <c r="C55" i="3" s="1"/>
  <c r="H54" i="3"/>
  <c r="G34" i="1" s="1"/>
  <c r="G54" i="3"/>
  <c r="G61" i="1" s="1"/>
  <c r="D123" i="5" l="1"/>
  <c r="E123" i="5" s="1"/>
  <c r="F123" i="5" s="1"/>
  <c r="C124" i="5" s="1"/>
  <c r="D55" i="3"/>
  <c r="D124" i="5" l="1"/>
  <c r="E124" i="5" s="1"/>
  <c r="F124" i="5" s="1"/>
  <c r="C125" i="5" s="1"/>
  <c r="E55" i="3"/>
  <c r="F55" i="3" s="1"/>
  <c r="D125" i="5" l="1"/>
  <c r="E125" i="5" s="1"/>
  <c r="F125" i="5" s="1"/>
  <c r="C126" i="5" s="1"/>
  <c r="C56" i="3"/>
  <c r="D126" i="5" l="1"/>
  <c r="D56" i="3"/>
  <c r="E126" i="5" l="1"/>
  <c r="F126" i="5" s="1"/>
  <c r="M65" i="6" s="1"/>
  <c r="L137" i="6" s="1"/>
  <c r="L140" i="6" s="1"/>
  <c r="H126" i="5"/>
  <c r="M34" i="6" s="1"/>
  <c r="E56" i="3"/>
  <c r="F56" i="3" s="1"/>
  <c r="M139" i="6" l="1"/>
  <c r="M37" i="6"/>
  <c r="C127" i="5"/>
  <c r="C57" i="3"/>
  <c r="M38" i="6" l="1"/>
  <c r="M56" i="6" s="1"/>
  <c r="D127" i="5"/>
  <c r="D57" i="3"/>
  <c r="M39" i="6" l="1"/>
  <c r="M69" i="6" s="1"/>
  <c r="M71" i="6" s="1"/>
  <c r="M73" i="6" s="1"/>
  <c r="L90" i="6"/>
  <c r="L110" i="6" s="1"/>
  <c r="E127" i="5"/>
  <c r="F127" i="5" s="1"/>
  <c r="C128" i="5" s="1"/>
  <c r="E57" i="3"/>
  <c r="F57" i="3" s="1"/>
  <c r="L120" i="6" l="1"/>
  <c r="L121" i="6"/>
  <c r="L124" i="6"/>
  <c r="L125" i="6" s="1"/>
  <c r="L112" i="6"/>
  <c r="L128" i="6"/>
  <c r="L129" i="6" s="1"/>
  <c r="D128" i="5"/>
  <c r="C58" i="3"/>
  <c r="E128" i="5" l="1"/>
  <c r="F128" i="5" s="1"/>
  <c r="C129" i="5" s="1"/>
  <c r="D58" i="3"/>
  <c r="D129" i="5" l="1"/>
  <c r="E58" i="3"/>
  <c r="F58" i="3" s="1"/>
  <c r="E129" i="5" l="1"/>
  <c r="F129" i="5" s="1"/>
  <c r="C130" i="5" s="1"/>
  <c r="C59" i="3"/>
  <c r="D130" i="5" l="1"/>
  <c r="D59" i="3"/>
  <c r="E130" i="5" l="1"/>
  <c r="F130" i="5" s="1"/>
  <c r="C131" i="5" s="1"/>
  <c r="E59" i="3"/>
  <c r="F59" i="3" s="1"/>
  <c r="D131" i="5" l="1"/>
  <c r="C60" i="3"/>
  <c r="E131" i="5" l="1"/>
  <c r="F131" i="5" s="1"/>
  <c r="C132" i="5" s="1"/>
  <c r="D60" i="3"/>
  <c r="E60" i="3" s="1"/>
  <c r="F60" i="3" s="1"/>
  <c r="D132" i="5" l="1"/>
  <c r="E132" i="5" s="1"/>
  <c r="F132" i="5" s="1"/>
  <c r="C133" i="5" s="1"/>
  <c r="C61" i="3"/>
  <c r="D133" i="5" l="1"/>
  <c r="E133" i="5" s="1"/>
  <c r="F133" i="5" s="1"/>
  <c r="C134" i="5" s="1"/>
  <c r="D61" i="3"/>
  <c r="E61" i="3" s="1"/>
  <c r="F61" i="3" s="1"/>
  <c r="D134" i="5" l="1"/>
  <c r="E134" i="5" s="1"/>
  <c r="F134" i="5" s="1"/>
  <c r="C135" i="5" s="1"/>
  <c r="C62" i="3"/>
  <c r="F135" i="5" l="1"/>
  <c r="C136" i="5" s="1"/>
  <c r="D135" i="5"/>
  <c r="E135" i="5" s="1"/>
  <c r="D62" i="3"/>
  <c r="E62" i="3" s="1"/>
  <c r="F62" i="3" s="1"/>
  <c r="D136" i="5" l="1"/>
  <c r="E136" i="5" s="1"/>
  <c r="F136" i="5" s="1"/>
  <c r="C137" i="5" s="1"/>
  <c r="C63" i="3"/>
  <c r="D137" i="5" l="1"/>
  <c r="E137" i="5" s="1"/>
  <c r="F137" i="5" s="1"/>
  <c r="C138" i="5" s="1"/>
  <c r="D63" i="3"/>
  <c r="E63" i="3" s="1"/>
  <c r="F63" i="3" s="1"/>
  <c r="D138" i="5" l="1"/>
  <c r="C64" i="3"/>
  <c r="E138" i="5" l="1"/>
  <c r="F138" i="5" s="1"/>
  <c r="N65" i="6" s="1"/>
  <c r="H138" i="5"/>
  <c r="N34" i="6" s="1"/>
  <c r="D64" i="3"/>
  <c r="E64" i="3" s="1"/>
  <c r="F64" i="3" s="1"/>
  <c r="N139" i="6" l="1"/>
  <c r="N140" i="6" s="1"/>
  <c r="C141" i="6" s="1"/>
  <c r="C143" i="6" s="1"/>
  <c r="N37" i="6"/>
  <c r="M137" i="6"/>
  <c r="M140" i="6" s="1"/>
  <c r="W65" i="6"/>
  <c r="C65" i="3"/>
  <c r="N39" i="6" l="1"/>
  <c r="N69" i="6" s="1"/>
  <c r="N38" i="6"/>
  <c r="N56" i="6" s="1"/>
  <c r="D65" i="3"/>
  <c r="E65" i="3" s="1"/>
  <c r="F65" i="3" s="1"/>
  <c r="N71" i="6" l="1"/>
  <c r="N73" i="6" s="1"/>
  <c r="M90" i="6"/>
  <c r="M110" i="6" s="1"/>
  <c r="N90" i="6"/>
  <c r="N110" i="6" s="1"/>
  <c r="C66" i="3"/>
  <c r="M124" i="6" l="1"/>
  <c r="M125" i="6" s="1"/>
  <c r="M112" i="6"/>
  <c r="M120" i="6"/>
  <c r="M121" i="6"/>
  <c r="M128" i="6"/>
  <c r="M129" i="6" s="1"/>
  <c r="N120" i="6"/>
  <c r="N121" i="6"/>
  <c r="C122" i="6" s="1"/>
  <c r="C132" i="6" s="1"/>
  <c r="N128" i="6"/>
  <c r="N129" i="6" s="1"/>
  <c r="C130" i="6" s="1"/>
  <c r="N124" i="6"/>
  <c r="N125" i="6" s="1"/>
  <c r="C126" i="6" s="1"/>
  <c r="N112" i="6"/>
  <c r="C115" i="6"/>
  <c r="D115" i="6" s="1"/>
  <c r="D66" i="3"/>
  <c r="C113" i="6" l="1"/>
  <c r="C116" i="6"/>
  <c r="E66" i="3"/>
  <c r="F66" i="3" s="1"/>
  <c r="C67" i="3" s="1"/>
  <c r="D67" i="3" s="1"/>
  <c r="H66" i="3"/>
  <c r="H34" i="1" s="1"/>
  <c r="G66" i="3" l="1"/>
  <c r="H61" i="1" s="1"/>
  <c r="S61" i="1" l="1"/>
  <c r="E67" i="3"/>
  <c r="F67" i="3" s="1"/>
  <c r="C68" i="3" s="1"/>
  <c r="D68" i="3" s="1"/>
  <c r="E68" i="3" l="1"/>
  <c r="F68" i="3" l="1"/>
  <c r="C69" i="3" s="1"/>
  <c r="D69" i="3" s="1"/>
  <c r="E69" i="3" l="1"/>
  <c r="F69" i="3" s="1"/>
  <c r="C70" i="3" s="1"/>
  <c r="D70" i="3" s="1"/>
  <c r="E70" i="3" l="1"/>
  <c r="F70" i="3" s="1"/>
  <c r="C71" i="3" s="1"/>
  <c r="D71" i="3" s="1"/>
  <c r="E71" i="3" l="1"/>
  <c r="F71" i="3" l="1"/>
  <c r="C72" i="3" s="1"/>
  <c r="D72" i="3" s="1"/>
  <c r="E72" i="3" l="1"/>
  <c r="F72" i="3" s="1"/>
  <c r="C73" i="3" s="1"/>
  <c r="D73" i="3" s="1"/>
  <c r="E73" i="3" l="1"/>
  <c r="F73" i="3" s="1"/>
  <c r="C74" i="3" s="1"/>
  <c r="D74" i="3" s="1"/>
  <c r="E74" i="3" l="1"/>
  <c r="F74" i="3" s="1"/>
  <c r="C75" i="3" s="1"/>
  <c r="D75" i="3" s="1"/>
  <c r="E75" i="3" l="1"/>
  <c r="F75" i="3" l="1"/>
  <c r="C76" i="3" s="1"/>
  <c r="D76" i="3" s="1"/>
  <c r="E76" i="3" l="1"/>
  <c r="F76" i="3" l="1"/>
  <c r="C77" i="3" s="1"/>
  <c r="D77" i="3" s="1"/>
  <c r="E77" i="3" l="1"/>
  <c r="F77" i="3" s="1"/>
  <c r="C78" i="3" s="1"/>
  <c r="D78" i="3" s="1"/>
  <c r="E78" i="3" l="1"/>
  <c r="F78" i="3" s="1"/>
  <c r="C79" i="3" s="1"/>
  <c r="D79" i="3" s="1"/>
  <c r="E79" i="3" l="1"/>
  <c r="F79" i="3" l="1"/>
  <c r="C80" i="3" s="1"/>
  <c r="D80" i="3" s="1"/>
  <c r="E80" i="3" l="1"/>
  <c r="F80" i="3" s="1"/>
  <c r="C81" i="3" s="1"/>
  <c r="D81" i="3" s="1"/>
  <c r="E81" i="3" l="1"/>
  <c r="F81" i="3" s="1"/>
  <c r="C82" i="3" s="1"/>
  <c r="D82" i="3" s="1"/>
  <c r="E82" i="3" l="1"/>
  <c r="F82" i="3" s="1"/>
  <c r="C83" i="3" s="1"/>
  <c r="D83" i="3" s="1"/>
  <c r="E83" i="3" l="1"/>
  <c r="F83" i="3" s="1"/>
  <c r="C84" i="3" s="1"/>
  <c r="D84" i="3" s="1"/>
  <c r="E84" i="3" l="1"/>
  <c r="F84" i="3" s="1"/>
  <c r="C85" i="3" s="1"/>
  <c r="D85" i="3" s="1"/>
  <c r="E85" i="3" l="1"/>
  <c r="F85" i="3" s="1"/>
  <c r="C86" i="3" s="1"/>
  <c r="D86" i="3" s="1"/>
  <c r="E86" i="3" l="1"/>
  <c r="F86" i="3" s="1"/>
  <c r="C87" i="3" s="1"/>
  <c r="D87" i="3" s="1"/>
  <c r="E87" i="3" l="1"/>
  <c r="F87" i="3" l="1"/>
  <c r="C88" i="3" s="1"/>
  <c r="D88" i="3" s="1"/>
  <c r="E88" i="3" l="1"/>
  <c r="F88" i="3" l="1"/>
  <c r="C89" i="3" s="1"/>
  <c r="D89" i="3" s="1"/>
  <c r="E89" i="3" l="1"/>
  <c r="F89" i="3" s="1"/>
  <c r="C90" i="3" s="1"/>
  <c r="D90" i="3" s="1"/>
  <c r="E90" i="3" l="1"/>
  <c r="F90" i="3" l="1"/>
  <c r="C91" i="3" s="1"/>
  <c r="D91" i="3" s="1"/>
  <c r="E91" i="3" l="1"/>
  <c r="F91" i="3" s="1"/>
  <c r="C92" i="3" s="1"/>
  <c r="D92" i="3" s="1"/>
  <c r="E92" i="3" l="1"/>
  <c r="F92" i="3" s="1"/>
  <c r="C93" i="3" s="1"/>
  <c r="D93" i="3" s="1"/>
  <c r="E93" i="3" l="1"/>
  <c r="F93" i="3" s="1"/>
  <c r="C94" i="3" s="1"/>
  <c r="D94" i="3" s="1"/>
  <c r="E94" i="3" l="1"/>
  <c r="F94" i="3" s="1"/>
  <c r="C95" i="3" s="1"/>
  <c r="D95" i="3" s="1"/>
  <c r="E95" i="3" l="1"/>
  <c r="F95" i="3" l="1"/>
  <c r="C96" i="3" s="1"/>
  <c r="D96" i="3" s="1"/>
  <c r="E96" i="3" l="1"/>
  <c r="F96" i="3" s="1"/>
  <c r="C97" i="3" s="1"/>
  <c r="D97" i="3" s="1"/>
  <c r="E97" i="3" l="1"/>
  <c r="F97" i="3" s="1"/>
  <c r="C98" i="3" s="1"/>
  <c r="D98" i="3" s="1"/>
  <c r="E98" i="3" l="1"/>
  <c r="F98" i="3" s="1"/>
  <c r="C99" i="3" s="1"/>
  <c r="D99" i="3" s="1"/>
  <c r="E99" i="3" l="1"/>
  <c r="F99" i="3" s="1"/>
  <c r="C100" i="3" s="1"/>
  <c r="D100" i="3" s="1"/>
  <c r="E100" i="3" l="1"/>
  <c r="F100" i="3" s="1"/>
  <c r="C101" i="3" s="1"/>
  <c r="D101" i="3" s="1"/>
  <c r="E101" i="3" l="1"/>
  <c r="F101" i="3" s="1"/>
  <c r="C102" i="3" s="1"/>
  <c r="D102" i="3" s="1"/>
  <c r="E102" i="3" l="1"/>
  <c r="F102" i="3" s="1"/>
  <c r="C103" i="3" s="1"/>
  <c r="D103" i="3" s="1"/>
  <c r="E103" i="3" l="1"/>
  <c r="F103" i="3" l="1"/>
  <c r="C104" i="3" s="1"/>
  <c r="D104" i="3" s="1"/>
  <c r="E104" i="3" l="1"/>
  <c r="F104" i="3" s="1"/>
  <c r="C105" i="3" s="1"/>
  <c r="D105" i="3" s="1"/>
  <c r="E105" i="3" l="1"/>
  <c r="F105" i="3" s="1"/>
  <c r="C106" i="3" s="1"/>
  <c r="D106" i="3" s="1"/>
  <c r="E106" i="3" l="1"/>
  <c r="F106" i="3" l="1"/>
  <c r="C107" i="3" s="1"/>
  <c r="D107" i="3" s="1"/>
  <c r="E107" i="3" l="1"/>
  <c r="F107" i="3" l="1"/>
  <c r="C108" i="3" s="1"/>
  <c r="D108" i="3" s="1"/>
  <c r="E108" i="3" l="1"/>
  <c r="F108" i="3" s="1"/>
  <c r="C109" i="3" s="1"/>
  <c r="D109" i="3" s="1"/>
  <c r="E109" i="3" l="1"/>
  <c r="F109" i="3" s="1"/>
  <c r="C110" i="3" s="1"/>
  <c r="D110" i="3" s="1"/>
  <c r="E110" i="3" l="1"/>
  <c r="F110" i="3" s="1"/>
  <c r="C111" i="3" s="1"/>
  <c r="D111" i="3" s="1"/>
  <c r="E111" i="3" l="1"/>
  <c r="F111" i="3" s="1"/>
  <c r="C112" i="3" s="1"/>
  <c r="D112" i="3" s="1"/>
  <c r="E112" i="3" l="1"/>
  <c r="F112" i="3" l="1"/>
  <c r="C113" i="3" s="1"/>
  <c r="D113" i="3" s="1"/>
  <c r="E113" i="3" l="1"/>
  <c r="F113" i="3" s="1"/>
  <c r="C114" i="3" s="1"/>
  <c r="D114" i="3" s="1"/>
  <c r="E114" i="3" l="1"/>
  <c r="F114" i="3" s="1"/>
  <c r="C115" i="3" s="1"/>
  <c r="D115" i="3" s="1"/>
  <c r="E115" i="3" l="1"/>
  <c r="F115" i="3" s="1"/>
  <c r="C116" i="3" s="1"/>
  <c r="D116" i="3" s="1"/>
  <c r="E116" i="3" l="1"/>
  <c r="F116" i="3" s="1"/>
  <c r="C117" i="3" l="1"/>
  <c r="D117" i="3" s="1"/>
  <c r="E117" i="3" l="1"/>
  <c r="F117" i="3" s="1"/>
  <c r="C118" i="3" s="1"/>
  <c r="D118" i="3" s="1"/>
  <c r="E118" i="3" l="1"/>
  <c r="F118" i="3" s="1"/>
  <c r="C119" i="3" s="1"/>
  <c r="D119" i="3" s="1"/>
  <c r="E119" i="3" l="1"/>
  <c r="F119" i="3" s="1"/>
  <c r="C120" i="3" s="1"/>
  <c r="D120" i="3" s="1"/>
  <c r="E120" i="3" l="1"/>
  <c r="F120" i="3" s="1"/>
  <c r="C121" i="3" s="1"/>
  <c r="D121" i="3" s="1"/>
  <c r="E121" i="3" l="1"/>
  <c r="F121" i="3" s="1"/>
  <c r="C122" i="3" s="1"/>
  <c r="D122" i="3" s="1"/>
  <c r="E122" i="3" l="1"/>
  <c r="F122" i="3" l="1"/>
  <c r="C123" i="3" s="1"/>
  <c r="D123" i="3" s="1"/>
  <c r="E123" i="3" l="1"/>
  <c r="F123" i="3" s="1"/>
  <c r="C124" i="3" s="1"/>
  <c r="D124" i="3" s="1"/>
  <c r="E124" i="3" l="1"/>
  <c r="F124" i="3" s="1"/>
  <c r="C125" i="3" s="1"/>
  <c r="D125" i="3" s="1"/>
  <c r="E125" i="3" l="1"/>
  <c r="F125" i="3" s="1"/>
  <c r="C126" i="3" s="1"/>
  <c r="D126" i="3" s="1"/>
  <c r="E126" i="3" l="1"/>
  <c r="F126" i="3" s="1"/>
  <c r="D22" i="1" l="1"/>
  <c r="D27" i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I35" i="1"/>
  <c r="J35" i="1"/>
  <c r="K35" i="1"/>
  <c r="L35" i="1"/>
  <c r="M35" i="1"/>
  <c r="N35" i="1"/>
  <c r="E9" i="1"/>
  <c r="F9" i="1" s="1"/>
  <c r="G9" i="1" s="1"/>
  <c r="H9" i="1" s="1"/>
  <c r="I9" i="1" s="1"/>
  <c r="J9" i="1" s="1"/>
  <c r="K9" i="1" s="1"/>
  <c r="L9" i="1" s="1"/>
  <c r="M9" i="1" s="1"/>
  <c r="N9" i="1" s="1"/>
  <c r="D26" i="1"/>
  <c r="D37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H35" i="1"/>
  <c r="G35" i="1"/>
  <c r="F35" i="1"/>
  <c r="E35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E11" i="1"/>
  <c r="F11" i="1" s="1"/>
  <c r="G11" i="1" s="1"/>
  <c r="H11" i="1" s="1"/>
  <c r="I11" i="1" s="1"/>
  <c r="E8" i="1"/>
  <c r="F8" i="1" s="1"/>
  <c r="E6" i="1"/>
  <c r="F6" i="1" s="1"/>
  <c r="G6" i="1" s="1"/>
  <c r="H6" i="1" s="1"/>
  <c r="I6" i="1" s="1"/>
  <c r="J6" i="1" s="1"/>
  <c r="K6" i="1" s="1"/>
  <c r="L6" i="1" s="1"/>
  <c r="M6" i="1" s="1"/>
  <c r="N6" i="1" s="1"/>
  <c r="E5" i="1"/>
  <c r="F5" i="1" s="1"/>
  <c r="G5" i="1" s="1"/>
  <c r="H5" i="1" s="1"/>
  <c r="I5" i="1" s="1"/>
  <c r="J5" i="1" s="1"/>
  <c r="K5" i="1" s="1"/>
  <c r="L5" i="1" s="1"/>
  <c r="M5" i="1" s="1"/>
  <c r="N5" i="1" s="1"/>
  <c r="D74" i="1" l="1"/>
  <c r="C85" i="1"/>
  <c r="D45" i="1"/>
  <c r="D59" i="1"/>
  <c r="C87" i="1" s="1"/>
  <c r="E19" i="1"/>
  <c r="D38" i="1"/>
  <c r="D39" i="1" s="1"/>
  <c r="D65" i="1" s="1"/>
  <c r="J11" i="1"/>
  <c r="O26" i="1"/>
  <c r="E22" i="1"/>
  <c r="E59" i="1" s="1"/>
  <c r="F20" i="1"/>
  <c r="F22" i="1"/>
  <c r="F59" i="1" s="1"/>
  <c r="E20" i="1"/>
  <c r="G8" i="1"/>
  <c r="F26" i="1" l="1"/>
  <c r="D76" i="1"/>
  <c r="D77" i="1" s="1"/>
  <c r="D78" i="1" s="1"/>
  <c r="C84" i="1"/>
  <c r="D87" i="1"/>
  <c r="E87" i="1"/>
  <c r="E46" i="1"/>
  <c r="D85" i="1" s="1"/>
  <c r="G22" i="1"/>
  <c r="E26" i="1"/>
  <c r="E74" i="1" s="1"/>
  <c r="K11" i="1"/>
  <c r="E45" i="1"/>
  <c r="D84" i="1" s="1"/>
  <c r="F45" i="1"/>
  <c r="F19" i="1"/>
  <c r="G20" i="1"/>
  <c r="G26" i="1" s="1"/>
  <c r="H8" i="1"/>
  <c r="E84" i="1" l="1"/>
  <c r="E76" i="1"/>
  <c r="E77" i="1" s="1"/>
  <c r="E78" i="1" s="1"/>
  <c r="F46" i="1"/>
  <c r="F74" i="1"/>
  <c r="I19" i="1"/>
  <c r="D58" i="1"/>
  <c r="C86" i="1" s="1"/>
  <c r="C106" i="1" s="1"/>
  <c r="G19" i="1"/>
  <c r="H20" i="1"/>
  <c r="H26" i="1" s="1"/>
  <c r="I8" i="1"/>
  <c r="L11" i="1"/>
  <c r="F37" i="1"/>
  <c r="F38" i="1" s="1"/>
  <c r="F58" i="1" s="1"/>
  <c r="E37" i="1"/>
  <c r="G59" i="1"/>
  <c r="F87" i="1" s="1"/>
  <c r="G45" i="1"/>
  <c r="F84" i="1" s="1"/>
  <c r="H22" i="1" l="1"/>
  <c r="H59" i="1" s="1"/>
  <c r="G87" i="1" s="1"/>
  <c r="E85" i="1"/>
  <c r="G46" i="1"/>
  <c r="F85" i="1" s="1"/>
  <c r="G74" i="1"/>
  <c r="F76" i="1"/>
  <c r="F77" i="1" s="1"/>
  <c r="F78" i="1" s="1"/>
  <c r="H19" i="1"/>
  <c r="I22" i="1"/>
  <c r="I59" i="1" s="1"/>
  <c r="G37" i="1"/>
  <c r="G38" i="1" s="1"/>
  <c r="G58" i="1" s="1"/>
  <c r="F86" i="1" s="1"/>
  <c r="D67" i="1"/>
  <c r="D69" i="1" s="1"/>
  <c r="J19" i="1"/>
  <c r="J22" i="1"/>
  <c r="J8" i="1"/>
  <c r="I20" i="1"/>
  <c r="I46" i="1" s="1"/>
  <c r="M11" i="1"/>
  <c r="F39" i="1"/>
  <c r="H45" i="1"/>
  <c r="G84" i="1" s="1"/>
  <c r="E38" i="1"/>
  <c r="E58" i="1" s="1"/>
  <c r="D86" i="1" s="1"/>
  <c r="D106" i="1" s="1"/>
  <c r="F106" i="1" l="1"/>
  <c r="H87" i="1"/>
  <c r="I45" i="1"/>
  <c r="H84" i="1" s="1"/>
  <c r="E86" i="1"/>
  <c r="E106" i="1" s="1"/>
  <c r="H46" i="1"/>
  <c r="H74" i="1"/>
  <c r="G76" i="1"/>
  <c r="G77" i="1" s="1"/>
  <c r="G78" i="1" s="1"/>
  <c r="J59" i="1"/>
  <c r="I87" i="1" s="1"/>
  <c r="J45" i="1"/>
  <c r="K22" i="1"/>
  <c r="K19" i="1"/>
  <c r="I26" i="1"/>
  <c r="I37" i="1" s="1"/>
  <c r="I38" i="1" s="1"/>
  <c r="I58" i="1" s="1"/>
  <c r="K8" i="1"/>
  <c r="J20" i="1"/>
  <c r="J46" i="1" s="1"/>
  <c r="I85" i="1" s="1"/>
  <c r="N11" i="1"/>
  <c r="H37" i="1"/>
  <c r="H38" i="1" s="1"/>
  <c r="H58" i="1" s="1"/>
  <c r="G86" i="1" s="1"/>
  <c r="E39" i="1"/>
  <c r="E65" i="1" s="1"/>
  <c r="G39" i="1"/>
  <c r="I74" i="1" l="1"/>
  <c r="I84" i="1"/>
  <c r="G85" i="1"/>
  <c r="G106" i="1" s="1"/>
  <c r="H85" i="1"/>
  <c r="I76" i="1"/>
  <c r="I77" i="1" s="1"/>
  <c r="I78" i="1" s="1"/>
  <c r="H76" i="1"/>
  <c r="H77" i="1" s="1"/>
  <c r="H78" i="1" s="1"/>
  <c r="K59" i="1"/>
  <c r="J87" i="1" s="1"/>
  <c r="K45" i="1"/>
  <c r="J84" i="1" s="1"/>
  <c r="L22" i="1"/>
  <c r="L19" i="1"/>
  <c r="I39" i="1"/>
  <c r="H86" i="1"/>
  <c r="J26" i="1"/>
  <c r="J37" i="1" s="1"/>
  <c r="J38" i="1" s="1"/>
  <c r="J58" i="1" s="1"/>
  <c r="L8" i="1"/>
  <c r="K20" i="1"/>
  <c r="K46" i="1" s="1"/>
  <c r="J85" i="1" s="1"/>
  <c r="H39" i="1"/>
  <c r="H106" i="1" l="1"/>
  <c r="J74" i="1"/>
  <c r="F65" i="1"/>
  <c r="F67" i="1" s="1"/>
  <c r="F69" i="1" s="1"/>
  <c r="E67" i="1"/>
  <c r="E69" i="1" s="1"/>
  <c r="M19" i="1"/>
  <c r="M22" i="1"/>
  <c r="L59" i="1"/>
  <c r="K87" i="1" s="1"/>
  <c r="L45" i="1"/>
  <c r="K84" i="1" s="1"/>
  <c r="K26" i="1"/>
  <c r="K37" i="1" s="1"/>
  <c r="K38" i="1" s="1"/>
  <c r="K58" i="1" s="1"/>
  <c r="J39" i="1"/>
  <c r="I86" i="1"/>
  <c r="I106" i="1" s="1"/>
  <c r="M8" i="1"/>
  <c r="L20" i="1"/>
  <c r="L46" i="1" s="1"/>
  <c r="K85" i="1" s="1"/>
  <c r="G65" i="1" l="1"/>
  <c r="G67" i="1" s="1"/>
  <c r="G69" i="1" s="1"/>
  <c r="K74" i="1"/>
  <c r="J76" i="1"/>
  <c r="J77" i="1" s="1"/>
  <c r="J78" i="1" s="1"/>
  <c r="N19" i="1"/>
  <c r="N22" i="1"/>
  <c r="M59" i="1"/>
  <c r="L87" i="1" s="1"/>
  <c r="M45" i="1"/>
  <c r="L84" i="1" s="1"/>
  <c r="N8" i="1"/>
  <c r="N20" i="1" s="1"/>
  <c r="M20" i="1"/>
  <c r="M46" i="1" s="1"/>
  <c r="L85" i="1" s="1"/>
  <c r="L26" i="1"/>
  <c r="L37" i="1" s="1"/>
  <c r="L38" i="1" s="1"/>
  <c r="L58" i="1" s="1"/>
  <c r="K39" i="1"/>
  <c r="J86" i="1"/>
  <c r="H65" i="1" l="1"/>
  <c r="I65" i="1" s="1"/>
  <c r="I67" i="1" s="1"/>
  <c r="I69" i="1" s="1"/>
  <c r="J106" i="1"/>
  <c r="L74" i="1"/>
  <c r="K76" i="1"/>
  <c r="K77" i="1" s="1"/>
  <c r="K78" i="1" s="1"/>
  <c r="N46" i="1"/>
  <c r="N59" i="1"/>
  <c r="N45" i="1"/>
  <c r="N84" i="1" s="1"/>
  <c r="L39" i="1"/>
  <c r="K86" i="1"/>
  <c r="N26" i="1"/>
  <c r="N37" i="1" s="1"/>
  <c r="N38" i="1" s="1"/>
  <c r="M26" i="1"/>
  <c r="M37" i="1" s="1"/>
  <c r="M38" i="1" s="1"/>
  <c r="M58" i="1" s="1"/>
  <c r="H67" i="1" l="1"/>
  <c r="H69" i="1" s="1"/>
  <c r="J65" i="1"/>
  <c r="J67" i="1" s="1"/>
  <c r="J69" i="1" s="1"/>
  <c r="N39" i="1"/>
  <c r="N58" i="1"/>
  <c r="M87" i="1"/>
  <c r="N87" i="1"/>
  <c r="N85" i="1"/>
  <c r="M85" i="1"/>
  <c r="M84" i="1"/>
  <c r="K106" i="1"/>
  <c r="L76" i="1"/>
  <c r="L77" i="1" s="1"/>
  <c r="L78" i="1" s="1"/>
  <c r="M74" i="1"/>
  <c r="N74" i="1"/>
  <c r="M39" i="1"/>
  <c r="L86" i="1"/>
  <c r="K65" i="1" l="1"/>
  <c r="K67" i="1" s="1"/>
  <c r="K69" i="1" s="1"/>
  <c r="L106" i="1"/>
  <c r="M86" i="1"/>
  <c r="N86" i="1"/>
  <c r="N76" i="1"/>
  <c r="N77" i="1" s="1"/>
  <c r="N78" i="1" s="1"/>
  <c r="M76" i="1"/>
  <c r="M77" i="1" s="1"/>
  <c r="M78" i="1" s="1"/>
  <c r="L65" i="1" l="1"/>
  <c r="L67" i="1" s="1"/>
  <c r="L69" i="1" s="1"/>
  <c r="M106" i="1"/>
  <c r="N106" i="1"/>
  <c r="M65" i="1" l="1"/>
  <c r="M67" i="1" s="1"/>
  <c r="M69" i="1" s="1"/>
  <c r="C111" i="1"/>
  <c r="N65" i="1" l="1"/>
  <c r="N67" i="1" s="1"/>
  <c r="N69" i="1" s="1"/>
  <c r="S65" i="1" l="1"/>
  <c r="S67" i="1" s="1"/>
  <c r="T61" i="1" s="1"/>
  <c r="T64" i="1" l="1"/>
  <c r="W64" i="1" s="1"/>
  <c r="W61" i="1"/>
  <c r="T62" i="1"/>
  <c r="W62" i="1" s="1"/>
  <c r="W67" i="1" l="1"/>
  <c r="T67" i="1"/>
  <c r="D111" i="1" l="1"/>
  <c r="C108" i="1" l="1"/>
  <c r="E108" i="1"/>
  <c r="G108" i="1"/>
  <c r="I108" i="1"/>
  <c r="K108" i="1"/>
  <c r="M108" i="1"/>
  <c r="D108" i="1"/>
  <c r="F108" i="1"/>
  <c r="H108" i="1"/>
  <c r="J108" i="1"/>
  <c r="L108" i="1"/>
  <c r="N108" i="1"/>
  <c r="C112" i="1" l="1"/>
  <c r="C109" i="1"/>
</calcChain>
</file>

<file path=xl/sharedStrings.xml><?xml version="1.0" encoding="utf-8"?>
<sst xmlns="http://schemas.openxmlformats.org/spreadsheetml/2006/main" count="287" uniqueCount="133">
  <si>
    <t>Yearly change</t>
  </si>
  <si>
    <t>Inventory Days</t>
  </si>
  <si>
    <t>COGS</t>
  </si>
  <si>
    <t>INCOME STATEMENT</t>
  </si>
  <si>
    <t>Cost of Goods Sold</t>
  </si>
  <si>
    <t>Operating Expenses</t>
  </si>
  <si>
    <t>% of Lesson sales</t>
  </si>
  <si>
    <t>Utilities</t>
  </si>
  <si>
    <t>% growth per year</t>
  </si>
  <si>
    <t>Marketing</t>
  </si>
  <si>
    <t>Depreciation life</t>
  </si>
  <si>
    <t>Mortgage Interest Expense</t>
  </si>
  <si>
    <t>Bank Loan Interest  Expense</t>
  </si>
  <si>
    <t>Bank Interest Rate</t>
  </si>
  <si>
    <t>Taxable Income</t>
  </si>
  <si>
    <t>Taxes</t>
  </si>
  <si>
    <t>Tax Rate</t>
  </si>
  <si>
    <t>Net Income</t>
  </si>
  <si>
    <t>BALANCE SHEET</t>
  </si>
  <si>
    <t>Assets</t>
  </si>
  <si>
    <t>Minimum Cash Inventory</t>
  </si>
  <si>
    <t>Inventory</t>
  </si>
  <si>
    <t>Buildings</t>
  </si>
  <si>
    <t>Accumulated Depreciation</t>
  </si>
  <si>
    <t>Total Assets</t>
  </si>
  <si>
    <t>Liabilities and Equity</t>
  </si>
  <si>
    <t>Taxes Payable</t>
  </si>
  <si>
    <t>Accounts Payable</t>
  </si>
  <si>
    <t>Mortgage Loan</t>
  </si>
  <si>
    <t>Extra Bank Loan</t>
  </si>
  <si>
    <t>Common Stock</t>
  </si>
  <si>
    <t>Retained Earnings</t>
  </si>
  <si>
    <t>Total Liabilities and Equity</t>
  </si>
  <si>
    <t>DFN</t>
  </si>
  <si>
    <t>Bear Creek Running Co</t>
  </si>
  <si>
    <t>Sales (units)</t>
  </si>
  <si>
    <t>Shoe Price</t>
  </si>
  <si>
    <t>Shoe Cost</t>
  </si>
  <si>
    <t>Employee Labor</t>
  </si>
  <si>
    <t>Payment</t>
  </si>
  <si>
    <t>Rate</t>
  </si>
  <si>
    <t>Years</t>
  </si>
  <si>
    <t>Coaching Sales (units)</t>
  </si>
  <si>
    <t>Coaching Price</t>
  </si>
  <si>
    <t>Rent Expense</t>
  </si>
  <si>
    <t>Furniture, Fixtures and Equipment</t>
  </si>
  <si>
    <t>Shoe Revenue</t>
  </si>
  <si>
    <t>Coaching Revenue</t>
  </si>
  <si>
    <t>Coaching Labor</t>
  </si>
  <si>
    <t>Days of Payables</t>
  </si>
  <si>
    <t>Days of Receivables</t>
  </si>
  <si>
    <t>Based on 4 employees and a 40 hour work wee</t>
  </si>
  <si>
    <t>Accounts Receivables</t>
  </si>
  <si>
    <t>Periods</t>
  </si>
  <si>
    <t>Original</t>
  </si>
  <si>
    <t>Principal Bal</t>
  </si>
  <si>
    <t>Interest</t>
  </si>
  <si>
    <t>Prin Paid</t>
  </si>
  <si>
    <t>New Prin Bal</t>
  </si>
  <si>
    <t>Int for Year</t>
  </si>
  <si>
    <t>Periods/Yr</t>
  </si>
  <si>
    <t>Original Mortgage Amount</t>
  </si>
  <si>
    <t>Land</t>
  </si>
  <si>
    <t>Building Life</t>
  </si>
  <si>
    <t>Depreciation Expense (Furniture, Fixtures, &amp; Equipment)</t>
  </si>
  <si>
    <t>Depreciation Expense (Building)</t>
  </si>
  <si>
    <t>T-Bill</t>
  </si>
  <si>
    <t xml:space="preserve">Beta </t>
  </si>
  <si>
    <t>S&amp;P 500</t>
  </si>
  <si>
    <t>Average</t>
  </si>
  <si>
    <t>Proportion</t>
  </si>
  <si>
    <t>After-Tax</t>
  </si>
  <si>
    <t xml:space="preserve">Weighted Ave. </t>
  </si>
  <si>
    <t>Return</t>
  </si>
  <si>
    <t>CAPM</t>
  </si>
  <si>
    <t>WACC</t>
  </si>
  <si>
    <t>Actual</t>
  </si>
  <si>
    <t>Free Cash Flows</t>
  </si>
  <si>
    <t>Cash From Operations</t>
  </si>
  <si>
    <t>Operating Profit</t>
  </si>
  <si>
    <t>Less: Depreciation</t>
  </si>
  <si>
    <t>Taxable Operating Profit</t>
  </si>
  <si>
    <t>Taxes on Operations</t>
  </si>
  <si>
    <t>Cash from Changes in Balance Sheet</t>
  </si>
  <si>
    <t>Working Capital</t>
  </si>
  <si>
    <t>(-)</t>
  </si>
  <si>
    <t>(+)</t>
  </si>
  <si>
    <t>Cash from Operations</t>
  </si>
  <si>
    <t>Fixed and Other Assets</t>
  </si>
  <si>
    <t>Adjustment for Resale</t>
  </si>
  <si>
    <t>Taxes on Resale</t>
  </si>
  <si>
    <t>Book</t>
  </si>
  <si>
    <t>Gain/Loss</t>
  </si>
  <si>
    <t>Gain/(Loss)</t>
  </si>
  <si>
    <t>Furnitures, Fixtures, &amp; Equip.</t>
  </si>
  <si>
    <t>Total Free Cash Flows</t>
  </si>
  <si>
    <t>PV of Free Cash Flows</t>
  </si>
  <si>
    <t>NPV</t>
  </si>
  <si>
    <t>IRR</t>
  </si>
  <si>
    <t>DCF VALUATION (NPV START YR 1)</t>
  </si>
  <si>
    <t xml:space="preserve">Extra Cash </t>
  </si>
  <si>
    <t>Extra Cash</t>
  </si>
  <si>
    <t>Implied Purchase Offer</t>
  </si>
  <si>
    <t>Expected IRR</t>
  </si>
  <si>
    <t>IRR if not in Bankruptcy</t>
  </si>
  <si>
    <t>Prob</t>
  </si>
  <si>
    <t>Total Cash Flows</t>
  </si>
  <si>
    <t>Interest Payments</t>
  </si>
  <si>
    <t>Paid in Bankruptcy</t>
  </si>
  <si>
    <t>Principal</t>
  </si>
  <si>
    <t>Extra Bank Loan Cash Flows</t>
  </si>
  <si>
    <t>Mortgage Loan Cash Flows</t>
  </si>
  <si>
    <t>Return of Debtholders</t>
  </si>
  <si>
    <t>Whole Project Evaluation</t>
  </si>
  <si>
    <t>PV of good</t>
  </si>
  <si>
    <t>Bad</t>
  </si>
  <si>
    <t>Medium</t>
  </si>
  <si>
    <t>Good</t>
  </si>
  <si>
    <t>Sales of Business</t>
  </si>
  <si>
    <t>Short of 5.30%</t>
  </si>
  <si>
    <t>On the $</t>
  </si>
  <si>
    <t>TOTAL</t>
  </si>
  <si>
    <t>Unsecured</t>
  </si>
  <si>
    <t>Prop</t>
  </si>
  <si>
    <t>Remaining</t>
  </si>
  <si>
    <t>Secured</t>
  </si>
  <si>
    <t>Total</t>
  </si>
  <si>
    <t>Admin. Fees</t>
  </si>
  <si>
    <t>Extra secure</t>
  </si>
  <si>
    <t xml:space="preserve">Secured </t>
  </si>
  <si>
    <t>Sale</t>
  </si>
  <si>
    <t>Bankruptcy Forecast</t>
  </si>
  <si>
    <t>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</si>
</sst>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\-??_);_(@_)"/>
    <numFmt numFmtId="165" formatCode="0.0%"/>
    <numFmt numFmtId="166" formatCode="_(\$* #,##0_);_(\$* \(#,##0\);_(\$* \-??_);_(@_)"/>
    <numFmt numFmtId="167" formatCode="_(* #,##0.0_);_(* \(#,##0.0\);_(* \-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_(* #,##0_);_(* \(#,##0\);_(* \-??_);_(@_)"/>
    <numFmt numFmtId="171" formatCode="0.0000%"/>
    <numFmt numFmtId="172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i/>
      <sz val="12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i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41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NumberFormat="1" applyFont="1"/>
    <xf numFmtId="43" fontId="5" fillId="0" borderId="0" xfId="1" applyFont="1"/>
    <xf numFmtId="165" fontId="6" fillId="0" borderId="0" xfId="3" applyNumberFormat="1" applyFont="1"/>
    <xf numFmtId="44" fontId="5" fillId="0" borderId="0" xfId="2" applyFont="1"/>
    <xf numFmtId="166" fontId="5" fillId="0" borderId="0" xfId="2" applyNumberFormat="1" applyFont="1"/>
    <xf numFmtId="10" fontId="6" fillId="0" borderId="0" xfId="3" applyNumberFormat="1" applyFont="1"/>
    <xf numFmtId="167" fontId="5" fillId="0" borderId="0" xfId="1" applyNumberFormat="1" applyFont="1"/>
    <xf numFmtId="166" fontId="4" fillId="0" borderId="0" xfId="0" applyNumberFormat="1" applyFont="1"/>
    <xf numFmtId="0" fontId="3" fillId="2" borderId="1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3" fillId="4" borderId="1" xfId="0" applyFont="1" applyFill="1" applyBorder="1" applyAlignment="1">
      <alignment horizontal="centerContinuous"/>
    </xf>
    <xf numFmtId="0" fontId="4" fillId="4" borderId="2" xfId="0" applyFont="1" applyFill="1" applyBorder="1" applyAlignment="1">
      <alignment horizontal="centerContinuous"/>
    </xf>
    <xf numFmtId="0" fontId="4" fillId="4" borderId="3" xfId="0" applyFont="1" applyFill="1" applyBorder="1" applyAlignment="1">
      <alignment horizontal="centerContinuous"/>
    </xf>
    <xf numFmtId="44" fontId="4" fillId="0" borderId="0" xfId="2" applyFont="1"/>
    <xf numFmtId="168" fontId="5" fillId="0" borderId="0" xfId="1" applyNumberFormat="1" applyFont="1"/>
    <xf numFmtId="169" fontId="5" fillId="0" borderId="0" xfId="2" applyNumberFormat="1" applyFont="1"/>
    <xf numFmtId="10" fontId="0" fillId="0" borderId="5" xfId="3" applyNumberFormat="1" applyFont="1" applyFill="1" applyBorder="1"/>
    <xf numFmtId="169" fontId="0" fillId="0" borderId="0" xfId="2" applyNumberFormat="1" applyFont="1"/>
    <xf numFmtId="169" fontId="0" fillId="0" borderId="0" xfId="0" applyNumberFormat="1"/>
    <xf numFmtId="0" fontId="0" fillId="0" borderId="7" xfId="0" applyFill="1" applyBorder="1"/>
    <xf numFmtId="44" fontId="0" fillId="0" borderId="7" xfId="2" applyFont="1" applyFill="1" applyBorder="1"/>
    <xf numFmtId="8" fontId="0" fillId="0" borderId="9" xfId="0" applyNumberFormat="1" applyFill="1" applyBorder="1"/>
    <xf numFmtId="8" fontId="0" fillId="0" borderId="0" xfId="0" applyNumberFormat="1"/>
    <xf numFmtId="0" fontId="0" fillId="0" borderId="4" xfId="0" applyBorder="1"/>
    <xf numFmtId="44" fontId="0" fillId="0" borderId="12" xfId="0" applyNumberFormat="1" applyBorder="1"/>
    <xf numFmtId="8" fontId="0" fillId="0" borderId="12" xfId="0" applyNumberFormat="1" applyBorder="1"/>
    <xf numFmtId="0" fontId="0" fillId="0" borderId="6" xfId="0" applyBorder="1"/>
    <xf numFmtId="44" fontId="0" fillId="0" borderId="13" xfId="0" applyNumberFormat="1" applyBorder="1"/>
    <xf numFmtId="8" fontId="0" fillId="0" borderId="13" xfId="0" applyNumberFormat="1" applyBorder="1"/>
    <xf numFmtId="169" fontId="0" fillId="5" borderId="10" xfId="0" applyNumberFormat="1" applyFill="1" applyBorder="1"/>
    <xf numFmtId="169" fontId="0" fillId="5" borderId="11" xfId="0" applyNumberFormat="1" applyFill="1" applyBorder="1"/>
    <xf numFmtId="0" fontId="0" fillId="0" borderId="8" xfId="0" applyBorder="1"/>
    <xf numFmtId="44" fontId="0" fillId="0" borderId="14" xfId="0" applyNumberFormat="1" applyBorder="1"/>
    <xf numFmtId="0" fontId="0" fillId="3" borderId="15" xfId="0" applyFill="1" applyBorder="1"/>
    <xf numFmtId="0" fontId="0" fillId="3" borderId="4" xfId="0" applyFill="1" applyBorder="1"/>
    <xf numFmtId="9" fontId="0" fillId="0" borderId="5" xfId="3" applyFont="1" applyBorder="1"/>
    <xf numFmtId="0" fontId="0" fillId="3" borderId="6" xfId="0" applyFill="1" applyBorder="1"/>
    <xf numFmtId="168" fontId="0" fillId="0" borderId="7" xfId="1" applyNumberFormat="1" applyFont="1" applyBorder="1"/>
    <xf numFmtId="0" fontId="0" fillId="3" borderId="8" xfId="0" applyFill="1" applyBorder="1"/>
    <xf numFmtId="168" fontId="0" fillId="0" borderId="9" xfId="1" applyNumberFormat="1" applyFont="1" applyBorder="1"/>
    <xf numFmtId="0" fontId="2" fillId="3" borderId="4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0" fillId="3" borderId="10" xfId="0" applyFill="1" applyBorder="1"/>
    <xf numFmtId="0" fontId="0" fillId="3" borderId="11" xfId="0" applyFill="1" applyBorder="1"/>
    <xf numFmtId="44" fontId="0" fillId="0" borderId="5" xfId="2" applyNumberFormat="1" applyFont="1" applyBorder="1"/>
    <xf numFmtId="44" fontId="0" fillId="0" borderId="7" xfId="2" applyNumberFormat="1" applyFont="1" applyBorder="1"/>
    <xf numFmtId="44" fontId="0" fillId="0" borderId="9" xfId="2" applyNumberFormat="1" applyFont="1" applyBorder="1"/>
    <xf numFmtId="0" fontId="0" fillId="3" borderId="17" xfId="0" applyFill="1" applyBorder="1"/>
    <xf numFmtId="0" fontId="0" fillId="3" borderId="16" xfId="0" applyFill="1" applyBorder="1"/>
    <xf numFmtId="0" fontId="0" fillId="0" borderId="13" xfId="0" applyBorder="1"/>
    <xf numFmtId="44" fontId="0" fillId="0" borderId="13" xfId="2" applyFont="1" applyBorder="1"/>
    <xf numFmtId="0" fontId="0" fillId="0" borderId="14" xfId="0" applyBorder="1"/>
    <xf numFmtId="169" fontId="4" fillId="0" borderId="0" xfId="2" applyNumberFormat="1" applyFont="1"/>
    <xf numFmtId="170" fontId="5" fillId="0" borderId="0" xfId="1" applyNumberFormat="1" applyFont="1"/>
    <xf numFmtId="9" fontId="5" fillId="0" borderId="0" xfId="3" applyFont="1"/>
    <xf numFmtId="0" fontId="3" fillId="7" borderId="0" xfId="0" applyFont="1" applyFill="1"/>
    <xf numFmtId="0" fontId="4" fillId="7" borderId="0" xfId="0" applyFont="1" applyFill="1"/>
    <xf numFmtId="166" fontId="5" fillId="7" borderId="0" xfId="2" applyNumberFormat="1" applyFont="1" applyFill="1"/>
    <xf numFmtId="0" fontId="4" fillId="0" borderId="0" xfId="0" applyFont="1" applyFill="1" applyBorder="1" applyAlignment="1">
      <alignment horizontal="centerContinuous"/>
    </xf>
    <xf numFmtId="0" fontId="4" fillId="7" borderId="0" xfId="0" applyFont="1" applyFill="1" applyBorder="1" applyAlignment="1">
      <alignment horizontal="centerContinuous"/>
    </xf>
    <xf numFmtId="9" fontId="4" fillId="0" borderId="0" xfId="3" applyFont="1"/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9" fontId="4" fillId="0" borderId="0" xfId="0" applyNumberFormat="1" applyFont="1"/>
    <xf numFmtId="166" fontId="4" fillId="0" borderId="19" xfId="0" applyNumberFormat="1" applyFont="1" applyBorder="1"/>
    <xf numFmtId="9" fontId="4" fillId="0" borderId="19" xfId="0" applyNumberFormat="1" applyFont="1" applyBorder="1"/>
    <xf numFmtId="10" fontId="4" fillId="0" borderId="0" xfId="3" applyNumberFormat="1" applyFont="1"/>
    <xf numFmtId="10" fontId="4" fillId="0" borderId="0" xfId="0" applyNumberFormat="1" applyFont="1"/>
    <xf numFmtId="10" fontId="4" fillId="0" borderId="19" xfId="3" applyNumberFormat="1" applyFont="1" applyBorder="1"/>
    <xf numFmtId="0" fontId="3" fillId="5" borderId="0" xfId="0" applyFont="1" applyFill="1"/>
    <xf numFmtId="0" fontId="4" fillId="8" borderId="0" xfId="0" applyFont="1" applyFill="1"/>
    <xf numFmtId="9" fontId="4" fillId="9" borderId="0" xfId="3" applyFont="1" applyFill="1"/>
    <xf numFmtId="0" fontId="4" fillId="9" borderId="0" xfId="0" applyFont="1" applyFill="1"/>
    <xf numFmtId="10" fontId="3" fillId="0" borderId="19" xfId="3" applyNumberFormat="1" applyFont="1" applyFill="1" applyBorder="1"/>
    <xf numFmtId="0" fontId="3" fillId="0" borderId="0" xfId="0" applyFont="1" applyFill="1"/>
    <xf numFmtId="0" fontId="0" fillId="0" borderId="18" xfId="0" applyBorder="1"/>
    <xf numFmtId="0" fontId="7" fillId="10" borderId="0" xfId="0" applyNumberFormat="1" applyFont="1" applyFill="1" applyAlignment="1">
      <alignment horizontal="center"/>
    </xf>
    <xf numFmtId="0" fontId="8" fillId="10" borderId="0" xfId="2" applyNumberFormat="1" applyFont="1" applyFill="1" applyAlignment="1">
      <alignment horizontal="center"/>
    </xf>
    <xf numFmtId="169" fontId="4" fillId="0" borderId="0" xfId="0" applyNumberFormat="1" applyFont="1"/>
    <xf numFmtId="166" fontId="5" fillId="8" borderId="0" xfId="2" applyNumberFormat="1" applyFont="1" applyFill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10" fontId="5" fillId="0" borderId="0" xfId="3" applyNumberFormat="1" applyFont="1"/>
    <xf numFmtId="6" fontId="4" fillId="0" borderId="0" xfId="0" applyNumberFormat="1" applyFont="1"/>
    <xf numFmtId="6" fontId="5" fillId="0" borderId="0" xfId="2" applyNumberFormat="1" applyFont="1"/>
    <xf numFmtId="0" fontId="4" fillId="11" borderId="0" xfId="0" applyFont="1" applyFill="1"/>
    <xf numFmtId="168" fontId="5" fillId="10" borderId="0" xfId="1" applyNumberFormat="1" applyFont="1" applyFill="1"/>
    <xf numFmtId="44" fontId="5" fillId="10" borderId="0" xfId="2" applyFont="1" applyFill="1"/>
    <xf numFmtId="0" fontId="4" fillId="0" borderId="0" xfId="0" applyFont="1" applyFill="1" applyAlignment="1"/>
    <xf numFmtId="169" fontId="4" fillId="10" borderId="0" xfId="2" applyNumberFormat="1" applyFont="1" applyFill="1"/>
    <xf numFmtId="169" fontId="5" fillId="0" borderId="0" xfId="1" applyNumberFormat="1" applyFont="1"/>
    <xf numFmtId="169" fontId="5" fillId="10" borderId="0" xfId="1" applyNumberFormat="1" applyFont="1" applyFill="1"/>
    <xf numFmtId="171" fontId="5" fillId="0" borderId="0" xfId="3" applyNumberFormat="1" applyFont="1" applyAlignment="1">
      <alignment horizontal="right"/>
    </xf>
    <xf numFmtId="44" fontId="5" fillId="0" borderId="0" xfId="2" applyNumberFormat="1" applyFont="1"/>
    <xf numFmtId="0" fontId="4" fillId="12" borderId="0" xfId="0" applyFont="1" applyFill="1"/>
    <xf numFmtId="166" fontId="5" fillId="12" borderId="0" xfId="2" applyNumberFormat="1" applyFont="1" applyFill="1"/>
    <xf numFmtId="164" fontId="5" fillId="12" borderId="0" xfId="1" applyNumberFormat="1" applyFont="1" applyFill="1"/>
    <xf numFmtId="168" fontId="4" fillId="5" borderId="0" xfId="1" applyNumberFormat="1" applyFont="1" applyFill="1"/>
    <xf numFmtId="0" fontId="4" fillId="6" borderId="0" xfId="0" applyFont="1" applyFill="1" applyAlignment="1">
      <alignment horizontal="center"/>
    </xf>
    <xf numFmtId="44" fontId="0" fillId="0" borderId="0" xfId="0" applyNumberFormat="1"/>
    <xf numFmtId="44" fontId="0" fillId="2" borderId="9" xfId="2" applyNumberFormat="1" applyFont="1" applyFill="1" applyBorder="1"/>
    <xf numFmtId="44" fontId="0" fillId="2" borderId="7" xfId="2" applyNumberFormat="1" applyFont="1" applyFill="1" applyBorder="1"/>
    <xf numFmtId="0" fontId="10" fillId="0" borderId="0" xfId="0" applyFont="1"/>
    <xf numFmtId="164" fontId="11" fillId="0" borderId="0" xfId="1" applyNumberFormat="1" applyFont="1"/>
    <xf numFmtId="0" fontId="10" fillId="0" borderId="0" xfId="0" applyFont="1" applyFill="1"/>
    <xf numFmtId="166" fontId="11" fillId="0" borderId="0" xfId="2" applyNumberFormat="1" applyFont="1"/>
    <xf numFmtId="166" fontId="11" fillId="0" borderId="0" xfId="2" applyNumberFormat="1" applyFont="1" applyFill="1"/>
    <xf numFmtId="0" fontId="9" fillId="0" borderId="0" xfId="4" applyFill="1"/>
    <xf numFmtId="0" fontId="12" fillId="0" borderId="0" xfId="4" applyFont="1" applyFill="1"/>
    <xf numFmtId="0" fontId="13" fillId="0" borderId="0" xfId="2" applyNumberFormat="1" applyFont="1" applyFill="1"/>
    <xf numFmtId="0" fontId="14" fillId="0" borderId="0" xfId="0" applyNumberFormat="1" applyFont="1" applyFill="1"/>
    <xf numFmtId="10" fontId="10" fillId="0" borderId="0" xfId="0" applyNumberFormat="1" applyFont="1"/>
    <xf numFmtId="9" fontId="11" fillId="0" borderId="0" xfId="3" applyFont="1"/>
    <xf numFmtId="9" fontId="10" fillId="0" borderId="0" xfId="0" applyNumberFormat="1" applyFont="1"/>
    <xf numFmtId="9" fontId="10" fillId="0" borderId="20" xfId="1" applyNumberFormat="1" applyFont="1" applyBorder="1"/>
    <xf numFmtId="168" fontId="10" fillId="0" borderId="0" xfId="1" applyNumberFormat="1" applyFont="1"/>
    <xf numFmtId="168" fontId="15" fillId="0" borderId="0" xfId="1" applyNumberFormat="1" applyFont="1" applyFill="1"/>
    <xf numFmtId="166" fontId="15" fillId="0" borderId="0" xfId="2" applyNumberFormat="1" applyFont="1" applyFill="1"/>
    <xf numFmtId="43" fontId="10" fillId="0" borderId="0" xfId="1" applyFont="1"/>
    <xf numFmtId="43" fontId="15" fillId="0" borderId="0" xfId="1" applyFont="1" applyFill="1"/>
    <xf numFmtId="0" fontId="16" fillId="0" borderId="0" xfId="0" applyFont="1"/>
    <xf numFmtId="9" fontId="10" fillId="0" borderId="20" xfId="0" applyNumberFormat="1" applyFont="1" applyBorder="1"/>
    <xf numFmtId="166" fontId="10" fillId="0" borderId="0" xfId="0" applyNumberFormat="1" applyFont="1"/>
    <xf numFmtId="166" fontId="15" fillId="0" borderId="0" xfId="0" applyNumberFormat="1" applyFont="1" applyFill="1"/>
    <xf numFmtId="0" fontId="15" fillId="0" borderId="0" xfId="0" applyFont="1" applyFill="1"/>
    <xf numFmtId="0" fontId="10" fillId="2" borderId="0" xfId="0" applyFont="1" applyFill="1"/>
    <xf numFmtId="0" fontId="16" fillId="2" borderId="0" xfId="0" applyFont="1" applyFill="1"/>
    <xf numFmtId="8" fontId="10" fillId="0" borderId="0" xfId="0" applyNumberFormat="1" applyFont="1"/>
    <xf numFmtId="0" fontId="17" fillId="0" borderId="0" xfId="0" applyFont="1"/>
    <xf numFmtId="0" fontId="18" fillId="0" borderId="0" xfId="0" applyFont="1"/>
    <xf numFmtId="6" fontId="10" fillId="0" borderId="0" xfId="0" applyNumberFormat="1" applyFont="1"/>
    <xf numFmtId="9" fontId="11" fillId="0" borderId="20" xfId="3" applyFont="1" applyBorder="1"/>
    <xf numFmtId="6" fontId="10" fillId="0" borderId="20" xfId="0" applyNumberFormat="1" applyFont="1" applyBorder="1"/>
    <xf numFmtId="169" fontId="19" fillId="13" borderId="0" xfId="0" applyNumberFormat="1" applyFont="1" applyFill="1"/>
    <xf numFmtId="0" fontId="19" fillId="13" borderId="0" xfId="0" applyFont="1" applyFill="1"/>
    <xf numFmtId="0" fontId="20" fillId="13" borderId="0" xfId="0" applyFont="1" applyFill="1"/>
    <xf numFmtId="169" fontId="10" fillId="2" borderId="0" xfId="0" applyNumberFormat="1" applyFont="1" applyFill="1"/>
    <xf numFmtId="0" fontId="17" fillId="2" borderId="0" xfId="0" applyFont="1" applyFill="1"/>
    <xf numFmtId="0" fontId="18" fillId="2" borderId="0" xfId="0" applyFont="1" applyFill="1"/>
    <xf numFmtId="169" fontId="10" fillId="14" borderId="0" xfId="0" applyNumberFormat="1" applyFont="1" applyFill="1"/>
    <xf numFmtId="0" fontId="17" fillId="14" borderId="0" xfId="0" applyFont="1" applyFill="1"/>
    <xf numFmtId="0" fontId="18" fillId="14" borderId="0" xfId="0" applyFont="1" applyFill="1"/>
    <xf numFmtId="10" fontId="11" fillId="0" borderId="0" xfId="3" applyNumberFormat="1" applyFont="1"/>
    <xf numFmtId="6" fontId="11" fillId="0" borderId="0" xfId="2" applyNumberFormat="1" applyFont="1"/>
    <xf numFmtId="6" fontId="15" fillId="0" borderId="0" xfId="2" applyNumberFormat="1" applyFont="1" applyFill="1"/>
    <xf numFmtId="6" fontId="15" fillId="0" borderId="0" xfId="0" applyNumberFormat="1" applyFont="1" applyFill="1"/>
    <xf numFmtId="169" fontId="10" fillId="0" borderId="0" xfId="2" applyNumberFormat="1" applyFont="1"/>
    <xf numFmtId="169" fontId="15" fillId="0" borderId="0" xfId="2" applyNumberFormat="1" applyFont="1" applyFill="1"/>
    <xf numFmtId="0" fontId="10" fillId="0" borderId="0" xfId="0" applyFont="1" applyBorder="1"/>
    <xf numFmtId="0" fontId="16" fillId="0" borderId="0" xfId="0" applyFont="1" applyBorder="1"/>
    <xf numFmtId="0" fontId="10" fillId="8" borderId="0" xfId="0" applyFont="1" applyFill="1"/>
    <xf numFmtId="166" fontId="11" fillId="8" borderId="0" xfId="2" applyNumberFormat="1" applyFont="1" applyFill="1"/>
    <xf numFmtId="166" fontId="15" fillId="8" borderId="0" xfId="2" applyNumberFormat="1" applyFont="1" applyFill="1"/>
    <xf numFmtId="169" fontId="10" fillId="0" borderId="0" xfId="0" applyNumberFormat="1" applyFont="1"/>
    <xf numFmtId="169" fontId="15" fillId="0" borderId="0" xfId="0" applyNumberFormat="1" applyFont="1" applyFill="1"/>
    <xf numFmtId="0" fontId="17" fillId="0" borderId="18" xfId="0" applyFont="1" applyBorder="1"/>
    <xf numFmtId="0" fontId="10" fillId="0" borderId="18" xfId="0" applyFont="1" applyBorder="1"/>
    <xf numFmtId="0" fontId="13" fillId="10" borderId="0" xfId="2" applyNumberFormat="1" applyFont="1" applyFill="1" applyAlignment="1">
      <alignment horizontal="center"/>
    </xf>
    <xf numFmtId="0" fontId="14" fillId="10" borderId="0" xfId="0" applyNumberFormat="1" applyFont="1" applyFill="1" applyAlignment="1">
      <alignment horizontal="center"/>
    </xf>
    <xf numFmtId="0" fontId="21" fillId="10" borderId="0" xfId="0" applyNumberFormat="1" applyFont="1" applyFill="1" applyAlignment="1">
      <alignment horizontal="center"/>
    </xf>
    <xf numFmtId="0" fontId="10" fillId="12" borderId="0" xfId="0" applyFont="1" applyFill="1"/>
    <xf numFmtId="164" fontId="11" fillId="12" borderId="0" xfId="1" applyNumberFormat="1" applyFont="1" applyFill="1"/>
    <xf numFmtId="166" fontId="11" fillId="12" borderId="0" xfId="2" applyNumberFormat="1" applyFont="1" applyFill="1"/>
    <xf numFmtId="166" fontId="15" fillId="12" borderId="0" xfId="2" applyNumberFormat="1" applyFont="1" applyFill="1"/>
    <xf numFmtId="0" fontId="10" fillId="0" borderId="0" xfId="0" applyFont="1" applyFill="1" applyBorder="1"/>
    <xf numFmtId="0" fontId="16" fillId="0" borderId="0" xfId="0" applyFont="1" applyFill="1" applyBorder="1"/>
    <xf numFmtId="10" fontId="16" fillId="0" borderId="0" xfId="0" applyNumberFormat="1" applyFont="1" applyFill="1" applyBorder="1"/>
    <xf numFmtId="9" fontId="10" fillId="0" borderId="0" xfId="0" applyNumberFormat="1" applyFont="1" applyFill="1" applyBorder="1"/>
    <xf numFmtId="10" fontId="16" fillId="0" borderId="0" xfId="3" applyNumberFormat="1" applyFont="1" applyFill="1" applyBorder="1"/>
    <xf numFmtId="166" fontId="10" fillId="0" borderId="0" xfId="0" applyNumberFormat="1" applyFont="1" applyFill="1" applyBorder="1"/>
    <xf numFmtId="166" fontId="11" fillId="7" borderId="0" xfId="2" applyNumberFormat="1" applyFont="1" applyFill="1"/>
    <xf numFmtId="0" fontId="10" fillId="7" borderId="0" xfId="0" applyFont="1" applyFill="1" applyBorder="1" applyAlignment="1">
      <alignment horizontal="centerContinuous"/>
    </xf>
    <xf numFmtId="0" fontId="10" fillId="7" borderId="0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9" fontId="10" fillId="0" borderId="0" xfId="3" applyFont="1" applyFill="1" applyBorder="1"/>
    <xf numFmtId="10" fontId="10" fillId="0" borderId="0" xfId="3" applyNumberFormat="1" applyFont="1" applyFill="1" applyBorder="1"/>
    <xf numFmtId="10" fontId="10" fillId="0" borderId="0" xfId="0" applyNumberFormat="1" applyFont="1" applyFill="1" applyBorder="1"/>
    <xf numFmtId="166" fontId="10" fillId="0" borderId="20" xfId="0" applyNumberFormat="1" applyFont="1" applyBorder="1"/>
    <xf numFmtId="172" fontId="10" fillId="5" borderId="0" xfId="1" applyNumberFormat="1" applyFont="1" applyFill="1"/>
    <xf numFmtId="169" fontId="10" fillId="15" borderId="0" xfId="2" applyNumberFormat="1" applyFont="1" applyFill="1"/>
    <xf numFmtId="44" fontId="10" fillId="0" borderId="0" xfId="2" applyNumberFormat="1" applyFont="1"/>
    <xf numFmtId="9" fontId="10" fillId="0" borderId="0" xfId="3" applyFont="1"/>
    <xf numFmtId="169" fontId="11" fillId="0" borderId="0" xfId="2" applyNumberFormat="1" applyFont="1"/>
    <xf numFmtId="0" fontId="10" fillId="0" borderId="0" xfId="0" applyFont="1" applyFill="1" applyBorder="1" applyAlignment="1">
      <alignment horizontal="center"/>
    </xf>
    <xf numFmtId="0" fontId="16" fillId="0" borderId="18" xfId="0" applyFont="1" applyBorder="1" applyAlignment="1">
      <alignment horizontal="center"/>
    </xf>
    <xf numFmtId="169" fontId="11" fillId="0" borderId="0" xfId="2" applyNumberFormat="1" applyFont="1" applyFill="1"/>
    <xf numFmtId="0" fontId="16" fillId="0" borderId="0" xfId="0" applyFont="1" applyFill="1" applyBorder="1" applyAlignment="1">
      <alignment horizontal="center"/>
    </xf>
    <xf numFmtId="169" fontId="10" fillId="0" borderId="20" xfId="2" applyNumberFormat="1" applyFont="1" applyBorder="1"/>
    <xf numFmtId="0" fontId="10" fillId="0" borderId="0" xfId="0" applyFont="1" applyAlignment="1">
      <alignment horizontal="left"/>
    </xf>
    <xf numFmtId="44" fontId="10" fillId="0" borderId="0" xfId="0" applyNumberFormat="1" applyFont="1" applyBorder="1"/>
    <xf numFmtId="44" fontId="10" fillId="0" borderId="18" xfId="0" applyNumberFormat="1" applyFont="1" applyBorder="1"/>
    <xf numFmtId="0" fontId="10" fillId="0" borderId="0" xfId="0" applyFont="1" applyFill="1" applyBorder="1" applyAlignment="1">
      <alignment horizontal="centerContinuous"/>
    </xf>
    <xf numFmtId="0" fontId="16" fillId="0" borderId="0" xfId="0" applyFont="1" applyFill="1" applyBorder="1" applyAlignment="1"/>
    <xf numFmtId="2" fontId="10" fillId="0" borderId="0" xfId="0" applyNumberFormat="1" applyFont="1" applyFill="1" applyBorder="1"/>
    <xf numFmtId="0" fontId="10" fillId="7" borderId="0" xfId="0" applyFont="1" applyFill="1"/>
    <xf numFmtId="0" fontId="16" fillId="7" borderId="0" xfId="0" applyFont="1" applyFill="1"/>
    <xf numFmtId="0" fontId="10" fillId="0" borderId="0" xfId="0" applyFont="1" applyFill="1" applyBorder="1" applyAlignment="1"/>
    <xf numFmtId="170" fontId="11" fillId="0" borderId="0" xfId="1" applyNumberFormat="1" applyFont="1"/>
    <xf numFmtId="0" fontId="10" fillId="2" borderId="18" xfId="0" applyFont="1" applyFill="1" applyBorder="1" applyAlignment="1">
      <alignment horizontal="center"/>
    </xf>
    <xf numFmtId="0" fontId="10" fillId="14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4" borderId="3" xfId="0" applyFont="1" applyFill="1" applyBorder="1" applyAlignment="1">
      <alignment horizontal="centerContinuous"/>
    </xf>
    <xf numFmtId="0" fontId="10" fillId="4" borderId="2" xfId="0" applyFont="1" applyFill="1" applyBorder="1" applyAlignment="1">
      <alignment horizontal="centerContinuous"/>
    </xf>
    <xf numFmtId="0" fontId="16" fillId="4" borderId="1" xfId="0" applyFont="1" applyFill="1" applyBorder="1" applyAlignment="1">
      <alignment horizontal="centerContinuous"/>
    </xf>
    <xf numFmtId="10" fontId="22" fillId="0" borderId="0" xfId="3" applyNumberFormat="1" applyFont="1"/>
    <xf numFmtId="167" fontId="11" fillId="0" borderId="0" xfId="1" applyNumberFormat="1" applyFont="1"/>
    <xf numFmtId="165" fontId="22" fillId="0" borderId="0" xfId="3" applyNumberFormat="1" applyFont="1"/>
    <xf numFmtId="43" fontId="11" fillId="0" borderId="0" xfId="1" applyFont="1"/>
    <xf numFmtId="44" fontId="10" fillId="0" borderId="0" xfId="2" applyFont="1"/>
    <xf numFmtId="44" fontId="15" fillId="0" borderId="0" xfId="2" applyFont="1" applyFill="1"/>
    <xf numFmtId="168" fontId="11" fillId="0" borderId="0" xfId="1" applyNumberFormat="1" applyFont="1"/>
    <xf numFmtId="44" fontId="11" fillId="0" borderId="0" xfId="2" applyFont="1"/>
    <xf numFmtId="168" fontId="11" fillId="0" borderId="0" xfId="1" applyNumberFormat="1" applyFont="1" applyFill="1"/>
    <xf numFmtId="0" fontId="14" fillId="11" borderId="0" xfId="0" applyFont="1" applyFill="1"/>
    <xf numFmtId="0" fontId="21" fillId="11" borderId="0" xfId="0" applyFont="1" applyFill="1"/>
    <xf numFmtId="0" fontId="10" fillId="2" borderId="3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0" fontId="16" fillId="2" borderId="1" xfId="0" applyFont="1" applyFill="1" applyBorder="1" applyAlignment="1">
      <alignment horizontal="centerContinuous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10" fontId="4" fillId="0" borderId="0" xfId="3" applyNumberFormat="1" applyFont="1" applyFill="1" applyBorder="1"/>
    <xf numFmtId="0" fontId="3" fillId="0" borderId="0" xfId="0" applyFont="1" applyFill="1" applyBorder="1"/>
    <xf numFmtId="10" fontId="3" fillId="0" borderId="0" xfId="3" applyNumberFormat="1" applyFont="1" applyFill="1" applyBorder="1"/>
    <xf numFmtId="9" fontId="4" fillId="0" borderId="0" xfId="0" applyNumberFormat="1" applyFont="1" applyFill="1" applyBorder="1"/>
    <xf numFmtId="10" fontId="4" fillId="0" borderId="0" xfId="0" applyNumberFormat="1" applyFont="1" applyFill="1" applyBorder="1"/>
    <xf numFmtId="10" fontId="3" fillId="0" borderId="0" xfId="0" applyNumberFormat="1" applyFont="1" applyFill="1" applyBorder="1"/>
    <xf numFmtId="0" fontId="3" fillId="7" borderId="0" xfId="0" applyFont="1" applyFill="1" applyBorder="1" applyAlignment="1">
      <alignment horizontal="left"/>
    </xf>
    <xf numFmtId="0" fontId="4" fillId="6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F245"/>
  <sheetViews>
    <sheetView tabSelected="1" zoomScale="85" zoomScaleNormal="85" workbookViewId="0">
      <pane ySplit="1" topLeftCell="A93" activePane="bottomLeft" state="frozen"/>
      <selection pane="bottomLeft" activeCell="C99" sqref="C99"/>
    </sheetView>
  </sheetViews>
  <sheetFormatPr defaultColWidth="9.140625" defaultRowHeight="15.75" x14ac:dyDescent="0.25"/>
  <cols>
    <col min="1" max="1" width="5.42578125" style="2" customWidth="1"/>
    <col min="2" max="2" width="41.42578125" style="2" customWidth="1"/>
    <col min="3" max="3" width="21" style="2" customWidth="1"/>
    <col min="4" max="4" width="16.140625" style="2" bestFit="1" customWidth="1"/>
    <col min="5" max="5" width="17.85546875" style="2" customWidth="1"/>
    <col min="6" max="6" width="14.7109375" style="2" customWidth="1"/>
    <col min="7" max="7" width="15.42578125" style="2" bestFit="1" customWidth="1"/>
    <col min="8" max="8" width="14.7109375" style="2" customWidth="1"/>
    <col min="9" max="10" width="15.42578125" style="2" bestFit="1" customWidth="1"/>
    <col min="11" max="12" width="16.140625" style="2" bestFit="1" customWidth="1"/>
    <col min="13" max="13" width="15.42578125" style="2" bestFit="1" customWidth="1"/>
    <col min="14" max="14" width="19.5703125" style="2" bestFit="1" customWidth="1"/>
    <col min="15" max="15" width="13.85546875" style="3" bestFit="1" customWidth="1"/>
    <col min="16" max="16" width="17.7109375" style="2" customWidth="1"/>
    <col min="17" max="17" width="9.140625" style="2"/>
    <col min="18" max="18" width="11" style="2" bestFit="1" customWidth="1"/>
    <col min="19" max="19" width="14" style="2" bestFit="1" customWidth="1"/>
    <col min="20" max="20" width="11.7109375" style="2" bestFit="1" customWidth="1"/>
    <col min="21" max="21" width="9.140625" style="2"/>
    <col min="22" max="22" width="10.140625" style="2" bestFit="1" customWidth="1"/>
    <col min="23" max="23" width="15.42578125" style="2" customWidth="1"/>
    <col min="24" max="24" width="8.28515625" style="2" customWidth="1"/>
    <col min="25" max="25" width="6.28515625" style="2" customWidth="1"/>
    <col min="26" max="26" width="13" style="2" bestFit="1" customWidth="1"/>
    <col min="27" max="27" width="10.140625" style="2" bestFit="1" customWidth="1"/>
    <col min="28" max="28" width="10" style="2" bestFit="1" customWidth="1"/>
    <col min="29" max="29" width="10.5703125" style="2" bestFit="1" customWidth="1"/>
    <col min="30" max="30" width="12" style="2" bestFit="1" customWidth="1"/>
    <col min="31" max="16384" width="9.140625" style="2"/>
  </cols>
  <sheetData>
    <row r="1" spans="1:16" ht="17.25" thickTop="1" thickBot="1" x14ac:dyDescent="0.3">
      <c r="A1" s="11" t="s">
        <v>34</v>
      </c>
      <c r="B1" s="12"/>
      <c r="C1" s="13"/>
      <c r="D1" s="91">
        <v>2014</v>
      </c>
      <c r="E1" s="91">
        <v>2015</v>
      </c>
      <c r="F1" s="91">
        <v>2016</v>
      </c>
      <c r="G1" s="91">
        <v>2017</v>
      </c>
      <c r="H1" s="91">
        <v>2018</v>
      </c>
      <c r="I1" s="91">
        <v>2019</v>
      </c>
      <c r="J1" s="91">
        <v>2020</v>
      </c>
      <c r="K1" s="91">
        <v>2021</v>
      </c>
      <c r="L1" s="91">
        <v>2022</v>
      </c>
      <c r="M1" s="91">
        <v>2023</v>
      </c>
      <c r="N1" s="91">
        <v>2024</v>
      </c>
    </row>
    <row r="2" spans="1:16" ht="16.5" thickTop="1" x14ac:dyDescent="0.25"/>
    <row r="4" spans="1:16" ht="15.6" x14ac:dyDescent="0.3">
      <c r="A4" s="2" t="s">
        <v>35</v>
      </c>
      <c r="D4" s="92">
        <v>5000</v>
      </c>
      <c r="E4" s="18">
        <f>D4*(1+$O4)</f>
        <v>5150</v>
      </c>
      <c r="F4" s="18">
        <f t="shared" ref="F4:N4" si="0">E4*(1+$O4)</f>
        <v>5304.5</v>
      </c>
      <c r="G4" s="18">
        <f t="shared" si="0"/>
        <v>5463.6350000000002</v>
      </c>
      <c r="H4" s="18">
        <f t="shared" si="0"/>
        <v>5627.5440500000004</v>
      </c>
      <c r="I4" s="18">
        <f t="shared" si="0"/>
        <v>5796.3703715000001</v>
      </c>
      <c r="J4" s="18">
        <f t="shared" si="0"/>
        <v>5970.2614826449999</v>
      </c>
      <c r="K4" s="18">
        <f t="shared" si="0"/>
        <v>6149.3693271243501</v>
      </c>
      <c r="L4" s="18">
        <f t="shared" si="0"/>
        <v>6333.8504069380806</v>
      </c>
      <c r="M4" s="18">
        <f t="shared" si="0"/>
        <v>6523.865919146223</v>
      </c>
      <c r="N4" s="18">
        <f t="shared" si="0"/>
        <v>6719.5818967206096</v>
      </c>
      <c r="O4" s="5">
        <v>0.03</v>
      </c>
      <c r="P4" s="2" t="s">
        <v>0</v>
      </c>
    </row>
    <row r="5" spans="1:16" ht="15.6" x14ac:dyDescent="0.3">
      <c r="A5" s="2" t="s">
        <v>36</v>
      </c>
      <c r="D5" s="93">
        <v>90</v>
      </c>
      <c r="E5" s="6">
        <f t="shared" ref="E5:H6" si="1">D5*(1+$O5)</f>
        <v>91.8</v>
      </c>
      <c r="F5" s="6">
        <f t="shared" si="1"/>
        <v>93.635999999999996</v>
      </c>
      <c r="G5" s="6">
        <f t="shared" si="1"/>
        <v>95.508719999999997</v>
      </c>
      <c r="H5" s="6">
        <f t="shared" si="1"/>
        <v>97.418894399999999</v>
      </c>
      <c r="I5" s="6">
        <f t="shared" ref="I5:N5" si="2">H5*(1+$O5)</f>
        <v>99.367272287999995</v>
      </c>
      <c r="J5" s="6">
        <f t="shared" si="2"/>
        <v>101.35461773375999</v>
      </c>
      <c r="K5" s="6">
        <f t="shared" si="2"/>
        <v>103.3817100884352</v>
      </c>
      <c r="L5" s="6">
        <f t="shared" si="2"/>
        <v>105.44934429020391</v>
      </c>
      <c r="M5" s="6">
        <f t="shared" si="2"/>
        <v>107.558331176008</v>
      </c>
      <c r="N5" s="6">
        <f t="shared" si="2"/>
        <v>109.70949779952817</v>
      </c>
      <c r="O5" s="5">
        <v>0.02</v>
      </c>
      <c r="P5" s="2" t="s">
        <v>0</v>
      </c>
    </row>
    <row r="6" spans="1:16" ht="15.6" x14ac:dyDescent="0.3">
      <c r="A6" s="2" t="s">
        <v>37</v>
      </c>
      <c r="D6" s="93">
        <v>40</v>
      </c>
      <c r="E6" s="6">
        <f t="shared" si="1"/>
        <v>40</v>
      </c>
      <c r="F6" s="6">
        <f t="shared" si="1"/>
        <v>40</v>
      </c>
      <c r="G6" s="6">
        <f t="shared" si="1"/>
        <v>40</v>
      </c>
      <c r="H6" s="6">
        <f t="shared" si="1"/>
        <v>40</v>
      </c>
      <c r="I6" s="6">
        <f t="shared" ref="I6:N6" si="3">H6*(1+$O6)</f>
        <v>40</v>
      </c>
      <c r="J6" s="6">
        <f t="shared" si="3"/>
        <v>40</v>
      </c>
      <c r="K6" s="6">
        <f t="shared" si="3"/>
        <v>40</v>
      </c>
      <c r="L6" s="6">
        <f t="shared" si="3"/>
        <v>40</v>
      </c>
      <c r="M6" s="6">
        <f t="shared" si="3"/>
        <v>40</v>
      </c>
      <c r="N6" s="6">
        <f t="shared" si="3"/>
        <v>40</v>
      </c>
      <c r="O6" s="5">
        <v>0</v>
      </c>
      <c r="P6" s="2" t="s">
        <v>0</v>
      </c>
    </row>
    <row r="8" spans="1:16" ht="15.6" x14ac:dyDescent="0.3">
      <c r="A8" s="2" t="s">
        <v>42</v>
      </c>
      <c r="D8" s="92">
        <v>1555</v>
      </c>
      <c r="E8" s="18">
        <f t="shared" ref="E8:H9" si="4">D8*(1+$O8)</f>
        <v>1601.65</v>
      </c>
      <c r="F8" s="18">
        <f t="shared" si="4"/>
        <v>1649.6995000000002</v>
      </c>
      <c r="G8" s="18">
        <f t="shared" si="4"/>
        <v>1699.1904850000003</v>
      </c>
      <c r="H8" s="18">
        <f t="shared" si="4"/>
        <v>1750.1661995500003</v>
      </c>
      <c r="I8" s="18">
        <f t="shared" ref="I8:N8" si="5">H8*(1+$O8)</f>
        <v>1802.6711855365004</v>
      </c>
      <c r="J8" s="18">
        <f t="shared" si="5"/>
        <v>1856.7513211025955</v>
      </c>
      <c r="K8" s="18">
        <f t="shared" si="5"/>
        <v>1912.4538607356735</v>
      </c>
      <c r="L8" s="18">
        <f t="shared" si="5"/>
        <v>1969.8274765577437</v>
      </c>
      <c r="M8" s="18">
        <f t="shared" si="5"/>
        <v>2028.9223008544761</v>
      </c>
      <c r="N8" s="18">
        <f t="shared" si="5"/>
        <v>2089.7899698801107</v>
      </c>
      <c r="O8" s="5">
        <v>0.03</v>
      </c>
      <c r="P8" s="2" t="s">
        <v>0</v>
      </c>
    </row>
    <row r="9" spans="1:16" ht="15.6" x14ac:dyDescent="0.3">
      <c r="A9" s="2" t="s">
        <v>43</v>
      </c>
      <c r="D9" s="95">
        <v>55</v>
      </c>
      <c r="E9" s="17">
        <f t="shared" si="4"/>
        <v>56.1</v>
      </c>
      <c r="F9" s="17">
        <f t="shared" si="4"/>
        <v>57.222000000000001</v>
      </c>
      <c r="G9" s="17">
        <f t="shared" si="4"/>
        <v>58.366440000000004</v>
      </c>
      <c r="H9" s="17">
        <f t="shared" si="4"/>
        <v>59.533768800000004</v>
      </c>
      <c r="I9" s="17">
        <f t="shared" ref="I9:N9" si="6">H9*(1+$O9)</f>
        <v>60.724444176000006</v>
      </c>
      <c r="J9" s="17">
        <f t="shared" si="6"/>
        <v>61.938933059520004</v>
      </c>
      <c r="K9" s="17">
        <f t="shared" si="6"/>
        <v>63.177711720710406</v>
      </c>
      <c r="L9" s="17">
        <f t="shared" si="6"/>
        <v>64.441265955124621</v>
      </c>
      <c r="M9" s="17">
        <f t="shared" si="6"/>
        <v>65.730091274227121</v>
      </c>
      <c r="N9" s="17">
        <f t="shared" si="6"/>
        <v>67.044693099711665</v>
      </c>
      <c r="O9" s="5">
        <v>0.02</v>
      </c>
      <c r="P9" s="2" t="s">
        <v>0</v>
      </c>
    </row>
    <row r="10" spans="1:16" ht="15.6" x14ac:dyDescent="0.3">
      <c r="D10" s="96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</row>
    <row r="11" spans="1:16" ht="15.6" x14ac:dyDescent="0.3">
      <c r="A11" s="2" t="s">
        <v>1</v>
      </c>
      <c r="D11" s="97">
        <v>30</v>
      </c>
      <c r="E11" s="4">
        <f>D11*(1+$O11)</f>
        <v>30.449999999999996</v>
      </c>
      <c r="F11" s="4">
        <f>E11*(1+$O11)</f>
        <v>30.906749999999992</v>
      </c>
      <c r="G11" s="4">
        <f>F11*(1+$O11)</f>
        <v>31.370351249999988</v>
      </c>
      <c r="H11" s="4">
        <f>G11*(1+$O11)</f>
        <v>31.840906518749986</v>
      </c>
      <c r="I11" s="4">
        <f t="shared" ref="I11:N11" si="7">H11*(1+$O11)</f>
        <v>32.318520116531232</v>
      </c>
      <c r="J11" s="4">
        <f t="shared" si="7"/>
        <v>32.803297918279199</v>
      </c>
      <c r="K11" s="4">
        <f t="shared" si="7"/>
        <v>33.295347387053383</v>
      </c>
      <c r="L11" s="4">
        <f t="shared" si="7"/>
        <v>33.794777597859181</v>
      </c>
      <c r="M11" s="4">
        <f t="shared" si="7"/>
        <v>34.301699261827068</v>
      </c>
      <c r="N11" s="4">
        <f t="shared" si="7"/>
        <v>34.816224750754472</v>
      </c>
      <c r="O11" s="5">
        <v>1.4999999999999999E-2</v>
      </c>
      <c r="P11" s="2" t="s">
        <v>0</v>
      </c>
    </row>
    <row r="12" spans="1:16" ht="15.6" x14ac:dyDescent="0.3">
      <c r="D12" s="96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</row>
    <row r="13" spans="1:16" ht="15.6" x14ac:dyDescent="0.3">
      <c r="A13" s="2" t="s">
        <v>50</v>
      </c>
      <c r="D13" s="97">
        <v>30</v>
      </c>
      <c r="E13" s="4">
        <v>30</v>
      </c>
      <c r="F13" s="4">
        <v>30</v>
      </c>
      <c r="G13" s="4">
        <v>30</v>
      </c>
      <c r="H13" s="4">
        <v>30</v>
      </c>
      <c r="I13" s="4">
        <v>30</v>
      </c>
      <c r="J13" s="4">
        <v>30</v>
      </c>
      <c r="K13" s="4">
        <v>30</v>
      </c>
      <c r="L13" s="4">
        <v>30</v>
      </c>
      <c r="M13" s="4">
        <v>30</v>
      </c>
      <c r="N13" s="4">
        <v>30</v>
      </c>
      <c r="O13" s="5"/>
    </row>
    <row r="14" spans="1:16" x14ac:dyDescent="0.25">
      <c r="D14" s="83"/>
    </row>
    <row r="15" spans="1:16" ht="15.6" x14ac:dyDescent="0.3">
      <c r="A15" s="2" t="s">
        <v>49</v>
      </c>
      <c r="D15" s="83"/>
    </row>
    <row r="16" spans="1:16" ht="15.6" x14ac:dyDescent="0.3">
      <c r="B16" s="2" t="s">
        <v>2</v>
      </c>
      <c r="D16" s="97">
        <v>40</v>
      </c>
      <c r="E16" s="4">
        <f>D16*(1+$O16)</f>
        <v>40</v>
      </c>
      <c r="F16" s="4">
        <f>E16*(1+$O16)</f>
        <v>40</v>
      </c>
      <c r="G16" s="4">
        <f>F16*(1+$O16)</f>
        <v>40</v>
      </c>
      <c r="H16" s="4">
        <f>G16*(1+$O16)</f>
        <v>40</v>
      </c>
      <c r="I16" s="4">
        <f t="shared" ref="I16:N16" si="8">H16*(1+$O16)</f>
        <v>40</v>
      </c>
      <c r="J16" s="4">
        <f t="shared" si="8"/>
        <v>40</v>
      </c>
      <c r="K16" s="4">
        <f t="shared" si="8"/>
        <v>40</v>
      </c>
      <c r="L16" s="4">
        <f t="shared" si="8"/>
        <v>40</v>
      </c>
      <c r="M16" s="4">
        <f t="shared" si="8"/>
        <v>40</v>
      </c>
      <c r="N16" s="4">
        <f t="shared" si="8"/>
        <v>40</v>
      </c>
      <c r="O16" s="5">
        <v>0</v>
      </c>
      <c r="P16" s="2" t="s">
        <v>0</v>
      </c>
    </row>
    <row r="17" spans="1:18" ht="16.149999999999999" thickBot="1" x14ac:dyDescent="0.35"/>
    <row r="18" spans="1:18" ht="16.899999999999999" thickTop="1" thickBot="1" x14ac:dyDescent="0.35">
      <c r="A18" s="14" t="s">
        <v>3</v>
      </c>
      <c r="B18" s="15"/>
      <c r="C18" s="16"/>
    </row>
    <row r="19" spans="1:18" ht="16.149999999999999" thickTop="1" x14ac:dyDescent="0.3">
      <c r="A19" s="2" t="s">
        <v>46</v>
      </c>
      <c r="D19" s="7">
        <f>D4*D5</f>
        <v>450000</v>
      </c>
      <c r="E19" s="7">
        <f t="shared" ref="E19:N19" si="9">E4*E5</f>
        <v>472770</v>
      </c>
      <c r="F19" s="7">
        <f t="shared" si="9"/>
        <v>496692.16199999995</v>
      </c>
      <c r="G19" s="7">
        <f t="shared" si="9"/>
        <v>521824.78539720003</v>
      </c>
      <c r="H19" s="7">
        <f t="shared" si="9"/>
        <v>548229.11953829834</v>
      </c>
      <c r="I19" s="7">
        <f t="shared" si="9"/>
        <v>575969.51298693626</v>
      </c>
      <c r="J19" s="7">
        <f t="shared" si="9"/>
        <v>605113.57034407509</v>
      </c>
      <c r="K19" s="7">
        <f t="shared" si="9"/>
        <v>635732.3170034854</v>
      </c>
      <c r="L19" s="7">
        <f t="shared" si="9"/>
        <v>667900.37224386178</v>
      </c>
      <c r="M19" s="7">
        <f t="shared" si="9"/>
        <v>701696.13107940124</v>
      </c>
      <c r="N19" s="7">
        <f t="shared" si="9"/>
        <v>737201.95531201898</v>
      </c>
    </row>
    <row r="20" spans="1:18" ht="15.6" x14ac:dyDescent="0.3">
      <c r="A20" s="2" t="s">
        <v>47</v>
      </c>
      <c r="D20" s="7">
        <f>D8*D9</f>
        <v>85525</v>
      </c>
      <c r="E20" s="7">
        <f t="shared" ref="E20:N20" si="10">E8*E9</f>
        <v>89852.565000000002</v>
      </c>
      <c r="F20" s="7">
        <f t="shared" si="10"/>
        <v>94399.104789000019</v>
      </c>
      <c r="G20" s="7">
        <f t="shared" si="10"/>
        <v>99175.699491323423</v>
      </c>
      <c r="H20" s="7">
        <f t="shared" si="10"/>
        <v>104193.98988558439</v>
      </c>
      <c r="I20" s="7">
        <f t="shared" si="10"/>
        <v>109466.20577379497</v>
      </c>
      <c r="J20" s="7">
        <f t="shared" si="10"/>
        <v>115005.19578594899</v>
      </c>
      <c r="K20" s="7">
        <f t="shared" si="10"/>
        <v>120824.45869271802</v>
      </c>
      <c r="L20" s="7">
        <f t="shared" si="10"/>
        <v>126938.17630256957</v>
      </c>
      <c r="M20" s="7">
        <f t="shared" si="10"/>
        <v>133361.24802347962</v>
      </c>
      <c r="N20" s="7">
        <f t="shared" si="10"/>
        <v>140109.3271734677</v>
      </c>
    </row>
    <row r="21" spans="1:18" ht="15.6" x14ac:dyDescent="0.3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8" ht="15.6" x14ac:dyDescent="0.3">
      <c r="A22" s="2" t="s">
        <v>4</v>
      </c>
      <c r="D22" s="7">
        <f t="shared" ref="D22:N22" si="11">D4*D6</f>
        <v>200000</v>
      </c>
      <c r="E22" s="7">
        <f t="shared" si="11"/>
        <v>206000</v>
      </c>
      <c r="F22" s="7">
        <f t="shared" si="11"/>
        <v>212180</v>
      </c>
      <c r="G22" s="7">
        <f t="shared" si="11"/>
        <v>218545.40000000002</v>
      </c>
      <c r="H22" s="7">
        <f t="shared" si="11"/>
        <v>225101.76200000002</v>
      </c>
      <c r="I22" s="7">
        <f t="shared" si="11"/>
        <v>231854.81486000001</v>
      </c>
      <c r="J22" s="7">
        <f t="shared" si="11"/>
        <v>238810.4593058</v>
      </c>
      <c r="K22" s="7">
        <f t="shared" si="11"/>
        <v>245974.773084974</v>
      </c>
      <c r="L22" s="7">
        <f t="shared" si="11"/>
        <v>253354.01627752322</v>
      </c>
      <c r="M22" s="7">
        <f t="shared" si="11"/>
        <v>260954.6367658489</v>
      </c>
      <c r="N22" s="7">
        <f t="shared" si="11"/>
        <v>268783.27586882439</v>
      </c>
    </row>
    <row r="23" spans="1:18" ht="15.6" x14ac:dyDescent="0.3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8" ht="15.6" x14ac:dyDescent="0.3">
      <c r="A24" s="2" t="s">
        <v>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8" ht="15.6" x14ac:dyDescent="0.3">
      <c r="B25" s="2" t="s">
        <v>38</v>
      </c>
      <c r="D25" s="7">
        <f>(8.5*4*40*52)</f>
        <v>70720</v>
      </c>
      <c r="E25" s="7">
        <f t="shared" ref="E25:N25" si="12">(8.5*4*40*52)</f>
        <v>70720</v>
      </c>
      <c r="F25" s="7">
        <f t="shared" si="12"/>
        <v>70720</v>
      </c>
      <c r="G25" s="7">
        <f t="shared" si="12"/>
        <v>70720</v>
      </c>
      <c r="H25" s="7">
        <f t="shared" si="12"/>
        <v>70720</v>
      </c>
      <c r="I25" s="7">
        <f t="shared" si="12"/>
        <v>70720</v>
      </c>
      <c r="J25" s="7">
        <f t="shared" si="12"/>
        <v>70720</v>
      </c>
      <c r="K25" s="7">
        <f t="shared" si="12"/>
        <v>70720</v>
      </c>
      <c r="L25" s="7">
        <f t="shared" si="12"/>
        <v>70720</v>
      </c>
      <c r="M25" s="7">
        <f t="shared" si="12"/>
        <v>70720</v>
      </c>
      <c r="N25" s="7">
        <f t="shared" si="12"/>
        <v>70720</v>
      </c>
      <c r="O25" s="8"/>
      <c r="P25" s="2" t="s">
        <v>51</v>
      </c>
    </row>
    <row r="26" spans="1:18" ht="15.6" x14ac:dyDescent="0.3">
      <c r="B26" s="2" t="s">
        <v>48</v>
      </c>
      <c r="D26" s="7">
        <f>D8*10</f>
        <v>15550</v>
      </c>
      <c r="E26" s="7">
        <f>$O$26*E20</f>
        <v>16336.830000000002</v>
      </c>
      <c r="F26" s="7">
        <f>$O$26*F20</f>
        <v>17163.473598000004</v>
      </c>
      <c r="G26" s="7">
        <f>$O$26*G20</f>
        <v>18031.945362058806</v>
      </c>
      <c r="H26" s="7">
        <f>$O$26*H20</f>
        <v>18944.361797378981</v>
      </c>
      <c r="I26" s="7">
        <f t="shared" ref="I26:N26" si="13">$O$26*I20</f>
        <v>19902.946504326359</v>
      </c>
      <c r="J26" s="7">
        <f t="shared" si="13"/>
        <v>20910.035597445272</v>
      </c>
      <c r="K26" s="7">
        <f t="shared" si="13"/>
        <v>21968.083398676004</v>
      </c>
      <c r="L26" s="7">
        <f t="shared" si="13"/>
        <v>23079.668418649013</v>
      </c>
      <c r="M26" s="7">
        <f t="shared" si="13"/>
        <v>24247.499640632661</v>
      </c>
      <c r="N26" s="7">
        <f t="shared" si="13"/>
        <v>25474.423122448672</v>
      </c>
      <c r="O26" s="8">
        <f>D26/D20</f>
        <v>0.18181818181818182</v>
      </c>
      <c r="P26" s="2" t="s">
        <v>6</v>
      </c>
    </row>
    <row r="27" spans="1:18" ht="15.6" x14ac:dyDescent="0.3">
      <c r="B27" s="2" t="s">
        <v>7</v>
      </c>
      <c r="D27" s="7">
        <f>1200*20</f>
        <v>24000</v>
      </c>
      <c r="E27" s="7">
        <f>D27*(1+$O27)</f>
        <v>24359.999999999996</v>
      </c>
      <c r="F27" s="7">
        <f>E27*(1+$O27)</f>
        <v>24725.399999999994</v>
      </c>
      <c r="G27" s="7">
        <f>F27*(1+$O27)</f>
        <v>25096.280999999992</v>
      </c>
      <c r="H27" s="7">
        <f>G27*(1+$O27)</f>
        <v>25472.725214999988</v>
      </c>
      <c r="I27" s="7">
        <f t="shared" ref="I27:N27" si="14">H27*(1+$O27)</f>
        <v>25854.816093224985</v>
      </c>
      <c r="J27" s="7">
        <f t="shared" si="14"/>
        <v>26242.638334623356</v>
      </c>
      <c r="K27" s="7">
        <f t="shared" si="14"/>
        <v>26636.277909642704</v>
      </c>
      <c r="L27" s="7">
        <f t="shared" si="14"/>
        <v>27035.822078287343</v>
      </c>
      <c r="M27" s="7">
        <f t="shared" si="14"/>
        <v>27441.359409461649</v>
      </c>
      <c r="N27" s="7">
        <f t="shared" si="14"/>
        <v>27852.979800603571</v>
      </c>
      <c r="O27" s="8">
        <v>1.4999999999999999E-2</v>
      </c>
      <c r="P27" s="2" t="s">
        <v>8</v>
      </c>
    </row>
    <row r="28" spans="1:18" ht="15.6" x14ac:dyDescent="0.3">
      <c r="B28" s="2" t="s">
        <v>44</v>
      </c>
      <c r="D28" s="7">
        <f>2700*12</f>
        <v>32400</v>
      </c>
      <c r="E28" s="7">
        <f>D28*(1+$O$28)</f>
        <v>32724</v>
      </c>
      <c r="F28" s="7">
        <f t="shared" ref="F28:N28" si="15">E28*(1+$O$28)</f>
        <v>33051.24</v>
      </c>
      <c r="G28" s="7">
        <f t="shared" si="15"/>
        <v>33381.752399999998</v>
      </c>
      <c r="H28" s="7">
        <f t="shared" si="15"/>
        <v>33715.569923999996</v>
      </c>
      <c r="I28" s="7">
        <f t="shared" si="15"/>
        <v>34052.725623239996</v>
      </c>
      <c r="J28" s="7">
        <f t="shared" si="15"/>
        <v>34393.252879472398</v>
      </c>
      <c r="K28" s="7">
        <f t="shared" si="15"/>
        <v>34737.18540826712</v>
      </c>
      <c r="L28" s="7">
        <f t="shared" si="15"/>
        <v>35084.557262349794</v>
      </c>
      <c r="M28" s="7">
        <f t="shared" si="15"/>
        <v>35435.402834973291</v>
      </c>
      <c r="N28" s="7">
        <f t="shared" si="15"/>
        <v>35789.756863323026</v>
      </c>
      <c r="O28" s="8">
        <v>0.01</v>
      </c>
      <c r="P28" s="2" t="s">
        <v>8</v>
      </c>
    </row>
    <row r="29" spans="1:18" ht="15.6" x14ac:dyDescent="0.3">
      <c r="B29" s="2" t="s">
        <v>9</v>
      </c>
      <c r="D29" s="7">
        <v>45000</v>
      </c>
      <c r="E29" s="7">
        <v>45000</v>
      </c>
      <c r="F29" s="7">
        <v>45000</v>
      </c>
      <c r="G29" s="7">
        <v>45000</v>
      </c>
      <c r="H29" s="7">
        <v>45000</v>
      </c>
      <c r="I29" s="7">
        <v>45000</v>
      </c>
      <c r="J29" s="7">
        <v>45000</v>
      </c>
      <c r="K29" s="7">
        <v>45000</v>
      </c>
      <c r="L29" s="7">
        <v>45000</v>
      </c>
      <c r="M29" s="7">
        <v>45000</v>
      </c>
      <c r="N29" s="7">
        <v>45000</v>
      </c>
      <c r="O29" s="8"/>
    </row>
    <row r="30" spans="1:18" ht="15.6" x14ac:dyDescent="0.3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8" x14ac:dyDescent="0.25">
      <c r="A31" s="2" t="s">
        <v>64</v>
      </c>
      <c r="D31" s="7">
        <f>D50/$O$31</f>
        <v>583.33333333333337</v>
      </c>
      <c r="E31" s="7">
        <f t="shared" ref="E31:N31" si="16">E50/$O$31</f>
        <v>583.33333333333337</v>
      </c>
      <c r="F31" s="7">
        <f t="shared" si="16"/>
        <v>583.33333333333337</v>
      </c>
      <c r="G31" s="7">
        <f t="shared" si="16"/>
        <v>583.33333333333337</v>
      </c>
      <c r="H31" s="7">
        <f t="shared" si="16"/>
        <v>583.33333333333337</v>
      </c>
      <c r="I31" s="7">
        <f t="shared" si="16"/>
        <v>583.33333333333337</v>
      </c>
      <c r="J31" s="7">
        <f t="shared" si="16"/>
        <v>583.33333333333337</v>
      </c>
      <c r="K31" s="7">
        <f t="shared" si="16"/>
        <v>583.33333333333337</v>
      </c>
      <c r="L31" s="7">
        <f t="shared" si="16"/>
        <v>583.33333333333337</v>
      </c>
      <c r="M31" s="7">
        <f t="shared" si="16"/>
        <v>583.33333333333337</v>
      </c>
      <c r="N31" s="7">
        <f t="shared" si="16"/>
        <v>583.33333333333337</v>
      </c>
      <c r="O31" s="9">
        <v>30</v>
      </c>
      <c r="P31" s="2" t="s">
        <v>10</v>
      </c>
      <c r="R31" s="10"/>
    </row>
    <row r="32" spans="1:18" x14ac:dyDescent="0.25">
      <c r="A32" s="2" t="s">
        <v>65</v>
      </c>
      <c r="D32" s="7">
        <f t="shared" ref="D32:N32" si="17">D48/$P$48</f>
        <v>3333.3333333333335</v>
      </c>
      <c r="E32" s="7">
        <f t="shared" si="17"/>
        <v>3333.3333333333335</v>
      </c>
      <c r="F32" s="7">
        <f t="shared" si="17"/>
        <v>3333.3333333333335</v>
      </c>
      <c r="G32" s="7">
        <f t="shared" si="17"/>
        <v>3333.3333333333335</v>
      </c>
      <c r="H32" s="7">
        <f t="shared" si="17"/>
        <v>3333.3333333333335</v>
      </c>
      <c r="I32" s="7">
        <f t="shared" si="17"/>
        <v>3333.3333333333335</v>
      </c>
      <c r="J32" s="7">
        <f t="shared" si="17"/>
        <v>3333.3333333333335</v>
      </c>
      <c r="K32" s="7">
        <f t="shared" si="17"/>
        <v>3333.3333333333335</v>
      </c>
      <c r="L32" s="7">
        <f t="shared" si="17"/>
        <v>3333.3333333333335</v>
      </c>
      <c r="M32" s="7">
        <f t="shared" si="17"/>
        <v>3333.3333333333335</v>
      </c>
      <c r="N32" s="7">
        <f t="shared" si="17"/>
        <v>3333.3333333333335</v>
      </c>
      <c r="O32" s="9"/>
      <c r="R32" s="10"/>
    </row>
    <row r="33" spans="1:18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9"/>
      <c r="R33" s="10"/>
    </row>
    <row r="34" spans="1:18" ht="15.6" x14ac:dyDescent="0.3">
      <c r="A34" s="2" t="s">
        <v>11</v>
      </c>
      <c r="D34" s="7">
        <f>Mortgage!H18</f>
        <v>36938.314701265212</v>
      </c>
      <c r="E34" s="7">
        <f>Mortgage!H30</f>
        <v>29906.592249133068</v>
      </c>
      <c r="F34" s="7">
        <f>Mortgage!H42</f>
        <v>22291.240301466652</v>
      </c>
      <c r="G34" s="7">
        <f>Mortgage!H54</f>
        <v>14043.817897978313</v>
      </c>
      <c r="H34" s="7">
        <f>Mortgage!H66</f>
        <v>5111.8635025672211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1:18" ht="15.6" x14ac:dyDescent="0.3">
      <c r="A35" s="2" t="s">
        <v>12</v>
      </c>
      <c r="D35" s="7">
        <f>D62*$O$35</f>
        <v>87265.328307953139</v>
      </c>
      <c r="E35" s="7">
        <f>E62*$O$35</f>
        <v>101336.65047660732</v>
      </c>
      <c r="F35" s="7">
        <f>F62*$O$35</f>
        <v>121568.55856540758</v>
      </c>
      <c r="G35" s="7">
        <f>G62*$O$35</f>
        <v>144584.1286086122</v>
      </c>
      <c r="H35" s="7">
        <f>H62*$O$35</f>
        <v>168114.35636572613</v>
      </c>
      <c r="I35" s="7">
        <f t="shared" ref="I35:N35" si="18">I62*$O$35</f>
        <v>178560.09745587499</v>
      </c>
      <c r="J35" s="7">
        <f t="shared" si="18"/>
        <v>189510.64447468717</v>
      </c>
      <c r="K35" s="7">
        <f t="shared" si="18"/>
        <v>216734.45952335943</v>
      </c>
      <c r="L35" s="7">
        <f t="shared" si="18"/>
        <v>247280.00601578495</v>
      </c>
      <c r="M35" s="7">
        <f t="shared" si="18"/>
        <v>281526.47064806067</v>
      </c>
      <c r="N35" s="7">
        <f t="shared" si="18"/>
        <v>319847.7448677863</v>
      </c>
      <c r="O35" s="8">
        <v>0.1</v>
      </c>
      <c r="P35" s="2" t="s">
        <v>13</v>
      </c>
    </row>
    <row r="36" spans="1:18" ht="15.6" x14ac:dyDescent="0.3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8" ht="15.6" x14ac:dyDescent="0.3">
      <c r="A37" s="2" t="s">
        <v>14</v>
      </c>
      <c r="D37" s="7">
        <f>SUM(D19:D20)-SUM(D22:D35)</f>
        <v>19734.690324115043</v>
      </c>
      <c r="E37" s="7">
        <f>SUM(E19:E20)-SUM(E22:E35)</f>
        <v>32321.825607592938</v>
      </c>
      <c r="F37" s="7">
        <f>SUM(F19:F20)-SUM(F22:F35)</f>
        <v>40474.687657459173</v>
      </c>
      <c r="G37" s="7">
        <f>SUM(G19:G20)-SUM(G22:G35)</f>
        <v>47680.49295320746</v>
      </c>
      <c r="H37" s="7">
        <f>SUM(H19:H20)-SUM(H22:H35)</f>
        <v>56325.80395254388</v>
      </c>
      <c r="I37" s="7">
        <f t="shared" ref="I37:M37" si="19">SUM(I19:I20)-SUM(I22:I35)</f>
        <v>75573.651557398145</v>
      </c>
      <c r="J37" s="7">
        <f t="shared" si="19"/>
        <v>90615.068871329306</v>
      </c>
      <c r="K37" s="7">
        <f t="shared" si="19"/>
        <v>90869.329704617499</v>
      </c>
      <c r="L37" s="7">
        <f t="shared" si="19"/>
        <v>89367.811827170313</v>
      </c>
      <c r="M37" s="7">
        <f t="shared" si="19"/>
        <v>85815.343137237011</v>
      </c>
      <c r="N37" s="7">
        <f>SUM(N19:N20)-SUM(N22:N35)</f>
        <v>79926.43529583409</v>
      </c>
    </row>
    <row r="38" spans="1:18" ht="15.6" x14ac:dyDescent="0.3">
      <c r="A38" s="2" t="s">
        <v>15</v>
      </c>
      <c r="D38" s="7">
        <f>IF(D37&lt;0,0,D37*$O$38)</f>
        <v>5920.4070972345125</v>
      </c>
      <c r="E38" s="7">
        <f t="shared" ref="E38:N38" si="20">IF(E37&lt;0,0,E37*$O$38)</f>
        <v>9696.5476822778819</v>
      </c>
      <c r="F38" s="7">
        <f t="shared" si="20"/>
        <v>12142.406297237752</v>
      </c>
      <c r="G38" s="7">
        <f t="shared" si="20"/>
        <v>14304.147885962238</v>
      </c>
      <c r="H38" s="7">
        <f t="shared" si="20"/>
        <v>16897.741185763163</v>
      </c>
      <c r="I38" s="7">
        <f t="shared" si="20"/>
        <v>22672.095467219442</v>
      </c>
      <c r="J38" s="7">
        <f t="shared" si="20"/>
        <v>27184.52066139879</v>
      </c>
      <c r="K38" s="7">
        <f t="shared" si="20"/>
        <v>27260.798911385249</v>
      </c>
      <c r="L38" s="7">
        <f t="shared" si="20"/>
        <v>26810.343548151093</v>
      </c>
      <c r="M38" s="7">
        <f t="shared" si="20"/>
        <v>25744.602941171102</v>
      </c>
      <c r="N38" s="7">
        <f t="shared" si="20"/>
        <v>23977.930588750227</v>
      </c>
      <c r="O38" s="8">
        <v>0.3</v>
      </c>
      <c r="P38" s="2" t="s">
        <v>16</v>
      </c>
    </row>
    <row r="39" spans="1:18" x14ac:dyDescent="0.25">
      <c r="A39" s="1" t="s">
        <v>17</v>
      </c>
      <c r="D39" s="7">
        <f>D37-D38</f>
        <v>13814.28322688053</v>
      </c>
      <c r="E39" s="7">
        <f t="shared" ref="E39:H39" si="21">E37-E38</f>
        <v>22625.277925315058</v>
      </c>
      <c r="F39" s="7">
        <f t="shared" si="21"/>
        <v>28332.281360221423</v>
      </c>
      <c r="G39" s="7">
        <f t="shared" si="21"/>
        <v>33376.345067245224</v>
      </c>
      <c r="H39" s="7">
        <f t="shared" si="21"/>
        <v>39428.062766780713</v>
      </c>
      <c r="I39" s="7">
        <f t="shared" ref="I39:M39" si="22">I37-I38</f>
        <v>52901.556090178703</v>
      </c>
      <c r="J39" s="7">
        <f t="shared" si="22"/>
        <v>63430.548209930515</v>
      </c>
      <c r="K39" s="7">
        <f t="shared" si="22"/>
        <v>63608.530793232247</v>
      </c>
      <c r="L39" s="7">
        <f t="shared" si="22"/>
        <v>62557.468279019216</v>
      </c>
      <c r="M39" s="7">
        <f t="shared" si="22"/>
        <v>60070.740196065904</v>
      </c>
      <c r="N39" s="7">
        <f>N37-N38</f>
        <v>55948.504707083863</v>
      </c>
    </row>
    <row r="40" spans="1:18" ht="16.5" thickBot="1" x14ac:dyDescent="0.3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8" ht="17.25" thickTop="1" thickBot="1" x14ac:dyDescent="0.3">
      <c r="A41" s="14" t="s">
        <v>18</v>
      </c>
      <c r="B41" s="15"/>
      <c r="C41" s="1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8" ht="16.5" thickTop="1" x14ac:dyDescent="0.25">
      <c r="A42" s="1" t="s">
        <v>19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8" x14ac:dyDescent="0.25">
      <c r="A43" s="2" t="s">
        <v>20</v>
      </c>
      <c r="D43" s="7">
        <v>30000</v>
      </c>
      <c r="E43" s="7">
        <v>30000</v>
      </c>
      <c r="F43" s="7">
        <v>30000</v>
      </c>
      <c r="G43" s="7">
        <v>30000</v>
      </c>
      <c r="H43" s="7">
        <v>30000</v>
      </c>
      <c r="I43" s="7">
        <v>30000</v>
      </c>
      <c r="J43" s="7">
        <v>30000</v>
      </c>
      <c r="K43" s="7">
        <v>30000</v>
      </c>
      <c r="L43" s="7">
        <v>30000</v>
      </c>
      <c r="M43" s="7">
        <v>30000</v>
      </c>
      <c r="N43" s="7">
        <v>30000</v>
      </c>
    </row>
    <row r="44" spans="1:18" x14ac:dyDescent="0.25">
      <c r="A44" s="2" t="s">
        <v>100</v>
      </c>
      <c r="D44" s="7">
        <v>375548.28767123312</v>
      </c>
      <c r="E44" s="7">
        <v>452511.03488906735</v>
      </c>
      <c r="F44" s="7">
        <v>587714.08392505371</v>
      </c>
      <c r="G44" s="7">
        <v>747132.69590186886</v>
      </c>
      <c r="H44" s="7">
        <v>909108.92423851485</v>
      </c>
      <c r="I44" s="7">
        <v>1073293.1135404278</v>
      </c>
      <c r="J44" s="7">
        <v>1251636.7668467553</v>
      </c>
      <c r="K44" s="7">
        <v>1588291.1530117872</v>
      </c>
      <c r="L44" s="7">
        <v>1956412.7343044886</v>
      </c>
      <c r="M44" s="7">
        <v>2358260.1840477693</v>
      </c>
      <c r="N44" s="7">
        <v>2795841.8279843531</v>
      </c>
    </row>
    <row r="45" spans="1:18" x14ac:dyDescent="0.25">
      <c r="A45" s="2" t="s">
        <v>21</v>
      </c>
      <c r="D45" s="19">
        <f t="shared" ref="D45:N45" si="23">D22/365*D11</f>
        <v>16438.35616438356</v>
      </c>
      <c r="E45" s="19">
        <f t="shared" si="23"/>
        <v>17185.479452054791</v>
      </c>
      <c r="F45" s="19">
        <f t="shared" si="23"/>
        <v>17966.559493150678</v>
      </c>
      <c r="G45" s="19">
        <f t="shared" si="23"/>
        <v>18783.13962211438</v>
      </c>
      <c r="H45" s="19">
        <f t="shared" si="23"/>
        <v>19636.833317939476</v>
      </c>
      <c r="I45" s="19">
        <f t="shared" si="23"/>
        <v>20529.327392239822</v>
      </c>
      <c r="J45" s="19">
        <f t="shared" si="23"/>
        <v>21462.38532221712</v>
      </c>
      <c r="K45" s="19">
        <f t="shared" si="23"/>
        <v>22437.850735111882</v>
      </c>
      <c r="L45" s="19">
        <f t="shared" si="23"/>
        <v>23457.651051022716</v>
      </c>
      <c r="M45" s="19">
        <f t="shared" si="23"/>
        <v>24523.801291291697</v>
      </c>
      <c r="N45" s="19">
        <f t="shared" si="23"/>
        <v>25638.408059980906</v>
      </c>
    </row>
    <row r="46" spans="1:18" x14ac:dyDescent="0.25">
      <c r="A46" s="2" t="s">
        <v>52</v>
      </c>
      <c r="D46" s="99">
        <f>(D19+D20)/365*D13</f>
        <v>44015.753424657531</v>
      </c>
      <c r="E46" s="19">
        <f t="shared" ref="E46:N46" si="24">(E19+E20)/365*E13</f>
        <v>46242.950547945198</v>
      </c>
      <c r="F46" s="19">
        <f t="shared" si="24"/>
        <v>48582.843845671239</v>
      </c>
      <c r="G46" s="19">
        <f t="shared" si="24"/>
        <v>51041.135744262203</v>
      </c>
      <c r="H46" s="19">
        <f t="shared" si="24"/>
        <v>53623.817212921873</v>
      </c>
      <c r="I46" s="19">
        <f t="shared" si="24"/>
        <v>56337.182363895714</v>
      </c>
      <c r="J46" s="19">
        <f t="shared" si="24"/>
        <v>59187.843791508829</v>
      </c>
      <c r="K46" s="19">
        <f t="shared" si="24"/>
        <v>62182.748687359184</v>
      </c>
      <c r="L46" s="19">
        <f t="shared" si="24"/>
        <v>65329.195770939565</v>
      </c>
      <c r="M46" s="19">
        <f t="shared" si="24"/>
        <v>68634.853076949104</v>
      </c>
      <c r="N46" s="19">
        <f t="shared" si="24"/>
        <v>72107.776642642741</v>
      </c>
    </row>
    <row r="47" spans="1:18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8" x14ac:dyDescent="0.25">
      <c r="A48" s="2" t="s">
        <v>22</v>
      </c>
      <c r="D48" s="57">
        <v>100000</v>
      </c>
      <c r="E48" s="57">
        <v>100000</v>
      </c>
      <c r="F48" s="57">
        <v>100000</v>
      </c>
      <c r="G48" s="57">
        <v>100000</v>
      </c>
      <c r="H48" s="57">
        <v>100000</v>
      </c>
      <c r="I48" s="57">
        <v>100000</v>
      </c>
      <c r="J48" s="57">
        <v>100000</v>
      </c>
      <c r="K48" s="57">
        <v>100000</v>
      </c>
      <c r="L48" s="57">
        <v>100000</v>
      </c>
      <c r="M48" s="57">
        <v>100000</v>
      </c>
      <c r="N48" s="57">
        <v>100000</v>
      </c>
      <c r="O48" s="2"/>
      <c r="P48" s="58">
        <v>30</v>
      </c>
      <c r="Q48" s="2" t="s">
        <v>63</v>
      </c>
    </row>
    <row r="49" spans="1:32" x14ac:dyDescent="0.25">
      <c r="A49" s="2" t="s">
        <v>62</v>
      </c>
      <c r="D49" s="57">
        <v>300000</v>
      </c>
      <c r="E49" s="57">
        <v>300000</v>
      </c>
      <c r="F49" s="57">
        <v>300000</v>
      </c>
      <c r="G49" s="57">
        <v>300000</v>
      </c>
      <c r="H49" s="57">
        <v>300000</v>
      </c>
      <c r="I49" s="57">
        <v>300000</v>
      </c>
      <c r="J49" s="57">
        <v>300000</v>
      </c>
      <c r="K49" s="57">
        <v>300000</v>
      </c>
      <c r="L49" s="57">
        <v>300000</v>
      </c>
      <c r="M49" s="57">
        <v>300000</v>
      </c>
      <c r="N49" s="57">
        <v>300000</v>
      </c>
    </row>
    <row r="50" spans="1:32" x14ac:dyDescent="0.25">
      <c r="A50" s="2" t="s">
        <v>45</v>
      </c>
      <c r="D50" s="7">
        <v>17500</v>
      </c>
      <c r="E50" s="7">
        <v>17500</v>
      </c>
      <c r="F50" s="7">
        <v>17500</v>
      </c>
      <c r="G50" s="7">
        <v>17500</v>
      </c>
      <c r="H50" s="7">
        <v>17500</v>
      </c>
      <c r="I50" s="7">
        <v>17500</v>
      </c>
      <c r="J50" s="7">
        <v>17500</v>
      </c>
      <c r="K50" s="7">
        <v>17500</v>
      </c>
      <c r="L50" s="7">
        <v>17500</v>
      </c>
      <c r="M50" s="7">
        <v>17500</v>
      </c>
      <c r="N50" s="7">
        <v>17500</v>
      </c>
      <c r="Z50" s="224"/>
      <c r="AA50" s="224"/>
      <c r="AB50" s="224"/>
      <c r="AC50" s="224"/>
      <c r="AD50" s="224"/>
      <c r="AE50" s="224"/>
      <c r="AF50" s="224"/>
    </row>
    <row r="51" spans="1:32" x14ac:dyDescent="0.25">
      <c r="A51" s="2" t="s">
        <v>23</v>
      </c>
      <c r="D51" s="7">
        <f>C51+D31+D32</f>
        <v>3916.666666666667</v>
      </c>
      <c r="E51" s="7">
        <f>D51+E31+E32</f>
        <v>7833.3333333333339</v>
      </c>
      <c r="F51" s="7">
        <f>E51+F31+F32</f>
        <v>11750.000000000002</v>
      </c>
      <c r="G51" s="7">
        <f>F51+G31+G32</f>
        <v>15666.66666666667</v>
      </c>
      <c r="H51" s="7">
        <f t="shared" ref="H51:N51" si="25">G51+H31+H32</f>
        <v>19583.333333333336</v>
      </c>
      <c r="I51" s="7">
        <f t="shared" si="25"/>
        <v>23500</v>
      </c>
      <c r="J51" s="7">
        <f t="shared" si="25"/>
        <v>27416.666666666664</v>
      </c>
      <c r="K51" s="7">
        <f t="shared" si="25"/>
        <v>31333.333333333328</v>
      </c>
      <c r="L51" s="7">
        <f t="shared" si="25"/>
        <v>35249.999999999993</v>
      </c>
      <c r="M51" s="7">
        <f t="shared" si="25"/>
        <v>39166.666666666664</v>
      </c>
      <c r="N51" s="7">
        <f t="shared" si="25"/>
        <v>43083.333333333336</v>
      </c>
      <c r="P51" s="10"/>
      <c r="S51" s="234" t="s">
        <v>74</v>
      </c>
      <c r="T51" s="234"/>
      <c r="Z51" s="224"/>
      <c r="AA51" s="224"/>
      <c r="AB51" s="224"/>
      <c r="AC51" s="236"/>
      <c r="AD51" s="236"/>
      <c r="AE51" s="224"/>
      <c r="AF51" s="224"/>
    </row>
    <row r="52" spans="1:32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P52" s="10"/>
      <c r="S52" s="104"/>
      <c r="T52" s="104"/>
      <c r="Z52" s="224"/>
      <c r="AA52" s="224"/>
      <c r="AB52" s="224"/>
      <c r="AC52" s="225"/>
      <c r="AD52" s="225"/>
      <c r="AE52" s="224"/>
      <c r="AF52" s="224"/>
    </row>
    <row r="53" spans="1:32" x14ac:dyDescent="0.25">
      <c r="A53" s="2" t="s">
        <v>132</v>
      </c>
      <c r="D53" s="7">
        <v>750000</v>
      </c>
      <c r="E53" s="7">
        <f>D53</f>
        <v>750000</v>
      </c>
      <c r="F53" s="7">
        <f t="shared" ref="F53:N53" si="26">E53</f>
        <v>750000</v>
      </c>
      <c r="G53" s="7">
        <f t="shared" si="26"/>
        <v>750000</v>
      </c>
      <c r="H53" s="7">
        <f t="shared" si="26"/>
        <v>750000</v>
      </c>
      <c r="I53" s="7">
        <f t="shared" si="26"/>
        <v>750000</v>
      </c>
      <c r="J53" s="7">
        <f t="shared" si="26"/>
        <v>750000</v>
      </c>
      <c r="K53" s="7">
        <f t="shared" si="26"/>
        <v>750000</v>
      </c>
      <c r="L53" s="7">
        <f t="shared" si="26"/>
        <v>750000</v>
      </c>
      <c r="M53" s="7">
        <f t="shared" si="26"/>
        <v>750000</v>
      </c>
      <c r="N53" s="7">
        <f t="shared" si="26"/>
        <v>750000</v>
      </c>
      <c r="P53" s="10"/>
      <c r="S53" s="104"/>
      <c r="T53" s="104"/>
      <c r="Z53" s="224"/>
      <c r="AA53" s="224"/>
      <c r="AB53" s="224"/>
      <c r="AC53" s="225"/>
      <c r="AD53" s="225"/>
      <c r="AE53" s="224"/>
      <c r="AF53" s="224"/>
    </row>
    <row r="54" spans="1:32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S54" s="2" t="s">
        <v>67</v>
      </c>
      <c r="T54" s="2">
        <v>0.78</v>
      </c>
      <c r="Z54" s="235"/>
      <c r="AA54" s="235"/>
      <c r="AB54" s="224"/>
      <c r="AC54" s="224"/>
      <c r="AD54" s="226"/>
      <c r="AE54" s="224"/>
      <c r="AF54" s="224"/>
    </row>
    <row r="55" spans="1:32" x14ac:dyDescent="0.25">
      <c r="A55" s="60" t="s">
        <v>24</v>
      </c>
      <c r="B55" s="61"/>
      <c r="C55" s="61"/>
      <c r="D55" s="62">
        <f>SUM(D43:D50)-D51+D53</f>
        <v>1629585.7305936078</v>
      </c>
      <c r="E55" s="62">
        <f t="shared" ref="E55:N55" si="27">SUM(E43:E50)-E51+E53</f>
        <v>1705606.131555734</v>
      </c>
      <c r="F55" s="62">
        <f t="shared" si="27"/>
        <v>1840013.4872638755</v>
      </c>
      <c r="G55" s="62">
        <f t="shared" si="27"/>
        <v>1998790.3046015787</v>
      </c>
      <c r="H55" s="62">
        <f t="shared" si="27"/>
        <v>2160286.2414360428</v>
      </c>
      <c r="I55" s="62">
        <f t="shared" si="27"/>
        <v>2324159.6232965635</v>
      </c>
      <c r="J55" s="62">
        <f t="shared" si="27"/>
        <v>2502370.3292938145</v>
      </c>
      <c r="K55" s="62">
        <f t="shared" si="27"/>
        <v>2839078.4191009253</v>
      </c>
      <c r="L55" s="62">
        <f t="shared" si="27"/>
        <v>3207449.581126451</v>
      </c>
      <c r="M55" s="62">
        <f t="shared" si="27"/>
        <v>3609752.1717493436</v>
      </c>
      <c r="N55" s="62">
        <f t="shared" si="27"/>
        <v>4048004.6793536432</v>
      </c>
      <c r="S55" s="2" t="s">
        <v>66</v>
      </c>
      <c r="T55" s="71">
        <v>1.0999999999999999E-2</v>
      </c>
      <c r="Z55" s="224"/>
      <c r="AA55" s="226"/>
      <c r="AB55" s="224"/>
      <c r="AC55" s="224"/>
      <c r="AD55" s="227"/>
      <c r="AE55" s="224"/>
      <c r="AF55" s="224"/>
    </row>
    <row r="56" spans="1:32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S56" s="2" t="s">
        <v>68</v>
      </c>
      <c r="T56" s="71">
        <v>0.09</v>
      </c>
      <c r="Z56" s="224"/>
      <c r="AA56" s="226"/>
      <c r="AB56" s="224"/>
      <c r="AC56" s="224"/>
      <c r="AD56" s="227"/>
      <c r="AE56" s="224"/>
      <c r="AF56" s="224"/>
    </row>
    <row r="57" spans="1:32" ht="16.5" thickBot="1" x14ac:dyDescent="0.3">
      <c r="A57" s="237" t="s">
        <v>25</v>
      </c>
      <c r="B57" s="237"/>
      <c r="C57" s="6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S57" s="2" t="s">
        <v>73</v>
      </c>
      <c r="T57" s="73">
        <f>T55+T54*(T56-T55)</f>
        <v>7.2620000000000004E-2</v>
      </c>
      <c r="Z57" s="224"/>
      <c r="AA57" s="224"/>
      <c r="AB57" s="224"/>
      <c r="AC57" s="228"/>
      <c r="AD57" s="229"/>
      <c r="AE57" s="224"/>
      <c r="AF57" s="224"/>
    </row>
    <row r="58" spans="1:32" ht="16.5" thickTop="1" x14ac:dyDescent="0.25">
      <c r="A58" s="2" t="s">
        <v>26</v>
      </c>
      <c r="D58" s="7">
        <f t="shared" ref="D58:H58" si="28">D38</f>
        <v>5920.4070972345125</v>
      </c>
      <c r="E58" s="7">
        <f t="shared" si="28"/>
        <v>9696.5476822778819</v>
      </c>
      <c r="F58" s="7">
        <f t="shared" si="28"/>
        <v>12142.406297237752</v>
      </c>
      <c r="G58" s="7">
        <f t="shared" si="28"/>
        <v>14304.147885962238</v>
      </c>
      <c r="H58" s="7">
        <f t="shared" si="28"/>
        <v>16897.741185763163</v>
      </c>
      <c r="I58" s="7">
        <f t="shared" ref="I58:N58" si="29">I38</f>
        <v>22672.095467219442</v>
      </c>
      <c r="J58" s="7">
        <f t="shared" si="29"/>
        <v>27184.52066139879</v>
      </c>
      <c r="K58" s="7">
        <f t="shared" si="29"/>
        <v>27260.798911385249</v>
      </c>
      <c r="L58" s="7">
        <f t="shared" si="29"/>
        <v>26810.343548151093</v>
      </c>
      <c r="M58" s="7">
        <f t="shared" si="29"/>
        <v>25744.602941171102</v>
      </c>
      <c r="N58" s="7">
        <f t="shared" si="29"/>
        <v>23977.930588750227</v>
      </c>
      <c r="Z58" s="224"/>
      <c r="AA58" s="224"/>
      <c r="AB58" s="224"/>
      <c r="AC58" s="224"/>
      <c r="AD58" s="224"/>
      <c r="AE58" s="224"/>
      <c r="AF58" s="224"/>
    </row>
    <row r="59" spans="1:32" x14ac:dyDescent="0.25">
      <c r="A59" s="2" t="s">
        <v>27</v>
      </c>
      <c r="D59" s="19">
        <f t="shared" ref="D59:N59" si="30">D22/365*D16</f>
        <v>21917.808219178081</v>
      </c>
      <c r="E59" s="19">
        <f t="shared" si="30"/>
        <v>22575.342465753423</v>
      </c>
      <c r="F59" s="19">
        <f t="shared" si="30"/>
        <v>23252.602739726026</v>
      </c>
      <c r="G59" s="19">
        <f t="shared" si="30"/>
        <v>23950.180821917813</v>
      </c>
      <c r="H59" s="19">
        <f t="shared" si="30"/>
        <v>24668.686246575344</v>
      </c>
      <c r="I59" s="19">
        <f t="shared" si="30"/>
        <v>25408.746833972604</v>
      </c>
      <c r="J59" s="19">
        <f t="shared" si="30"/>
        <v>26171.009238991785</v>
      </c>
      <c r="K59" s="19">
        <f t="shared" si="30"/>
        <v>26956.139516161533</v>
      </c>
      <c r="L59" s="19">
        <f t="shared" si="30"/>
        <v>27764.823701646379</v>
      </c>
      <c r="M59" s="19">
        <f t="shared" si="30"/>
        <v>28597.768412695768</v>
      </c>
      <c r="N59" s="19">
        <f t="shared" si="30"/>
        <v>29455.701465076643</v>
      </c>
      <c r="S59" s="238" t="s">
        <v>76</v>
      </c>
      <c r="T59" s="238"/>
      <c r="U59" s="238"/>
      <c r="V59" s="238"/>
      <c r="W59" s="238"/>
      <c r="X59" s="94"/>
      <c r="Z59" s="235"/>
      <c r="AA59" s="235"/>
      <c r="AB59" s="235"/>
      <c r="AC59" s="235"/>
      <c r="AD59" s="224"/>
      <c r="AE59" s="224"/>
      <c r="AF59" s="224"/>
    </row>
    <row r="60" spans="1:32" x14ac:dyDescent="0.25"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S60" s="67" t="s">
        <v>69</v>
      </c>
      <c r="T60" s="67" t="s">
        <v>70</v>
      </c>
      <c r="U60" s="66" t="s">
        <v>40</v>
      </c>
      <c r="V60" s="66" t="s">
        <v>71</v>
      </c>
      <c r="W60" s="66" t="s">
        <v>72</v>
      </c>
      <c r="Z60" s="224"/>
      <c r="AA60" s="224"/>
      <c r="AB60" s="224"/>
      <c r="AC60" s="224"/>
      <c r="AD60" s="224"/>
      <c r="AE60" s="224"/>
      <c r="AF60" s="224"/>
    </row>
    <row r="61" spans="1:32" x14ac:dyDescent="0.25">
      <c r="A61" s="2" t="s">
        <v>28</v>
      </c>
      <c r="D61" s="7">
        <f>Mortgage!G18</f>
        <v>415279.94897078309</v>
      </c>
      <c r="E61" s="7">
        <f>Mortgage!G30</f>
        <v>323528.17548943404</v>
      </c>
      <c r="F61" s="7">
        <f>Mortgage!G42</f>
        <v>224161.05006041864</v>
      </c>
      <c r="G61" s="7">
        <f>Mortgage!G54</f>
        <v>116546.50222791481</v>
      </c>
      <c r="H61" s="7">
        <f>Mortgage!G66</f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19">
        <v>500000</v>
      </c>
      <c r="P61" s="2" t="s">
        <v>61</v>
      </c>
      <c r="S61" s="10">
        <f>AVERAGE(D61:N61)</f>
        <v>98137.788795322776</v>
      </c>
      <c r="T61" s="65">
        <f>S61/$S$67</f>
        <v>3.9439021327514097E-2</v>
      </c>
      <c r="U61" s="68">
        <f>Mortgage!F1</f>
        <v>0.08</v>
      </c>
      <c r="V61" s="71">
        <f>U61*(1-$O$38)</f>
        <v>5.5999999999999994E-2</v>
      </c>
      <c r="W61" s="71">
        <f>T61*V61</f>
        <v>2.208585194340789E-3</v>
      </c>
      <c r="Z61" s="230"/>
      <c r="AA61" s="230"/>
      <c r="AB61" s="231"/>
      <c r="AC61" s="227"/>
      <c r="AD61" s="224"/>
      <c r="AE61" s="224"/>
      <c r="AF61" s="224"/>
    </row>
    <row r="62" spans="1:32" x14ac:dyDescent="0.25">
      <c r="A62" s="2" t="s">
        <v>29</v>
      </c>
      <c r="D62" s="7">
        <v>872653.28307953139</v>
      </c>
      <c r="E62" s="7">
        <v>1013366.5047660731</v>
      </c>
      <c r="F62" s="7">
        <v>1215685.5856540757</v>
      </c>
      <c r="G62" s="7">
        <v>1445841.286086122</v>
      </c>
      <c r="H62" s="7">
        <v>1681143.5636572612</v>
      </c>
      <c r="I62" s="7">
        <v>1785600.9745587497</v>
      </c>
      <c r="J62" s="7">
        <v>1895106.4447468717</v>
      </c>
      <c r="K62" s="7">
        <v>2167344.5952335941</v>
      </c>
      <c r="L62" s="7">
        <v>2472800.0601578495</v>
      </c>
      <c r="M62" s="7">
        <v>2815264.7064806065</v>
      </c>
      <c r="N62" s="7">
        <v>3198477.448677863</v>
      </c>
      <c r="O62" s="59">
        <v>0.1</v>
      </c>
      <c r="S62" s="10">
        <f>AVERAGE(D62:N62)</f>
        <v>1869389.4957362367</v>
      </c>
      <c r="T62" s="65">
        <f t="shared" ref="T62" si="31">S62/$S$67</f>
        <v>0.75125895026571121</v>
      </c>
      <c r="U62" s="68">
        <f>O62</f>
        <v>0.1</v>
      </c>
      <c r="V62" s="71">
        <f>U62*(1-$O$38)</f>
        <v>6.9999999999999993E-2</v>
      </c>
      <c r="W62" s="71">
        <f>T62*V62</f>
        <v>5.258812651859978E-2</v>
      </c>
      <c r="Z62" s="230"/>
      <c r="AA62" s="230"/>
      <c r="AB62" s="231"/>
      <c r="AC62" s="227"/>
      <c r="AD62" s="224"/>
      <c r="AE62" s="224"/>
      <c r="AF62" s="224"/>
    </row>
    <row r="63" spans="1:32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T63" s="65"/>
      <c r="Z63" s="224"/>
      <c r="AA63" s="224"/>
      <c r="AB63" s="231"/>
      <c r="AC63" s="227"/>
      <c r="AD63" s="224"/>
      <c r="AE63" s="224"/>
      <c r="AF63" s="224"/>
    </row>
    <row r="64" spans="1:32" x14ac:dyDescent="0.25">
      <c r="A64" s="2" t="s">
        <v>30</v>
      </c>
      <c r="D64" s="7">
        <v>300000</v>
      </c>
      <c r="E64" s="7">
        <v>300000</v>
      </c>
      <c r="F64" s="7">
        <v>300000</v>
      </c>
      <c r="G64" s="7">
        <v>300000</v>
      </c>
      <c r="H64" s="7">
        <v>300000</v>
      </c>
      <c r="I64" s="7">
        <v>300000</v>
      </c>
      <c r="J64" s="7">
        <v>300000</v>
      </c>
      <c r="K64" s="7">
        <v>300000</v>
      </c>
      <c r="L64" s="7">
        <v>300000</v>
      </c>
      <c r="M64" s="7">
        <v>300000</v>
      </c>
      <c r="N64" s="7">
        <v>300000</v>
      </c>
      <c r="S64" s="10">
        <f>AVERAGE(D64:N64)</f>
        <v>300000</v>
      </c>
      <c r="T64" s="65">
        <f>SUM(S64:S65)/S67</f>
        <v>0.20930202840677459</v>
      </c>
      <c r="U64" s="72">
        <f>T57</f>
        <v>7.2620000000000004E-2</v>
      </c>
      <c r="V64" s="72">
        <f>U64</f>
        <v>7.2620000000000004E-2</v>
      </c>
      <c r="W64" s="71">
        <f>T64*V64</f>
        <v>1.5199513302899972E-2</v>
      </c>
      <c r="Z64" s="230"/>
      <c r="AA64" s="231"/>
      <c r="AB64" s="231"/>
      <c r="AC64" s="227"/>
      <c r="AD64" s="224"/>
      <c r="AE64" s="224"/>
      <c r="AF64" s="224"/>
    </row>
    <row r="65" spans="1:32" x14ac:dyDescent="0.25">
      <c r="A65" s="2" t="s">
        <v>31</v>
      </c>
      <c r="D65" s="7">
        <f>C65+D39</f>
        <v>13814.28322688053</v>
      </c>
      <c r="E65" s="7">
        <f>D65+E39</f>
        <v>36439.561152195587</v>
      </c>
      <c r="F65" s="7">
        <f t="shared" ref="F65:N65" si="32">E65+F39</f>
        <v>64771.84251241701</v>
      </c>
      <c r="G65" s="7">
        <f t="shared" si="32"/>
        <v>98148.187579662233</v>
      </c>
      <c r="H65" s="7">
        <f t="shared" si="32"/>
        <v>137576.25034644295</v>
      </c>
      <c r="I65" s="7">
        <f t="shared" si="32"/>
        <v>190477.80643662164</v>
      </c>
      <c r="J65" s="7">
        <f t="shared" si="32"/>
        <v>253908.35464655215</v>
      </c>
      <c r="K65" s="7">
        <f t="shared" si="32"/>
        <v>317516.88543978438</v>
      </c>
      <c r="L65" s="7">
        <f t="shared" si="32"/>
        <v>380074.35371880361</v>
      </c>
      <c r="M65" s="7">
        <f t="shared" si="32"/>
        <v>440145.09391486953</v>
      </c>
      <c r="N65" s="7">
        <f t="shared" si="32"/>
        <v>496093.5986219534</v>
      </c>
      <c r="S65" s="10">
        <f>AVERAGE(D65:N65)</f>
        <v>220815.11069056208</v>
      </c>
      <c r="T65" s="76"/>
      <c r="U65" s="77"/>
      <c r="V65" s="77"/>
      <c r="W65" s="77"/>
      <c r="Z65" s="224"/>
      <c r="AA65" s="224"/>
      <c r="AB65" s="224"/>
      <c r="AC65" s="224"/>
      <c r="AD65" s="224"/>
      <c r="AE65" s="224"/>
      <c r="AF65" s="224"/>
    </row>
    <row r="66" spans="1:32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Z66" s="224"/>
      <c r="AA66" s="224"/>
      <c r="AB66" s="224"/>
      <c r="AC66" s="224"/>
      <c r="AD66" s="224"/>
      <c r="AE66" s="224"/>
      <c r="AF66" s="224"/>
    </row>
    <row r="67" spans="1:32" ht="16.5" thickBot="1" x14ac:dyDescent="0.3">
      <c r="A67" s="233" t="s">
        <v>32</v>
      </c>
      <c r="B67" s="233"/>
      <c r="C67" s="64"/>
      <c r="D67" s="62">
        <f t="shared" ref="D67:N67" si="33">SUM(D58:D65)</f>
        <v>1629585.7305936075</v>
      </c>
      <c r="E67" s="62">
        <f t="shared" si="33"/>
        <v>1705606.131555734</v>
      </c>
      <c r="F67" s="62">
        <f t="shared" si="33"/>
        <v>1840013.4872638753</v>
      </c>
      <c r="G67" s="62">
        <f t="shared" si="33"/>
        <v>1998790.3046015792</v>
      </c>
      <c r="H67" s="62">
        <f t="shared" si="33"/>
        <v>2160286.2414360428</v>
      </c>
      <c r="I67" s="62">
        <f t="shared" si="33"/>
        <v>2324159.6232965635</v>
      </c>
      <c r="J67" s="62">
        <f>SUM(J58:J65)</f>
        <v>2502370.3292938145</v>
      </c>
      <c r="K67" s="62">
        <f t="shared" si="33"/>
        <v>2839078.4191009253</v>
      </c>
      <c r="L67" s="62">
        <f t="shared" si="33"/>
        <v>3207449.5811264506</v>
      </c>
      <c r="M67" s="62">
        <f t="shared" si="33"/>
        <v>3609752.1717493432</v>
      </c>
      <c r="N67" s="62">
        <f t="shared" si="33"/>
        <v>4048004.6793536432</v>
      </c>
      <c r="S67" s="69">
        <f>SUM(S61:S65)</f>
        <v>2488342.3952221218</v>
      </c>
      <c r="T67" s="70">
        <f>SUM(T61:T66)</f>
        <v>0.99999999999999989</v>
      </c>
      <c r="W67" s="78">
        <f>SUM(W61:W66)</f>
        <v>6.9996225015840532E-2</v>
      </c>
      <c r="X67" s="79" t="s">
        <v>75</v>
      </c>
      <c r="Z67" s="230"/>
      <c r="AA67" s="224"/>
      <c r="AB67" s="224"/>
      <c r="AC67" s="232"/>
      <c r="AD67" s="228"/>
      <c r="AE67" s="224"/>
      <c r="AF67" s="224"/>
    </row>
    <row r="68" spans="1:32" ht="16.5" thickTop="1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32" x14ac:dyDescent="0.25">
      <c r="A69" s="2" t="s">
        <v>33</v>
      </c>
      <c r="D69" s="7">
        <f>D55-D67</f>
        <v>0</v>
      </c>
      <c r="E69" s="7">
        <f t="shared" ref="E69:N69" si="34">E55-E67</f>
        <v>0</v>
      </c>
      <c r="F69" s="7">
        <f>F55-F67</f>
        <v>0</v>
      </c>
      <c r="G69" s="7">
        <f t="shared" si="34"/>
        <v>0</v>
      </c>
      <c r="H69" s="7">
        <f t="shared" si="34"/>
        <v>0</v>
      </c>
      <c r="I69" s="7">
        <f t="shared" si="34"/>
        <v>0</v>
      </c>
      <c r="J69" s="7">
        <f>J55-J67</f>
        <v>0</v>
      </c>
      <c r="K69" s="7">
        <f t="shared" si="34"/>
        <v>0</v>
      </c>
      <c r="L69" s="7">
        <f t="shared" si="34"/>
        <v>0</v>
      </c>
      <c r="M69" s="7">
        <f t="shared" si="34"/>
        <v>0</v>
      </c>
      <c r="N69" s="7">
        <f t="shared" si="34"/>
        <v>0</v>
      </c>
    </row>
    <row r="70" spans="1:32" s="100" customFormat="1" ht="10.5" customHeight="1" x14ac:dyDescent="0.25"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2"/>
    </row>
    <row r="71" spans="1:32" x14ac:dyDescent="0.25">
      <c r="C71" s="81">
        <v>0</v>
      </c>
      <c r="D71" s="82">
        <v>1</v>
      </c>
      <c r="E71" s="82">
        <v>2</v>
      </c>
      <c r="F71" s="81">
        <v>3</v>
      </c>
      <c r="G71" s="82">
        <v>4</v>
      </c>
      <c r="H71" s="82">
        <v>5</v>
      </c>
      <c r="I71" s="81">
        <v>6</v>
      </c>
      <c r="J71" s="82">
        <v>7</v>
      </c>
      <c r="K71" s="82">
        <v>8</v>
      </c>
      <c r="L71" s="81">
        <v>9</v>
      </c>
      <c r="M71" s="82">
        <v>10</v>
      </c>
      <c r="N71" s="82">
        <v>11</v>
      </c>
      <c r="O71" s="7"/>
      <c r="P71" s="7"/>
      <c r="Q71" s="7"/>
    </row>
    <row r="72" spans="1:32" x14ac:dyDescent="0.25">
      <c r="A72" s="1" t="s">
        <v>77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32" x14ac:dyDescent="0.25">
      <c r="A73" s="2" t="s">
        <v>78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32" x14ac:dyDescent="0.25">
      <c r="B74" t="s">
        <v>79</v>
      </c>
      <c r="D74" s="7">
        <f>D19+D20-D22-D25-D26-D27-D28-D29</f>
        <v>147855</v>
      </c>
      <c r="E74" s="7">
        <f t="shared" ref="E74:N74" si="35">E19+E20-E22-E25-E26-E27-E28-E29</f>
        <v>167481.73499999993</v>
      </c>
      <c r="F74" s="7">
        <f t="shared" si="35"/>
        <v>188251.15319099999</v>
      </c>
      <c r="G74" s="7">
        <f t="shared" si="35"/>
        <v>210225.10612646461</v>
      </c>
      <c r="H74" s="7">
        <f t="shared" si="35"/>
        <v>233468.69048750383</v>
      </c>
      <c r="I74" s="7">
        <f t="shared" si="35"/>
        <v>258050.41567993979</v>
      </c>
      <c r="J74" s="7">
        <f t="shared" si="35"/>
        <v>284042.38001268305</v>
      </c>
      <c r="K74" s="7">
        <f t="shared" si="35"/>
        <v>311520.45589464356</v>
      </c>
      <c r="L74" s="7">
        <f t="shared" si="35"/>
        <v>340564.48450962192</v>
      </c>
      <c r="M74" s="7">
        <f t="shared" si="35"/>
        <v>371258.48045196437</v>
      </c>
      <c r="N74" s="7">
        <f t="shared" si="35"/>
        <v>403690.84683028696</v>
      </c>
      <c r="O74" s="7"/>
      <c r="P74" s="7"/>
      <c r="Q74" s="7"/>
    </row>
    <row r="75" spans="1:32" x14ac:dyDescent="0.25">
      <c r="B75" t="s">
        <v>80</v>
      </c>
      <c r="D75" s="7">
        <f>SUM(D31:D32)</f>
        <v>3916.666666666667</v>
      </c>
      <c r="E75" s="7">
        <f t="shared" ref="E75:N75" si="36">SUM(E31:E32)</f>
        <v>3916.666666666667</v>
      </c>
      <c r="F75" s="7">
        <f t="shared" si="36"/>
        <v>3916.666666666667</v>
      </c>
      <c r="G75" s="7">
        <f t="shared" si="36"/>
        <v>3916.666666666667</v>
      </c>
      <c r="H75" s="7">
        <f t="shared" si="36"/>
        <v>3916.666666666667</v>
      </c>
      <c r="I75" s="7">
        <f t="shared" si="36"/>
        <v>3916.666666666667</v>
      </c>
      <c r="J75" s="7">
        <f t="shared" si="36"/>
        <v>3916.666666666667</v>
      </c>
      <c r="K75" s="7">
        <f t="shared" si="36"/>
        <v>3916.666666666667</v>
      </c>
      <c r="L75" s="7">
        <f t="shared" si="36"/>
        <v>3916.666666666667</v>
      </c>
      <c r="M75" s="7">
        <f t="shared" si="36"/>
        <v>3916.666666666667</v>
      </c>
      <c r="N75" s="7">
        <f t="shared" si="36"/>
        <v>3916.666666666667</v>
      </c>
      <c r="O75" s="7"/>
      <c r="P75" s="7"/>
      <c r="Q75" s="7"/>
    </row>
    <row r="76" spans="1:32" x14ac:dyDescent="0.25">
      <c r="B76" t="s">
        <v>81</v>
      </c>
      <c r="D76" s="7">
        <f>D74-D75</f>
        <v>143938.33333333334</v>
      </c>
      <c r="E76" s="7">
        <f t="shared" ref="E76:N76" si="37">E74-E75</f>
        <v>163565.06833333327</v>
      </c>
      <c r="F76" s="7">
        <f t="shared" si="37"/>
        <v>184334.48652433333</v>
      </c>
      <c r="G76" s="7">
        <f t="shared" si="37"/>
        <v>206308.43945979796</v>
      </c>
      <c r="H76" s="7">
        <f t="shared" si="37"/>
        <v>229552.02382083717</v>
      </c>
      <c r="I76" s="7">
        <f t="shared" si="37"/>
        <v>254133.74901327313</v>
      </c>
      <c r="J76" s="7">
        <f t="shared" si="37"/>
        <v>280125.71334601636</v>
      </c>
      <c r="K76" s="7">
        <f t="shared" si="37"/>
        <v>307603.78922797687</v>
      </c>
      <c r="L76" s="7">
        <f t="shared" si="37"/>
        <v>336647.81784295524</v>
      </c>
      <c r="M76" s="7">
        <f t="shared" si="37"/>
        <v>367341.81378529768</v>
      </c>
      <c r="N76" s="7">
        <f t="shared" si="37"/>
        <v>399774.18016362027</v>
      </c>
      <c r="O76" s="7"/>
      <c r="P76" s="7"/>
      <c r="Q76" s="7"/>
    </row>
    <row r="77" spans="1:32" x14ac:dyDescent="0.25">
      <c r="B77" t="s">
        <v>82</v>
      </c>
      <c r="D77" s="7">
        <f>IF(D76&lt;=0,0,D76*$O$38)</f>
        <v>43181.5</v>
      </c>
      <c r="E77" s="7">
        <f t="shared" ref="E77:N77" si="38">IF(E76&lt;=0,0,E76*$O$38)</f>
        <v>49069.520499999977</v>
      </c>
      <c r="F77" s="7">
        <f t="shared" si="38"/>
        <v>55300.3459573</v>
      </c>
      <c r="G77" s="7">
        <f t="shared" si="38"/>
        <v>61892.531837939387</v>
      </c>
      <c r="H77" s="7">
        <f t="shared" si="38"/>
        <v>68865.607146251146</v>
      </c>
      <c r="I77" s="7">
        <f t="shared" si="38"/>
        <v>76240.124703981943</v>
      </c>
      <c r="J77" s="7">
        <f t="shared" si="38"/>
        <v>84037.714003804911</v>
      </c>
      <c r="K77" s="7">
        <f t="shared" si="38"/>
        <v>92281.136768393058</v>
      </c>
      <c r="L77" s="7">
        <f t="shared" si="38"/>
        <v>100994.34535288656</v>
      </c>
      <c r="M77" s="7">
        <f t="shared" si="38"/>
        <v>110202.5441355893</v>
      </c>
      <c r="N77" s="7">
        <f t="shared" si="38"/>
        <v>119932.25404908607</v>
      </c>
      <c r="O77" s="7"/>
      <c r="P77" s="7"/>
      <c r="Q77" s="7"/>
    </row>
    <row r="78" spans="1:32" x14ac:dyDescent="0.25">
      <c r="B78" t="s">
        <v>87</v>
      </c>
      <c r="D78" s="7">
        <f>D74-D77</f>
        <v>104673.5</v>
      </c>
      <c r="E78" s="7">
        <f t="shared" ref="E78:M78" si="39">E74-E77</f>
        <v>118412.21449999994</v>
      </c>
      <c r="F78" s="7">
        <f t="shared" si="39"/>
        <v>132950.8072337</v>
      </c>
      <c r="G78" s="7">
        <f t="shared" si="39"/>
        <v>148332.57428852521</v>
      </c>
      <c r="H78" s="7">
        <f t="shared" si="39"/>
        <v>164603.0833412527</v>
      </c>
      <c r="I78" s="7">
        <f t="shared" si="39"/>
        <v>181810.29097595785</v>
      </c>
      <c r="J78" s="7">
        <f t="shared" si="39"/>
        <v>200004.66600887815</v>
      </c>
      <c r="K78" s="7">
        <f t="shared" si="39"/>
        <v>219239.31912625051</v>
      </c>
      <c r="L78" s="7">
        <f t="shared" si="39"/>
        <v>239570.13915673536</v>
      </c>
      <c r="M78" s="7">
        <f t="shared" si="39"/>
        <v>261055.93631637507</v>
      </c>
      <c r="N78" s="7">
        <f>N74-N77</f>
        <v>283758.59278120089</v>
      </c>
      <c r="O78" s="7"/>
      <c r="P78" s="7"/>
      <c r="Q78" s="7"/>
    </row>
    <row r="79" spans="1:32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32" x14ac:dyDescent="0.25">
      <c r="A80" s="1" t="s">
        <v>83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x14ac:dyDescent="0.25">
      <c r="A81" s="66" t="s">
        <v>84</v>
      </c>
      <c r="B81" s="66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x14ac:dyDescent="0.25">
      <c r="A82" s="2" t="s">
        <v>85</v>
      </c>
      <c r="B82" s="2" t="str">
        <f>A43</f>
        <v>Minimum Cash Inventory</v>
      </c>
      <c r="C82" s="10">
        <f>-(D43-C43)</f>
        <v>-30000</v>
      </c>
      <c r="D82" s="10">
        <f>-(E43-D43)</f>
        <v>0</v>
      </c>
      <c r="E82" s="10">
        <f t="shared" ref="E82:N82" si="40">-(F43-E43)</f>
        <v>0</v>
      </c>
      <c r="F82" s="10">
        <f t="shared" si="40"/>
        <v>0</v>
      </c>
      <c r="G82" s="10">
        <f t="shared" si="40"/>
        <v>0</v>
      </c>
      <c r="H82" s="10">
        <f t="shared" si="40"/>
        <v>0</v>
      </c>
      <c r="I82" s="10">
        <f t="shared" si="40"/>
        <v>0</v>
      </c>
      <c r="J82" s="10">
        <f t="shared" si="40"/>
        <v>0</v>
      </c>
      <c r="K82" s="10">
        <f t="shared" si="40"/>
        <v>0</v>
      </c>
      <c r="L82" s="10">
        <f t="shared" si="40"/>
        <v>0</v>
      </c>
      <c r="M82" s="10">
        <f t="shared" si="40"/>
        <v>0</v>
      </c>
      <c r="N82" s="10">
        <f t="shared" si="40"/>
        <v>30000</v>
      </c>
      <c r="O82" s="7"/>
      <c r="P82" s="7"/>
      <c r="Q82" s="7"/>
    </row>
    <row r="83" spans="1:17" x14ac:dyDescent="0.25">
      <c r="A83" s="2" t="s">
        <v>85</v>
      </c>
      <c r="B83" s="2" t="s">
        <v>101</v>
      </c>
      <c r="C83" s="10">
        <f>-(D44-C44)</f>
        <v>-375548.28767123312</v>
      </c>
      <c r="D83" s="10">
        <f t="shared" ref="D83:N83" si="41">-(E44-D44)</f>
        <v>-76962.747217834229</v>
      </c>
      <c r="E83" s="10">
        <f t="shared" si="41"/>
        <v>-135203.04903598636</v>
      </c>
      <c r="F83" s="10">
        <f t="shared" si="41"/>
        <v>-159418.61197681515</v>
      </c>
      <c r="G83" s="10">
        <f t="shared" si="41"/>
        <v>-161976.22833664599</v>
      </c>
      <c r="H83" s="10">
        <f t="shared" si="41"/>
        <v>-164184.18930191291</v>
      </c>
      <c r="I83" s="10">
        <f t="shared" si="41"/>
        <v>-178343.65330632753</v>
      </c>
      <c r="J83" s="10">
        <f t="shared" si="41"/>
        <v>-336654.38616503193</v>
      </c>
      <c r="K83" s="10">
        <f t="shared" si="41"/>
        <v>-368121.58129270142</v>
      </c>
      <c r="L83" s="10">
        <f t="shared" si="41"/>
        <v>-401847.44974328065</v>
      </c>
      <c r="M83" s="10">
        <f t="shared" si="41"/>
        <v>-437581.64393658377</v>
      </c>
      <c r="N83" s="10">
        <f t="shared" si="41"/>
        <v>2795841.8279843531</v>
      </c>
      <c r="O83" s="7"/>
      <c r="P83" s="7"/>
      <c r="Q83" s="7"/>
    </row>
    <row r="84" spans="1:17" x14ac:dyDescent="0.25">
      <c r="A84" s="2" t="s">
        <v>85</v>
      </c>
      <c r="B84" s="2" t="str">
        <f>A45</f>
        <v>Inventory</v>
      </c>
      <c r="C84" s="10">
        <f>-(D45-C45)</f>
        <v>-16438.35616438356</v>
      </c>
      <c r="D84" s="10">
        <f t="shared" ref="D84:N84" si="42">-(E45-D45)</f>
        <v>-747.12328767123108</v>
      </c>
      <c r="E84" s="10">
        <f t="shared" si="42"/>
        <v>-781.08004109588728</v>
      </c>
      <c r="F84" s="10">
        <f t="shared" si="42"/>
        <v>-816.58012896370201</v>
      </c>
      <c r="G84" s="10">
        <f t="shared" si="42"/>
        <v>-853.69369582509535</v>
      </c>
      <c r="H84" s="10">
        <f t="shared" si="42"/>
        <v>-892.49407430034626</v>
      </c>
      <c r="I84" s="10">
        <f t="shared" si="42"/>
        <v>-933.05792997729804</v>
      </c>
      <c r="J84" s="10">
        <f t="shared" si="42"/>
        <v>-975.46541289476227</v>
      </c>
      <c r="K84" s="10">
        <f t="shared" si="42"/>
        <v>-1019.8003159108339</v>
      </c>
      <c r="L84" s="10">
        <f t="shared" si="42"/>
        <v>-1066.1502402689803</v>
      </c>
      <c r="M84" s="10">
        <f t="shared" si="42"/>
        <v>-1114.6067686892093</v>
      </c>
      <c r="N84" s="10">
        <f t="shared" si="42"/>
        <v>25638.408059980906</v>
      </c>
      <c r="O84" s="7"/>
      <c r="P84" s="7"/>
      <c r="Q84" s="7"/>
    </row>
    <row r="85" spans="1:17" x14ac:dyDescent="0.25">
      <c r="A85" s="2" t="s">
        <v>85</v>
      </c>
      <c r="B85" s="2" t="str">
        <f>A46</f>
        <v>Accounts Receivables</v>
      </c>
      <c r="C85" s="10">
        <f>-(D46-C46)</f>
        <v>-44015.753424657531</v>
      </c>
      <c r="D85" s="10">
        <f t="shared" ref="D85:N85" si="43">-(E46-D46)</f>
        <v>-2227.1971232876676</v>
      </c>
      <c r="E85" s="10">
        <f t="shared" si="43"/>
        <v>-2339.8932977260411</v>
      </c>
      <c r="F85" s="10">
        <f t="shared" si="43"/>
        <v>-2458.2918985909637</v>
      </c>
      <c r="G85" s="10">
        <f t="shared" si="43"/>
        <v>-2582.6814686596699</v>
      </c>
      <c r="H85" s="10">
        <f t="shared" si="43"/>
        <v>-2713.3651509738411</v>
      </c>
      <c r="I85" s="10">
        <f t="shared" si="43"/>
        <v>-2850.6614276131149</v>
      </c>
      <c r="J85" s="10">
        <f t="shared" si="43"/>
        <v>-2994.9048958503554</v>
      </c>
      <c r="K85" s="10">
        <f t="shared" si="43"/>
        <v>-3146.4470835803804</v>
      </c>
      <c r="L85" s="10">
        <f t="shared" si="43"/>
        <v>-3305.6573060095398</v>
      </c>
      <c r="M85" s="10">
        <f t="shared" si="43"/>
        <v>-3472.9235656936362</v>
      </c>
      <c r="N85" s="10">
        <f t="shared" si="43"/>
        <v>72107.776642642741</v>
      </c>
      <c r="O85" s="7"/>
      <c r="P85" s="7"/>
      <c r="Q85" s="7"/>
    </row>
    <row r="86" spans="1:17" x14ac:dyDescent="0.25">
      <c r="A86" s="2" t="s">
        <v>86</v>
      </c>
      <c r="B86" s="2" t="str">
        <f>A58</f>
        <v>Taxes Payable</v>
      </c>
      <c r="C86" s="10">
        <f>(D58-C58)</f>
        <v>5920.4070972345125</v>
      </c>
      <c r="D86" s="10">
        <f t="shared" ref="D86:N86" si="44">(E58-D58)</f>
        <v>3776.1405850433694</v>
      </c>
      <c r="E86" s="10">
        <f t="shared" si="44"/>
        <v>2445.8586149598705</v>
      </c>
      <c r="F86" s="10">
        <f t="shared" si="44"/>
        <v>2161.7415887244861</v>
      </c>
      <c r="G86" s="10">
        <f t="shared" si="44"/>
        <v>2593.5932998009248</v>
      </c>
      <c r="H86" s="10">
        <f t="shared" si="44"/>
        <v>5774.3542814562788</v>
      </c>
      <c r="I86" s="10">
        <f t="shared" si="44"/>
        <v>4512.4251941793482</v>
      </c>
      <c r="J86" s="10">
        <f t="shared" si="44"/>
        <v>76.278249986458832</v>
      </c>
      <c r="K86" s="10">
        <f t="shared" si="44"/>
        <v>-450.45536323415581</v>
      </c>
      <c r="L86" s="10">
        <f t="shared" si="44"/>
        <v>-1065.7406069799908</v>
      </c>
      <c r="M86" s="10">
        <f t="shared" si="44"/>
        <v>-1766.6723524208755</v>
      </c>
      <c r="N86" s="10">
        <f t="shared" si="44"/>
        <v>-23977.930588750227</v>
      </c>
      <c r="O86" s="7"/>
      <c r="P86" s="7"/>
      <c r="Q86" s="7"/>
    </row>
    <row r="87" spans="1:17" x14ac:dyDescent="0.25">
      <c r="A87" s="2" t="s">
        <v>86</v>
      </c>
      <c r="B87" s="2" t="str">
        <f>A59</f>
        <v>Accounts Payable</v>
      </c>
      <c r="C87" s="83">
        <f>(D59-C59)</f>
        <v>21917.808219178081</v>
      </c>
      <c r="D87" s="83">
        <f t="shared" ref="D87:N87" si="45">(E59-D59)</f>
        <v>657.53424657534197</v>
      </c>
      <c r="E87" s="83">
        <f t="shared" si="45"/>
        <v>677.26027397260259</v>
      </c>
      <c r="F87" s="83">
        <f t="shared" si="45"/>
        <v>697.57808219178696</v>
      </c>
      <c r="G87" s="83">
        <f t="shared" si="45"/>
        <v>718.50542465753097</v>
      </c>
      <c r="H87" s="83">
        <f t="shared" si="45"/>
        <v>740.06058739725995</v>
      </c>
      <c r="I87" s="83">
        <f t="shared" si="45"/>
        <v>762.26240501918073</v>
      </c>
      <c r="J87" s="83">
        <f t="shared" si="45"/>
        <v>785.1302771697483</v>
      </c>
      <c r="K87" s="83">
        <f t="shared" si="45"/>
        <v>808.68418548484624</v>
      </c>
      <c r="L87" s="83">
        <f t="shared" si="45"/>
        <v>832.9447110493893</v>
      </c>
      <c r="M87" s="83">
        <f t="shared" si="45"/>
        <v>857.93305238087487</v>
      </c>
      <c r="N87" s="83">
        <f t="shared" si="45"/>
        <v>-29455.701465076643</v>
      </c>
      <c r="O87" s="7"/>
      <c r="P87" s="7"/>
      <c r="Q87" s="7"/>
    </row>
    <row r="88" spans="1:17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25">
      <c r="A90" s="80" t="s">
        <v>88</v>
      </c>
      <c r="B90" s="80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B91" s="2" t="s">
        <v>62</v>
      </c>
      <c r="C91" s="83">
        <f>-(D49-C49)</f>
        <v>-300000</v>
      </c>
      <c r="D91" s="83">
        <f t="shared" ref="D91:N91" si="46">-(E49-D49)</f>
        <v>0</v>
      </c>
      <c r="E91" s="83">
        <f t="shared" si="46"/>
        <v>0</v>
      </c>
      <c r="F91" s="83">
        <f t="shared" si="46"/>
        <v>0</v>
      </c>
      <c r="G91" s="83">
        <f t="shared" si="46"/>
        <v>0</v>
      </c>
      <c r="H91" s="83">
        <f t="shared" si="46"/>
        <v>0</v>
      </c>
      <c r="I91" s="83">
        <f t="shared" si="46"/>
        <v>0</v>
      </c>
      <c r="J91" s="83">
        <f t="shared" si="46"/>
        <v>0</v>
      </c>
      <c r="K91" s="83">
        <f t="shared" si="46"/>
        <v>0</v>
      </c>
      <c r="L91" s="83">
        <f t="shared" si="46"/>
        <v>0</v>
      </c>
      <c r="M91" s="83">
        <f t="shared" si="46"/>
        <v>0</v>
      </c>
      <c r="N91" s="83">
        <f t="shared" si="46"/>
        <v>300000</v>
      </c>
      <c r="O91" s="7"/>
      <c r="P91" s="7"/>
      <c r="Q91" s="7"/>
    </row>
    <row r="92" spans="1:17" x14ac:dyDescent="0.25">
      <c r="B92" t="s">
        <v>89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>
        <f>N91*O92</f>
        <v>45000</v>
      </c>
      <c r="O92" s="59">
        <v>0.15</v>
      </c>
      <c r="P92" s="7"/>
      <c r="Q92" s="7"/>
    </row>
    <row r="93" spans="1:17" x14ac:dyDescent="0.25">
      <c r="B93" t="s">
        <v>90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>
        <f>P94*-O38</f>
        <v>-13500</v>
      </c>
      <c r="O93" s="7" t="s">
        <v>91</v>
      </c>
      <c r="P93" s="7">
        <f>N49</f>
        <v>300000</v>
      </c>
      <c r="Q93" s="7"/>
    </row>
    <row r="94" spans="1:17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 t="s">
        <v>92</v>
      </c>
      <c r="P94" s="7">
        <f>SUM(N91:N92)-P93</f>
        <v>45000</v>
      </c>
      <c r="Q94" s="7"/>
    </row>
    <row r="95" spans="1:17" s="75" customFormat="1" x14ac:dyDescent="0.25"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</row>
    <row r="96" spans="1:17" x14ac:dyDescent="0.25">
      <c r="B96" t="s">
        <v>22</v>
      </c>
      <c r="C96" s="83">
        <f>-(D48-C48)</f>
        <v>-100000</v>
      </c>
      <c r="D96" s="83">
        <f t="shared" ref="D96:N96" si="47">-(E48-D48)</f>
        <v>0</v>
      </c>
      <c r="E96" s="83">
        <f t="shared" si="47"/>
        <v>0</v>
      </c>
      <c r="F96" s="83">
        <f t="shared" si="47"/>
        <v>0</v>
      </c>
      <c r="G96" s="83">
        <f t="shared" si="47"/>
        <v>0</v>
      </c>
      <c r="H96" s="83">
        <f t="shared" si="47"/>
        <v>0</v>
      </c>
      <c r="I96" s="83">
        <f t="shared" si="47"/>
        <v>0</v>
      </c>
      <c r="J96" s="83">
        <f t="shared" si="47"/>
        <v>0</v>
      </c>
      <c r="K96" s="83">
        <f t="shared" si="47"/>
        <v>0</v>
      </c>
      <c r="L96" s="83">
        <f t="shared" si="47"/>
        <v>0</v>
      </c>
      <c r="M96" s="83">
        <f t="shared" si="47"/>
        <v>0</v>
      </c>
      <c r="N96" s="83">
        <f t="shared" si="47"/>
        <v>100000</v>
      </c>
      <c r="O96" s="7"/>
      <c r="P96" s="7"/>
      <c r="Q96" s="7"/>
    </row>
    <row r="97" spans="1:17" x14ac:dyDescent="0.25">
      <c r="B97" t="s">
        <v>89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>
        <f>N96*O97</f>
        <v>-14000.000000000002</v>
      </c>
      <c r="O97" s="59">
        <v>-0.14000000000000001</v>
      </c>
      <c r="P97" s="7"/>
      <c r="Q97" s="7"/>
    </row>
    <row r="98" spans="1:17" x14ac:dyDescent="0.25">
      <c r="B98" t="s">
        <v>90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>
        <f>P99*-O38</f>
        <v>-6799.9999999999991</v>
      </c>
      <c r="O98" s="7" t="s">
        <v>91</v>
      </c>
      <c r="P98" s="7">
        <f>N96-SUM(D32:N32)</f>
        <v>63333.333333333336</v>
      </c>
      <c r="Q98" s="7"/>
    </row>
    <row r="99" spans="1:17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 t="s">
        <v>93</v>
      </c>
      <c r="P99" s="7">
        <f>SUM(N96:N97)-P98</f>
        <v>22666.666666666664</v>
      </c>
      <c r="Q99" s="7"/>
    </row>
    <row r="100" spans="1:17" s="75" customFormat="1" x14ac:dyDescent="0.25"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</row>
    <row r="101" spans="1:17" x14ac:dyDescent="0.25">
      <c r="B101" s="2" t="s">
        <v>94</v>
      </c>
      <c r="C101" s="10">
        <f>-(D50-C50)</f>
        <v>-17500</v>
      </c>
      <c r="D101" s="10">
        <f t="shared" ref="D101:N101" si="48">-(E50-D50)</f>
        <v>0</v>
      </c>
      <c r="E101" s="10">
        <f t="shared" si="48"/>
        <v>0</v>
      </c>
      <c r="F101" s="10">
        <f t="shared" si="48"/>
        <v>0</v>
      </c>
      <c r="G101" s="10">
        <f t="shared" si="48"/>
        <v>0</v>
      </c>
      <c r="H101" s="10">
        <f t="shared" si="48"/>
        <v>0</v>
      </c>
      <c r="I101" s="10">
        <f t="shared" si="48"/>
        <v>0</v>
      </c>
      <c r="J101" s="10">
        <f t="shared" si="48"/>
        <v>0</v>
      </c>
      <c r="K101" s="10">
        <f t="shared" si="48"/>
        <v>0</v>
      </c>
      <c r="L101" s="10">
        <f t="shared" si="48"/>
        <v>0</v>
      </c>
      <c r="M101" s="10">
        <f t="shared" si="48"/>
        <v>0</v>
      </c>
      <c r="N101" s="10">
        <f t="shared" si="48"/>
        <v>17500</v>
      </c>
      <c r="O101" s="7"/>
      <c r="P101" s="7"/>
      <c r="Q101" s="7"/>
    </row>
    <row r="102" spans="1:17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>
        <f>N101*O102</f>
        <v>-10500</v>
      </c>
      <c r="O102" s="59">
        <v>-0.6</v>
      </c>
      <c r="P102" s="7"/>
      <c r="Q102" s="7"/>
    </row>
    <row r="103" spans="1:17" x14ac:dyDescent="0.25">
      <c r="N103" s="7">
        <v>0</v>
      </c>
      <c r="O103" s="7" t="s">
        <v>91</v>
      </c>
      <c r="P103" s="7">
        <f>N101-SUM(D31:N31)</f>
        <v>11083.333333333334</v>
      </c>
      <c r="Q103" s="7"/>
    </row>
    <row r="104" spans="1:17" x14ac:dyDescent="0.25">
      <c r="B104" s="2" t="s">
        <v>132</v>
      </c>
      <c r="C104" s="10">
        <f t="shared" ref="C104:N104" si="49">-(D53-C53)</f>
        <v>-750000</v>
      </c>
      <c r="D104" s="10">
        <f t="shared" si="49"/>
        <v>0</v>
      </c>
      <c r="E104" s="10">
        <f t="shared" si="49"/>
        <v>0</v>
      </c>
      <c r="F104" s="10">
        <f t="shared" si="49"/>
        <v>0</v>
      </c>
      <c r="G104" s="10">
        <f t="shared" si="49"/>
        <v>0</v>
      </c>
      <c r="H104" s="10">
        <f t="shared" si="49"/>
        <v>0</v>
      </c>
      <c r="I104" s="10">
        <f t="shared" si="49"/>
        <v>0</v>
      </c>
      <c r="J104" s="10">
        <f t="shared" si="49"/>
        <v>0</v>
      </c>
      <c r="K104" s="10">
        <f t="shared" si="49"/>
        <v>0</v>
      </c>
      <c r="L104" s="10">
        <f t="shared" si="49"/>
        <v>0</v>
      </c>
      <c r="M104" s="10">
        <f t="shared" si="49"/>
        <v>0</v>
      </c>
      <c r="N104" s="10">
        <f t="shared" si="49"/>
        <v>750000</v>
      </c>
      <c r="O104" s="7" t="s">
        <v>93</v>
      </c>
      <c r="P104" s="7">
        <f>SUM(N101:N102)-P103</f>
        <v>-4083.3333333333339</v>
      </c>
      <c r="Q104" s="7"/>
    </row>
    <row r="105" spans="1:17" s="75" customFormat="1" x14ac:dyDescent="0.25"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</row>
    <row r="106" spans="1:17" x14ac:dyDescent="0.25">
      <c r="A106" s="85" t="s">
        <v>95</v>
      </c>
      <c r="B106" s="86"/>
      <c r="C106" s="57">
        <f t="shared" ref="C106:N106" si="50">SUM(C78:C105)</f>
        <v>-1605664.1819438618</v>
      </c>
      <c r="D106" s="57">
        <f t="shared" si="50"/>
        <v>29170.107202825584</v>
      </c>
      <c r="E106" s="57">
        <f t="shared" si="50"/>
        <v>-16788.688985875873</v>
      </c>
      <c r="F106" s="57">
        <f t="shared" si="50"/>
        <v>-26883.357099753543</v>
      </c>
      <c r="G106" s="57">
        <f t="shared" si="50"/>
        <v>-13767.930488147087</v>
      </c>
      <c r="H106" s="57">
        <f t="shared" si="50"/>
        <v>3327.4496829191448</v>
      </c>
      <c r="I106" s="57">
        <f t="shared" si="50"/>
        <v>4957.6059112384355</v>
      </c>
      <c r="J106" s="57">
        <f t="shared" si="50"/>
        <v>-139758.68193774269</v>
      </c>
      <c r="K106" s="57">
        <f t="shared" si="50"/>
        <v>-152690.28074369143</v>
      </c>
      <c r="L106" s="57">
        <f t="shared" si="50"/>
        <v>-166881.91402875446</v>
      </c>
      <c r="M106" s="57">
        <f t="shared" si="50"/>
        <v>-182021.97725463152</v>
      </c>
      <c r="N106" s="57">
        <f t="shared" si="50"/>
        <v>4321612.9734143503</v>
      </c>
      <c r="O106" s="7"/>
      <c r="P106" s="7"/>
      <c r="Q106" s="7"/>
    </row>
    <row r="107" spans="1:17" x14ac:dyDescent="0.25">
      <c r="A107" s="1" t="s">
        <v>75</v>
      </c>
      <c r="C107" s="72">
        <f>W67</f>
        <v>6.9996225015840532E-2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25">
      <c r="A108" s="87" t="s">
        <v>96</v>
      </c>
      <c r="C108" s="89">
        <f t="shared" ref="C108:N108" si="51">-PV($C$107,C71,,C106)</f>
        <v>-1605664.1819438618</v>
      </c>
      <c r="D108" s="89">
        <f t="shared" si="51"/>
        <v>27261.878613070567</v>
      </c>
      <c r="E108" s="89">
        <f t="shared" si="51"/>
        <v>-14663.994626823658</v>
      </c>
      <c r="F108" s="89">
        <f t="shared" si="51"/>
        <v>-21945.059591405185</v>
      </c>
      <c r="G108" s="89">
        <f t="shared" si="51"/>
        <v>-10503.636476692736</v>
      </c>
      <c r="H108" s="89">
        <f t="shared" si="51"/>
        <v>2372.4674871476786</v>
      </c>
      <c r="I108" s="89">
        <f t="shared" si="51"/>
        <v>3303.5320766982682</v>
      </c>
      <c r="J108" s="89">
        <f t="shared" si="51"/>
        <v>-87036.832555483052</v>
      </c>
      <c r="K108" s="89">
        <f t="shared" si="51"/>
        <v>-88869.641813271257</v>
      </c>
      <c r="L108" s="89">
        <f t="shared" si="51"/>
        <v>-90775.586351455539</v>
      </c>
      <c r="M108" s="89">
        <f t="shared" si="51"/>
        <v>-92534.007859215155</v>
      </c>
      <c r="N108" s="89">
        <f t="shared" si="51"/>
        <v>2053246.8739533427</v>
      </c>
      <c r="O108" s="7"/>
      <c r="P108" s="7"/>
      <c r="Q108" s="7"/>
    </row>
    <row r="109" spans="1:17" x14ac:dyDescent="0.25">
      <c r="A109" s="87" t="s">
        <v>97</v>
      </c>
      <c r="C109" s="89">
        <f>SUM(C108:N108)</f>
        <v>74191.810912051005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7"/>
      <c r="P109" s="7"/>
      <c r="Q109" s="7"/>
    </row>
    <row r="110" spans="1:17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25">
      <c r="A111" s="1" t="s">
        <v>98</v>
      </c>
      <c r="C111" s="72">
        <f>IRR(C106:N106)</f>
        <v>7.4178388879523993E-2</v>
      </c>
      <c r="D111" s="88">
        <f>C111-C107</f>
        <v>4.1821638636834607E-3</v>
      </c>
      <c r="E111" s="98"/>
      <c r="F111" s="88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25">
      <c r="A112" s="87" t="s">
        <v>99</v>
      </c>
      <c r="B112"/>
      <c r="C112" s="89">
        <f>SUM(D108:N108)</f>
        <v>1679855.9928559125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x14ac:dyDescent="0.25">
      <c r="A113" s="74" t="s">
        <v>102</v>
      </c>
      <c r="B113" s="74"/>
      <c r="C113" s="103">
        <v>1500000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4:17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4:17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4:17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4:17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4:17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4:17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4:17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4:17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4:17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4:17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4:17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4:17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4:17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4:17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4:17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4:17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4:17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4:17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4:17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4:17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4:17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4:17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4:17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4:17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4:17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4:17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4:17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4:17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4:17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4:17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4:17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4:17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4:17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4:17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4:17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4:17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4:17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4:17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4:17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4:17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4:17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4:17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4:17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4:17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4:17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4:17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4:17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4:17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4:17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4:17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4:17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4:17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4:17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4:17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4:17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4:17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4:17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4:17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4:17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4:17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4:17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4:17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4:17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4:17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4:17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4:17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4:17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4:17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4:17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4:17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4:17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4:17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4:17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4:17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4:17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4:17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4:17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4:17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4:17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4:17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4:17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4:17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4:17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4:17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4:17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4:17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4:17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4:17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4:17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4:17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4:17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4:17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4:17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4:17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4:17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4:17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4:17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4:17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4:17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4:17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4:17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4:17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4:17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4:17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4:17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4:17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4:17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4:17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4:17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4:17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4:17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4:17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4:17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4:17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4:17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4:17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4:17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</sheetData>
  <mergeCells count="7">
    <mergeCell ref="A67:B67"/>
    <mergeCell ref="S51:T51"/>
    <mergeCell ref="Z59:AC59"/>
    <mergeCell ref="AC51:AD51"/>
    <mergeCell ref="A57:B57"/>
    <mergeCell ref="S59:W59"/>
    <mergeCell ref="Z54:AA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126"/>
  <sheetViews>
    <sheetView topLeftCell="A48" zoomScale="80" zoomScaleNormal="80" workbookViewId="0">
      <selection activeCell="I9" sqref="I9"/>
    </sheetView>
  </sheetViews>
  <sheetFormatPr defaultRowHeight="15" x14ac:dyDescent="0.25"/>
  <cols>
    <col min="1" max="1" width="2.140625" customWidth="1"/>
    <col min="3" max="3" width="13.7109375" bestFit="1" customWidth="1"/>
    <col min="4" max="4" width="11.28515625" bestFit="1" customWidth="1"/>
    <col min="5" max="5" width="11.7109375" bestFit="1" customWidth="1"/>
    <col min="6" max="6" width="13.7109375" bestFit="1" customWidth="1"/>
    <col min="7" max="7" width="11" bestFit="1" customWidth="1"/>
    <col min="8" max="8" width="11.140625" bestFit="1" customWidth="1"/>
    <col min="10" max="10" width="11.7109375" bestFit="1" customWidth="1"/>
    <col min="11" max="11" width="13.7109375" bestFit="1" customWidth="1"/>
    <col min="12" max="12" width="11.7109375" bestFit="1" customWidth="1"/>
  </cols>
  <sheetData>
    <row r="1" spans="2:12" ht="14.45" x14ac:dyDescent="0.3">
      <c r="B1" s="44" t="s">
        <v>40</v>
      </c>
      <c r="C1" s="20">
        <f>F1/F2</f>
        <v>6.6666666666666671E-3</v>
      </c>
      <c r="E1" s="38" t="s">
        <v>40</v>
      </c>
      <c r="F1" s="39">
        <v>0.08</v>
      </c>
      <c r="J1" s="21"/>
      <c r="K1" s="22"/>
      <c r="L1" s="21"/>
    </row>
    <row r="2" spans="2:12" ht="14.45" x14ac:dyDescent="0.3">
      <c r="B2" s="45" t="s">
        <v>53</v>
      </c>
      <c r="C2" s="23">
        <f>F2*F3</f>
        <v>60</v>
      </c>
      <c r="E2" s="40" t="s">
        <v>60</v>
      </c>
      <c r="F2" s="41">
        <v>12</v>
      </c>
      <c r="J2" s="21"/>
      <c r="K2" s="22"/>
      <c r="L2" s="21"/>
    </row>
    <row r="3" spans="2:12" thickBot="1" x14ac:dyDescent="0.35">
      <c r="B3" s="45" t="s">
        <v>54</v>
      </c>
      <c r="C3" s="24">
        <f>Forecast!O61</f>
        <v>500000</v>
      </c>
      <c r="E3" s="42" t="s">
        <v>41</v>
      </c>
      <c r="F3" s="43">
        <v>5</v>
      </c>
      <c r="J3" s="21"/>
      <c r="K3" s="22"/>
      <c r="L3" s="21"/>
    </row>
    <row r="4" spans="2:12" thickBot="1" x14ac:dyDescent="0.35">
      <c r="B4" s="46" t="s">
        <v>39</v>
      </c>
      <c r="C4" s="25">
        <f>PMT(C1,C2,-C3,,0)</f>
        <v>10138.197144206841</v>
      </c>
    </row>
    <row r="5" spans="2:12" thickBot="1" x14ac:dyDescent="0.35">
      <c r="C5" s="26"/>
    </row>
    <row r="6" spans="2:12" thickBot="1" x14ac:dyDescent="0.35">
      <c r="C6" s="37" t="s">
        <v>55</v>
      </c>
      <c r="D6" s="52" t="s">
        <v>56</v>
      </c>
      <c r="E6" s="52" t="s">
        <v>57</v>
      </c>
      <c r="F6" s="53" t="s">
        <v>58</v>
      </c>
    </row>
    <row r="7" spans="2:12" ht="14.45" x14ac:dyDescent="0.3">
      <c r="B7" s="27">
        <v>1</v>
      </c>
      <c r="C7" s="28">
        <f>C3</f>
        <v>500000</v>
      </c>
      <c r="D7" s="28">
        <f>C7*$C$1</f>
        <v>3333.3333333333335</v>
      </c>
      <c r="E7" s="29">
        <f>$C$4-D7</f>
        <v>6804.8638108735067</v>
      </c>
      <c r="F7" s="49">
        <f>IF(C7-E7&lt;0,0,C7-E7)</f>
        <v>493195.13618912647</v>
      </c>
    </row>
    <row r="8" spans="2:12" ht="14.45" x14ac:dyDescent="0.3">
      <c r="B8" s="30">
        <v>2</v>
      </c>
      <c r="C8" s="31">
        <f>F7</f>
        <v>493195.13618912647</v>
      </c>
      <c r="D8" s="31">
        <f>C8*$C$1</f>
        <v>3287.9675745941768</v>
      </c>
      <c r="E8" s="32">
        <f>$C$4-D8</f>
        <v>6850.2295696126639</v>
      </c>
      <c r="F8" s="50">
        <f t="shared" ref="F8:F71" si="0">IF(C8-E8&lt;0,0,C8-E8)</f>
        <v>486344.90661951381</v>
      </c>
    </row>
    <row r="9" spans="2:12" ht="14.45" x14ac:dyDescent="0.3">
      <c r="B9" s="30">
        <v>3</v>
      </c>
      <c r="C9" s="31">
        <f>F8</f>
        <v>486344.90661951381</v>
      </c>
      <c r="D9" s="31">
        <f t="shared" ref="D9:D72" si="1">C9*$C$1</f>
        <v>3242.2993774634256</v>
      </c>
      <c r="E9" s="32">
        <f t="shared" ref="E9:E72" si="2">$C$4-D9</f>
        <v>6895.8977667434156</v>
      </c>
      <c r="F9" s="50">
        <f t="shared" si="0"/>
        <v>479449.00885277038</v>
      </c>
    </row>
    <row r="10" spans="2:12" ht="14.45" x14ac:dyDescent="0.3">
      <c r="B10" s="30">
        <v>4</v>
      </c>
      <c r="C10" s="31">
        <f t="shared" ref="C10:C73" si="3">F9</f>
        <v>479449.00885277038</v>
      </c>
      <c r="D10" s="31">
        <f t="shared" si="1"/>
        <v>3196.3267256851359</v>
      </c>
      <c r="E10" s="32">
        <f t="shared" si="2"/>
        <v>6941.8704185217048</v>
      </c>
      <c r="F10" s="50">
        <f t="shared" si="0"/>
        <v>472507.13843424869</v>
      </c>
    </row>
    <row r="11" spans="2:12" ht="14.45" x14ac:dyDescent="0.3">
      <c r="B11" s="30">
        <v>5</v>
      </c>
      <c r="C11" s="31">
        <f t="shared" si="3"/>
        <v>472507.13843424869</v>
      </c>
      <c r="D11" s="31">
        <f t="shared" si="1"/>
        <v>3150.0475895616582</v>
      </c>
      <c r="E11" s="32">
        <f t="shared" si="2"/>
        <v>6988.1495546451824</v>
      </c>
      <c r="F11" s="50">
        <f t="shared" si="0"/>
        <v>465518.98887960351</v>
      </c>
    </row>
    <row r="12" spans="2:12" ht="14.45" x14ac:dyDescent="0.3">
      <c r="B12" s="30">
        <v>6</v>
      </c>
      <c r="C12" s="31">
        <f t="shared" si="3"/>
        <v>465518.98887960351</v>
      </c>
      <c r="D12" s="31">
        <f t="shared" si="1"/>
        <v>3103.4599258640237</v>
      </c>
      <c r="E12" s="32">
        <f t="shared" si="2"/>
        <v>7034.737218342817</v>
      </c>
      <c r="F12" s="50">
        <f t="shared" si="0"/>
        <v>458484.25166126067</v>
      </c>
    </row>
    <row r="13" spans="2:12" ht="14.45" x14ac:dyDescent="0.3">
      <c r="B13" s="30">
        <v>7</v>
      </c>
      <c r="C13" s="31">
        <f t="shared" si="3"/>
        <v>458484.25166126067</v>
      </c>
      <c r="D13" s="31">
        <f t="shared" si="1"/>
        <v>3056.5616777417381</v>
      </c>
      <c r="E13" s="32">
        <f t="shared" si="2"/>
        <v>7081.6354664651026</v>
      </c>
      <c r="F13" s="50">
        <f t="shared" si="0"/>
        <v>451402.61619479558</v>
      </c>
    </row>
    <row r="14" spans="2:12" ht="14.45" x14ac:dyDescent="0.3">
      <c r="B14" s="30">
        <v>8</v>
      </c>
      <c r="C14" s="31">
        <f t="shared" si="3"/>
        <v>451402.61619479558</v>
      </c>
      <c r="D14" s="31">
        <f t="shared" si="1"/>
        <v>3009.3507746319706</v>
      </c>
      <c r="E14" s="32">
        <f t="shared" si="2"/>
        <v>7128.8463695748706</v>
      </c>
      <c r="F14" s="50">
        <f t="shared" si="0"/>
        <v>444273.76982522069</v>
      </c>
    </row>
    <row r="15" spans="2:12" ht="14.45" x14ac:dyDescent="0.3">
      <c r="B15" s="30">
        <v>9</v>
      </c>
      <c r="C15" s="31">
        <f t="shared" si="3"/>
        <v>444273.76982522069</v>
      </c>
      <c r="D15" s="31">
        <f t="shared" si="1"/>
        <v>2961.8251321681382</v>
      </c>
      <c r="E15" s="32">
        <f t="shared" si="2"/>
        <v>7176.3720120387025</v>
      </c>
      <c r="F15" s="50">
        <f t="shared" si="0"/>
        <v>437097.39781318197</v>
      </c>
    </row>
    <row r="16" spans="2:12" thickBot="1" x14ac:dyDescent="0.35">
      <c r="B16" s="30">
        <v>10</v>
      </c>
      <c r="C16" s="31">
        <f t="shared" si="3"/>
        <v>437097.39781318197</v>
      </c>
      <c r="D16" s="31">
        <f t="shared" si="1"/>
        <v>2913.9826520878801</v>
      </c>
      <c r="E16" s="32">
        <f t="shared" si="2"/>
        <v>7224.2144921189611</v>
      </c>
      <c r="F16" s="50">
        <f t="shared" si="0"/>
        <v>429873.183321063</v>
      </c>
    </row>
    <row r="17" spans="2:8" thickBot="1" x14ac:dyDescent="0.35">
      <c r="B17" s="30">
        <v>11</v>
      </c>
      <c r="C17" s="31">
        <f t="shared" si="3"/>
        <v>429873.183321063</v>
      </c>
      <c r="D17" s="31">
        <f t="shared" si="1"/>
        <v>2865.8212221404201</v>
      </c>
      <c r="E17" s="32">
        <f t="shared" si="2"/>
        <v>7272.3759220664206</v>
      </c>
      <c r="F17" s="50">
        <f t="shared" si="0"/>
        <v>422600.80739899661</v>
      </c>
      <c r="G17" s="47" t="s">
        <v>55</v>
      </c>
      <c r="H17" s="48" t="s">
        <v>59</v>
      </c>
    </row>
    <row r="18" spans="2:8" thickBot="1" x14ac:dyDescent="0.35">
      <c r="B18" s="30">
        <v>12</v>
      </c>
      <c r="C18" s="31">
        <f t="shared" si="3"/>
        <v>422600.80739899661</v>
      </c>
      <c r="D18" s="31">
        <f t="shared" si="1"/>
        <v>2817.3387159933109</v>
      </c>
      <c r="E18" s="32">
        <f t="shared" si="2"/>
        <v>7320.8584282135298</v>
      </c>
      <c r="F18" s="50">
        <f t="shared" si="0"/>
        <v>415279.94897078309</v>
      </c>
      <c r="G18" s="33">
        <f>F18</f>
        <v>415279.94897078309</v>
      </c>
      <c r="H18" s="34">
        <f>SUM(D7:D18)</f>
        <v>36938.314701265212</v>
      </c>
    </row>
    <row r="19" spans="2:8" ht="14.45" x14ac:dyDescent="0.3">
      <c r="B19" s="30">
        <v>13</v>
      </c>
      <c r="C19" s="31">
        <f t="shared" si="3"/>
        <v>415279.94897078309</v>
      </c>
      <c r="D19" s="31">
        <f t="shared" si="1"/>
        <v>2768.532993138554</v>
      </c>
      <c r="E19" s="32">
        <f t="shared" si="2"/>
        <v>7369.6641510682866</v>
      </c>
      <c r="F19" s="50">
        <f t="shared" si="0"/>
        <v>407910.28481971478</v>
      </c>
      <c r="G19" s="22"/>
      <c r="H19" s="22"/>
    </row>
    <row r="20" spans="2:8" ht="14.45" x14ac:dyDescent="0.3">
      <c r="B20" s="30">
        <v>14</v>
      </c>
      <c r="C20" s="31">
        <f t="shared" si="3"/>
        <v>407910.28481971478</v>
      </c>
      <c r="D20" s="31">
        <f t="shared" si="1"/>
        <v>2719.401898798099</v>
      </c>
      <c r="E20" s="32">
        <f t="shared" si="2"/>
        <v>7418.7952454087417</v>
      </c>
      <c r="F20" s="50">
        <f t="shared" si="0"/>
        <v>400491.48957430606</v>
      </c>
      <c r="G20" s="22"/>
      <c r="H20" s="22"/>
    </row>
    <row r="21" spans="2:8" ht="14.45" x14ac:dyDescent="0.3">
      <c r="B21" s="30">
        <v>15</v>
      </c>
      <c r="C21" s="31">
        <f t="shared" si="3"/>
        <v>400491.48957430606</v>
      </c>
      <c r="D21" s="31">
        <f t="shared" si="1"/>
        <v>2669.9432638287071</v>
      </c>
      <c r="E21" s="32">
        <f t="shared" si="2"/>
        <v>7468.2538803781335</v>
      </c>
      <c r="F21" s="50">
        <f t="shared" si="0"/>
        <v>393023.23569392791</v>
      </c>
      <c r="G21" s="22"/>
      <c r="H21" s="22"/>
    </row>
    <row r="22" spans="2:8" ht="14.45" x14ac:dyDescent="0.3">
      <c r="B22" s="30">
        <v>16</v>
      </c>
      <c r="C22" s="31">
        <f t="shared" si="3"/>
        <v>393023.23569392791</v>
      </c>
      <c r="D22" s="31">
        <f t="shared" si="1"/>
        <v>2620.1549046261862</v>
      </c>
      <c r="E22" s="32">
        <f t="shared" si="2"/>
        <v>7518.0422395806545</v>
      </c>
      <c r="F22" s="50">
        <f t="shared" si="0"/>
        <v>385505.19345434726</v>
      </c>
      <c r="G22" s="22"/>
      <c r="H22" s="22"/>
    </row>
    <row r="23" spans="2:8" ht="14.45" x14ac:dyDescent="0.3">
      <c r="B23" s="30">
        <v>17</v>
      </c>
      <c r="C23" s="31">
        <f t="shared" si="3"/>
        <v>385505.19345434726</v>
      </c>
      <c r="D23" s="31">
        <f t="shared" si="1"/>
        <v>2570.034623028982</v>
      </c>
      <c r="E23" s="32">
        <f t="shared" si="2"/>
        <v>7568.1625211778592</v>
      </c>
      <c r="F23" s="50">
        <f t="shared" si="0"/>
        <v>377937.03093316942</v>
      </c>
      <c r="G23" s="22"/>
      <c r="H23" s="22"/>
    </row>
    <row r="24" spans="2:8" ht="14.45" x14ac:dyDescent="0.3">
      <c r="B24" s="30">
        <v>18</v>
      </c>
      <c r="C24" s="31">
        <f t="shared" si="3"/>
        <v>377937.03093316942</v>
      </c>
      <c r="D24" s="31">
        <f t="shared" si="1"/>
        <v>2519.5802062211296</v>
      </c>
      <c r="E24" s="32">
        <f t="shared" si="2"/>
        <v>7618.616937985711</v>
      </c>
      <c r="F24" s="50">
        <f t="shared" si="0"/>
        <v>370318.41399518371</v>
      </c>
      <c r="G24" s="22"/>
      <c r="H24" s="22"/>
    </row>
    <row r="25" spans="2:8" ht="14.45" x14ac:dyDescent="0.3">
      <c r="B25" s="30">
        <v>19</v>
      </c>
      <c r="C25" s="31">
        <f t="shared" si="3"/>
        <v>370318.41399518371</v>
      </c>
      <c r="D25" s="31">
        <f t="shared" si="1"/>
        <v>2468.7894266345584</v>
      </c>
      <c r="E25" s="32">
        <f t="shared" si="2"/>
        <v>7669.4077175722823</v>
      </c>
      <c r="F25" s="50">
        <f t="shared" si="0"/>
        <v>362649.00627761142</v>
      </c>
      <c r="G25" s="22"/>
      <c r="H25" s="22"/>
    </row>
    <row r="26" spans="2:8" ht="14.45" x14ac:dyDescent="0.3">
      <c r="B26" s="30">
        <v>20</v>
      </c>
      <c r="C26" s="31">
        <f t="shared" si="3"/>
        <v>362649.00627761142</v>
      </c>
      <c r="D26" s="31">
        <f t="shared" si="1"/>
        <v>2417.6600418507428</v>
      </c>
      <c r="E26" s="32">
        <f t="shared" si="2"/>
        <v>7720.5371023560983</v>
      </c>
      <c r="F26" s="50">
        <f t="shared" si="0"/>
        <v>354928.46917525533</v>
      </c>
      <c r="G26" s="22"/>
      <c r="H26" s="22"/>
    </row>
    <row r="27" spans="2:8" ht="14.45" x14ac:dyDescent="0.3">
      <c r="B27" s="30">
        <v>21</v>
      </c>
      <c r="C27" s="31">
        <f t="shared" si="3"/>
        <v>354928.46917525533</v>
      </c>
      <c r="D27" s="31">
        <f t="shared" si="1"/>
        <v>2366.1897945017022</v>
      </c>
      <c r="E27" s="32">
        <f t="shared" si="2"/>
        <v>7772.007349705138</v>
      </c>
      <c r="F27" s="50">
        <f t="shared" si="0"/>
        <v>347156.46182555018</v>
      </c>
      <c r="G27" s="22"/>
      <c r="H27" s="22"/>
    </row>
    <row r="28" spans="2:8" x14ac:dyDescent="0.25">
      <c r="B28" s="30">
        <v>22</v>
      </c>
      <c r="C28" s="31">
        <f t="shared" si="3"/>
        <v>347156.46182555018</v>
      </c>
      <c r="D28" s="31">
        <f t="shared" si="1"/>
        <v>2314.3764121703348</v>
      </c>
      <c r="E28" s="32">
        <f t="shared" si="2"/>
        <v>7823.8207320365054</v>
      </c>
      <c r="F28" s="50">
        <f t="shared" si="0"/>
        <v>339332.6410935137</v>
      </c>
      <c r="G28" s="22"/>
      <c r="H28" s="22"/>
    </row>
    <row r="29" spans="2:8" ht="15.75" thickBot="1" x14ac:dyDescent="0.3">
      <c r="B29" s="30">
        <v>23</v>
      </c>
      <c r="C29" s="31">
        <f t="shared" si="3"/>
        <v>339332.6410935137</v>
      </c>
      <c r="D29" s="31">
        <f t="shared" si="1"/>
        <v>2262.2176072900916</v>
      </c>
      <c r="E29" s="32">
        <f t="shared" si="2"/>
        <v>7875.9795369167496</v>
      </c>
      <c r="F29" s="50">
        <f t="shared" si="0"/>
        <v>331456.66155659693</v>
      </c>
      <c r="G29" s="22"/>
      <c r="H29" s="22"/>
    </row>
    <row r="30" spans="2:8" ht="15.75" thickBot="1" x14ac:dyDescent="0.3">
      <c r="B30" s="30">
        <v>24</v>
      </c>
      <c r="C30" s="31">
        <f t="shared" si="3"/>
        <v>331456.66155659693</v>
      </c>
      <c r="D30" s="31">
        <f t="shared" si="1"/>
        <v>2209.7110770439795</v>
      </c>
      <c r="E30" s="32">
        <f t="shared" si="2"/>
        <v>7928.4860671628612</v>
      </c>
      <c r="F30" s="50">
        <f t="shared" si="0"/>
        <v>323528.17548943404</v>
      </c>
      <c r="G30" s="33">
        <f>F30</f>
        <v>323528.17548943404</v>
      </c>
      <c r="H30" s="34">
        <f>SUM(D19:D30)</f>
        <v>29906.592249133068</v>
      </c>
    </row>
    <row r="31" spans="2:8" x14ac:dyDescent="0.25">
      <c r="B31" s="30">
        <v>25</v>
      </c>
      <c r="C31" s="31">
        <f t="shared" si="3"/>
        <v>323528.17548943404</v>
      </c>
      <c r="D31" s="31">
        <f t="shared" si="1"/>
        <v>2156.8545032628936</v>
      </c>
      <c r="E31" s="32">
        <f t="shared" si="2"/>
        <v>7981.3426409439471</v>
      </c>
      <c r="F31" s="50">
        <f t="shared" si="0"/>
        <v>315546.8328484901</v>
      </c>
      <c r="G31" s="22"/>
      <c r="H31" s="22"/>
    </row>
    <row r="32" spans="2:8" x14ac:dyDescent="0.25">
      <c r="B32" s="30">
        <v>26</v>
      </c>
      <c r="C32" s="31">
        <f t="shared" si="3"/>
        <v>315546.8328484901</v>
      </c>
      <c r="D32" s="31">
        <f t="shared" si="1"/>
        <v>2103.6455523232676</v>
      </c>
      <c r="E32" s="32">
        <f t="shared" si="2"/>
        <v>8034.5515918835736</v>
      </c>
      <c r="F32" s="50">
        <f t="shared" si="0"/>
        <v>307512.28125660651</v>
      </c>
      <c r="G32" s="22"/>
      <c r="H32" s="22"/>
    </row>
    <row r="33" spans="2:8" x14ac:dyDescent="0.25">
      <c r="B33" s="30">
        <v>27</v>
      </c>
      <c r="C33" s="31">
        <f t="shared" si="3"/>
        <v>307512.28125660651</v>
      </c>
      <c r="D33" s="31">
        <f t="shared" si="1"/>
        <v>2050.0818750440435</v>
      </c>
      <c r="E33" s="32">
        <f t="shared" si="2"/>
        <v>8088.1152691627976</v>
      </c>
      <c r="F33" s="50">
        <f t="shared" si="0"/>
        <v>299424.1659874437</v>
      </c>
      <c r="G33" s="22"/>
      <c r="H33" s="22"/>
    </row>
    <row r="34" spans="2:8" x14ac:dyDescent="0.25">
      <c r="B34" s="30">
        <v>28</v>
      </c>
      <c r="C34" s="31">
        <f t="shared" si="3"/>
        <v>299424.1659874437</v>
      </c>
      <c r="D34" s="31">
        <f t="shared" si="1"/>
        <v>1996.1611065829582</v>
      </c>
      <c r="E34" s="32">
        <f t="shared" si="2"/>
        <v>8142.0360376238823</v>
      </c>
      <c r="F34" s="50">
        <f t="shared" si="0"/>
        <v>291282.12994981982</v>
      </c>
      <c r="G34" s="22"/>
      <c r="H34" s="22"/>
    </row>
    <row r="35" spans="2:8" x14ac:dyDescent="0.25">
      <c r="B35" s="30">
        <v>29</v>
      </c>
      <c r="C35" s="31">
        <f t="shared" si="3"/>
        <v>291282.12994981982</v>
      </c>
      <c r="D35" s="31">
        <f t="shared" si="1"/>
        <v>1941.8808663321322</v>
      </c>
      <c r="E35" s="32">
        <f t="shared" si="2"/>
        <v>8196.3162778747082</v>
      </c>
      <c r="F35" s="50">
        <f t="shared" si="0"/>
        <v>283085.81367194513</v>
      </c>
      <c r="G35" s="22"/>
      <c r="H35" s="22"/>
    </row>
    <row r="36" spans="2:8" x14ac:dyDescent="0.25">
      <c r="B36" s="30">
        <v>30</v>
      </c>
      <c r="C36" s="31">
        <f t="shared" si="3"/>
        <v>283085.81367194513</v>
      </c>
      <c r="D36" s="31">
        <f t="shared" si="1"/>
        <v>1887.2387578129676</v>
      </c>
      <c r="E36" s="32">
        <f t="shared" si="2"/>
        <v>8250.9583863938733</v>
      </c>
      <c r="F36" s="50">
        <f t="shared" si="0"/>
        <v>274834.85528555128</v>
      </c>
      <c r="G36" s="22"/>
      <c r="H36" s="22"/>
    </row>
    <row r="37" spans="2:8" x14ac:dyDescent="0.25">
      <c r="B37" s="30">
        <v>31</v>
      </c>
      <c r="C37" s="31">
        <f t="shared" si="3"/>
        <v>274834.85528555128</v>
      </c>
      <c r="D37" s="31">
        <f t="shared" si="1"/>
        <v>1832.232368570342</v>
      </c>
      <c r="E37" s="32">
        <f t="shared" si="2"/>
        <v>8305.9647756364993</v>
      </c>
      <c r="F37" s="50">
        <f t="shared" si="0"/>
        <v>266528.89050991478</v>
      </c>
      <c r="G37" s="22"/>
      <c r="H37" s="22"/>
    </row>
    <row r="38" spans="2:8" x14ac:dyDescent="0.25">
      <c r="B38" s="30">
        <v>32</v>
      </c>
      <c r="C38" s="31">
        <f t="shared" si="3"/>
        <v>266528.89050991478</v>
      </c>
      <c r="D38" s="31">
        <f t="shared" si="1"/>
        <v>1776.8592700660986</v>
      </c>
      <c r="E38" s="32">
        <f t="shared" si="2"/>
        <v>8361.3378741407414</v>
      </c>
      <c r="F38" s="50">
        <f t="shared" si="0"/>
        <v>258167.55263577405</v>
      </c>
      <c r="G38" s="22"/>
      <c r="H38" s="22"/>
    </row>
    <row r="39" spans="2:8" x14ac:dyDescent="0.25">
      <c r="B39" s="30">
        <v>33</v>
      </c>
      <c r="C39" s="31">
        <f>F38</f>
        <v>258167.55263577405</v>
      </c>
      <c r="D39" s="31">
        <f t="shared" si="1"/>
        <v>1721.1170175718271</v>
      </c>
      <c r="E39" s="32">
        <f t="shared" si="2"/>
        <v>8417.0801266350136</v>
      </c>
      <c r="F39" s="50">
        <f t="shared" si="0"/>
        <v>249750.47250913904</v>
      </c>
      <c r="G39" s="22"/>
      <c r="H39" s="22"/>
    </row>
    <row r="40" spans="2:8" x14ac:dyDescent="0.25">
      <c r="B40" s="30">
        <v>34</v>
      </c>
      <c r="C40" s="31">
        <f t="shared" si="3"/>
        <v>249750.47250913904</v>
      </c>
      <c r="D40" s="31">
        <f t="shared" si="1"/>
        <v>1665.0031500609271</v>
      </c>
      <c r="E40" s="32">
        <f t="shared" si="2"/>
        <v>8473.1939941459132</v>
      </c>
      <c r="F40" s="50">
        <f t="shared" si="0"/>
        <v>241277.27851499314</v>
      </c>
      <c r="G40" s="22"/>
      <c r="H40" s="22"/>
    </row>
    <row r="41" spans="2:8" ht="15.75" thickBot="1" x14ac:dyDescent="0.3">
      <c r="B41" s="30">
        <v>35</v>
      </c>
      <c r="C41" s="31">
        <f>F40</f>
        <v>241277.27851499314</v>
      </c>
      <c r="D41" s="31">
        <f t="shared" si="1"/>
        <v>1608.5151900999545</v>
      </c>
      <c r="E41" s="32">
        <f t="shared" si="2"/>
        <v>8529.6819541068871</v>
      </c>
      <c r="F41" s="50">
        <f t="shared" si="0"/>
        <v>232747.59656088625</v>
      </c>
      <c r="G41" s="22"/>
      <c r="H41" s="22"/>
    </row>
    <row r="42" spans="2:8" ht="15.75" thickBot="1" x14ac:dyDescent="0.3">
      <c r="B42" s="30">
        <v>36</v>
      </c>
      <c r="C42" s="31">
        <f t="shared" si="3"/>
        <v>232747.59656088625</v>
      </c>
      <c r="D42" s="31">
        <f t="shared" si="1"/>
        <v>1551.6506437392418</v>
      </c>
      <c r="E42" s="32">
        <f t="shared" si="2"/>
        <v>8586.5465004675989</v>
      </c>
      <c r="F42" s="50">
        <f t="shared" si="0"/>
        <v>224161.05006041864</v>
      </c>
      <c r="G42" s="33">
        <f>F42</f>
        <v>224161.05006041864</v>
      </c>
      <c r="H42" s="34">
        <f>SUM(D31:D42)</f>
        <v>22291.240301466652</v>
      </c>
    </row>
    <row r="43" spans="2:8" x14ac:dyDescent="0.25">
      <c r="B43" s="30">
        <v>37</v>
      </c>
      <c r="C43" s="31">
        <f t="shared" si="3"/>
        <v>224161.05006041864</v>
      </c>
      <c r="D43" s="31">
        <f t="shared" si="1"/>
        <v>1494.407000402791</v>
      </c>
      <c r="E43" s="32">
        <f t="shared" si="2"/>
        <v>8643.7901438040499</v>
      </c>
      <c r="F43" s="50">
        <f t="shared" si="0"/>
        <v>215517.2599166146</v>
      </c>
    </row>
    <row r="44" spans="2:8" x14ac:dyDescent="0.25">
      <c r="B44" s="30">
        <v>38</v>
      </c>
      <c r="C44" s="31">
        <f t="shared" si="3"/>
        <v>215517.2599166146</v>
      </c>
      <c r="D44" s="31">
        <f t="shared" si="1"/>
        <v>1436.7817327774308</v>
      </c>
      <c r="E44" s="32">
        <f t="shared" si="2"/>
        <v>8701.4154114294106</v>
      </c>
      <c r="F44" s="50">
        <f t="shared" si="0"/>
        <v>206815.84450518517</v>
      </c>
    </row>
    <row r="45" spans="2:8" x14ac:dyDescent="0.25">
      <c r="B45" s="30">
        <v>39</v>
      </c>
      <c r="C45" s="31">
        <f t="shared" si="3"/>
        <v>206815.84450518517</v>
      </c>
      <c r="D45" s="31">
        <f t="shared" si="1"/>
        <v>1378.7722967012346</v>
      </c>
      <c r="E45" s="32">
        <f t="shared" si="2"/>
        <v>8759.4248475056065</v>
      </c>
      <c r="F45" s="50">
        <f t="shared" si="0"/>
        <v>198056.41965767957</v>
      </c>
    </row>
    <row r="46" spans="2:8" x14ac:dyDescent="0.25">
      <c r="B46" s="30">
        <v>40</v>
      </c>
      <c r="C46" s="31">
        <f t="shared" si="3"/>
        <v>198056.41965767957</v>
      </c>
      <c r="D46" s="31">
        <f t="shared" si="1"/>
        <v>1320.3761310511973</v>
      </c>
      <c r="E46" s="32">
        <f t="shared" si="2"/>
        <v>8817.8210131556443</v>
      </c>
      <c r="F46" s="50">
        <f t="shared" si="0"/>
        <v>189238.59864452391</v>
      </c>
    </row>
    <row r="47" spans="2:8" x14ac:dyDescent="0.25">
      <c r="B47" s="30">
        <v>41</v>
      </c>
      <c r="C47" s="31">
        <f t="shared" si="3"/>
        <v>189238.59864452391</v>
      </c>
      <c r="D47" s="31">
        <f t="shared" si="1"/>
        <v>1261.5906576301595</v>
      </c>
      <c r="E47" s="32">
        <f t="shared" si="2"/>
        <v>8876.6064865766821</v>
      </c>
      <c r="F47" s="50">
        <f t="shared" si="0"/>
        <v>180361.99215794721</v>
      </c>
    </row>
    <row r="48" spans="2:8" x14ac:dyDescent="0.25">
      <c r="B48" s="30">
        <v>42</v>
      </c>
      <c r="C48" s="31">
        <f t="shared" si="3"/>
        <v>180361.99215794721</v>
      </c>
      <c r="D48" s="31">
        <f t="shared" si="1"/>
        <v>1202.4132810529816</v>
      </c>
      <c r="E48" s="32">
        <f t="shared" si="2"/>
        <v>8935.7838631538598</v>
      </c>
      <c r="F48" s="50">
        <f t="shared" si="0"/>
        <v>171426.20829479335</v>
      </c>
    </row>
    <row r="49" spans="2:8" x14ac:dyDescent="0.25">
      <c r="B49" s="30">
        <v>43</v>
      </c>
      <c r="C49" s="31">
        <f t="shared" si="3"/>
        <v>171426.20829479335</v>
      </c>
      <c r="D49" s="31">
        <f t="shared" si="1"/>
        <v>1142.8413886319559</v>
      </c>
      <c r="E49" s="32">
        <f t="shared" si="2"/>
        <v>8995.3557555748848</v>
      </c>
      <c r="F49" s="50">
        <f t="shared" si="0"/>
        <v>162430.85253921847</v>
      </c>
    </row>
    <row r="50" spans="2:8" x14ac:dyDescent="0.25">
      <c r="B50" s="30">
        <v>44</v>
      </c>
      <c r="C50" s="31">
        <f t="shared" si="3"/>
        <v>162430.85253921847</v>
      </c>
      <c r="D50" s="31">
        <f t="shared" si="1"/>
        <v>1082.8723502614566</v>
      </c>
      <c r="E50" s="32">
        <f t="shared" si="2"/>
        <v>9055.3247939453831</v>
      </c>
      <c r="F50" s="50">
        <f t="shared" si="0"/>
        <v>153375.52774527308</v>
      </c>
    </row>
    <row r="51" spans="2:8" x14ac:dyDescent="0.25">
      <c r="B51" s="30">
        <v>45</v>
      </c>
      <c r="C51" s="31">
        <f t="shared" si="3"/>
        <v>153375.52774527308</v>
      </c>
      <c r="D51" s="31">
        <f t="shared" si="1"/>
        <v>1022.5035183018206</v>
      </c>
      <c r="E51" s="32">
        <f t="shared" si="2"/>
        <v>9115.6936259050199</v>
      </c>
      <c r="F51" s="50">
        <f t="shared" si="0"/>
        <v>144259.83411936805</v>
      </c>
    </row>
    <row r="52" spans="2:8" x14ac:dyDescent="0.25">
      <c r="B52" s="30">
        <v>46</v>
      </c>
      <c r="C52" s="31">
        <f t="shared" si="3"/>
        <v>144259.83411936805</v>
      </c>
      <c r="D52" s="31">
        <f t="shared" si="1"/>
        <v>961.73222746245381</v>
      </c>
      <c r="E52" s="32">
        <f t="shared" si="2"/>
        <v>9176.4649167443877</v>
      </c>
      <c r="F52" s="50">
        <f t="shared" si="0"/>
        <v>135083.36920262367</v>
      </c>
    </row>
    <row r="53" spans="2:8" ht="15.75" thickBot="1" x14ac:dyDescent="0.3">
      <c r="B53" s="30">
        <v>47</v>
      </c>
      <c r="C53" s="31">
        <f t="shared" si="3"/>
        <v>135083.36920262367</v>
      </c>
      <c r="D53" s="31">
        <f t="shared" si="1"/>
        <v>900.55579468415783</v>
      </c>
      <c r="E53" s="32">
        <f t="shared" si="2"/>
        <v>9237.6413495226825</v>
      </c>
      <c r="F53" s="50">
        <f t="shared" si="0"/>
        <v>125845.72785310098</v>
      </c>
    </row>
    <row r="54" spans="2:8" ht="15.75" thickBot="1" x14ac:dyDescent="0.3">
      <c r="B54" s="30">
        <v>48</v>
      </c>
      <c r="C54" s="31">
        <f t="shared" si="3"/>
        <v>125845.72785310098</v>
      </c>
      <c r="D54" s="31">
        <f t="shared" si="1"/>
        <v>838.97151902067321</v>
      </c>
      <c r="E54" s="32">
        <f t="shared" si="2"/>
        <v>9299.2256251861672</v>
      </c>
      <c r="F54" s="50">
        <f t="shared" si="0"/>
        <v>116546.50222791481</v>
      </c>
      <c r="G54" s="33">
        <f>F54</f>
        <v>116546.50222791481</v>
      </c>
      <c r="H54" s="34">
        <f>SUM(D43:D54)</f>
        <v>14043.817897978313</v>
      </c>
    </row>
    <row r="55" spans="2:8" x14ac:dyDescent="0.25">
      <c r="B55" s="30">
        <v>49</v>
      </c>
      <c r="C55" s="31">
        <f t="shared" si="3"/>
        <v>116546.50222791481</v>
      </c>
      <c r="D55" s="31">
        <f t="shared" si="1"/>
        <v>776.97668151943208</v>
      </c>
      <c r="E55" s="32">
        <f t="shared" si="2"/>
        <v>9361.2204626874081</v>
      </c>
      <c r="F55" s="50">
        <f t="shared" si="0"/>
        <v>107185.28176522741</v>
      </c>
    </row>
    <row r="56" spans="2:8" x14ac:dyDescent="0.25">
      <c r="B56" s="30">
        <v>50</v>
      </c>
      <c r="C56" s="31">
        <f t="shared" si="3"/>
        <v>107185.28176522741</v>
      </c>
      <c r="D56" s="31">
        <f t="shared" si="1"/>
        <v>714.56854510151607</v>
      </c>
      <c r="E56" s="32">
        <f t="shared" si="2"/>
        <v>9423.6285991053246</v>
      </c>
      <c r="F56" s="50">
        <f t="shared" si="0"/>
        <v>97761.65316612208</v>
      </c>
    </row>
    <row r="57" spans="2:8" x14ac:dyDescent="0.25">
      <c r="B57" s="30">
        <v>51</v>
      </c>
      <c r="C57" s="31">
        <f t="shared" si="3"/>
        <v>97761.65316612208</v>
      </c>
      <c r="D57" s="31">
        <f t="shared" si="1"/>
        <v>651.74435444081394</v>
      </c>
      <c r="E57" s="32">
        <f t="shared" si="2"/>
        <v>9486.4527897660264</v>
      </c>
      <c r="F57" s="50">
        <f t="shared" si="0"/>
        <v>88275.20037635605</v>
      </c>
    </row>
    <row r="58" spans="2:8" x14ac:dyDescent="0.25">
      <c r="B58" s="30">
        <v>52</v>
      </c>
      <c r="C58" s="31">
        <f t="shared" si="3"/>
        <v>88275.20037635605</v>
      </c>
      <c r="D58" s="31">
        <f t="shared" si="1"/>
        <v>588.50133584237369</v>
      </c>
      <c r="E58" s="32">
        <f t="shared" si="2"/>
        <v>9549.6958083644677</v>
      </c>
      <c r="F58" s="50">
        <f t="shared" si="0"/>
        <v>78725.504567991578</v>
      </c>
    </row>
    <row r="59" spans="2:8" x14ac:dyDescent="0.25">
      <c r="B59" s="30">
        <v>53</v>
      </c>
      <c r="C59" s="31">
        <f t="shared" si="3"/>
        <v>78725.504567991578</v>
      </c>
      <c r="D59" s="31">
        <f t="shared" si="1"/>
        <v>524.83669711994389</v>
      </c>
      <c r="E59" s="32">
        <f t="shared" si="2"/>
        <v>9613.3604470868959</v>
      </c>
      <c r="F59" s="50">
        <f t="shared" si="0"/>
        <v>69112.144120904675</v>
      </c>
    </row>
    <row r="60" spans="2:8" x14ac:dyDescent="0.25">
      <c r="B60" s="30">
        <v>54</v>
      </c>
      <c r="C60" s="31">
        <f t="shared" si="3"/>
        <v>69112.144120904675</v>
      </c>
      <c r="D60" s="31">
        <f t="shared" si="1"/>
        <v>460.74762747269784</v>
      </c>
      <c r="E60" s="32">
        <f t="shared" si="2"/>
        <v>9677.4495167341429</v>
      </c>
      <c r="F60" s="50">
        <f t="shared" si="0"/>
        <v>59434.694604170531</v>
      </c>
    </row>
    <row r="61" spans="2:8" x14ac:dyDescent="0.25">
      <c r="B61" s="30">
        <v>55</v>
      </c>
      <c r="C61" s="31">
        <f t="shared" si="3"/>
        <v>59434.694604170531</v>
      </c>
      <c r="D61" s="31">
        <f t="shared" si="1"/>
        <v>396.23129736113691</v>
      </c>
      <c r="E61" s="32">
        <f t="shared" si="2"/>
        <v>9741.9658468457037</v>
      </c>
      <c r="F61" s="50">
        <f t="shared" si="0"/>
        <v>49692.728757324825</v>
      </c>
    </row>
    <row r="62" spans="2:8" x14ac:dyDescent="0.25">
      <c r="B62" s="30">
        <v>56</v>
      </c>
      <c r="C62" s="31">
        <f t="shared" si="3"/>
        <v>49692.728757324825</v>
      </c>
      <c r="D62" s="31">
        <f t="shared" si="1"/>
        <v>331.28485838216551</v>
      </c>
      <c r="E62" s="32">
        <f t="shared" si="2"/>
        <v>9806.9122858246756</v>
      </c>
      <c r="F62" s="50">
        <f t="shared" si="0"/>
        <v>39885.816471500148</v>
      </c>
    </row>
    <row r="63" spans="2:8" x14ac:dyDescent="0.25">
      <c r="B63" s="30">
        <v>57</v>
      </c>
      <c r="C63" s="31">
        <f t="shared" si="3"/>
        <v>39885.816471500148</v>
      </c>
      <c r="D63" s="31">
        <f t="shared" si="1"/>
        <v>265.90544314333431</v>
      </c>
      <c r="E63" s="32">
        <f t="shared" si="2"/>
        <v>9872.2917010635065</v>
      </c>
      <c r="F63" s="50">
        <f t="shared" si="0"/>
        <v>30013.524770436641</v>
      </c>
    </row>
    <row r="64" spans="2:8" x14ac:dyDescent="0.25">
      <c r="B64" s="30">
        <v>58</v>
      </c>
      <c r="C64" s="31">
        <f t="shared" si="3"/>
        <v>30013.524770436641</v>
      </c>
      <c r="D64" s="31">
        <f t="shared" si="1"/>
        <v>200.09016513624428</v>
      </c>
      <c r="E64" s="32">
        <f t="shared" si="2"/>
        <v>9938.1069790705969</v>
      </c>
      <c r="F64" s="50">
        <f t="shared" si="0"/>
        <v>20075.417791366046</v>
      </c>
    </row>
    <row r="65" spans="2:8" ht="15.75" thickBot="1" x14ac:dyDescent="0.3">
      <c r="B65" s="30">
        <v>59</v>
      </c>
      <c r="C65" s="31">
        <f t="shared" si="3"/>
        <v>20075.417791366046</v>
      </c>
      <c r="D65" s="31">
        <f t="shared" si="1"/>
        <v>133.83611860910699</v>
      </c>
      <c r="E65" s="32">
        <f t="shared" si="2"/>
        <v>10004.361025597733</v>
      </c>
      <c r="F65" s="50">
        <f t="shared" si="0"/>
        <v>10071.056765768313</v>
      </c>
    </row>
    <row r="66" spans="2:8" ht="15.75" thickBot="1" x14ac:dyDescent="0.3">
      <c r="B66" s="30">
        <v>60</v>
      </c>
      <c r="C66" s="31">
        <f t="shared" si="3"/>
        <v>10071.056765768313</v>
      </c>
      <c r="D66" s="31">
        <f t="shared" si="1"/>
        <v>67.140378438455429</v>
      </c>
      <c r="E66" s="32">
        <f t="shared" si="2"/>
        <v>10071.056765768386</v>
      </c>
      <c r="F66" s="50">
        <f t="shared" si="0"/>
        <v>0</v>
      </c>
      <c r="G66" s="33">
        <f>F66</f>
        <v>0</v>
      </c>
      <c r="H66" s="34">
        <f>SUM(D55:D66)</f>
        <v>5111.8635025672211</v>
      </c>
    </row>
    <row r="67" spans="2:8" x14ac:dyDescent="0.25">
      <c r="B67" s="30">
        <v>61</v>
      </c>
      <c r="C67" s="55">
        <f t="shared" si="3"/>
        <v>0</v>
      </c>
      <c r="D67" s="31">
        <f t="shared" si="1"/>
        <v>0</v>
      </c>
      <c r="E67" s="54">
        <f t="shared" si="2"/>
        <v>10138.197144206841</v>
      </c>
      <c r="F67" s="50">
        <f t="shared" si="0"/>
        <v>0</v>
      </c>
    </row>
    <row r="68" spans="2:8" x14ac:dyDescent="0.25">
      <c r="B68" s="30">
        <v>62</v>
      </c>
      <c r="C68" s="31">
        <f t="shared" si="3"/>
        <v>0</v>
      </c>
      <c r="D68" s="31">
        <f t="shared" si="1"/>
        <v>0</v>
      </c>
      <c r="E68" s="54">
        <f t="shared" si="2"/>
        <v>10138.197144206841</v>
      </c>
      <c r="F68" s="50">
        <f t="shared" si="0"/>
        <v>0</v>
      </c>
    </row>
    <row r="69" spans="2:8" x14ac:dyDescent="0.25">
      <c r="B69" s="30">
        <v>63</v>
      </c>
      <c r="C69" s="31">
        <f t="shared" si="3"/>
        <v>0</v>
      </c>
      <c r="D69" s="31">
        <f t="shared" si="1"/>
        <v>0</v>
      </c>
      <c r="E69" s="54">
        <f t="shared" si="2"/>
        <v>10138.197144206841</v>
      </c>
      <c r="F69" s="50">
        <f t="shared" si="0"/>
        <v>0</v>
      </c>
    </row>
    <row r="70" spans="2:8" x14ac:dyDescent="0.25">
      <c r="B70" s="30">
        <v>64</v>
      </c>
      <c r="C70" s="31">
        <f t="shared" si="3"/>
        <v>0</v>
      </c>
      <c r="D70" s="31">
        <f t="shared" si="1"/>
        <v>0</v>
      </c>
      <c r="E70" s="54">
        <f t="shared" si="2"/>
        <v>10138.197144206841</v>
      </c>
      <c r="F70" s="50">
        <f t="shared" si="0"/>
        <v>0</v>
      </c>
    </row>
    <row r="71" spans="2:8" x14ac:dyDescent="0.25">
      <c r="B71" s="30">
        <v>65</v>
      </c>
      <c r="C71" s="31">
        <f t="shared" si="3"/>
        <v>0</v>
      </c>
      <c r="D71" s="31">
        <f t="shared" si="1"/>
        <v>0</v>
      </c>
      <c r="E71" s="54">
        <f t="shared" si="2"/>
        <v>10138.197144206841</v>
      </c>
      <c r="F71" s="50">
        <f t="shared" si="0"/>
        <v>0</v>
      </c>
    </row>
    <row r="72" spans="2:8" x14ac:dyDescent="0.25">
      <c r="B72" s="30">
        <v>66</v>
      </c>
      <c r="C72" s="31">
        <f t="shared" si="3"/>
        <v>0</v>
      </c>
      <c r="D72" s="31">
        <f t="shared" si="1"/>
        <v>0</v>
      </c>
      <c r="E72" s="54">
        <f t="shared" si="2"/>
        <v>10138.197144206841</v>
      </c>
      <c r="F72" s="50">
        <f t="shared" ref="F72:F126" si="4">IF(C72-E72&lt;0,0,C72-E72)</f>
        <v>0</v>
      </c>
    </row>
    <row r="73" spans="2:8" x14ac:dyDescent="0.25">
      <c r="B73" s="30">
        <v>67</v>
      </c>
      <c r="C73" s="31">
        <f t="shared" si="3"/>
        <v>0</v>
      </c>
      <c r="D73" s="31">
        <f t="shared" ref="D73:D126" si="5">C73*$C$1</f>
        <v>0</v>
      </c>
      <c r="E73" s="54">
        <f t="shared" ref="E73:E126" si="6">$C$4-D73</f>
        <v>10138.197144206841</v>
      </c>
      <c r="F73" s="50">
        <f t="shared" si="4"/>
        <v>0</v>
      </c>
    </row>
    <row r="74" spans="2:8" x14ac:dyDescent="0.25">
      <c r="B74" s="30">
        <v>68</v>
      </c>
      <c r="C74" s="31">
        <f t="shared" ref="C74:C126" si="7">F73</f>
        <v>0</v>
      </c>
      <c r="D74" s="31">
        <f t="shared" si="5"/>
        <v>0</v>
      </c>
      <c r="E74" s="54">
        <f t="shared" si="6"/>
        <v>10138.197144206841</v>
      </c>
      <c r="F74" s="50">
        <f t="shared" si="4"/>
        <v>0</v>
      </c>
    </row>
    <row r="75" spans="2:8" x14ac:dyDescent="0.25">
      <c r="B75" s="30">
        <v>69</v>
      </c>
      <c r="C75" s="31">
        <f t="shared" si="7"/>
        <v>0</v>
      </c>
      <c r="D75" s="31">
        <f t="shared" si="5"/>
        <v>0</v>
      </c>
      <c r="E75" s="54">
        <f t="shared" si="6"/>
        <v>10138.197144206841</v>
      </c>
      <c r="F75" s="50">
        <f t="shared" si="4"/>
        <v>0</v>
      </c>
    </row>
    <row r="76" spans="2:8" x14ac:dyDescent="0.25">
      <c r="B76" s="30">
        <v>70</v>
      </c>
      <c r="C76" s="31">
        <f t="shared" si="7"/>
        <v>0</v>
      </c>
      <c r="D76" s="31">
        <f t="shared" si="5"/>
        <v>0</v>
      </c>
      <c r="E76" s="54">
        <f t="shared" si="6"/>
        <v>10138.197144206841</v>
      </c>
      <c r="F76" s="50">
        <f t="shared" si="4"/>
        <v>0</v>
      </c>
    </row>
    <row r="77" spans="2:8" x14ac:dyDescent="0.25">
      <c r="B77" s="30">
        <v>71</v>
      </c>
      <c r="C77" s="31">
        <f t="shared" si="7"/>
        <v>0</v>
      </c>
      <c r="D77" s="31">
        <f t="shared" si="5"/>
        <v>0</v>
      </c>
      <c r="E77" s="54">
        <f t="shared" si="6"/>
        <v>10138.197144206841</v>
      </c>
      <c r="F77" s="50">
        <f t="shared" si="4"/>
        <v>0</v>
      </c>
    </row>
    <row r="78" spans="2:8" x14ac:dyDescent="0.25">
      <c r="B78" s="30">
        <v>72</v>
      </c>
      <c r="C78" s="31">
        <f t="shared" si="7"/>
        <v>0</v>
      </c>
      <c r="D78" s="31">
        <f t="shared" si="5"/>
        <v>0</v>
      </c>
      <c r="E78" s="54">
        <f t="shared" si="6"/>
        <v>10138.197144206841</v>
      </c>
      <c r="F78" s="50">
        <f t="shared" si="4"/>
        <v>0</v>
      </c>
    </row>
    <row r="79" spans="2:8" x14ac:dyDescent="0.25">
      <c r="B79" s="30">
        <v>73</v>
      </c>
      <c r="C79" s="31">
        <f t="shared" si="7"/>
        <v>0</v>
      </c>
      <c r="D79" s="31">
        <f t="shared" si="5"/>
        <v>0</v>
      </c>
      <c r="E79" s="54">
        <f t="shared" si="6"/>
        <v>10138.197144206841</v>
      </c>
      <c r="F79" s="50">
        <f t="shared" si="4"/>
        <v>0</v>
      </c>
    </row>
    <row r="80" spans="2:8" x14ac:dyDescent="0.25">
      <c r="B80" s="30">
        <v>74</v>
      </c>
      <c r="C80" s="31">
        <f t="shared" si="7"/>
        <v>0</v>
      </c>
      <c r="D80" s="31">
        <f t="shared" si="5"/>
        <v>0</v>
      </c>
      <c r="E80" s="54">
        <f t="shared" si="6"/>
        <v>10138.197144206841</v>
      </c>
      <c r="F80" s="50">
        <f t="shared" si="4"/>
        <v>0</v>
      </c>
    </row>
    <row r="81" spans="2:6" x14ac:dyDescent="0.25">
      <c r="B81" s="30">
        <v>75</v>
      </c>
      <c r="C81" s="31">
        <f t="shared" si="7"/>
        <v>0</v>
      </c>
      <c r="D81" s="31">
        <f t="shared" si="5"/>
        <v>0</v>
      </c>
      <c r="E81" s="54">
        <f t="shared" si="6"/>
        <v>10138.197144206841</v>
      </c>
      <c r="F81" s="50">
        <f t="shared" si="4"/>
        <v>0</v>
      </c>
    </row>
    <row r="82" spans="2:6" x14ac:dyDescent="0.25">
      <c r="B82" s="30">
        <v>76</v>
      </c>
      <c r="C82" s="31">
        <f t="shared" si="7"/>
        <v>0</v>
      </c>
      <c r="D82" s="31">
        <f t="shared" si="5"/>
        <v>0</v>
      </c>
      <c r="E82" s="54">
        <f t="shared" si="6"/>
        <v>10138.197144206841</v>
      </c>
      <c r="F82" s="50">
        <f t="shared" si="4"/>
        <v>0</v>
      </c>
    </row>
    <row r="83" spans="2:6" x14ac:dyDescent="0.25">
      <c r="B83" s="30">
        <v>77</v>
      </c>
      <c r="C83" s="31">
        <f t="shared" si="7"/>
        <v>0</v>
      </c>
      <c r="D83" s="31">
        <f t="shared" si="5"/>
        <v>0</v>
      </c>
      <c r="E83" s="54">
        <f t="shared" si="6"/>
        <v>10138.197144206841</v>
      </c>
      <c r="F83" s="50">
        <f t="shared" si="4"/>
        <v>0</v>
      </c>
    </row>
    <row r="84" spans="2:6" x14ac:dyDescent="0.25">
      <c r="B84" s="30">
        <v>78</v>
      </c>
      <c r="C84" s="31">
        <f t="shared" si="7"/>
        <v>0</v>
      </c>
      <c r="D84" s="31">
        <f t="shared" si="5"/>
        <v>0</v>
      </c>
      <c r="E84" s="54">
        <f t="shared" si="6"/>
        <v>10138.197144206841</v>
      </c>
      <c r="F84" s="50">
        <f t="shared" si="4"/>
        <v>0</v>
      </c>
    </row>
    <row r="85" spans="2:6" x14ac:dyDescent="0.25">
      <c r="B85" s="30">
        <v>79</v>
      </c>
      <c r="C85" s="31">
        <f t="shared" si="7"/>
        <v>0</v>
      </c>
      <c r="D85" s="31">
        <f t="shared" si="5"/>
        <v>0</v>
      </c>
      <c r="E85" s="54">
        <f t="shared" si="6"/>
        <v>10138.197144206841</v>
      </c>
      <c r="F85" s="50">
        <f t="shared" si="4"/>
        <v>0</v>
      </c>
    </row>
    <row r="86" spans="2:6" x14ac:dyDescent="0.25">
      <c r="B86" s="30">
        <v>80</v>
      </c>
      <c r="C86" s="31">
        <f t="shared" si="7"/>
        <v>0</v>
      </c>
      <c r="D86" s="31">
        <f t="shared" si="5"/>
        <v>0</v>
      </c>
      <c r="E86" s="54">
        <f t="shared" si="6"/>
        <v>10138.197144206841</v>
      </c>
      <c r="F86" s="50">
        <f t="shared" si="4"/>
        <v>0</v>
      </c>
    </row>
    <row r="87" spans="2:6" x14ac:dyDescent="0.25">
      <c r="B87" s="30">
        <v>81</v>
      </c>
      <c r="C87" s="31">
        <f t="shared" si="7"/>
        <v>0</v>
      </c>
      <c r="D87" s="31">
        <f t="shared" si="5"/>
        <v>0</v>
      </c>
      <c r="E87" s="54">
        <f t="shared" si="6"/>
        <v>10138.197144206841</v>
      </c>
      <c r="F87" s="50">
        <f t="shared" si="4"/>
        <v>0</v>
      </c>
    </row>
    <row r="88" spans="2:6" x14ac:dyDescent="0.25">
      <c r="B88" s="30">
        <v>82</v>
      </c>
      <c r="C88" s="31">
        <f t="shared" si="7"/>
        <v>0</v>
      </c>
      <c r="D88" s="31">
        <f t="shared" si="5"/>
        <v>0</v>
      </c>
      <c r="E88" s="54">
        <f t="shared" si="6"/>
        <v>10138.197144206841</v>
      </c>
      <c r="F88" s="50">
        <f t="shared" si="4"/>
        <v>0</v>
      </c>
    </row>
    <row r="89" spans="2:6" x14ac:dyDescent="0.25">
      <c r="B89" s="30">
        <v>83</v>
      </c>
      <c r="C89" s="31">
        <f t="shared" si="7"/>
        <v>0</v>
      </c>
      <c r="D89" s="31">
        <f t="shared" si="5"/>
        <v>0</v>
      </c>
      <c r="E89" s="54">
        <f t="shared" si="6"/>
        <v>10138.197144206841</v>
      </c>
      <c r="F89" s="50">
        <f t="shared" si="4"/>
        <v>0</v>
      </c>
    </row>
    <row r="90" spans="2:6" x14ac:dyDescent="0.25">
      <c r="B90" s="30">
        <v>84</v>
      </c>
      <c r="C90" s="31">
        <f t="shared" si="7"/>
        <v>0</v>
      </c>
      <c r="D90" s="31">
        <f t="shared" si="5"/>
        <v>0</v>
      </c>
      <c r="E90" s="54">
        <f t="shared" si="6"/>
        <v>10138.197144206841</v>
      </c>
      <c r="F90" s="50">
        <f t="shared" si="4"/>
        <v>0</v>
      </c>
    </row>
    <row r="91" spans="2:6" x14ac:dyDescent="0.25">
      <c r="B91" s="30">
        <v>85</v>
      </c>
      <c r="C91" s="31">
        <f t="shared" si="7"/>
        <v>0</v>
      </c>
      <c r="D91" s="31">
        <f t="shared" si="5"/>
        <v>0</v>
      </c>
      <c r="E91" s="54">
        <f t="shared" si="6"/>
        <v>10138.197144206841</v>
      </c>
      <c r="F91" s="50">
        <f t="shared" si="4"/>
        <v>0</v>
      </c>
    </row>
    <row r="92" spans="2:6" x14ac:dyDescent="0.25">
      <c r="B92" s="30">
        <v>86</v>
      </c>
      <c r="C92" s="31">
        <f t="shared" si="7"/>
        <v>0</v>
      </c>
      <c r="D92" s="31">
        <f t="shared" si="5"/>
        <v>0</v>
      </c>
      <c r="E92" s="54">
        <f t="shared" si="6"/>
        <v>10138.197144206841</v>
      </c>
      <c r="F92" s="50">
        <f t="shared" si="4"/>
        <v>0</v>
      </c>
    </row>
    <row r="93" spans="2:6" x14ac:dyDescent="0.25">
      <c r="B93" s="30">
        <v>87</v>
      </c>
      <c r="C93" s="31">
        <f t="shared" si="7"/>
        <v>0</v>
      </c>
      <c r="D93" s="31">
        <f t="shared" si="5"/>
        <v>0</v>
      </c>
      <c r="E93" s="54">
        <f t="shared" si="6"/>
        <v>10138.197144206841</v>
      </c>
      <c r="F93" s="50">
        <f t="shared" si="4"/>
        <v>0</v>
      </c>
    </row>
    <row r="94" spans="2:6" x14ac:dyDescent="0.25">
      <c r="B94" s="30">
        <v>88</v>
      </c>
      <c r="C94" s="31">
        <f t="shared" si="7"/>
        <v>0</v>
      </c>
      <c r="D94" s="31">
        <f t="shared" si="5"/>
        <v>0</v>
      </c>
      <c r="E94" s="54">
        <f t="shared" si="6"/>
        <v>10138.197144206841</v>
      </c>
      <c r="F94" s="50">
        <f t="shared" si="4"/>
        <v>0</v>
      </c>
    </row>
    <row r="95" spans="2:6" x14ac:dyDescent="0.25">
      <c r="B95" s="30">
        <v>89</v>
      </c>
      <c r="C95" s="31">
        <f t="shared" si="7"/>
        <v>0</v>
      </c>
      <c r="D95" s="31">
        <f t="shared" si="5"/>
        <v>0</v>
      </c>
      <c r="E95" s="54">
        <f t="shared" si="6"/>
        <v>10138.197144206841</v>
      </c>
      <c r="F95" s="50">
        <f t="shared" si="4"/>
        <v>0</v>
      </c>
    </row>
    <row r="96" spans="2:6" x14ac:dyDescent="0.25">
      <c r="B96" s="30">
        <v>90</v>
      </c>
      <c r="C96" s="31">
        <f t="shared" si="7"/>
        <v>0</v>
      </c>
      <c r="D96" s="31">
        <f t="shared" si="5"/>
        <v>0</v>
      </c>
      <c r="E96" s="54">
        <f t="shared" si="6"/>
        <v>10138.197144206841</v>
      </c>
      <c r="F96" s="50">
        <f t="shared" si="4"/>
        <v>0</v>
      </c>
    </row>
    <row r="97" spans="2:6" x14ac:dyDescent="0.25">
      <c r="B97" s="30">
        <v>91</v>
      </c>
      <c r="C97" s="31">
        <f t="shared" si="7"/>
        <v>0</v>
      </c>
      <c r="D97" s="31">
        <f t="shared" si="5"/>
        <v>0</v>
      </c>
      <c r="E97" s="54">
        <f t="shared" si="6"/>
        <v>10138.197144206841</v>
      </c>
      <c r="F97" s="50">
        <f t="shared" si="4"/>
        <v>0</v>
      </c>
    </row>
    <row r="98" spans="2:6" x14ac:dyDescent="0.25">
      <c r="B98" s="30">
        <v>92</v>
      </c>
      <c r="C98" s="31">
        <f t="shared" si="7"/>
        <v>0</v>
      </c>
      <c r="D98" s="31">
        <f t="shared" si="5"/>
        <v>0</v>
      </c>
      <c r="E98" s="54">
        <f t="shared" si="6"/>
        <v>10138.197144206841</v>
      </c>
      <c r="F98" s="50">
        <f t="shared" si="4"/>
        <v>0</v>
      </c>
    </row>
    <row r="99" spans="2:6" x14ac:dyDescent="0.25">
      <c r="B99" s="30">
        <v>93</v>
      </c>
      <c r="C99" s="31">
        <f t="shared" si="7"/>
        <v>0</v>
      </c>
      <c r="D99" s="31">
        <f t="shared" si="5"/>
        <v>0</v>
      </c>
      <c r="E99" s="54">
        <f t="shared" si="6"/>
        <v>10138.197144206841</v>
      </c>
      <c r="F99" s="50">
        <f t="shared" si="4"/>
        <v>0</v>
      </c>
    </row>
    <row r="100" spans="2:6" x14ac:dyDescent="0.25">
      <c r="B100" s="30">
        <v>94</v>
      </c>
      <c r="C100" s="31">
        <f t="shared" si="7"/>
        <v>0</v>
      </c>
      <c r="D100" s="31">
        <f t="shared" si="5"/>
        <v>0</v>
      </c>
      <c r="E100" s="54">
        <f t="shared" si="6"/>
        <v>10138.197144206841</v>
      </c>
      <c r="F100" s="50">
        <f t="shared" si="4"/>
        <v>0</v>
      </c>
    </row>
    <row r="101" spans="2:6" x14ac:dyDescent="0.25">
      <c r="B101" s="30">
        <v>95</v>
      </c>
      <c r="C101" s="31">
        <f t="shared" si="7"/>
        <v>0</v>
      </c>
      <c r="D101" s="31">
        <f t="shared" si="5"/>
        <v>0</v>
      </c>
      <c r="E101" s="54">
        <f t="shared" si="6"/>
        <v>10138.197144206841</v>
      </c>
      <c r="F101" s="50">
        <f t="shared" si="4"/>
        <v>0</v>
      </c>
    </row>
    <row r="102" spans="2:6" x14ac:dyDescent="0.25">
      <c r="B102" s="30">
        <v>96</v>
      </c>
      <c r="C102" s="31">
        <f t="shared" si="7"/>
        <v>0</v>
      </c>
      <c r="D102" s="31">
        <f t="shared" si="5"/>
        <v>0</v>
      </c>
      <c r="E102" s="54">
        <f t="shared" si="6"/>
        <v>10138.197144206841</v>
      </c>
      <c r="F102" s="50">
        <f t="shared" si="4"/>
        <v>0</v>
      </c>
    </row>
    <row r="103" spans="2:6" x14ac:dyDescent="0.25">
      <c r="B103" s="30">
        <v>97</v>
      </c>
      <c r="C103" s="31">
        <f t="shared" si="7"/>
        <v>0</v>
      </c>
      <c r="D103" s="31">
        <f t="shared" si="5"/>
        <v>0</v>
      </c>
      <c r="E103" s="54">
        <f t="shared" si="6"/>
        <v>10138.197144206841</v>
      </c>
      <c r="F103" s="50">
        <f t="shared" si="4"/>
        <v>0</v>
      </c>
    </row>
    <row r="104" spans="2:6" x14ac:dyDescent="0.25">
      <c r="B104" s="30">
        <v>98</v>
      </c>
      <c r="C104" s="31">
        <f t="shared" si="7"/>
        <v>0</v>
      </c>
      <c r="D104" s="31">
        <f t="shared" si="5"/>
        <v>0</v>
      </c>
      <c r="E104" s="54">
        <f t="shared" si="6"/>
        <v>10138.197144206841</v>
      </c>
      <c r="F104" s="50">
        <f t="shared" si="4"/>
        <v>0</v>
      </c>
    </row>
    <row r="105" spans="2:6" x14ac:dyDescent="0.25">
      <c r="B105" s="30">
        <v>99</v>
      </c>
      <c r="C105" s="31">
        <f t="shared" si="7"/>
        <v>0</v>
      </c>
      <c r="D105" s="31">
        <f t="shared" si="5"/>
        <v>0</v>
      </c>
      <c r="E105" s="54">
        <f t="shared" si="6"/>
        <v>10138.197144206841</v>
      </c>
      <c r="F105" s="50">
        <f t="shared" si="4"/>
        <v>0</v>
      </c>
    </row>
    <row r="106" spans="2:6" x14ac:dyDescent="0.25">
      <c r="B106" s="30">
        <v>100</v>
      </c>
      <c r="C106" s="31">
        <f t="shared" si="7"/>
        <v>0</v>
      </c>
      <c r="D106" s="31">
        <f t="shared" si="5"/>
        <v>0</v>
      </c>
      <c r="E106" s="54">
        <f t="shared" si="6"/>
        <v>10138.197144206841</v>
      </c>
      <c r="F106" s="50">
        <f t="shared" si="4"/>
        <v>0</v>
      </c>
    </row>
    <row r="107" spans="2:6" x14ac:dyDescent="0.25">
      <c r="B107" s="30">
        <v>101</v>
      </c>
      <c r="C107" s="31">
        <f t="shared" si="7"/>
        <v>0</v>
      </c>
      <c r="D107" s="31">
        <f t="shared" si="5"/>
        <v>0</v>
      </c>
      <c r="E107" s="54">
        <f t="shared" si="6"/>
        <v>10138.197144206841</v>
      </c>
      <c r="F107" s="50">
        <f t="shared" si="4"/>
        <v>0</v>
      </c>
    </row>
    <row r="108" spans="2:6" x14ac:dyDescent="0.25">
      <c r="B108" s="30">
        <v>102</v>
      </c>
      <c r="C108" s="31">
        <f t="shared" si="7"/>
        <v>0</v>
      </c>
      <c r="D108" s="31">
        <f t="shared" si="5"/>
        <v>0</v>
      </c>
      <c r="E108" s="54">
        <f t="shared" si="6"/>
        <v>10138.197144206841</v>
      </c>
      <c r="F108" s="50">
        <f t="shared" si="4"/>
        <v>0</v>
      </c>
    </row>
    <row r="109" spans="2:6" x14ac:dyDescent="0.25">
      <c r="B109" s="30">
        <v>103</v>
      </c>
      <c r="C109" s="31">
        <f t="shared" si="7"/>
        <v>0</v>
      </c>
      <c r="D109" s="31">
        <f t="shared" si="5"/>
        <v>0</v>
      </c>
      <c r="E109" s="54">
        <f t="shared" si="6"/>
        <v>10138.197144206841</v>
      </c>
      <c r="F109" s="50">
        <f t="shared" si="4"/>
        <v>0</v>
      </c>
    </row>
    <row r="110" spans="2:6" x14ac:dyDescent="0.25">
      <c r="B110" s="30">
        <v>104</v>
      </c>
      <c r="C110" s="31">
        <f t="shared" si="7"/>
        <v>0</v>
      </c>
      <c r="D110" s="31">
        <f t="shared" si="5"/>
        <v>0</v>
      </c>
      <c r="E110" s="54">
        <f t="shared" si="6"/>
        <v>10138.197144206841</v>
      </c>
      <c r="F110" s="50">
        <f t="shared" si="4"/>
        <v>0</v>
      </c>
    </row>
    <row r="111" spans="2:6" x14ac:dyDescent="0.25">
      <c r="B111" s="30">
        <v>105</v>
      </c>
      <c r="C111" s="31">
        <f t="shared" si="7"/>
        <v>0</v>
      </c>
      <c r="D111" s="31">
        <f t="shared" si="5"/>
        <v>0</v>
      </c>
      <c r="E111" s="54">
        <f t="shared" si="6"/>
        <v>10138.197144206841</v>
      </c>
      <c r="F111" s="50">
        <f t="shared" si="4"/>
        <v>0</v>
      </c>
    </row>
    <row r="112" spans="2:6" x14ac:dyDescent="0.25">
      <c r="B112" s="30">
        <v>106</v>
      </c>
      <c r="C112" s="31">
        <f t="shared" si="7"/>
        <v>0</v>
      </c>
      <c r="D112" s="31">
        <f t="shared" si="5"/>
        <v>0</v>
      </c>
      <c r="E112" s="54">
        <f t="shared" si="6"/>
        <v>10138.197144206841</v>
      </c>
      <c r="F112" s="50">
        <f t="shared" si="4"/>
        <v>0</v>
      </c>
    </row>
    <row r="113" spans="2:6" x14ac:dyDescent="0.25">
      <c r="B113" s="30">
        <v>107</v>
      </c>
      <c r="C113" s="31">
        <f t="shared" si="7"/>
        <v>0</v>
      </c>
      <c r="D113" s="31">
        <f t="shared" si="5"/>
        <v>0</v>
      </c>
      <c r="E113" s="54">
        <f t="shared" si="6"/>
        <v>10138.197144206841</v>
      </c>
      <c r="F113" s="50">
        <f t="shared" si="4"/>
        <v>0</v>
      </c>
    </row>
    <row r="114" spans="2:6" x14ac:dyDescent="0.25">
      <c r="B114" s="30">
        <v>108</v>
      </c>
      <c r="C114" s="31">
        <f t="shared" si="7"/>
        <v>0</v>
      </c>
      <c r="D114" s="31">
        <f t="shared" si="5"/>
        <v>0</v>
      </c>
      <c r="E114" s="54">
        <f t="shared" si="6"/>
        <v>10138.197144206841</v>
      </c>
      <c r="F114" s="50">
        <f t="shared" si="4"/>
        <v>0</v>
      </c>
    </row>
    <row r="115" spans="2:6" x14ac:dyDescent="0.25">
      <c r="B115" s="30">
        <v>109</v>
      </c>
      <c r="C115" s="31">
        <f t="shared" si="7"/>
        <v>0</v>
      </c>
      <c r="D115" s="31">
        <f t="shared" si="5"/>
        <v>0</v>
      </c>
      <c r="E115" s="54">
        <f t="shared" si="6"/>
        <v>10138.197144206841</v>
      </c>
      <c r="F115" s="50">
        <f t="shared" si="4"/>
        <v>0</v>
      </c>
    </row>
    <row r="116" spans="2:6" x14ac:dyDescent="0.25">
      <c r="B116" s="30">
        <v>110</v>
      </c>
      <c r="C116" s="31">
        <f t="shared" si="7"/>
        <v>0</v>
      </c>
      <c r="D116" s="31">
        <f t="shared" si="5"/>
        <v>0</v>
      </c>
      <c r="E116" s="54">
        <f t="shared" si="6"/>
        <v>10138.197144206841</v>
      </c>
      <c r="F116" s="50">
        <f t="shared" si="4"/>
        <v>0</v>
      </c>
    </row>
    <row r="117" spans="2:6" x14ac:dyDescent="0.25">
      <c r="B117" s="30">
        <v>111</v>
      </c>
      <c r="C117" s="31">
        <f t="shared" si="7"/>
        <v>0</v>
      </c>
      <c r="D117" s="31">
        <f t="shared" si="5"/>
        <v>0</v>
      </c>
      <c r="E117" s="54">
        <f t="shared" si="6"/>
        <v>10138.197144206841</v>
      </c>
      <c r="F117" s="50">
        <f t="shared" si="4"/>
        <v>0</v>
      </c>
    </row>
    <row r="118" spans="2:6" x14ac:dyDescent="0.25">
      <c r="B118" s="30">
        <v>112</v>
      </c>
      <c r="C118" s="31">
        <f t="shared" si="7"/>
        <v>0</v>
      </c>
      <c r="D118" s="31">
        <f t="shared" si="5"/>
        <v>0</v>
      </c>
      <c r="E118" s="54">
        <f t="shared" si="6"/>
        <v>10138.197144206841</v>
      </c>
      <c r="F118" s="50">
        <f t="shared" si="4"/>
        <v>0</v>
      </c>
    </row>
    <row r="119" spans="2:6" x14ac:dyDescent="0.25">
      <c r="B119" s="30">
        <v>113</v>
      </c>
      <c r="C119" s="31">
        <f t="shared" si="7"/>
        <v>0</v>
      </c>
      <c r="D119" s="31">
        <f t="shared" si="5"/>
        <v>0</v>
      </c>
      <c r="E119" s="54">
        <f t="shared" si="6"/>
        <v>10138.197144206841</v>
      </c>
      <c r="F119" s="50">
        <f t="shared" si="4"/>
        <v>0</v>
      </c>
    </row>
    <row r="120" spans="2:6" x14ac:dyDescent="0.25">
      <c r="B120" s="30">
        <v>114</v>
      </c>
      <c r="C120" s="31">
        <f t="shared" si="7"/>
        <v>0</v>
      </c>
      <c r="D120" s="31">
        <f t="shared" si="5"/>
        <v>0</v>
      </c>
      <c r="E120" s="54">
        <f t="shared" si="6"/>
        <v>10138.197144206841</v>
      </c>
      <c r="F120" s="50">
        <f t="shared" si="4"/>
        <v>0</v>
      </c>
    </row>
    <row r="121" spans="2:6" x14ac:dyDescent="0.25">
      <c r="B121" s="30">
        <v>115</v>
      </c>
      <c r="C121" s="31">
        <f t="shared" si="7"/>
        <v>0</v>
      </c>
      <c r="D121" s="31">
        <f t="shared" si="5"/>
        <v>0</v>
      </c>
      <c r="E121" s="54">
        <f t="shared" si="6"/>
        <v>10138.197144206841</v>
      </c>
      <c r="F121" s="50">
        <f t="shared" si="4"/>
        <v>0</v>
      </c>
    </row>
    <row r="122" spans="2:6" x14ac:dyDescent="0.25">
      <c r="B122" s="30">
        <v>116</v>
      </c>
      <c r="C122" s="31">
        <f t="shared" si="7"/>
        <v>0</v>
      </c>
      <c r="D122" s="31">
        <f t="shared" si="5"/>
        <v>0</v>
      </c>
      <c r="E122" s="54">
        <f t="shared" si="6"/>
        <v>10138.197144206841</v>
      </c>
      <c r="F122" s="50">
        <f t="shared" si="4"/>
        <v>0</v>
      </c>
    </row>
    <row r="123" spans="2:6" x14ac:dyDescent="0.25">
      <c r="B123" s="30">
        <v>117</v>
      </c>
      <c r="C123" s="31">
        <f t="shared" si="7"/>
        <v>0</v>
      </c>
      <c r="D123" s="31">
        <f t="shared" si="5"/>
        <v>0</v>
      </c>
      <c r="E123" s="54">
        <f t="shared" si="6"/>
        <v>10138.197144206841</v>
      </c>
      <c r="F123" s="50">
        <f t="shared" si="4"/>
        <v>0</v>
      </c>
    </row>
    <row r="124" spans="2:6" x14ac:dyDescent="0.25">
      <c r="B124" s="30">
        <v>118</v>
      </c>
      <c r="C124" s="31">
        <f t="shared" si="7"/>
        <v>0</v>
      </c>
      <c r="D124" s="31">
        <f t="shared" si="5"/>
        <v>0</v>
      </c>
      <c r="E124" s="54">
        <f t="shared" si="6"/>
        <v>10138.197144206841</v>
      </c>
      <c r="F124" s="50">
        <f t="shared" si="4"/>
        <v>0</v>
      </c>
    </row>
    <row r="125" spans="2:6" x14ac:dyDescent="0.25">
      <c r="B125" s="30">
        <v>119</v>
      </c>
      <c r="C125" s="31">
        <f t="shared" si="7"/>
        <v>0</v>
      </c>
      <c r="D125" s="31">
        <f t="shared" si="5"/>
        <v>0</v>
      </c>
      <c r="E125" s="54">
        <f t="shared" si="6"/>
        <v>10138.197144206841</v>
      </c>
      <c r="F125" s="50">
        <f t="shared" si="4"/>
        <v>0</v>
      </c>
    </row>
    <row r="126" spans="2:6" ht="15.75" thickBot="1" x14ac:dyDescent="0.3">
      <c r="B126" s="35">
        <v>120</v>
      </c>
      <c r="C126" s="36">
        <f t="shared" si="7"/>
        <v>0</v>
      </c>
      <c r="D126" s="36">
        <f t="shared" si="5"/>
        <v>0</v>
      </c>
      <c r="E126" s="56">
        <f t="shared" si="6"/>
        <v>10138.197144206841</v>
      </c>
      <c r="F126" s="51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265"/>
  <sheetViews>
    <sheetView zoomScaleNormal="100" workbookViewId="0">
      <pane ySplit="1" topLeftCell="A41" activePane="bottomLeft" state="frozen"/>
      <selection pane="bottomLeft" activeCell="A85" sqref="A85"/>
    </sheetView>
  </sheetViews>
  <sheetFormatPr defaultColWidth="9.140625" defaultRowHeight="12.75" x14ac:dyDescent="0.2"/>
  <cols>
    <col min="1" max="1" width="5.42578125" style="108" customWidth="1"/>
    <col min="2" max="2" width="29.7109375" style="108" bestFit="1" customWidth="1"/>
    <col min="3" max="3" width="19.7109375" style="108" customWidth="1"/>
    <col min="4" max="4" width="16.28515625" style="108" bestFit="1" customWidth="1"/>
    <col min="5" max="5" width="19.5703125" style="108" bestFit="1" customWidth="1"/>
    <col min="6" max="6" width="14.7109375" style="110" customWidth="1"/>
    <col min="7" max="12" width="14.7109375" style="108" customWidth="1"/>
    <col min="13" max="13" width="16.85546875" style="108" bestFit="1" customWidth="1"/>
    <col min="14" max="14" width="19.5703125" style="108" bestFit="1" customWidth="1"/>
    <col min="15" max="15" width="13.85546875" style="109" bestFit="1" customWidth="1"/>
    <col min="16" max="16" width="17.7109375" style="108" customWidth="1"/>
    <col min="17" max="17" width="14.85546875" style="108" bestFit="1" customWidth="1"/>
    <col min="18" max="18" width="16.140625" style="108" bestFit="1" customWidth="1"/>
    <col min="19" max="19" width="12.42578125" style="108" bestFit="1" customWidth="1"/>
    <col min="20" max="21" width="14.85546875" style="108" bestFit="1" customWidth="1"/>
    <col min="22" max="22" width="13" style="108" bestFit="1" customWidth="1"/>
    <col min="23" max="23" width="15.42578125" style="108" customWidth="1"/>
    <col min="24" max="24" width="8.28515625" style="108" customWidth="1"/>
    <col min="25" max="25" width="12.42578125" style="108" bestFit="1" customWidth="1"/>
    <col min="26" max="26" width="12" style="108" bestFit="1" customWidth="1"/>
    <col min="27" max="27" width="9.140625" style="108"/>
    <col min="28" max="28" width="10" style="108" bestFit="1" customWidth="1"/>
    <col min="29" max="29" width="10.5703125" style="108" bestFit="1" customWidth="1"/>
    <col min="30" max="16384" width="9.140625" style="108"/>
  </cols>
  <sheetData>
    <row r="1" spans="1:17" ht="14.25" thickTop="1" thickBot="1" x14ac:dyDescent="0.25">
      <c r="A1" s="223" t="s">
        <v>34</v>
      </c>
      <c r="B1" s="222"/>
      <c r="C1" s="221"/>
      <c r="D1" s="219">
        <v>2014</v>
      </c>
      <c r="E1" s="219">
        <v>2015</v>
      </c>
      <c r="F1" s="220">
        <v>2016</v>
      </c>
      <c r="G1" s="219">
        <v>2017</v>
      </c>
      <c r="H1" s="219">
        <v>2018</v>
      </c>
      <c r="I1" s="219">
        <v>2019</v>
      </c>
      <c r="J1" s="219">
        <v>2020</v>
      </c>
      <c r="K1" s="219">
        <v>2021</v>
      </c>
      <c r="L1" s="219">
        <v>2022</v>
      </c>
      <c r="M1" s="219">
        <v>2023</v>
      </c>
      <c r="N1" s="219">
        <v>2024</v>
      </c>
    </row>
    <row r="2" spans="1:17" ht="13.5" thickTop="1" x14ac:dyDescent="0.2">
      <c r="A2" s="126" t="s">
        <v>131</v>
      </c>
      <c r="F2" s="130"/>
      <c r="O2" s="108"/>
      <c r="P2" s="109"/>
    </row>
    <row r="3" spans="1:17" x14ac:dyDescent="0.2">
      <c r="F3" s="130"/>
      <c r="O3" s="108"/>
      <c r="P3" s="109"/>
    </row>
    <row r="4" spans="1:17" x14ac:dyDescent="0.2">
      <c r="A4" s="108" t="s">
        <v>35</v>
      </c>
      <c r="D4" s="218">
        <v>5250</v>
      </c>
      <c r="E4" s="216">
        <f t="shared" ref="E4:N4" si="0">D4*(1+$P4)</f>
        <v>1837.4999999999998</v>
      </c>
      <c r="F4" s="122">
        <f t="shared" si="0"/>
        <v>643.12499999999989</v>
      </c>
      <c r="G4" s="216">
        <f t="shared" si="0"/>
        <v>225.09374999999994</v>
      </c>
      <c r="H4" s="216">
        <f t="shared" si="0"/>
        <v>78.782812499999977</v>
      </c>
      <c r="I4" s="216">
        <f t="shared" si="0"/>
        <v>27.573984374999991</v>
      </c>
      <c r="J4" s="216">
        <f t="shared" si="0"/>
        <v>9.6508945312499961</v>
      </c>
      <c r="K4" s="216">
        <f t="shared" si="0"/>
        <v>3.3778130859374986</v>
      </c>
      <c r="L4" s="216">
        <f t="shared" si="0"/>
        <v>1.1822345800781244</v>
      </c>
      <c r="M4" s="216">
        <f t="shared" si="0"/>
        <v>0.41378210302734353</v>
      </c>
      <c r="N4" s="216">
        <f t="shared" si="0"/>
        <v>0.14482373605957022</v>
      </c>
      <c r="O4" s="216"/>
      <c r="P4" s="212">
        <v>-0.65</v>
      </c>
      <c r="Q4" s="108" t="s">
        <v>0</v>
      </c>
    </row>
    <row r="5" spans="1:17" x14ac:dyDescent="0.2">
      <c r="A5" s="108" t="s">
        <v>36</v>
      </c>
      <c r="D5" s="217">
        <v>80</v>
      </c>
      <c r="E5" s="217">
        <f t="shared" ref="E5:N5" si="1">D5*(1+$P5)</f>
        <v>81.599999999999994</v>
      </c>
      <c r="F5" s="215">
        <f t="shared" si="1"/>
        <v>83.231999999999999</v>
      </c>
      <c r="G5" s="217">
        <f t="shared" si="1"/>
        <v>84.896640000000005</v>
      </c>
      <c r="H5" s="217">
        <f t="shared" si="1"/>
        <v>86.594572800000009</v>
      </c>
      <c r="I5" s="217">
        <f t="shared" si="1"/>
        <v>88.326464256000008</v>
      </c>
      <c r="J5" s="217">
        <f t="shared" si="1"/>
        <v>90.092993541120009</v>
      </c>
      <c r="K5" s="217">
        <f t="shared" si="1"/>
        <v>91.894853411942407</v>
      </c>
      <c r="L5" s="217">
        <f t="shared" si="1"/>
        <v>93.732750480181252</v>
      </c>
      <c r="M5" s="217">
        <f t="shared" si="1"/>
        <v>95.607405489784881</v>
      </c>
      <c r="N5" s="217">
        <f t="shared" si="1"/>
        <v>97.519553599580576</v>
      </c>
      <c r="O5" s="217"/>
      <c r="P5" s="212">
        <v>0.02</v>
      </c>
      <c r="Q5" s="108" t="s">
        <v>0</v>
      </c>
    </row>
    <row r="6" spans="1:17" x14ac:dyDescent="0.2">
      <c r="A6" s="108" t="s">
        <v>37</v>
      </c>
      <c r="D6" s="217">
        <v>65</v>
      </c>
      <c r="E6" s="217">
        <f t="shared" ref="E6:N6" si="2">D6*(1+$P6)</f>
        <v>65</v>
      </c>
      <c r="F6" s="215">
        <f t="shared" si="2"/>
        <v>65</v>
      </c>
      <c r="G6" s="217">
        <f t="shared" si="2"/>
        <v>65</v>
      </c>
      <c r="H6" s="217">
        <f t="shared" si="2"/>
        <v>65</v>
      </c>
      <c r="I6" s="217">
        <f t="shared" si="2"/>
        <v>65</v>
      </c>
      <c r="J6" s="217">
        <f t="shared" si="2"/>
        <v>65</v>
      </c>
      <c r="K6" s="217">
        <f t="shared" si="2"/>
        <v>65</v>
      </c>
      <c r="L6" s="217">
        <f t="shared" si="2"/>
        <v>65</v>
      </c>
      <c r="M6" s="217">
        <f t="shared" si="2"/>
        <v>65</v>
      </c>
      <c r="N6" s="217">
        <f t="shared" si="2"/>
        <v>65</v>
      </c>
      <c r="O6" s="217"/>
      <c r="P6" s="212">
        <v>0</v>
      </c>
      <c r="Q6" s="108" t="s">
        <v>0</v>
      </c>
    </row>
    <row r="7" spans="1:17" x14ac:dyDescent="0.2">
      <c r="F7" s="130"/>
      <c r="O7" s="108"/>
      <c r="P7" s="109"/>
    </row>
    <row r="8" spans="1:17" x14ac:dyDescent="0.2">
      <c r="A8" s="108" t="s">
        <v>42</v>
      </c>
      <c r="D8" s="216">
        <v>1500</v>
      </c>
      <c r="E8" s="216">
        <f t="shared" ref="E8:N8" si="3">D8*(1+$P8)</f>
        <v>1545</v>
      </c>
      <c r="F8" s="122">
        <f t="shared" si="3"/>
        <v>1591.3500000000001</v>
      </c>
      <c r="G8" s="216">
        <f t="shared" si="3"/>
        <v>1639.0905000000002</v>
      </c>
      <c r="H8" s="216">
        <f t="shared" si="3"/>
        <v>1688.2632150000004</v>
      </c>
      <c r="I8" s="216">
        <f t="shared" si="3"/>
        <v>1738.9111114500004</v>
      </c>
      <c r="J8" s="216">
        <f t="shared" si="3"/>
        <v>1791.0784447935005</v>
      </c>
      <c r="K8" s="216">
        <f t="shared" si="3"/>
        <v>1844.8107981373055</v>
      </c>
      <c r="L8" s="216">
        <f t="shared" si="3"/>
        <v>1900.1551220814247</v>
      </c>
      <c r="M8" s="216">
        <f t="shared" si="3"/>
        <v>1957.1597757438674</v>
      </c>
      <c r="N8" s="216">
        <f t="shared" si="3"/>
        <v>2015.8745690161834</v>
      </c>
      <c r="O8" s="216"/>
      <c r="P8" s="212">
        <v>0.03</v>
      </c>
      <c r="Q8" s="108" t="s">
        <v>0</v>
      </c>
    </row>
    <row r="9" spans="1:17" x14ac:dyDescent="0.2">
      <c r="A9" s="108" t="s">
        <v>43</v>
      </c>
      <c r="D9" s="214">
        <v>50</v>
      </c>
      <c r="E9" s="214">
        <f t="shared" ref="E9:N9" si="4">D9*(1+$P9)</f>
        <v>51</v>
      </c>
      <c r="F9" s="215">
        <f t="shared" si="4"/>
        <v>52.02</v>
      </c>
      <c r="G9" s="214">
        <f t="shared" si="4"/>
        <v>53.060400000000001</v>
      </c>
      <c r="H9" s="214">
        <f t="shared" si="4"/>
        <v>54.121608000000002</v>
      </c>
      <c r="I9" s="214">
        <f t="shared" si="4"/>
        <v>55.204040160000005</v>
      </c>
      <c r="J9" s="214">
        <f t="shared" si="4"/>
        <v>56.308120963200004</v>
      </c>
      <c r="K9" s="214">
        <f t="shared" si="4"/>
        <v>57.434283382464002</v>
      </c>
      <c r="L9" s="214">
        <f t="shared" si="4"/>
        <v>58.582969050113284</v>
      </c>
      <c r="M9" s="214">
        <f t="shared" si="4"/>
        <v>59.754628431115549</v>
      </c>
      <c r="N9" s="214">
        <f t="shared" si="4"/>
        <v>60.949720999737863</v>
      </c>
      <c r="O9" s="214"/>
      <c r="P9" s="212">
        <v>0.02</v>
      </c>
      <c r="Q9" s="108" t="s">
        <v>0</v>
      </c>
    </row>
    <row r="10" spans="1:17" x14ac:dyDescent="0.2">
      <c r="D10" s="213"/>
      <c r="E10" s="213"/>
      <c r="F10" s="125"/>
      <c r="G10" s="213"/>
      <c r="H10" s="213"/>
      <c r="I10" s="213"/>
      <c r="J10" s="213"/>
      <c r="K10" s="213"/>
      <c r="L10" s="213"/>
      <c r="M10" s="213"/>
      <c r="N10" s="213"/>
      <c r="O10" s="213"/>
      <c r="P10" s="212"/>
    </row>
    <row r="11" spans="1:17" x14ac:dyDescent="0.2">
      <c r="A11" s="108" t="s">
        <v>1</v>
      </c>
      <c r="D11" s="213">
        <v>30</v>
      </c>
      <c r="E11" s="213">
        <f t="shared" ref="E11:N11" si="5">D11*(1+$P11)</f>
        <v>30.449999999999996</v>
      </c>
      <c r="F11" s="125">
        <f t="shared" si="5"/>
        <v>30.906749999999992</v>
      </c>
      <c r="G11" s="213">
        <f t="shared" si="5"/>
        <v>31.370351249999988</v>
      </c>
      <c r="H11" s="213">
        <f t="shared" si="5"/>
        <v>31.840906518749986</v>
      </c>
      <c r="I11" s="213">
        <f t="shared" si="5"/>
        <v>32.318520116531232</v>
      </c>
      <c r="J11" s="213">
        <f t="shared" si="5"/>
        <v>32.803297918279199</v>
      </c>
      <c r="K11" s="213">
        <f t="shared" si="5"/>
        <v>33.295347387053383</v>
      </c>
      <c r="L11" s="213">
        <f t="shared" si="5"/>
        <v>33.794777597859181</v>
      </c>
      <c r="M11" s="213">
        <f t="shared" si="5"/>
        <v>34.301699261827068</v>
      </c>
      <c r="N11" s="213">
        <f t="shared" si="5"/>
        <v>34.816224750754472</v>
      </c>
      <c r="O11" s="213"/>
      <c r="P11" s="212">
        <v>1.4999999999999999E-2</v>
      </c>
      <c r="Q11" s="108" t="s">
        <v>0</v>
      </c>
    </row>
    <row r="12" spans="1:17" x14ac:dyDescent="0.2">
      <c r="D12" s="213"/>
      <c r="E12" s="213"/>
      <c r="F12" s="125"/>
      <c r="G12" s="213"/>
      <c r="H12" s="213"/>
      <c r="I12" s="213"/>
      <c r="J12" s="213"/>
      <c r="K12" s="213"/>
      <c r="L12" s="213"/>
      <c r="M12" s="213"/>
      <c r="N12" s="213"/>
      <c r="O12" s="213"/>
      <c r="P12" s="212"/>
    </row>
    <row r="13" spans="1:17" x14ac:dyDescent="0.2">
      <c r="A13" s="108" t="s">
        <v>50</v>
      </c>
      <c r="D13" s="213">
        <v>30</v>
      </c>
      <c r="E13" s="213">
        <v>30</v>
      </c>
      <c r="F13" s="125">
        <v>30</v>
      </c>
      <c r="G13" s="213">
        <v>30</v>
      </c>
      <c r="H13" s="213">
        <v>30</v>
      </c>
      <c r="I13" s="213">
        <v>30</v>
      </c>
      <c r="J13" s="213">
        <v>30</v>
      </c>
      <c r="K13" s="213">
        <v>30</v>
      </c>
      <c r="L13" s="213">
        <v>30</v>
      </c>
      <c r="M13" s="213">
        <v>30</v>
      </c>
      <c r="N13" s="213">
        <v>30</v>
      </c>
      <c r="O13" s="213"/>
      <c r="P13" s="212"/>
    </row>
    <row r="14" spans="1:17" x14ac:dyDescent="0.2">
      <c r="F14" s="130"/>
      <c r="O14" s="108"/>
      <c r="P14" s="109"/>
    </row>
    <row r="15" spans="1:17" x14ac:dyDescent="0.2">
      <c r="A15" s="108" t="s">
        <v>49</v>
      </c>
      <c r="F15" s="130"/>
      <c r="O15" s="108"/>
      <c r="P15" s="109"/>
    </row>
    <row r="16" spans="1:17" x14ac:dyDescent="0.2">
      <c r="B16" s="108" t="s">
        <v>2</v>
      </c>
      <c r="D16" s="213">
        <v>40</v>
      </c>
      <c r="E16" s="213">
        <f t="shared" ref="E16:N16" si="6">D16*(1+$P16)</f>
        <v>40</v>
      </c>
      <c r="F16" s="125">
        <f t="shared" si="6"/>
        <v>40</v>
      </c>
      <c r="G16" s="213">
        <f t="shared" si="6"/>
        <v>40</v>
      </c>
      <c r="H16" s="213">
        <f t="shared" si="6"/>
        <v>40</v>
      </c>
      <c r="I16" s="213">
        <f t="shared" si="6"/>
        <v>40</v>
      </c>
      <c r="J16" s="213">
        <f t="shared" si="6"/>
        <v>40</v>
      </c>
      <c r="K16" s="213">
        <f t="shared" si="6"/>
        <v>40</v>
      </c>
      <c r="L16" s="213">
        <f t="shared" si="6"/>
        <v>40</v>
      </c>
      <c r="M16" s="213">
        <f t="shared" si="6"/>
        <v>40</v>
      </c>
      <c r="N16" s="213">
        <f t="shared" si="6"/>
        <v>40</v>
      </c>
      <c r="O16" s="213"/>
      <c r="P16" s="212">
        <v>0</v>
      </c>
      <c r="Q16" s="108" t="s">
        <v>0</v>
      </c>
    </row>
    <row r="17" spans="1:19" ht="13.5" thickBot="1" x14ac:dyDescent="0.25">
      <c r="F17" s="130"/>
      <c r="O17" s="108"/>
      <c r="P17" s="109"/>
    </row>
    <row r="18" spans="1:19" ht="14.25" thickTop="1" thickBot="1" x14ac:dyDescent="0.25">
      <c r="A18" s="209" t="s">
        <v>3</v>
      </c>
      <c r="B18" s="208"/>
      <c r="C18" s="207"/>
      <c r="F18" s="130"/>
      <c r="O18" s="108"/>
      <c r="P18" s="109"/>
    </row>
    <row r="19" spans="1:19" ht="13.5" thickTop="1" x14ac:dyDescent="0.2">
      <c r="A19" s="108" t="s">
        <v>46</v>
      </c>
      <c r="D19" s="111">
        <f t="shared" ref="D19:N19" si="7">D4*D5</f>
        <v>420000</v>
      </c>
      <c r="E19" s="111">
        <f t="shared" si="7"/>
        <v>149939.99999999997</v>
      </c>
      <c r="F19" s="123">
        <f t="shared" si="7"/>
        <v>53528.579999999987</v>
      </c>
      <c r="G19" s="111">
        <f t="shared" si="7"/>
        <v>19109.703059999996</v>
      </c>
      <c r="H19" s="111">
        <f t="shared" si="7"/>
        <v>6822.163992419999</v>
      </c>
      <c r="I19" s="111">
        <f t="shared" si="7"/>
        <v>2435.5125452939396</v>
      </c>
      <c r="J19" s="111">
        <f t="shared" si="7"/>
        <v>869.47797866993631</v>
      </c>
      <c r="K19" s="111">
        <f t="shared" si="7"/>
        <v>310.40363838516726</v>
      </c>
      <c r="L19" s="111">
        <f t="shared" si="7"/>
        <v>110.8140989035047</v>
      </c>
      <c r="M19" s="111">
        <f t="shared" si="7"/>
        <v>39.560633308551175</v>
      </c>
      <c r="N19" s="111">
        <f t="shared" si="7"/>
        <v>14.123146091152767</v>
      </c>
      <c r="O19" s="111"/>
      <c r="P19" s="109"/>
    </row>
    <row r="20" spans="1:19" x14ac:dyDescent="0.2">
      <c r="A20" s="108" t="s">
        <v>47</v>
      </c>
      <c r="D20" s="111">
        <f t="shared" ref="D20:N20" si="8">D8*D9</f>
        <v>75000</v>
      </c>
      <c r="E20" s="111">
        <f t="shared" si="8"/>
        <v>78795</v>
      </c>
      <c r="F20" s="123">
        <f t="shared" si="8"/>
        <v>82782.027000000016</v>
      </c>
      <c r="G20" s="111">
        <f t="shared" si="8"/>
        <v>86970.79756620001</v>
      </c>
      <c r="H20" s="111">
        <f t="shared" si="8"/>
        <v>91371.519923049738</v>
      </c>
      <c r="I20" s="111">
        <f t="shared" si="8"/>
        <v>95994.918831156072</v>
      </c>
      <c r="J20" s="111">
        <f t="shared" si="8"/>
        <v>100852.26172401257</v>
      </c>
      <c r="K20" s="111">
        <f t="shared" si="8"/>
        <v>105955.38616724759</v>
      </c>
      <c r="L20" s="111">
        <f t="shared" si="8"/>
        <v>111316.72870731034</v>
      </c>
      <c r="M20" s="111">
        <f t="shared" si="8"/>
        <v>116949.35517990023</v>
      </c>
      <c r="N20" s="111">
        <f t="shared" si="8"/>
        <v>122866.99255200318</v>
      </c>
      <c r="O20" s="111"/>
      <c r="P20" s="109"/>
    </row>
    <row r="21" spans="1:19" x14ac:dyDescent="0.2">
      <c r="D21" s="111"/>
      <c r="E21" s="111"/>
      <c r="F21" s="123"/>
      <c r="G21" s="111"/>
      <c r="H21" s="111"/>
      <c r="I21" s="111"/>
      <c r="J21" s="111"/>
      <c r="K21" s="111"/>
      <c r="L21" s="111"/>
      <c r="M21" s="111"/>
      <c r="N21" s="111"/>
      <c r="O21" s="111"/>
      <c r="P21" s="109"/>
    </row>
    <row r="22" spans="1:19" x14ac:dyDescent="0.2">
      <c r="A22" s="108" t="s">
        <v>4</v>
      </c>
      <c r="D22" s="111">
        <f t="shared" ref="D22:N22" si="9">D4*D6</f>
        <v>341250</v>
      </c>
      <c r="E22" s="111">
        <f t="shared" si="9"/>
        <v>119437.49999999999</v>
      </c>
      <c r="F22" s="123">
        <f t="shared" si="9"/>
        <v>41803.124999999993</v>
      </c>
      <c r="G22" s="111">
        <f t="shared" si="9"/>
        <v>14631.093749999996</v>
      </c>
      <c r="H22" s="111">
        <f t="shared" si="9"/>
        <v>5120.8828124999982</v>
      </c>
      <c r="I22" s="111">
        <f t="shared" si="9"/>
        <v>1792.3089843749995</v>
      </c>
      <c r="J22" s="111">
        <f t="shared" si="9"/>
        <v>627.3081445312497</v>
      </c>
      <c r="K22" s="111">
        <f t="shared" si="9"/>
        <v>219.55785058593742</v>
      </c>
      <c r="L22" s="111">
        <f t="shared" si="9"/>
        <v>76.845247705078094</v>
      </c>
      <c r="M22" s="111">
        <f t="shared" si="9"/>
        <v>26.89583669677733</v>
      </c>
      <c r="N22" s="111">
        <f t="shared" si="9"/>
        <v>9.4135428438720634</v>
      </c>
      <c r="O22" s="111"/>
      <c r="P22" s="109"/>
    </row>
    <row r="23" spans="1:19" x14ac:dyDescent="0.2">
      <c r="D23" s="111"/>
      <c r="E23" s="111"/>
      <c r="F23" s="123"/>
      <c r="G23" s="111"/>
      <c r="H23" s="111"/>
      <c r="I23" s="111"/>
      <c r="J23" s="111"/>
      <c r="K23" s="111"/>
      <c r="L23" s="111"/>
      <c r="M23" s="111"/>
      <c r="N23" s="111"/>
      <c r="O23" s="111"/>
      <c r="P23" s="109"/>
    </row>
    <row r="24" spans="1:19" x14ac:dyDescent="0.2">
      <c r="A24" s="108" t="s">
        <v>5</v>
      </c>
      <c r="D24" s="111"/>
      <c r="E24" s="111"/>
      <c r="F24" s="123"/>
      <c r="G24" s="111"/>
      <c r="H24" s="111"/>
      <c r="I24" s="111"/>
      <c r="J24" s="111"/>
      <c r="K24" s="111"/>
      <c r="L24" s="111"/>
      <c r="M24" s="111"/>
      <c r="N24" s="111"/>
      <c r="O24" s="111"/>
      <c r="P24" s="109"/>
    </row>
    <row r="25" spans="1:19" x14ac:dyDescent="0.2">
      <c r="B25" s="108" t="s">
        <v>38</v>
      </c>
      <c r="D25" s="111">
        <f t="shared" ref="D25:N25" si="10">(8.5*4*40*52)</f>
        <v>70720</v>
      </c>
      <c r="E25" s="111">
        <f t="shared" si="10"/>
        <v>70720</v>
      </c>
      <c r="F25" s="123">
        <f t="shared" si="10"/>
        <v>70720</v>
      </c>
      <c r="G25" s="111">
        <f t="shared" si="10"/>
        <v>70720</v>
      </c>
      <c r="H25" s="111">
        <f t="shared" si="10"/>
        <v>70720</v>
      </c>
      <c r="I25" s="111">
        <f t="shared" si="10"/>
        <v>70720</v>
      </c>
      <c r="J25" s="111">
        <f t="shared" si="10"/>
        <v>70720</v>
      </c>
      <c r="K25" s="111">
        <f t="shared" si="10"/>
        <v>70720</v>
      </c>
      <c r="L25" s="111">
        <f t="shared" si="10"/>
        <v>70720</v>
      </c>
      <c r="M25" s="111">
        <f t="shared" si="10"/>
        <v>70720</v>
      </c>
      <c r="N25" s="111">
        <f t="shared" si="10"/>
        <v>70720</v>
      </c>
      <c r="O25" s="111"/>
      <c r="P25" s="210"/>
      <c r="Q25" s="108" t="s">
        <v>51</v>
      </c>
    </row>
    <row r="26" spans="1:19" x14ac:dyDescent="0.2">
      <c r="B26" s="108" t="s">
        <v>48</v>
      </c>
      <c r="D26" s="111">
        <f>D8*10</f>
        <v>15000</v>
      </c>
      <c r="E26" s="111">
        <f t="shared" ref="E26:N26" si="11">$P$26*E20</f>
        <v>15759</v>
      </c>
      <c r="F26" s="123">
        <f t="shared" si="11"/>
        <v>16556.405400000003</v>
      </c>
      <c r="G26" s="111">
        <f t="shared" si="11"/>
        <v>17394.159513240003</v>
      </c>
      <c r="H26" s="111">
        <f t="shared" si="11"/>
        <v>18274.303984609949</v>
      </c>
      <c r="I26" s="111">
        <f t="shared" si="11"/>
        <v>19198.983766231217</v>
      </c>
      <c r="J26" s="111">
        <f t="shared" si="11"/>
        <v>20170.452344802514</v>
      </c>
      <c r="K26" s="111">
        <f t="shared" si="11"/>
        <v>21191.07723344952</v>
      </c>
      <c r="L26" s="111">
        <f t="shared" si="11"/>
        <v>22263.345741462068</v>
      </c>
      <c r="M26" s="111">
        <f t="shared" si="11"/>
        <v>23389.871035980046</v>
      </c>
      <c r="N26" s="111">
        <f t="shared" si="11"/>
        <v>24573.398510400639</v>
      </c>
      <c r="O26" s="111"/>
      <c r="P26" s="210">
        <f>D26/D20</f>
        <v>0.2</v>
      </c>
      <c r="Q26" s="108" t="s">
        <v>6</v>
      </c>
    </row>
    <row r="27" spans="1:19" x14ac:dyDescent="0.2">
      <c r="B27" s="108" t="s">
        <v>7</v>
      </c>
      <c r="D27" s="111">
        <f>1200*20</f>
        <v>24000</v>
      </c>
      <c r="E27" s="111">
        <f t="shared" ref="E27:N27" si="12">D27*(1+$P27)</f>
        <v>24359.999999999996</v>
      </c>
      <c r="F27" s="123">
        <f t="shared" si="12"/>
        <v>24725.399999999994</v>
      </c>
      <c r="G27" s="111">
        <f t="shared" si="12"/>
        <v>25096.280999999992</v>
      </c>
      <c r="H27" s="111">
        <f t="shared" si="12"/>
        <v>25472.725214999988</v>
      </c>
      <c r="I27" s="111">
        <f t="shared" si="12"/>
        <v>25854.816093224985</v>
      </c>
      <c r="J27" s="111">
        <f t="shared" si="12"/>
        <v>26242.638334623356</v>
      </c>
      <c r="K27" s="111">
        <f t="shared" si="12"/>
        <v>26636.277909642704</v>
      </c>
      <c r="L27" s="111">
        <f t="shared" si="12"/>
        <v>27035.822078287343</v>
      </c>
      <c r="M27" s="111">
        <f t="shared" si="12"/>
        <v>27441.359409461649</v>
      </c>
      <c r="N27" s="111">
        <f t="shared" si="12"/>
        <v>27852.979800603571</v>
      </c>
      <c r="O27" s="111"/>
      <c r="P27" s="210">
        <v>1.4999999999999999E-2</v>
      </c>
      <c r="Q27" s="108" t="s">
        <v>8</v>
      </c>
    </row>
    <row r="28" spans="1:19" x14ac:dyDescent="0.2">
      <c r="B28" s="108" t="s">
        <v>44</v>
      </c>
      <c r="D28" s="111">
        <f>2700*12</f>
        <v>32400</v>
      </c>
      <c r="E28" s="111">
        <f t="shared" ref="E28:N28" si="13">D28*(1+$P$28)</f>
        <v>32724</v>
      </c>
      <c r="F28" s="123">
        <f t="shared" si="13"/>
        <v>33051.24</v>
      </c>
      <c r="G28" s="111">
        <f t="shared" si="13"/>
        <v>33381.752399999998</v>
      </c>
      <c r="H28" s="111">
        <f t="shared" si="13"/>
        <v>33715.569923999996</v>
      </c>
      <c r="I28" s="111">
        <f t="shared" si="13"/>
        <v>34052.725623239996</v>
      </c>
      <c r="J28" s="111">
        <f t="shared" si="13"/>
        <v>34393.252879472398</v>
      </c>
      <c r="K28" s="111">
        <f t="shared" si="13"/>
        <v>34737.18540826712</v>
      </c>
      <c r="L28" s="111">
        <f t="shared" si="13"/>
        <v>35084.557262349794</v>
      </c>
      <c r="M28" s="111">
        <f t="shared" si="13"/>
        <v>35435.402834973291</v>
      </c>
      <c r="N28" s="111">
        <f t="shared" si="13"/>
        <v>35789.756863323026</v>
      </c>
      <c r="O28" s="111"/>
      <c r="P28" s="210">
        <v>0.01</v>
      </c>
      <c r="Q28" s="108" t="s">
        <v>8</v>
      </c>
    </row>
    <row r="29" spans="1:19" x14ac:dyDescent="0.2">
      <c r="B29" s="108" t="s">
        <v>9</v>
      </c>
      <c r="D29" s="111">
        <v>45000</v>
      </c>
      <c r="E29" s="111">
        <v>45000</v>
      </c>
      <c r="F29" s="123">
        <v>45000</v>
      </c>
      <c r="G29" s="111">
        <v>45000</v>
      </c>
      <c r="H29" s="111">
        <v>45000</v>
      </c>
      <c r="I29" s="111">
        <v>45000</v>
      </c>
      <c r="J29" s="111">
        <v>45000</v>
      </c>
      <c r="K29" s="111">
        <v>45000</v>
      </c>
      <c r="L29" s="111">
        <v>45000</v>
      </c>
      <c r="M29" s="111">
        <v>45000</v>
      </c>
      <c r="N29" s="111">
        <v>45000</v>
      </c>
      <c r="O29" s="111"/>
      <c r="P29" s="210"/>
    </row>
    <row r="30" spans="1:19" x14ac:dyDescent="0.2">
      <c r="D30" s="111"/>
      <c r="E30" s="111"/>
      <c r="F30" s="123"/>
      <c r="G30" s="111"/>
      <c r="H30" s="111"/>
      <c r="I30" s="111"/>
      <c r="J30" s="111"/>
      <c r="K30" s="111"/>
      <c r="L30" s="111"/>
      <c r="M30" s="111"/>
      <c r="N30" s="111"/>
      <c r="O30" s="111"/>
      <c r="P30" s="109"/>
    </row>
    <row r="31" spans="1:19" x14ac:dyDescent="0.2">
      <c r="A31" s="108" t="s">
        <v>64</v>
      </c>
      <c r="D31" s="111">
        <f t="shared" ref="D31:N31" si="14">D50/$P$31</f>
        <v>583.33333333333337</v>
      </c>
      <c r="E31" s="111">
        <f t="shared" si="14"/>
        <v>583.33333333333337</v>
      </c>
      <c r="F31" s="123">
        <f t="shared" si="14"/>
        <v>583.33333333333337</v>
      </c>
      <c r="G31" s="111">
        <f t="shared" si="14"/>
        <v>583.33333333333337</v>
      </c>
      <c r="H31" s="111">
        <f t="shared" si="14"/>
        <v>583.33333333333337</v>
      </c>
      <c r="I31" s="111">
        <f t="shared" si="14"/>
        <v>583.33333333333337</v>
      </c>
      <c r="J31" s="111">
        <f t="shared" si="14"/>
        <v>583.33333333333337</v>
      </c>
      <c r="K31" s="111">
        <f t="shared" si="14"/>
        <v>583.33333333333337</v>
      </c>
      <c r="L31" s="111">
        <f t="shared" si="14"/>
        <v>583.33333333333337</v>
      </c>
      <c r="M31" s="111">
        <f t="shared" si="14"/>
        <v>583.33333333333337</v>
      </c>
      <c r="N31" s="111">
        <f t="shared" si="14"/>
        <v>583.33333333333337</v>
      </c>
      <c r="O31" s="111"/>
      <c r="P31" s="211">
        <v>30</v>
      </c>
      <c r="Q31" s="108" t="s">
        <v>10</v>
      </c>
      <c r="S31" s="128"/>
    </row>
    <row r="32" spans="1:19" x14ac:dyDescent="0.2">
      <c r="A32" s="108" t="s">
        <v>65</v>
      </c>
      <c r="D32" s="111">
        <f t="shared" ref="D32:N32" si="15">D48/$P$48</f>
        <v>3333.3333333333335</v>
      </c>
      <c r="E32" s="111">
        <f t="shared" si="15"/>
        <v>3333.3333333333335</v>
      </c>
      <c r="F32" s="123">
        <f t="shared" si="15"/>
        <v>3333.3333333333335</v>
      </c>
      <c r="G32" s="111">
        <f t="shared" si="15"/>
        <v>3333.3333333333335</v>
      </c>
      <c r="H32" s="111">
        <f t="shared" si="15"/>
        <v>3333.3333333333335</v>
      </c>
      <c r="I32" s="111">
        <f t="shared" si="15"/>
        <v>3333.3333333333335</v>
      </c>
      <c r="J32" s="111">
        <f t="shared" si="15"/>
        <v>3333.3333333333335</v>
      </c>
      <c r="K32" s="111">
        <f t="shared" si="15"/>
        <v>3333.3333333333335</v>
      </c>
      <c r="L32" s="111">
        <f t="shared" si="15"/>
        <v>3333.3333333333335</v>
      </c>
      <c r="M32" s="111">
        <f t="shared" si="15"/>
        <v>3333.3333333333335</v>
      </c>
      <c r="N32" s="111">
        <f t="shared" si="15"/>
        <v>3333.3333333333335</v>
      </c>
      <c r="O32" s="111"/>
      <c r="P32" s="211"/>
      <c r="S32" s="128"/>
    </row>
    <row r="33" spans="1:24" x14ac:dyDescent="0.2">
      <c r="D33" s="111"/>
      <c r="E33" s="111"/>
      <c r="F33" s="123"/>
      <c r="G33" s="111"/>
      <c r="H33" s="111"/>
      <c r="I33" s="111"/>
      <c r="J33" s="111"/>
      <c r="K33" s="111"/>
      <c r="L33" s="111"/>
      <c r="M33" s="111"/>
      <c r="N33" s="111"/>
      <c r="O33" s="111"/>
      <c r="P33" s="211"/>
      <c r="S33" s="128"/>
    </row>
    <row r="34" spans="1:24" x14ac:dyDescent="0.2">
      <c r="A34" s="108" t="s">
        <v>11</v>
      </c>
      <c r="D34" s="111">
        <f>'Mortgage (2)'!H18</f>
        <v>39618.072642989893</v>
      </c>
      <c r="E34" s="111">
        <f>'Mortgage (2)'!H30</f>
        <v>38740.906340992333</v>
      </c>
      <c r="F34" s="123">
        <f>'Mortgage (2)'!H42</f>
        <v>37790.935668540791</v>
      </c>
      <c r="G34" s="111">
        <f>'Mortgage (2)'!H54</f>
        <v>36762.117898794197</v>
      </c>
      <c r="H34" s="111">
        <f>'Mortgage (2)'!H66</f>
        <v>35647.908761563813</v>
      </c>
      <c r="I34" s="111">
        <f>'Mortgage (2)'!H78</f>
        <v>34441.220815462882</v>
      </c>
      <c r="J34" s="111">
        <f>'Mortgage (2)'!H90</f>
        <v>33134.378364965007</v>
      </c>
      <c r="K34" s="111">
        <f>'Mortgage (2)'!H102</f>
        <v>31719.068635600699</v>
      </c>
      <c r="L34" s="111">
        <f>'Mortgage (2)'!H114</f>
        <v>30186.288896719281</v>
      </c>
      <c r="M34" s="111">
        <f>'Mortgage (2)'!H126</f>
        <v>28526.289195466154</v>
      </c>
      <c r="N34" s="111">
        <f>'Mortgage (2)'!H138</f>
        <v>26728.510337708423</v>
      </c>
      <c r="O34" s="111"/>
      <c r="P34" s="109"/>
    </row>
    <row r="35" spans="1:24" x14ac:dyDescent="0.2">
      <c r="A35" s="108" t="s">
        <v>12</v>
      </c>
      <c r="D35" s="111">
        <f t="shared" ref="D35:N35" si="16">D66*$P$35</f>
        <v>3931.9949746197935</v>
      </c>
      <c r="E35" s="111">
        <f t="shared" si="16"/>
        <v>11521.835661792478</v>
      </c>
      <c r="F35" s="123">
        <f t="shared" si="16"/>
        <v>24768.147042773871</v>
      </c>
      <c r="G35" s="111">
        <f t="shared" si="16"/>
        <v>40254.79618977358</v>
      </c>
      <c r="H35" s="111">
        <f t="shared" si="16"/>
        <v>55670.520314311172</v>
      </c>
      <c r="I35" s="111">
        <f t="shared" si="16"/>
        <v>77715.580288782367</v>
      </c>
      <c r="J35" s="111">
        <f t="shared" si="16"/>
        <v>102563.33203368369</v>
      </c>
      <c r="K35" s="111">
        <f t="shared" si="16"/>
        <v>129826.65024820628</v>
      </c>
      <c r="L35" s="111">
        <f t="shared" si="16"/>
        <v>159736.99049324257</v>
      </c>
      <c r="M35" s="111">
        <f t="shared" si="16"/>
        <v>192559.87867236324</v>
      </c>
      <c r="N35" s="111">
        <f t="shared" si="16"/>
        <v>228592.68894260825</v>
      </c>
      <c r="O35" s="111"/>
      <c r="P35" s="210">
        <v>0.1</v>
      </c>
      <c r="Q35" s="108" t="s">
        <v>13</v>
      </c>
    </row>
    <row r="36" spans="1:24" x14ac:dyDescent="0.2">
      <c r="D36" s="111"/>
      <c r="E36" s="111"/>
      <c r="F36" s="123"/>
      <c r="G36" s="111"/>
      <c r="H36" s="111"/>
      <c r="I36" s="111"/>
      <c r="J36" s="111"/>
      <c r="K36" s="111"/>
      <c r="L36" s="111"/>
      <c r="M36" s="111"/>
      <c r="N36" s="111"/>
      <c r="O36" s="111"/>
      <c r="P36" s="109"/>
    </row>
    <row r="37" spans="1:24" x14ac:dyDescent="0.2">
      <c r="A37" s="108" t="s">
        <v>14</v>
      </c>
      <c r="D37" s="111">
        <f t="shared" ref="D37:N37" si="17">SUM(D19:D20)-SUM(D22:D35)</f>
        <v>-80836.734284276492</v>
      </c>
      <c r="E37" s="111">
        <f t="shared" si="17"/>
        <v>-133444.90866945146</v>
      </c>
      <c r="F37" s="123">
        <f t="shared" si="17"/>
        <v>-162021.31277798134</v>
      </c>
      <c r="G37" s="111">
        <f t="shared" si="17"/>
        <v>-181076.36679227446</v>
      </c>
      <c r="H37" s="111">
        <f t="shared" si="17"/>
        <v>-195344.89376318193</v>
      </c>
      <c r="I37" s="111">
        <f t="shared" si="17"/>
        <v>-214261.87086153316</v>
      </c>
      <c r="J37" s="111">
        <f t="shared" si="17"/>
        <v>-235046.2890660624</v>
      </c>
      <c r="K37" s="111">
        <f t="shared" si="17"/>
        <v>-257700.69414678615</v>
      </c>
      <c r="L37" s="111">
        <f t="shared" si="17"/>
        <v>-282592.97358021897</v>
      </c>
      <c r="M37" s="111">
        <f t="shared" si="17"/>
        <v>-310027.44783839904</v>
      </c>
      <c r="N37" s="111">
        <f t="shared" si="17"/>
        <v>-340302.29896606016</v>
      </c>
      <c r="O37" s="111"/>
      <c r="P37" s="109"/>
    </row>
    <row r="38" spans="1:24" x14ac:dyDescent="0.2">
      <c r="A38" s="108" t="s">
        <v>15</v>
      </c>
      <c r="D38" s="111">
        <f t="shared" ref="D38:N38" si="18">IF(D37&lt;0,0,D37*$P$38)</f>
        <v>0</v>
      </c>
      <c r="E38" s="111">
        <f t="shared" si="18"/>
        <v>0</v>
      </c>
      <c r="F38" s="123">
        <f t="shared" si="18"/>
        <v>0</v>
      </c>
      <c r="G38" s="111">
        <f t="shared" si="18"/>
        <v>0</v>
      </c>
      <c r="H38" s="111">
        <f t="shared" si="18"/>
        <v>0</v>
      </c>
      <c r="I38" s="111">
        <f t="shared" si="18"/>
        <v>0</v>
      </c>
      <c r="J38" s="111">
        <f t="shared" si="18"/>
        <v>0</v>
      </c>
      <c r="K38" s="111">
        <f t="shared" si="18"/>
        <v>0</v>
      </c>
      <c r="L38" s="111">
        <f t="shared" si="18"/>
        <v>0</v>
      </c>
      <c r="M38" s="111">
        <f t="shared" si="18"/>
        <v>0</v>
      </c>
      <c r="N38" s="111">
        <f t="shared" si="18"/>
        <v>0</v>
      </c>
      <c r="O38" s="111"/>
      <c r="P38" s="210">
        <v>0.3</v>
      </c>
      <c r="Q38" s="108" t="s">
        <v>16</v>
      </c>
    </row>
    <row r="39" spans="1:24" x14ac:dyDescent="0.2">
      <c r="A39" s="126" t="s">
        <v>17</v>
      </c>
      <c r="D39" s="111">
        <f t="shared" ref="D39:N39" si="19">D37-D38</f>
        <v>-80836.734284276492</v>
      </c>
      <c r="E39" s="111">
        <f t="shared" si="19"/>
        <v>-133444.90866945146</v>
      </c>
      <c r="F39" s="123">
        <f t="shared" si="19"/>
        <v>-162021.31277798134</v>
      </c>
      <c r="G39" s="111">
        <f t="shared" si="19"/>
        <v>-181076.36679227446</v>
      </c>
      <c r="H39" s="111">
        <f t="shared" si="19"/>
        <v>-195344.89376318193</v>
      </c>
      <c r="I39" s="111">
        <f t="shared" si="19"/>
        <v>-214261.87086153316</v>
      </c>
      <c r="J39" s="111">
        <f t="shared" si="19"/>
        <v>-235046.2890660624</v>
      </c>
      <c r="K39" s="111">
        <f t="shared" si="19"/>
        <v>-257700.69414678615</v>
      </c>
      <c r="L39" s="111">
        <f t="shared" si="19"/>
        <v>-282592.97358021897</v>
      </c>
      <c r="M39" s="111">
        <f t="shared" si="19"/>
        <v>-310027.44783839904</v>
      </c>
      <c r="N39" s="111">
        <f t="shared" si="19"/>
        <v>-340302.29896606016</v>
      </c>
      <c r="O39" s="111"/>
      <c r="P39" s="109"/>
    </row>
    <row r="40" spans="1:24" ht="13.5" thickBot="1" x14ac:dyDescent="0.25">
      <c r="D40" s="111"/>
      <c r="E40" s="111"/>
      <c r="F40" s="123"/>
      <c r="G40" s="111"/>
      <c r="H40" s="111"/>
      <c r="I40" s="111"/>
      <c r="J40" s="111"/>
      <c r="K40" s="111"/>
      <c r="L40" s="111"/>
      <c r="M40" s="111"/>
      <c r="N40" s="111"/>
      <c r="O40" s="111"/>
      <c r="P40" s="109"/>
    </row>
    <row r="41" spans="1:24" ht="14.25" thickTop="1" thickBot="1" x14ac:dyDescent="0.25">
      <c r="A41" s="209" t="s">
        <v>18</v>
      </c>
      <c r="B41" s="208"/>
      <c r="C41" s="207"/>
      <c r="D41" s="111"/>
      <c r="E41" s="111"/>
      <c r="F41" s="123"/>
      <c r="G41" s="111"/>
      <c r="H41" s="111"/>
      <c r="I41" s="111"/>
      <c r="J41" s="111"/>
      <c r="K41" s="111"/>
      <c r="L41" s="111"/>
      <c r="M41" s="111"/>
      <c r="N41" s="111"/>
      <c r="O41" s="111"/>
      <c r="P41" s="109"/>
    </row>
    <row r="42" spans="1:24" ht="13.5" thickTop="1" x14ac:dyDescent="0.2">
      <c r="A42" s="126" t="s">
        <v>19</v>
      </c>
      <c r="D42" s="111"/>
      <c r="E42" s="111"/>
      <c r="F42" s="123"/>
      <c r="G42" s="111"/>
      <c r="H42" s="111"/>
      <c r="I42" s="111"/>
      <c r="J42" s="111"/>
      <c r="K42" s="111"/>
      <c r="L42" s="111"/>
      <c r="M42" s="111"/>
      <c r="N42" s="111"/>
      <c r="O42" s="111"/>
      <c r="P42" s="109"/>
      <c r="Q42" s="206" t="s">
        <v>130</v>
      </c>
      <c r="R42" s="205" t="s">
        <v>129</v>
      </c>
      <c r="S42" s="204" t="s">
        <v>122</v>
      </c>
    </row>
    <row r="43" spans="1:24" x14ac:dyDescent="0.2">
      <c r="A43" s="108" t="s">
        <v>20</v>
      </c>
      <c r="D43" s="111">
        <v>30000</v>
      </c>
      <c r="E43" s="111">
        <v>30000</v>
      </c>
      <c r="F43" s="123">
        <v>30000</v>
      </c>
      <c r="G43" s="111">
        <v>30000</v>
      </c>
      <c r="H43" s="111">
        <v>30000</v>
      </c>
      <c r="I43" s="111">
        <v>30000</v>
      </c>
      <c r="J43" s="111">
        <v>30000</v>
      </c>
      <c r="K43" s="111">
        <v>30000</v>
      </c>
      <c r="L43" s="111">
        <v>30000</v>
      </c>
      <c r="M43" s="111">
        <v>30000</v>
      </c>
      <c r="N43" s="111">
        <v>30000</v>
      </c>
      <c r="O43" s="111"/>
      <c r="P43" s="109"/>
      <c r="Q43" s="119">
        <v>1</v>
      </c>
      <c r="R43" s="121"/>
      <c r="S43" s="121">
        <f>F43*Q43</f>
        <v>30000</v>
      </c>
    </row>
    <row r="44" spans="1:24" x14ac:dyDescent="0.2">
      <c r="A44" s="108" t="s">
        <v>100</v>
      </c>
      <c r="D44" s="111">
        <v>172995.934193614</v>
      </c>
      <c r="E44" s="111">
        <v>123581.08927763936</v>
      </c>
      <c r="F44" s="123">
        <v>91057.04722125332</v>
      </c>
      <c r="G44" s="112">
        <v>57128.697871948389</v>
      </c>
      <c r="H44" s="112">
        <v>5735.9976372986002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/>
      <c r="P44" s="109"/>
      <c r="Q44" s="119">
        <v>1</v>
      </c>
      <c r="R44" s="121"/>
      <c r="S44" s="121">
        <f>Q44*N44</f>
        <v>0</v>
      </c>
    </row>
    <row r="45" spans="1:24" x14ac:dyDescent="0.2">
      <c r="A45" s="108" t="s">
        <v>21</v>
      </c>
      <c r="D45" s="188">
        <f t="shared" ref="D45:N45" si="20">D22/365*D11</f>
        <v>28047.945205479453</v>
      </c>
      <c r="E45" s="188">
        <f t="shared" si="20"/>
        <v>9964.0325342465731</v>
      </c>
      <c r="F45" s="153">
        <f t="shared" si="20"/>
        <v>3539.722557791094</v>
      </c>
      <c r="G45" s="188">
        <f t="shared" si="20"/>
        <v>1257.4864386552861</v>
      </c>
      <c r="H45" s="188">
        <f t="shared" si="20"/>
        <v>446.72205733229026</v>
      </c>
      <c r="I45" s="188">
        <f t="shared" si="20"/>
        <v>158.69801086729609</v>
      </c>
      <c r="J45" s="188">
        <f t="shared" si="20"/>
        <v>56.377468360606933</v>
      </c>
      <c r="K45" s="188">
        <f t="shared" si="20"/>
        <v>20.028095635105615</v>
      </c>
      <c r="L45" s="188">
        <f t="shared" si="20"/>
        <v>7.1149809743712682</v>
      </c>
      <c r="M45" s="188">
        <f t="shared" si="20"/>
        <v>2.5275969911453924</v>
      </c>
      <c r="N45" s="188">
        <f t="shared" si="20"/>
        <v>0.89792883110440047</v>
      </c>
      <c r="O45" s="188"/>
      <c r="P45" s="109"/>
      <c r="Q45" s="119">
        <v>0.5</v>
      </c>
      <c r="R45" s="121"/>
      <c r="S45" s="121">
        <f>F45*Q45</f>
        <v>1769.861278895547</v>
      </c>
    </row>
    <row r="46" spans="1:24" x14ac:dyDescent="0.2">
      <c r="A46" s="108" t="s">
        <v>52</v>
      </c>
      <c r="D46" s="188">
        <f t="shared" ref="D46:N46" si="21">(D19+D20)/365*D13</f>
        <v>40684.931506849316</v>
      </c>
      <c r="E46" s="188">
        <f t="shared" si="21"/>
        <v>18800.136986301368</v>
      </c>
      <c r="F46" s="153">
        <f t="shared" si="21"/>
        <v>11203.611534246576</v>
      </c>
      <c r="G46" s="188">
        <f t="shared" si="21"/>
        <v>8718.9452569479472</v>
      </c>
      <c r="H46" s="188">
        <f t="shared" si="21"/>
        <v>8070.7137464769648</v>
      </c>
      <c r="I46" s="188">
        <f t="shared" si="21"/>
        <v>8090.1724419000002</v>
      </c>
      <c r="J46" s="188">
        <f t="shared" si="21"/>
        <v>8360.6909344670566</v>
      </c>
      <c r="K46" s="188">
        <f t="shared" si="21"/>
        <v>8734.1745045725547</v>
      </c>
      <c r="L46" s="188">
        <f t="shared" si="21"/>
        <v>9158.4281758531906</v>
      </c>
      <c r="M46" s="188">
        <f t="shared" si="21"/>
        <v>9615.52732711305</v>
      </c>
      <c r="N46" s="188">
        <f t="shared" si="21"/>
        <v>10099.817728610493</v>
      </c>
      <c r="O46" s="188"/>
      <c r="P46" s="109"/>
      <c r="Q46" s="119">
        <v>0.5</v>
      </c>
      <c r="R46" s="121"/>
      <c r="S46" s="121">
        <f>F46*Q46</f>
        <v>5601.8057671232882</v>
      </c>
    </row>
    <row r="47" spans="1:24" x14ac:dyDescent="0.2">
      <c r="D47" s="111"/>
      <c r="E47" s="111"/>
      <c r="F47" s="123"/>
      <c r="G47" s="111"/>
      <c r="H47" s="111"/>
      <c r="I47" s="111"/>
      <c r="J47" s="111"/>
      <c r="K47" s="111"/>
      <c r="L47" s="111"/>
      <c r="M47" s="111"/>
      <c r="N47" s="111"/>
      <c r="O47" s="111"/>
      <c r="P47" s="109"/>
      <c r="R47" s="121"/>
      <c r="S47" s="121"/>
    </row>
    <row r="48" spans="1:24" x14ac:dyDescent="0.2">
      <c r="A48" s="108" t="s">
        <v>22</v>
      </c>
      <c r="D48" s="152">
        <v>100000</v>
      </c>
      <c r="E48" s="152">
        <v>100000</v>
      </c>
      <c r="F48" s="153">
        <v>100000</v>
      </c>
      <c r="G48" s="152">
        <v>100000</v>
      </c>
      <c r="H48" s="152">
        <v>100000</v>
      </c>
      <c r="I48" s="152">
        <v>100000</v>
      </c>
      <c r="J48" s="152">
        <v>100000</v>
      </c>
      <c r="K48" s="152">
        <v>100000</v>
      </c>
      <c r="L48" s="152">
        <v>100000</v>
      </c>
      <c r="M48" s="152">
        <v>100000</v>
      </c>
      <c r="N48" s="152">
        <v>100000</v>
      </c>
      <c r="O48" s="152"/>
      <c r="P48" s="203">
        <v>30</v>
      </c>
      <c r="Q48" s="119">
        <v>0.6</v>
      </c>
      <c r="R48" s="121">
        <f>Q48*F48</f>
        <v>60000</v>
      </c>
      <c r="S48" s="121"/>
      <c r="X48" s="108" t="s">
        <v>63</v>
      </c>
    </row>
    <row r="49" spans="1:38" x14ac:dyDescent="0.2">
      <c r="A49" s="108" t="s">
        <v>62</v>
      </c>
      <c r="D49" s="152">
        <v>300000</v>
      </c>
      <c r="E49" s="152">
        <v>300000</v>
      </c>
      <c r="F49" s="153">
        <v>300000</v>
      </c>
      <c r="G49" s="152">
        <v>300000</v>
      </c>
      <c r="H49" s="152">
        <v>300000</v>
      </c>
      <c r="I49" s="152">
        <v>300000</v>
      </c>
      <c r="J49" s="152">
        <v>300000</v>
      </c>
      <c r="K49" s="152">
        <v>300000</v>
      </c>
      <c r="L49" s="152">
        <v>300000</v>
      </c>
      <c r="M49" s="152">
        <v>300000</v>
      </c>
      <c r="N49" s="152">
        <v>300000</v>
      </c>
      <c r="O49" s="152"/>
      <c r="P49" s="109"/>
      <c r="Q49" s="119">
        <v>0.6</v>
      </c>
      <c r="R49" s="121">
        <f>Q49*F49</f>
        <v>180000</v>
      </c>
      <c r="S49" s="121"/>
    </row>
    <row r="50" spans="1:38" x14ac:dyDescent="0.2">
      <c r="A50" s="108" t="s">
        <v>45</v>
      </c>
      <c r="D50" s="111">
        <v>17500</v>
      </c>
      <c r="E50" s="111">
        <v>17500</v>
      </c>
      <c r="F50" s="123">
        <v>17500</v>
      </c>
      <c r="G50" s="111">
        <v>17500</v>
      </c>
      <c r="H50" s="111">
        <v>17500</v>
      </c>
      <c r="I50" s="111">
        <v>17500</v>
      </c>
      <c r="J50" s="111">
        <v>17500</v>
      </c>
      <c r="K50" s="111">
        <v>17500</v>
      </c>
      <c r="L50" s="111">
        <v>17500</v>
      </c>
      <c r="M50" s="111">
        <v>17500</v>
      </c>
      <c r="N50" s="111">
        <v>17500</v>
      </c>
      <c r="O50" s="111"/>
      <c r="P50" s="109"/>
      <c r="Q50" s="119">
        <v>0.5</v>
      </c>
      <c r="R50" s="121"/>
      <c r="S50" s="121">
        <f>F50*Q50</f>
        <v>8750</v>
      </c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</row>
    <row r="51" spans="1:38" x14ac:dyDescent="0.2">
      <c r="A51" s="108" t="s">
        <v>23</v>
      </c>
      <c r="D51" s="111">
        <f t="shared" ref="D51:N51" si="22">C51+D31+D32</f>
        <v>3916.666666666667</v>
      </c>
      <c r="E51" s="111">
        <f t="shared" si="22"/>
        <v>7833.3333333333339</v>
      </c>
      <c r="F51" s="123">
        <f t="shared" si="22"/>
        <v>11750.000000000002</v>
      </c>
      <c r="G51" s="111">
        <f t="shared" si="22"/>
        <v>15666.66666666667</v>
      </c>
      <c r="H51" s="111">
        <f t="shared" si="22"/>
        <v>19583.333333333336</v>
      </c>
      <c r="I51" s="111">
        <f t="shared" si="22"/>
        <v>23500</v>
      </c>
      <c r="J51" s="111">
        <f t="shared" si="22"/>
        <v>27416.666666666664</v>
      </c>
      <c r="K51" s="111">
        <f t="shared" si="22"/>
        <v>31333.333333333328</v>
      </c>
      <c r="L51" s="111">
        <f t="shared" si="22"/>
        <v>35249.999999999993</v>
      </c>
      <c r="M51" s="111">
        <f t="shared" si="22"/>
        <v>39166.666666666664</v>
      </c>
      <c r="N51" s="111">
        <f t="shared" si="22"/>
        <v>43083.333333333336</v>
      </c>
      <c r="O51" s="111"/>
      <c r="P51" s="109"/>
      <c r="V51" s="170"/>
      <c r="W51" s="175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202"/>
      <c r="AK51" s="202"/>
      <c r="AL51" s="170"/>
    </row>
    <row r="52" spans="1:38" x14ac:dyDescent="0.2">
      <c r="D52" s="111"/>
      <c r="E52" s="111"/>
      <c r="F52" s="123"/>
      <c r="G52" s="111"/>
      <c r="H52" s="111"/>
      <c r="I52" s="111"/>
      <c r="J52" s="111"/>
      <c r="K52" s="111"/>
      <c r="L52" s="111"/>
      <c r="M52" s="111"/>
      <c r="N52" s="111"/>
      <c r="O52" s="111"/>
      <c r="P52" s="109"/>
      <c r="V52" s="170"/>
      <c r="W52" s="202"/>
      <c r="X52" s="202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99"/>
      <c r="AL52" s="170"/>
    </row>
    <row r="53" spans="1:38" x14ac:dyDescent="0.2">
      <c r="A53" s="201" t="s">
        <v>24</v>
      </c>
      <c r="B53" s="200"/>
      <c r="C53" s="200"/>
      <c r="D53" s="176">
        <f t="shared" ref="D53:N53" si="23">SUM(D43:D50)-D51</f>
        <v>685312.14423927607</v>
      </c>
      <c r="E53" s="176">
        <f t="shared" si="23"/>
        <v>592011.92546485388</v>
      </c>
      <c r="F53" s="123">
        <f t="shared" si="23"/>
        <v>541550.38131329091</v>
      </c>
      <c r="G53" s="176">
        <f t="shared" si="23"/>
        <v>498938.46290088492</v>
      </c>
      <c r="H53" s="176">
        <f t="shared" si="23"/>
        <v>442170.10010777455</v>
      </c>
      <c r="I53" s="176">
        <f t="shared" si="23"/>
        <v>432248.8704527673</v>
      </c>
      <c r="J53" s="176">
        <f t="shared" si="23"/>
        <v>428500.40173616097</v>
      </c>
      <c r="K53" s="176">
        <f t="shared" si="23"/>
        <v>424920.86926687433</v>
      </c>
      <c r="L53" s="176">
        <f t="shared" si="23"/>
        <v>421415.54315682757</v>
      </c>
      <c r="M53" s="176">
        <f t="shared" si="23"/>
        <v>417951.3882574375</v>
      </c>
      <c r="N53" s="176">
        <f t="shared" si="23"/>
        <v>414517.38232410827</v>
      </c>
      <c r="O53" s="176"/>
      <c r="P53" s="109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99"/>
      <c r="AI53" s="170"/>
      <c r="AJ53" s="170"/>
      <c r="AK53" s="181"/>
      <c r="AL53" s="170"/>
    </row>
    <row r="54" spans="1:38" x14ac:dyDescent="0.2">
      <c r="D54" s="111"/>
      <c r="E54" s="111"/>
      <c r="F54" s="123"/>
      <c r="G54" s="111"/>
      <c r="H54" s="111"/>
      <c r="I54" s="111"/>
      <c r="J54" s="111"/>
      <c r="K54" s="111"/>
      <c r="L54" s="111"/>
      <c r="M54" s="111"/>
      <c r="N54" s="111"/>
      <c r="O54" s="111"/>
      <c r="P54" s="109"/>
      <c r="V54" s="170"/>
      <c r="W54" s="170"/>
      <c r="X54" s="181"/>
      <c r="Y54" s="170"/>
      <c r="Z54" s="170"/>
      <c r="AA54" s="170"/>
      <c r="AB54" s="170"/>
      <c r="AC54" s="170"/>
      <c r="AD54" s="170"/>
      <c r="AE54" s="170"/>
      <c r="AF54" s="170"/>
      <c r="AG54" s="170"/>
      <c r="AH54" s="199"/>
      <c r="AI54" s="170"/>
      <c r="AJ54" s="170"/>
      <c r="AK54" s="181"/>
      <c r="AL54" s="170"/>
    </row>
    <row r="55" spans="1:38" x14ac:dyDescent="0.2">
      <c r="A55" s="198" t="s">
        <v>25</v>
      </c>
      <c r="B55" s="198"/>
      <c r="C55" s="197"/>
      <c r="D55" s="111"/>
      <c r="E55" s="111"/>
      <c r="F55" s="123"/>
      <c r="G55" s="111"/>
      <c r="H55" s="111"/>
      <c r="I55" s="111"/>
      <c r="J55" s="111"/>
      <c r="K55" s="111"/>
      <c r="L55" s="111"/>
      <c r="M55" s="111"/>
      <c r="N55" s="111"/>
      <c r="O55" s="111"/>
      <c r="P55" s="109"/>
      <c r="V55" s="170"/>
      <c r="W55" s="170"/>
      <c r="X55" s="181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1"/>
      <c r="AK55" s="174"/>
      <c r="AL55" s="170"/>
    </row>
    <row r="56" spans="1:38" x14ac:dyDescent="0.2">
      <c r="A56" s="108" t="s">
        <v>26</v>
      </c>
      <c r="D56" s="111">
        <f t="shared" ref="D56:N56" si="24">D38</f>
        <v>0</v>
      </c>
      <c r="E56" s="111">
        <f t="shared" si="24"/>
        <v>0</v>
      </c>
      <c r="F56" s="123">
        <f t="shared" si="24"/>
        <v>0</v>
      </c>
      <c r="G56" s="111">
        <f t="shared" si="24"/>
        <v>0</v>
      </c>
      <c r="H56" s="111">
        <f t="shared" si="24"/>
        <v>0</v>
      </c>
      <c r="I56" s="111">
        <f t="shared" si="24"/>
        <v>0</v>
      </c>
      <c r="J56" s="111">
        <f t="shared" si="24"/>
        <v>0</v>
      </c>
      <c r="K56" s="111">
        <f t="shared" si="24"/>
        <v>0</v>
      </c>
      <c r="L56" s="111">
        <f t="shared" si="24"/>
        <v>0</v>
      </c>
      <c r="M56" s="111">
        <f t="shared" si="24"/>
        <v>0</v>
      </c>
      <c r="N56" s="111">
        <f t="shared" si="24"/>
        <v>0</v>
      </c>
      <c r="O56" s="111"/>
      <c r="P56" s="109"/>
      <c r="V56" s="170"/>
      <c r="W56" s="170"/>
      <c r="X56" s="181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</row>
    <row r="57" spans="1:38" x14ac:dyDescent="0.2">
      <c r="A57" s="108" t="s">
        <v>27</v>
      </c>
      <c r="D57" s="188">
        <f t="shared" ref="D57:N57" si="25">D22/365*D16</f>
        <v>37397.260273972599</v>
      </c>
      <c r="E57" s="188">
        <f t="shared" si="25"/>
        <v>13089.041095890409</v>
      </c>
      <c r="F57" s="153">
        <f t="shared" si="25"/>
        <v>4581.1643835616433</v>
      </c>
      <c r="G57" s="188">
        <f t="shared" si="25"/>
        <v>1603.4075342465749</v>
      </c>
      <c r="H57" s="188">
        <f t="shared" si="25"/>
        <v>561.19263698630118</v>
      </c>
      <c r="I57" s="188">
        <f t="shared" si="25"/>
        <v>196.4174229452054</v>
      </c>
      <c r="J57" s="188">
        <f t="shared" si="25"/>
        <v>68.746098030821884</v>
      </c>
      <c r="K57" s="188">
        <f t="shared" si="25"/>
        <v>24.061134310787665</v>
      </c>
      <c r="L57" s="188">
        <f t="shared" si="25"/>
        <v>8.4213970087756813</v>
      </c>
      <c r="M57" s="188">
        <f t="shared" si="25"/>
        <v>2.9474889530714883</v>
      </c>
      <c r="N57" s="188">
        <f t="shared" si="25"/>
        <v>1.0316211335750207</v>
      </c>
      <c r="O57" s="188"/>
      <c r="P57" s="109"/>
      <c r="Q57" s="119">
        <v>-1</v>
      </c>
      <c r="R57" s="162"/>
      <c r="S57" s="196">
        <f>Q57*F57</f>
        <v>-4581.1643835616433</v>
      </c>
      <c r="Y57" s="170"/>
      <c r="Z57" s="240"/>
      <c r="AA57" s="240"/>
      <c r="AB57" s="240"/>
      <c r="AC57" s="240"/>
      <c r="AD57" s="240"/>
      <c r="AE57" s="240"/>
      <c r="AF57" s="170"/>
      <c r="AG57" s="239"/>
      <c r="AH57" s="239"/>
      <c r="AI57" s="239"/>
      <c r="AJ57" s="239"/>
      <c r="AK57" s="170"/>
      <c r="AL57" s="170"/>
    </row>
    <row r="58" spans="1:38" x14ac:dyDescent="0.2">
      <c r="D58" s="188"/>
      <c r="E58" s="188"/>
      <c r="F58" s="191"/>
      <c r="G58" s="188"/>
      <c r="H58" s="188"/>
      <c r="I58" s="188"/>
      <c r="J58" s="188"/>
      <c r="K58" s="188"/>
      <c r="L58" s="188"/>
      <c r="M58" s="188"/>
      <c r="N58" s="188"/>
      <c r="O58" s="188"/>
      <c r="P58" s="109"/>
      <c r="Q58" s="119"/>
      <c r="R58" s="154"/>
      <c r="S58" s="195"/>
      <c r="Y58" s="170"/>
      <c r="Z58" s="189"/>
      <c r="AA58" s="189"/>
      <c r="AB58" s="189"/>
      <c r="AC58" s="189"/>
      <c r="AD58" s="189"/>
      <c r="AE58" s="189"/>
      <c r="AF58" s="170"/>
      <c r="AG58" s="192"/>
      <c r="AH58" s="192"/>
      <c r="AI58" s="192"/>
      <c r="AJ58" s="192"/>
      <c r="AK58" s="170"/>
      <c r="AL58" s="170"/>
    </row>
    <row r="59" spans="1:38" x14ac:dyDescent="0.2">
      <c r="D59" s="188"/>
      <c r="E59" s="188"/>
      <c r="F59" s="191"/>
      <c r="G59" s="188"/>
      <c r="H59" s="188"/>
      <c r="I59" s="188"/>
      <c r="J59" s="188"/>
      <c r="K59" s="188"/>
      <c r="L59" s="188"/>
      <c r="M59" s="188"/>
      <c r="N59" s="188"/>
      <c r="O59" s="188"/>
      <c r="P59" s="109"/>
      <c r="Q59" s="194" t="s">
        <v>126</v>
      </c>
      <c r="R59" s="152">
        <f>SUM(R43:R57)</f>
        <v>240000</v>
      </c>
      <c r="S59" s="152">
        <f>SUM(S43:S57)</f>
        <v>41540.502662457191</v>
      </c>
      <c r="Y59" s="170"/>
      <c r="Z59" s="189"/>
      <c r="AA59" s="189"/>
      <c r="AB59" s="189"/>
      <c r="AC59" s="189"/>
      <c r="AD59" s="189"/>
      <c r="AE59" s="189"/>
      <c r="AF59" s="170"/>
      <c r="AG59" s="192"/>
      <c r="AH59" s="192"/>
      <c r="AI59" s="192"/>
      <c r="AJ59" s="192"/>
      <c r="AK59" s="170"/>
      <c r="AL59" s="170"/>
    </row>
    <row r="60" spans="1:38" x14ac:dyDescent="0.2">
      <c r="D60" s="188"/>
      <c r="E60" s="188"/>
      <c r="F60" s="191"/>
      <c r="G60" s="188"/>
      <c r="H60" s="188"/>
      <c r="I60" s="188"/>
      <c r="J60" s="188"/>
      <c r="K60" s="188"/>
      <c r="L60" s="188"/>
      <c r="M60" s="188"/>
      <c r="N60" s="188"/>
      <c r="O60" s="188"/>
      <c r="P60" s="109"/>
      <c r="Q60" s="194" t="s">
        <v>128</v>
      </c>
      <c r="S60" s="152">
        <f>IF(R59&gt;R65,R59-R65,0)</f>
        <v>0</v>
      </c>
      <c r="Y60" s="170"/>
      <c r="Z60" s="189"/>
      <c r="AA60" s="189"/>
      <c r="AB60" s="189"/>
      <c r="AC60" s="189"/>
      <c r="AD60" s="189"/>
      <c r="AE60" s="189"/>
      <c r="AF60" s="170"/>
      <c r="AG60" s="192"/>
      <c r="AH60" s="192"/>
      <c r="AI60" s="192"/>
      <c r="AJ60" s="192"/>
      <c r="AK60" s="170"/>
      <c r="AL60" s="170"/>
    </row>
    <row r="61" spans="1:38" x14ac:dyDescent="0.2">
      <c r="D61" s="188"/>
      <c r="E61" s="188"/>
      <c r="F61" s="191"/>
      <c r="G61" s="188"/>
      <c r="H61" s="188"/>
      <c r="I61" s="188"/>
      <c r="J61" s="188"/>
      <c r="K61" s="188"/>
      <c r="L61" s="188"/>
      <c r="M61" s="188"/>
      <c r="N61" s="188"/>
      <c r="O61" s="188"/>
      <c r="P61" s="109"/>
      <c r="Q61" s="194" t="s">
        <v>127</v>
      </c>
      <c r="S61" s="152">
        <v>2500</v>
      </c>
      <c r="Y61" s="170"/>
      <c r="Z61" s="189"/>
      <c r="AA61" s="189"/>
      <c r="AB61" s="189"/>
      <c r="AC61" s="189"/>
      <c r="AD61" s="189"/>
      <c r="AE61" s="189"/>
      <c r="AF61" s="170"/>
      <c r="AG61" s="192"/>
      <c r="AH61" s="192"/>
      <c r="AI61" s="192"/>
      <c r="AJ61" s="192"/>
      <c r="AK61" s="170"/>
      <c r="AL61" s="170"/>
    </row>
    <row r="62" spans="1:38" ht="13.5" thickBot="1" x14ac:dyDescent="0.25">
      <c r="D62" s="188"/>
      <c r="E62" s="188"/>
      <c r="F62" s="191"/>
      <c r="G62" s="188"/>
      <c r="H62" s="188"/>
      <c r="I62" s="188"/>
      <c r="J62" s="188"/>
      <c r="K62" s="188"/>
      <c r="L62" s="188"/>
      <c r="M62" s="188"/>
      <c r="N62" s="188"/>
      <c r="O62" s="188"/>
      <c r="P62" s="109"/>
      <c r="Q62" s="194" t="s">
        <v>126</v>
      </c>
      <c r="S62" s="193">
        <f>S59+S60-S61</f>
        <v>39040.502662457191</v>
      </c>
      <c r="Y62" s="170"/>
      <c r="Z62" s="189"/>
      <c r="AA62" s="189"/>
      <c r="AB62" s="189"/>
      <c r="AC62" s="189"/>
      <c r="AD62" s="189"/>
      <c r="AE62" s="189"/>
      <c r="AF62" s="170"/>
      <c r="AG62" s="192"/>
      <c r="AH62" s="192"/>
      <c r="AI62" s="192"/>
      <c r="AJ62" s="192"/>
      <c r="AK62" s="170"/>
      <c r="AL62" s="170"/>
    </row>
    <row r="63" spans="1:38" x14ac:dyDescent="0.2">
      <c r="D63" s="188"/>
      <c r="E63" s="188"/>
      <c r="F63" s="191"/>
      <c r="G63" s="188"/>
      <c r="H63" s="188"/>
      <c r="I63" s="188"/>
      <c r="J63" s="188"/>
      <c r="K63" s="188"/>
      <c r="L63" s="188"/>
      <c r="M63" s="188"/>
      <c r="N63" s="188"/>
      <c r="O63" s="188"/>
      <c r="P63" s="109"/>
      <c r="Y63" s="170"/>
      <c r="Z63" s="189"/>
      <c r="AA63" s="189"/>
      <c r="AB63" s="189"/>
      <c r="AC63" s="189"/>
      <c r="AD63" s="189"/>
      <c r="AE63" s="189"/>
      <c r="AF63" s="170"/>
      <c r="AG63" s="192"/>
      <c r="AH63" s="192"/>
      <c r="AI63" s="192"/>
      <c r="AJ63" s="192"/>
      <c r="AK63" s="170"/>
      <c r="AL63" s="170"/>
    </row>
    <row r="64" spans="1:38" x14ac:dyDescent="0.2">
      <c r="D64" s="188"/>
      <c r="E64" s="188"/>
      <c r="F64" s="191"/>
      <c r="G64" s="188"/>
      <c r="H64" s="188"/>
      <c r="I64" s="188"/>
      <c r="J64" s="188"/>
      <c r="K64" s="188"/>
      <c r="L64" s="188"/>
      <c r="M64" s="188"/>
      <c r="N64" s="188"/>
      <c r="O64" s="188"/>
      <c r="P64" s="109"/>
      <c r="R64" s="190" t="s">
        <v>125</v>
      </c>
      <c r="S64" s="190" t="s">
        <v>124</v>
      </c>
      <c r="T64" s="190" t="s">
        <v>123</v>
      </c>
      <c r="U64" s="190" t="s">
        <v>122</v>
      </c>
      <c r="V64" s="190" t="s">
        <v>121</v>
      </c>
      <c r="W64" s="190" t="s">
        <v>120</v>
      </c>
      <c r="Y64" s="170"/>
      <c r="Z64" s="189"/>
      <c r="AA64" s="189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</row>
    <row r="65" spans="1:38" x14ac:dyDescent="0.2">
      <c r="A65" s="108" t="s">
        <v>28</v>
      </c>
      <c r="D65" s="111">
        <f>'Mortgage (2)'!G18</f>
        <v>489431.66850338219</v>
      </c>
      <c r="E65" s="111">
        <f>'Mortgage (2)'!G30</f>
        <v>477986.1707047667</v>
      </c>
      <c r="F65" s="123">
        <f>'Mortgage (2)'!G42</f>
        <v>465590.70223369979</v>
      </c>
      <c r="G65" s="111">
        <f>'Mortgage (2)'!G54</f>
        <v>452166.41599288624</v>
      </c>
      <c r="H65" s="111">
        <f>'Mortgage (2)'!G66</f>
        <v>437627.92061484227</v>
      </c>
      <c r="I65" s="111">
        <f>'Mortgage (2)'!F78</f>
        <v>421882.73729069723</v>
      </c>
      <c r="J65" s="111">
        <f>'Mortgage (2)'!F90</f>
        <v>404830.71151605446</v>
      </c>
      <c r="K65" s="111">
        <f>'Mortgage (2)'!F102</f>
        <v>386363.3760120474</v>
      </c>
      <c r="L65" s="111">
        <f>'Mortgage (2)'!F114</f>
        <v>366363.26076915895</v>
      </c>
      <c r="M65" s="111">
        <f>'Mortgage (2)'!F126</f>
        <v>344703.14582501742</v>
      </c>
      <c r="N65" s="111">
        <f>'Mortgage (2)'!F138</f>
        <v>321245.2520231182</v>
      </c>
      <c r="O65" s="111"/>
      <c r="P65" s="188">
        <v>500000</v>
      </c>
      <c r="R65" s="128">
        <f>R59</f>
        <v>240000</v>
      </c>
      <c r="S65" s="128">
        <f>F65-R65</f>
        <v>225590.70223369979</v>
      </c>
      <c r="T65" s="187">
        <f>S65/S67</f>
        <v>0.4766616658763056</v>
      </c>
      <c r="U65" s="186">
        <f>T65*S62</f>
        <v>18609.11103573519</v>
      </c>
      <c r="V65" s="185">
        <f>R65+U65</f>
        <v>258609.1110357352</v>
      </c>
      <c r="W65" s="184">
        <f>V65/N65</f>
        <v>0.8050208039094211</v>
      </c>
      <c r="Y65" s="170"/>
      <c r="Z65" s="175"/>
      <c r="AA65" s="180"/>
      <c r="AB65" s="173"/>
      <c r="AC65" s="181"/>
      <c r="AD65" s="181"/>
      <c r="AE65" s="170"/>
      <c r="AF65" s="170"/>
      <c r="AG65" s="173"/>
      <c r="AH65" s="173"/>
      <c r="AI65" s="182"/>
      <c r="AJ65" s="181"/>
      <c r="AK65" s="170"/>
      <c r="AL65" s="170"/>
    </row>
    <row r="66" spans="1:38" x14ac:dyDescent="0.2">
      <c r="A66" s="108" t="s">
        <v>29</v>
      </c>
      <c r="D66" s="111">
        <v>39319.949746197934</v>
      </c>
      <c r="E66" s="111">
        <v>115218.35661792477</v>
      </c>
      <c r="F66" s="123">
        <v>247681.47042773871</v>
      </c>
      <c r="G66" s="111">
        <v>402547.96189773577</v>
      </c>
      <c r="H66" s="111">
        <v>556705.20314311166</v>
      </c>
      <c r="I66" s="111">
        <v>777155.80288782367</v>
      </c>
      <c r="J66" s="111">
        <v>1025633.3203368369</v>
      </c>
      <c r="K66" s="111">
        <v>1298266.5024820627</v>
      </c>
      <c r="L66" s="111">
        <v>1597369.9049324256</v>
      </c>
      <c r="M66" s="111">
        <v>1925598.7867236324</v>
      </c>
      <c r="N66" s="111">
        <v>2285926.8894260824</v>
      </c>
      <c r="O66" s="111"/>
      <c r="P66" s="118">
        <v>0.1</v>
      </c>
      <c r="S66" s="128">
        <f>F66-R66</f>
        <v>247681.47042773871</v>
      </c>
      <c r="T66" s="187">
        <f>S66/S67</f>
        <v>0.52333833412369446</v>
      </c>
      <c r="U66" s="186">
        <f>T66*S62</f>
        <v>20431.391626722005</v>
      </c>
      <c r="V66" s="185">
        <f>U66+R66</f>
        <v>20431.391626722005</v>
      </c>
      <c r="W66" s="184">
        <f>V66/N66</f>
        <v>8.937902485521584E-3</v>
      </c>
      <c r="Y66" s="170"/>
      <c r="Z66" s="175"/>
      <c r="AA66" s="180"/>
      <c r="AB66" s="173"/>
      <c r="AC66" s="181"/>
      <c r="AD66" s="181"/>
      <c r="AE66" s="170"/>
      <c r="AF66" s="170"/>
      <c r="AG66" s="173"/>
      <c r="AH66" s="173"/>
      <c r="AI66" s="182"/>
      <c r="AJ66" s="181"/>
      <c r="AK66" s="170"/>
      <c r="AL66" s="170"/>
    </row>
    <row r="67" spans="1:38" ht="13.5" thickBot="1" x14ac:dyDescent="0.25">
      <c r="D67" s="111"/>
      <c r="E67" s="111"/>
      <c r="F67" s="123"/>
      <c r="G67" s="111"/>
      <c r="H67" s="111"/>
      <c r="I67" s="111"/>
      <c r="J67" s="111"/>
      <c r="K67" s="111"/>
      <c r="L67" s="111"/>
      <c r="M67" s="111"/>
      <c r="N67" s="111"/>
      <c r="O67" s="111"/>
      <c r="P67" s="109"/>
      <c r="S67" s="183">
        <f>SUM(S65:S66)</f>
        <v>473272.17266143847</v>
      </c>
      <c r="Y67" s="170"/>
      <c r="Z67" s="170"/>
      <c r="AA67" s="180"/>
      <c r="AB67" s="170"/>
      <c r="AC67" s="170"/>
      <c r="AD67" s="170"/>
      <c r="AE67" s="170"/>
      <c r="AF67" s="170"/>
      <c r="AG67" s="170"/>
      <c r="AH67" s="170"/>
      <c r="AI67" s="182"/>
      <c r="AJ67" s="181"/>
      <c r="AK67" s="170"/>
      <c r="AL67" s="170"/>
    </row>
    <row r="68" spans="1:38" x14ac:dyDescent="0.2">
      <c r="A68" s="108" t="s">
        <v>30</v>
      </c>
      <c r="D68" s="111">
        <v>200000</v>
      </c>
      <c r="E68" s="111">
        <v>200000</v>
      </c>
      <c r="F68" s="123">
        <v>200000</v>
      </c>
      <c r="G68" s="111">
        <v>200000</v>
      </c>
      <c r="H68" s="111">
        <v>200000</v>
      </c>
      <c r="I68" s="111">
        <v>200000</v>
      </c>
      <c r="J68" s="111">
        <v>200000</v>
      </c>
      <c r="K68" s="111">
        <v>200000</v>
      </c>
      <c r="L68" s="111">
        <v>200000</v>
      </c>
      <c r="M68" s="111">
        <v>200000</v>
      </c>
      <c r="N68" s="111">
        <v>200000</v>
      </c>
      <c r="O68" s="111"/>
      <c r="P68" s="109"/>
      <c r="Y68" s="170"/>
      <c r="Z68" s="175"/>
      <c r="AA68" s="180"/>
      <c r="AB68" s="182"/>
      <c r="AC68" s="182"/>
      <c r="AD68" s="181"/>
      <c r="AE68" s="170"/>
      <c r="AF68" s="170"/>
      <c r="AG68" s="173"/>
      <c r="AH68" s="182"/>
      <c r="AI68" s="182"/>
      <c r="AJ68" s="181"/>
      <c r="AK68" s="170"/>
      <c r="AL68" s="170"/>
    </row>
    <row r="69" spans="1:38" x14ac:dyDescent="0.2">
      <c r="A69" s="108" t="s">
        <v>31</v>
      </c>
      <c r="D69" s="111">
        <f t="shared" ref="D69:N69" si="26">C69+D39</f>
        <v>-80836.734284276492</v>
      </c>
      <c r="E69" s="111">
        <f t="shared" si="26"/>
        <v>-214281.64295372795</v>
      </c>
      <c r="F69" s="123">
        <f t="shared" si="26"/>
        <v>-376302.95573170925</v>
      </c>
      <c r="G69" s="111">
        <f t="shared" si="26"/>
        <v>-557379.32252398366</v>
      </c>
      <c r="H69" s="111">
        <f t="shared" si="26"/>
        <v>-752724.21628716565</v>
      </c>
      <c r="I69" s="111">
        <f t="shared" si="26"/>
        <v>-966986.08714869875</v>
      </c>
      <c r="J69" s="111">
        <f t="shared" si="26"/>
        <v>-1202032.3762147611</v>
      </c>
      <c r="K69" s="111">
        <f t="shared" si="26"/>
        <v>-1459733.0703615472</v>
      </c>
      <c r="L69" s="111">
        <f t="shared" si="26"/>
        <v>-1742326.043941766</v>
      </c>
      <c r="M69" s="111">
        <f t="shared" si="26"/>
        <v>-2052353.4917801651</v>
      </c>
      <c r="N69" s="111">
        <f t="shared" si="26"/>
        <v>-2392655.790746225</v>
      </c>
      <c r="O69" s="111"/>
      <c r="P69" s="109"/>
      <c r="Y69" s="170"/>
      <c r="Z69" s="175"/>
      <c r="AA69" s="18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</row>
    <row r="70" spans="1:38" x14ac:dyDescent="0.2">
      <c r="D70" s="111"/>
      <c r="E70" s="111"/>
      <c r="F70" s="123"/>
      <c r="G70" s="111"/>
      <c r="H70" s="111"/>
      <c r="I70" s="111"/>
      <c r="J70" s="111"/>
      <c r="K70" s="111"/>
      <c r="L70" s="111"/>
      <c r="M70" s="111"/>
      <c r="N70" s="111"/>
      <c r="O70" s="111"/>
      <c r="P70" s="109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</row>
    <row r="71" spans="1:38" x14ac:dyDescent="0.2">
      <c r="A71" s="179" t="s">
        <v>32</v>
      </c>
      <c r="B71" s="178"/>
      <c r="C71" s="177"/>
      <c r="D71" s="176">
        <f t="shared" ref="D71:N71" si="27">SUM(D56:D69)</f>
        <v>685312.14423927618</v>
      </c>
      <c r="E71" s="176">
        <f t="shared" si="27"/>
        <v>592011.92546485388</v>
      </c>
      <c r="F71" s="123">
        <f t="shared" si="27"/>
        <v>541550.38131329091</v>
      </c>
      <c r="G71" s="176">
        <f t="shared" si="27"/>
        <v>498938.46290088492</v>
      </c>
      <c r="H71" s="176">
        <f t="shared" si="27"/>
        <v>442170.1001077746</v>
      </c>
      <c r="I71" s="176">
        <f t="shared" si="27"/>
        <v>432248.87045276747</v>
      </c>
      <c r="J71" s="176">
        <f t="shared" si="27"/>
        <v>428500.40173616097</v>
      </c>
      <c r="K71" s="176">
        <f t="shared" si="27"/>
        <v>424920.86926687369</v>
      </c>
      <c r="L71" s="176">
        <f t="shared" si="27"/>
        <v>421415.54315682733</v>
      </c>
      <c r="M71" s="176">
        <f t="shared" si="27"/>
        <v>417951.38825743785</v>
      </c>
      <c r="N71" s="176">
        <f t="shared" si="27"/>
        <v>414517.38232410885</v>
      </c>
      <c r="O71" s="176"/>
      <c r="P71" s="109"/>
      <c r="Y71" s="170"/>
      <c r="Z71" s="175"/>
      <c r="AA71" s="173"/>
      <c r="AB71" s="170"/>
      <c r="AC71" s="170"/>
      <c r="AD71" s="174"/>
      <c r="AE71" s="171"/>
      <c r="AF71" s="170"/>
      <c r="AG71" s="173"/>
      <c r="AH71" s="170"/>
      <c r="AI71" s="170"/>
      <c r="AJ71" s="172"/>
      <c r="AK71" s="171"/>
      <c r="AL71" s="170"/>
    </row>
    <row r="72" spans="1:38" x14ac:dyDescent="0.2">
      <c r="D72" s="111"/>
      <c r="E72" s="111"/>
      <c r="F72" s="123"/>
      <c r="G72" s="111"/>
      <c r="H72" s="111"/>
      <c r="I72" s="111"/>
      <c r="J72" s="111"/>
      <c r="K72" s="111"/>
      <c r="L72" s="111"/>
      <c r="M72" s="111"/>
      <c r="N72" s="111"/>
      <c r="O72" s="111"/>
      <c r="P72" s="109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</row>
    <row r="73" spans="1:38" x14ac:dyDescent="0.2">
      <c r="A73" s="108" t="s">
        <v>33</v>
      </c>
      <c r="D73" s="111">
        <f t="shared" ref="D73:N73" si="28">D53-D71</f>
        <v>0</v>
      </c>
      <c r="E73" s="111">
        <f t="shared" si="28"/>
        <v>0</v>
      </c>
      <c r="F73" s="123">
        <f t="shared" si="28"/>
        <v>0</v>
      </c>
      <c r="G73" s="111">
        <f t="shared" si="28"/>
        <v>0</v>
      </c>
      <c r="H73" s="111">
        <f t="shared" si="28"/>
        <v>0</v>
      </c>
      <c r="I73" s="111">
        <f t="shared" si="28"/>
        <v>0</v>
      </c>
      <c r="J73" s="111">
        <f t="shared" si="28"/>
        <v>0</v>
      </c>
      <c r="K73" s="111">
        <f t="shared" si="28"/>
        <v>6.4028427004814148E-10</v>
      </c>
      <c r="L73" s="111">
        <f t="shared" si="28"/>
        <v>0</v>
      </c>
      <c r="M73" s="111">
        <f t="shared" si="28"/>
        <v>0</v>
      </c>
      <c r="N73" s="111">
        <f t="shared" si="28"/>
        <v>-5.8207660913467407E-10</v>
      </c>
      <c r="O73" s="111"/>
      <c r="P73" s="109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</row>
    <row r="74" spans="1:38" x14ac:dyDescent="0.2">
      <c r="D74" s="111"/>
      <c r="E74" s="111"/>
      <c r="F74" s="123"/>
      <c r="G74" s="111"/>
      <c r="H74" s="111"/>
      <c r="I74" s="111"/>
      <c r="J74" s="111"/>
      <c r="K74" s="111"/>
      <c r="L74" s="111"/>
      <c r="M74" s="111"/>
      <c r="N74" s="111"/>
    </row>
    <row r="75" spans="1:38" s="166" customFormat="1" ht="8.25" customHeight="1" x14ac:dyDescent="0.2">
      <c r="D75" s="168"/>
      <c r="E75" s="168"/>
      <c r="F75" s="169"/>
      <c r="G75" s="168"/>
      <c r="H75" s="168"/>
      <c r="I75" s="168"/>
      <c r="J75" s="168"/>
      <c r="K75" s="168"/>
      <c r="L75" s="168"/>
      <c r="M75" s="168"/>
      <c r="N75" s="168"/>
      <c r="O75" s="167"/>
    </row>
    <row r="76" spans="1:38" x14ac:dyDescent="0.2">
      <c r="C76" s="164">
        <v>0</v>
      </c>
      <c r="D76" s="163">
        <v>1</v>
      </c>
      <c r="E76" s="163">
        <v>2</v>
      </c>
      <c r="F76" s="165">
        <v>3</v>
      </c>
      <c r="G76" s="163">
        <v>4</v>
      </c>
      <c r="H76" s="163">
        <v>5</v>
      </c>
      <c r="I76" s="164">
        <v>6</v>
      </c>
      <c r="J76" s="163">
        <v>7</v>
      </c>
      <c r="K76" s="163">
        <v>8</v>
      </c>
      <c r="L76" s="164">
        <v>9</v>
      </c>
      <c r="M76" s="163">
        <v>10</v>
      </c>
      <c r="N76" s="163">
        <v>11</v>
      </c>
      <c r="O76" s="111"/>
      <c r="P76" s="111"/>
      <c r="Q76" s="111"/>
    </row>
    <row r="77" spans="1:38" x14ac:dyDescent="0.2">
      <c r="A77" s="126" t="s">
        <v>77</v>
      </c>
      <c r="D77" s="111"/>
      <c r="E77" s="111"/>
      <c r="F77" s="123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</row>
    <row r="78" spans="1:38" x14ac:dyDescent="0.2">
      <c r="A78" s="108" t="s">
        <v>78</v>
      </c>
      <c r="D78" s="111"/>
      <c r="E78" s="111"/>
      <c r="F78" s="123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</row>
    <row r="79" spans="1:38" x14ac:dyDescent="0.2">
      <c r="B79" s="134" t="s">
        <v>79</v>
      </c>
      <c r="D79" s="111">
        <f t="shared" ref="D79:N79" si="29">D19+D20-D22-D25-D26-D27-D28-D29</f>
        <v>-33370</v>
      </c>
      <c r="E79" s="111">
        <f t="shared" si="29"/>
        <v>-79265.500000000015</v>
      </c>
      <c r="F79" s="123">
        <f t="shared" si="29"/>
        <v>-95545.563399999985</v>
      </c>
      <c r="G79" s="111">
        <f t="shared" si="29"/>
        <v>-100142.78603703999</v>
      </c>
      <c r="H79" s="111">
        <f t="shared" si="29"/>
        <v>-100109.7980206402</v>
      </c>
      <c r="I79" s="111">
        <f t="shared" si="29"/>
        <v>-98188.403090621199</v>
      </c>
      <c r="J79" s="111">
        <f t="shared" si="29"/>
        <v>-95431.912000747019</v>
      </c>
      <c r="K79" s="111">
        <f t="shared" si="29"/>
        <v>-92238.30859631252</v>
      </c>
      <c r="L79" s="111">
        <f t="shared" si="29"/>
        <v>-88753.027523590441</v>
      </c>
      <c r="M79" s="111">
        <f t="shared" si="29"/>
        <v>-85024.613303902981</v>
      </c>
      <c r="N79" s="111">
        <f t="shared" si="29"/>
        <v>-81064.43301907678</v>
      </c>
      <c r="O79" s="111"/>
      <c r="P79" s="111"/>
      <c r="Q79" s="111"/>
    </row>
    <row r="80" spans="1:38" x14ac:dyDescent="0.2">
      <c r="B80" s="134" t="s">
        <v>80</v>
      </c>
      <c r="D80" s="111">
        <f t="shared" ref="D80:N80" si="30">D51</f>
        <v>3916.666666666667</v>
      </c>
      <c r="E80" s="111">
        <f t="shared" si="30"/>
        <v>7833.3333333333339</v>
      </c>
      <c r="F80" s="123">
        <f t="shared" si="30"/>
        <v>11750.000000000002</v>
      </c>
      <c r="G80" s="111">
        <f t="shared" si="30"/>
        <v>15666.66666666667</v>
      </c>
      <c r="H80" s="111">
        <f t="shared" si="30"/>
        <v>19583.333333333336</v>
      </c>
      <c r="I80" s="111">
        <f t="shared" si="30"/>
        <v>23500</v>
      </c>
      <c r="J80" s="111">
        <f t="shared" si="30"/>
        <v>27416.666666666664</v>
      </c>
      <c r="K80" s="111">
        <f t="shared" si="30"/>
        <v>31333.333333333328</v>
      </c>
      <c r="L80" s="111">
        <f t="shared" si="30"/>
        <v>35249.999999999993</v>
      </c>
      <c r="M80" s="111">
        <f t="shared" si="30"/>
        <v>39166.666666666664</v>
      </c>
      <c r="N80" s="111">
        <f t="shared" si="30"/>
        <v>43083.333333333336</v>
      </c>
      <c r="O80" s="111"/>
      <c r="P80" s="111"/>
      <c r="Q80" s="111"/>
    </row>
    <row r="81" spans="1:17" x14ac:dyDescent="0.2">
      <c r="B81" s="134" t="s">
        <v>81</v>
      </c>
      <c r="D81" s="111">
        <f t="shared" ref="D81:N81" si="31">D79-D80</f>
        <v>-37286.666666666664</v>
      </c>
      <c r="E81" s="111">
        <f t="shared" si="31"/>
        <v>-87098.833333333343</v>
      </c>
      <c r="F81" s="123">
        <f t="shared" si="31"/>
        <v>-107295.56339999998</v>
      </c>
      <c r="G81" s="111">
        <f t="shared" si="31"/>
        <v>-115809.45270370666</v>
      </c>
      <c r="H81" s="111">
        <f t="shared" si="31"/>
        <v>-119693.13135397353</v>
      </c>
      <c r="I81" s="111">
        <f t="shared" si="31"/>
        <v>-121688.4030906212</v>
      </c>
      <c r="J81" s="111">
        <f t="shared" si="31"/>
        <v>-122848.57866741368</v>
      </c>
      <c r="K81" s="111">
        <f t="shared" si="31"/>
        <v>-123571.64192964585</v>
      </c>
      <c r="L81" s="111">
        <f t="shared" si="31"/>
        <v>-124003.02752359043</v>
      </c>
      <c r="M81" s="111">
        <f t="shared" si="31"/>
        <v>-124191.27997056965</v>
      </c>
      <c r="N81" s="111">
        <f t="shared" si="31"/>
        <v>-124147.76635241011</v>
      </c>
      <c r="O81" s="111"/>
      <c r="P81" s="111"/>
      <c r="Q81" s="111"/>
    </row>
    <row r="82" spans="1:17" x14ac:dyDescent="0.2">
      <c r="B82" s="134" t="s">
        <v>82</v>
      </c>
      <c r="D82" s="111">
        <f t="shared" ref="D82:N82" si="32">IF(D81&lt;=0,0,D81*$P$38)</f>
        <v>0</v>
      </c>
      <c r="E82" s="111">
        <f t="shared" si="32"/>
        <v>0</v>
      </c>
      <c r="F82" s="123">
        <f t="shared" si="32"/>
        <v>0</v>
      </c>
      <c r="G82" s="111">
        <f t="shared" si="32"/>
        <v>0</v>
      </c>
      <c r="H82" s="111">
        <f t="shared" si="32"/>
        <v>0</v>
      </c>
      <c r="I82" s="111">
        <f t="shared" si="32"/>
        <v>0</v>
      </c>
      <c r="J82" s="111">
        <f t="shared" si="32"/>
        <v>0</v>
      </c>
      <c r="K82" s="111">
        <f t="shared" si="32"/>
        <v>0</v>
      </c>
      <c r="L82" s="111">
        <f t="shared" si="32"/>
        <v>0</v>
      </c>
      <c r="M82" s="111">
        <f t="shared" si="32"/>
        <v>0</v>
      </c>
      <c r="N82" s="111">
        <f t="shared" si="32"/>
        <v>0</v>
      </c>
      <c r="O82" s="111"/>
      <c r="P82" s="111"/>
      <c r="Q82" s="111"/>
    </row>
    <row r="83" spans="1:17" x14ac:dyDescent="0.2">
      <c r="B83" s="134" t="s">
        <v>87</v>
      </c>
      <c r="D83" s="111">
        <f t="shared" ref="D83:N83" si="33">D79-D82</f>
        <v>-33370</v>
      </c>
      <c r="E83" s="111">
        <f t="shared" si="33"/>
        <v>-79265.500000000015</v>
      </c>
      <c r="F83" s="123">
        <f t="shared" si="33"/>
        <v>-95545.563399999985</v>
      </c>
      <c r="G83" s="111">
        <f t="shared" si="33"/>
        <v>-100142.78603703999</v>
      </c>
      <c r="H83" s="111">
        <f t="shared" si="33"/>
        <v>-100109.7980206402</v>
      </c>
      <c r="I83" s="111">
        <f t="shared" si="33"/>
        <v>-98188.403090621199</v>
      </c>
      <c r="J83" s="111">
        <f t="shared" si="33"/>
        <v>-95431.912000747019</v>
      </c>
      <c r="K83" s="111">
        <f t="shared" si="33"/>
        <v>-92238.30859631252</v>
      </c>
      <c r="L83" s="111">
        <f t="shared" si="33"/>
        <v>-88753.027523590441</v>
      </c>
      <c r="M83" s="111">
        <f t="shared" si="33"/>
        <v>-85024.613303902981</v>
      </c>
      <c r="N83" s="111">
        <f t="shared" si="33"/>
        <v>-81064.43301907678</v>
      </c>
      <c r="O83" s="111"/>
      <c r="P83" s="111"/>
      <c r="Q83" s="111"/>
    </row>
    <row r="84" spans="1:17" x14ac:dyDescent="0.2">
      <c r="D84" s="111"/>
      <c r="E84" s="111"/>
      <c r="F84" s="123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</row>
    <row r="85" spans="1:17" x14ac:dyDescent="0.2">
      <c r="A85" s="132" t="s">
        <v>83</v>
      </c>
      <c r="B85" s="131"/>
      <c r="D85" s="111"/>
      <c r="E85" s="111"/>
      <c r="F85" s="123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</row>
    <row r="86" spans="1:17" x14ac:dyDescent="0.2">
      <c r="A86" s="162" t="s">
        <v>84</v>
      </c>
      <c r="B86" s="162"/>
      <c r="D86" s="111"/>
      <c r="E86" s="111"/>
      <c r="F86" s="123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</row>
    <row r="87" spans="1:17" x14ac:dyDescent="0.2">
      <c r="A87" s="108" t="s">
        <v>85</v>
      </c>
      <c r="B87" s="108" t="str">
        <f>A43</f>
        <v>Minimum Cash Inventory</v>
      </c>
      <c r="C87" s="128">
        <f t="shared" ref="C87:M87" si="34">-(D43-C43)</f>
        <v>-30000</v>
      </c>
      <c r="D87" s="128">
        <f t="shared" si="34"/>
        <v>0</v>
      </c>
      <c r="E87" s="128">
        <f t="shared" si="34"/>
        <v>0</v>
      </c>
      <c r="F87" s="129">
        <f t="shared" si="34"/>
        <v>0</v>
      </c>
      <c r="G87" s="128">
        <f t="shared" si="34"/>
        <v>0</v>
      </c>
      <c r="H87" s="128">
        <f t="shared" si="34"/>
        <v>0</v>
      </c>
      <c r="I87" s="128">
        <f t="shared" si="34"/>
        <v>0</v>
      </c>
      <c r="J87" s="128">
        <f t="shared" si="34"/>
        <v>0</v>
      </c>
      <c r="K87" s="128">
        <f t="shared" si="34"/>
        <v>0</v>
      </c>
      <c r="L87" s="128">
        <f t="shared" si="34"/>
        <v>0</v>
      </c>
      <c r="M87" s="128">
        <f t="shared" si="34"/>
        <v>0</v>
      </c>
      <c r="N87" s="128">
        <f>-(P43-N43)</f>
        <v>30000</v>
      </c>
      <c r="O87" s="111"/>
      <c r="P87" s="111"/>
      <c r="Q87" s="111"/>
    </row>
    <row r="88" spans="1:17" x14ac:dyDescent="0.2">
      <c r="A88" s="108" t="s">
        <v>85</v>
      </c>
      <c r="B88" s="108" t="str">
        <f>A45</f>
        <v>Inventory</v>
      </c>
      <c r="C88" s="128">
        <f t="shared" ref="C88:M88" si="35">-(D45-C45)</f>
        <v>-28047.945205479453</v>
      </c>
      <c r="D88" s="128">
        <f t="shared" si="35"/>
        <v>18083.91267123288</v>
      </c>
      <c r="E88" s="128">
        <f t="shared" si="35"/>
        <v>6424.309976455479</v>
      </c>
      <c r="F88" s="129">
        <f t="shared" si="35"/>
        <v>2282.2361191358077</v>
      </c>
      <c r="G88" s="128">
        <f t="shared" si="35"/>
        <v>810.76438132299586</v>
      </c>
      <c r="H88" s="128">
        <f t="shared" si="35"/>
        <v>288.02404646499417</v>
      </c>
      <c r="I88" s="128">
        <f t="shared" si="35"/>
        <v>102.32054250668915</v>
      </c>
      <c r="J88" s="128">
        <f t="shared" si="35"/>
        <v>36.349372725501318</v>
      </c>
      <c r="K88" s="128">
        <f t="shared" si="35"/>
        <v>12.913114660734347</v>
      </c>
      <c r="L88" s="128">
        <f t="shared" si="35"/>
        <v>4.5873839832258758</v>
      </c>
      <c r="M88" s="128">
        <f t="shared" si="35"/>
        <v>1.6296681600409919</v>
      </c>
      <c r="N88" s="128">
        <f>-(P45-N45)</f>
        <v>0.89792883110440047</v>
      </c>
      <c r="O88" s="111"/>
      <c r="P88" s="111"/>
      <c r="Q88" s="111"/>
    </row>
    <row r="89" spans="1:17" x14ac:dyDescent="0.2">
      <c r="A89" s="108" t="s">
        <v>85</v>
      </c>
      <c r="B89" s="108" t="str">
        <f>A46</f>
        <v>Accounts Receivables</v>
      </c>
      <c r="C89" s="128">
        <f t="shared" ref="C89:M89" si="36">-(D46-C46)</f>
        <v>-40684.931506849316</v>
      </c>
      <c r="D89" s="128">
        <f t="shared" si="36"/>
        <v>21884.794520547948</v>
      </c>
      <c r="E89" s="128">
        <f t="shared" si="36"/>
        <v>7596.5254520547915</v>
      </c>
      <c r="F89" s="129">
        <f t="shared" si="36"/>
        <v>2484.6662772986292</v>
      </c>
      <c r="G89" s="128">
        <f t="shared" si="36"/>
        <v>648.23151047098236</v>
      </c>
      <c r="H89" s="128">
        <f t="shared" si="36"/>
        <v>-19.458695423035351</v>
      </c>
      <c r="I89" s="128">
        <f t="shared" si="36"/>
        <v>-270.51849256705646</v>
      </c>
      <c r="J89" s="128">
        <f t="shared" si="36"/>
        <v>-373.48357010549807</v>
      </c>
      <c r="K89" s="128">
        <f t="shared" si="36"/>
        <v>-424.2536712806359</v>
      </c>
      <c r="L89" s="128">
        <f t="shared" si="36"/>
        <v>-457.09915125985935</v>
      </c>
      <c r="M89" s="128">
        <f t="shared" si="36"/>
        <v>-484.29040149744287</v>
      </c>
      <c r="N89" s="128">
        <f>-(P46-N46)</f>
        <v>10099.817728610493</v>
      </c>
      <c r="O89" s="111"/>
      <c r="P89" s="111"/>
      <c r="Q89" s="111"/>
    </row>
    <row r="90" spans="1:17" x14ac:dyDescent="0.2">
      <c r="A90" s="108" t="s">
        <v>86</v>
      </c>
      <c r="B90" s="108" t="str">
        <f>A56</f>
        <v>Taxes Payable</v>
      </c>
      <c r="C90" s="128">
        <f t="shared" ref="C90:M90" si="37">(D56-C56)</f>
        <v>0</v>
      </c>
      <c r="D90" s="128">
        <f t="shared" si="37"/>
        <v>0</v>
      </c>
      <c r="E90" s="128">
        <f t="shared" si="37"/>
        <v>0</v>
      </c>
      <c r="F90" s="129">
        <f t="shared" si="37"/>
        <v>0</v>
      </c>
      <c r="G90" s="128">
        <f t="shared" si="37"/>
        <v>0</v>
      </c>
      <c r="H90" s="128">
        <f t="shared" si="37"/>
        <v>0</v>
      </c>
      <c r="I90" s="128">
        <f t="shared" si="37"/>
        <v>0</v>
      </c>
      <c r="J90" s="128">
        <f t="shared" si="37"/>
        <v>0</v>
      </c>
      <c r="K90" s="128">
        <f t="shared" si="37"/>
        <v>0</v>
      </c>
      <c r="L90" s="128">
        <f t="shared" si="37"/>
        <v>0</v>
      </c>
      <c r="M90" s="128">
        <f t="shared" si="37"/>
        <v>0</v>
      </c>
      <c r="N90" s="128">
        <f>(P56-N56)</f>
        <v>0</v>
      </c>
      <c r="O90" s="111"/>
      <c r="P90" s="111"/>
      <c r="Q90" s="111"/>
    </row>
    <row r="91" spans="1:17" x14ac:dyDescent="0.2">
      <c r="A91" s="108" t="s">
        <v>86</v>
      </c>
      <c r="B91" s="108" t="str">
        <f>A57</f>
        <v>Accounts Payable</v>
      </c>
      <c r="C91" s="159">
        <f t="shared" ref="C91:M91" si="38">(D57-C57)</f>
        <v>37397.260273972599</v>
      </c>
      <c r="D91" s="159">
        <f t="shared" si="38"/>
        <v>-24308.219178082189</v>
      </c>
      <c r="E91" s="159">
        <f t="shared" si="38"/>
        <v>-8507.8767123287653</v>
      </c>
      <c r="F91" s="160">
        <f t="shared" si="38"/>
        <v>-2977.7568493150684</v>
      </c>
      <c r="G91" s="159">
        <f t="shared" si="38"/>
        <v>-1042.2148972602736</v>
      </c>
      <c r="H91" s="159">
        <f t="shared" si="38"/>
        <v>-364.77521404109575</v>
      </c>
      <c r="I91" s="159">
        <f t="shared" si="38"/>
        <v>-127.67132491438352</v>
      </c>
      <c r="J91" s="159">
        <f t="shared" si="38"/>
        <v>-44.684963720034219</v>
      </c>
      <c r="K91" s="159">
        <f t="shared" si="38"/>
        <v>-15.639737302011984</v>
      </c>
      <c r="L91" s="159">
        <f t="shared" si="38"/>
        <v>-5.473908055704193</v>
      </c>
      <c r="M91" s="159">
        <f t="shared" si="38"/>
        <v>-1.9158678194964676</v>
      </c>
      <c r="N91" s="159">
        <f>(P57-N57)</f>
        <v>-1.0316211335750207</v>
      </c>
      <c r="O91" s="111"/>
      <c r="P91" s="111"/>
      <c r="Q91" s="111"/>
    </row>
    <row r="92" spans="1:17" x14ac:dyDescent="0.2">
      <c r="D92" s="111"/>
      <c r="E92" s="111"/>
      <c r="F92" s="123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</row>
    <row r="93" spans="1:17" x14ac:dyDescent="0.2">
      <c r="D93" s="111"/>
      <c r="E93" s="111"/>
      <c r="F93" s="123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</row>
    <row r="94" spans="1:17" x14ac:dyDescent="0.2">
      <c r="A94" s="161" t="s">
        <v>88</v>
      </c>
      <c r="B94" s="161"/>
      <c r="D94" s="111"/>
      <c r="E94" s="111"/>
      <c r="F94" s="123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</row>
    <row r="95" spans="1:17" x14ac:dyDescent="0.2">
      <c r="B95" s="108" t="s">
        <v>62</v>
      </c>
      <c r="C95" s="159">
        <f t="shared" ref="C95:M95" si="39">-(D49-C49)</f>
        <v>-300000</v>
      </c>
      <c r="D95" s="159">
        <f t="shared" si="39"/>
        <v>0</v>
      </c>
      <c r="E95" s="159">
        <f t="shared" si="39"/>
        <v>0</v>
      </c>
      <c r="F95" s="160">
        <f t="shared" si="39"/>
        <v>0</v>
      </c>
      <c r="G95" s="159">
        <f t="shared" si="39"/>
        <v>0</v>
      </c>
      <c r="H95" s="159">
        <f t="shared" si="39"/>
        <v>0</v>
      </c>
      <c r="I95" s="159">
        <f t="shared" si="39"/>
        <v>0</v>
      </c>
      <c r="J95" s="159">
        <f t="shared" si="39"/>
        <v>0</v>
      </c>
      <c r="K95" s="159">
        <f t="shared" si="39"/>
        <v>0</v>
      </c>
      <c r="L95" s="159">
        <f t="shared" si="39"/>
        <v>0</v>
      </c>
      <c r="M95" s="159">
        <f t="shared" si="39"/>
        <v>0</v>
      </c>
      <c r="N95" s="159">
        <f>-(P49-N49)</f>
        <v>300000</v>
      </c>
      <c r="O95" s="111"/>
      <c r="P95" s="111"/>
      <c r="Q95" s="111"/>
    </row>
    <row r="96" spans="1:17" x14ac:dyDescent="0.2">
      <c r="B96" s="134" t="s">
        <v>89</v>
      </c>
      <c r="D96" s="111"/>
      <c r="E96" s="111"/>
      <c r="F96" s="123"/>
      <c r="G96" s="111"/>
      <c r="H96" s="111"/>
      <c r="I96" s="111"/>
      <c r="J96" s="111"/>
      <c r="K96" s="111"/>
      <c r="L96" s="111"/>
      <c r="M96" s="111"/>
      <c r="N96" s="111">
        <f>N95*O96</f>
        <v>45000</v>
      </c>
      <c r="O96" s="118">
        <v>0.15</v>
      </c>
      <c r="P96" s="111"/>
      <c r="Q96" s="111"/>
    </row>
    <row r="97" spans="1:17" x14ac:dyDescent="0.2">
      <c r="B97" s="134" t="s">
        <v>90</v>
      </c>
      <c r="D97" s="111"/>
      <c r="E97" s="111"/>
      <c r="F97" s="123"/>
      <c r="G97" s="111"/>
      <c r="H97" s="111"/>
      <c r="I97" s="111"/>
      <c r="J97" s="111"/>
      <c r="K97" s="111"/>
      <c r="L97" s="111"/>
      <c r="M97" s="111"/>
      <c r="N97" s="111">
        <f>P98*-P38</f>
        <v>-13500</v>
      </c>
      <c r="O97" s="111" t="s">
        <v>91</v>
      </c>
      <c r="P97" s="111">
        <f>N49</f>
        <v>300000</v>
      </c>
      <c r="Q97" s="111"/>
    </row>
    <row r="98" spans="1:17" x14ac:dyDescent="0.2">
      <c r="D98" s="111"/>
      <c r="E98" s="111"/>
      <c r="F98" s="123"/>
      <c r="G98" s="111"/>
      <c r="H98" s="111"/>
      <c r="I98" s="111"/>
      <c r="J98" s="111"/>
      <c r="K98" s="111"/>
      <c r="L98" s="111"/>
      <c r="M98" s="111"/>
      <c r="N98" s="111"/>
      <c r="O98" s="111" t="s">
        <v>92</v>
      </c>
      <c r="P98" s="111">
        <f>SUM(N95:N96)-P97</f>
        <v>45000</v>
      </c>
      <c r="Q98" s="111"/>
    </row>
    <row r="99" spans="1:17" s="156" customFormat="1" x14ac:dyDescent="0.2">
      <c r="D99" s="157"/>
      <c r="E99" s="157"/>
      <c r="F99" s="158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</row>
    <row r="100" spans="1:17" x14ac:dyDescent="0.2">
      <c r="B100" s="134" t="s">
        <v>22</v>
      </c>
      <c r="C100" s="159">
        <f t="shared" ref="C100:N100" si="40">-(D48-C48)</f>
        <v>-100000</v>
      </c>
      <c r="D100" s="159">
        <f t="shared" si="40"/>
        <v>0</v>
      </c>
      <c r="E100" s="159">
        <f t="shared" si="40"/>
        <v>0</v>
      </c>
      <c r="F100" s="160">
        <f t="shared" si="40"/>
        <v>0</v>
      </c>
      <c r="G100" s="159">
        <f t="shared" si="40"/>
        <v>0</v>
      </c>
      <c r="H100" s="159">
        <f t="shared" si="40"/>
        <v>0</v>
      </c>
      <c r="I100" s="159">
        <f t="shared" si="40"/>
        <v>0</v>
      </c>
      <c r="J100" s="159">
        <f t="shared" si="40"/>
        <v>0</v>
      </c>
      <c r="K100" s="159">
        <f t="shared" si="40"/>
        <v>0</v>
      </c>
      <c r="L100" s="159">
        <f t="shared" si="40"/>
        <v>0</v>
      </c>
      <c r="M100" s="159">
        <f t="shared" si="40"/>
        <v>0</v>
      </c>
      <c r="N100" s="159">
        <f t="shared" si="40"/>
        <v>100000</v>
      </c>
      <c r="O100" s="111"/>
      <c r="P100" s="111"/>
      <c r="Q100" s="111"/>
    </row>
    <row r="101" spans="1:17" x14ac:dyDescent="0.2">
      <c r="B101" s="134" t="s">
        <v>89</v>
      </c>
      <c r="D101" s="111"/>
      <c r="E101" s="111"/>
      <c r="F101" s="123"/>
      <c r="G101" s="111"/>
      <c r="H101" s="111"/>
      <c r="I101" s="111"/>
      <c r="J101" s="111"/>
      <c r="K101" s="111"/>
      <c r="L101" s="111"/>
      <c r="M101" s="111"/>
      <c r="N101" s="111">
        <f>N100*O101</f>
        <v>-14000.000000000002</v>
      </c>
      <c r="O101" s="118">
        <v>-0.14000000000000001</v>
      </c>
      <c r="P101" s="111"/>
      <c r="Q101" s="111"/>
    </row>
    <row r="102" spans="1:17" x14ac:dyDescent="0.2">
      <c r="B102" s="134" t="s">
        <v>90</v>
      </c>
      <c r="D102" s="111"/>
      <c r="E102" s="111"/>
      <c r="F102" s="123"/>
      <c r="G102" s="111"/>
      <c r="H102" s="111"/>
      <c r="I102" s="111"/>
      <c r="J102" s="111"/>
      <c r="K102" s="111"/>
      <c r="L102" s="111"/>
      <c r="M102" s="111"/>
      <c r="N102" s="111">
        <f>P103*-P38</f>
        <v>-6799.9999999999991</v>
      </c>
      <c r="O102" s="111" t="s">
        <v>91</v>
      </c>
      <c r="P102" s="111">
        <f>N100-SUM(D32:N32)</f>
        <v>63333.333333333336</v>
      </c>
      <c r="Q102" s="111"/>
    </row>
    <row r="103" spans="1:17" x14ac:dyDescent="0.2">
      <c r="D103" s="111"/>
      <c r="E103" s="111"/>
      <c r="F103" s="123"/>
      <c r="G103" s="111"/>
      <c r="H103" s="111"/>
      <c r="I103" s="111"/>
      <c r="J103" s="111"/>
      <c r="K103" s="111"/>
      <c r="L103" s="111"/>
      <c r="M103" s="111"/>
      <c r="N103" s="111"/>
      <c r="O103" s="111" t="s">
        <v>93</v>
      </c>
      <c r="P103" s="111">
        <f>SUM(N100:N101)-P102</f>
        <v>22666.666666666664</v>
      </c>
      <c r="Q103" s="111"/>
    </row>
    <row r="104" spans="1:17" s="156" customFormat="1" x14ac:dyDescent="0.2">
      <c r="D104" s="157"/>
      <c r="E104" s="157"/>
      <c r="F104" s="158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</row>
    <row r="105" spans="1:17" x14ac:dyDescent="0.2">
      <c r="B105" s="108" t="s">
        <v>94</v>
      </c>
      <c r="C105" s="128">
        <f t="shared" ref="C105:M105" si="41">-(D50-C50)</f>
        <v>-17500</v>
      </c>
      <c r="D105" s="128">
        <f t="shared" si="41"/>
        <v>0</v>
      </c>
      <c r="E105" s="128">
        <f t="shared" si="41"/>
        <v>0</v>
      </c>
      <c r="F105" s="129">
        <f t="shared" si="41"/>
        <v>0</v>
      </c>
      <c r="G105" s="128">
        <f t="shared" si="41"/>
        <v>0</v>
      </c>
      <c r="H105" s="128">
        <f t="shared" si="41"/>
        <v>0</v>
      </c>
      <c r="I105" s="128">
        <f t="shared" si="41"/>
        <v>0</v>
      </c>
      <c r="J105" s="128">
        <f t="shared" si="41"/>
        <v>0</v>
      </c>
      <c r="K105" s="128">
        <f t="shared" si="41"/>
        <v>0</v>
      </c>
      <c r="L105" s="128">
        <f t="shared" si="41"/>
        <v>0</v>
      </c>
      <c r="M105" s="128">
        <f t="shared" si="41"/>
        <v>0</v>
      </c>
      <c r="N105" s="128">
        <f>-(P50-N50)</f>
        <v>17500</v>
      </c>
      <c r="O105" s="111"/>
      <c r="P105" s="111"/>
      <c r="Q105" s="111"/>
    </row>
    <row r="106" spans="1:17" x14ac:dyDescent="0.2">
      <c r="D106" s="111"/>
      <c r="E106" s="111"/>
      <c r="F106" s="123"/>
      <c r="G106" s="111"/>
      <c r="H106" s="111"/>
      <c r="I106" s="111"/>
      <c r="J106" s="111"/>
      <c r="K106" s="111"/>
      <c r="L106" s="111"/>
      <c r="M106" s="111"/>
      <c r="N106" s="111">
        <f>N105*O106</f>
        <v>-10500</v>
      </c>
      <c r="O106" s="118">
        <v>-0.6</v>
      </c>
      <c r="P106" s="111"/>
      <c r="Q106" s="111"/>
    </row>
    <row r="107" spans="1:17" x14ac:dyDescent="0.2">
      <c r="D107" s="111"/>
      <c r="E107" s="111"/>
      <c r="F107" s="123"/>
      <c r="G107" s="111"/>
      <c r="H107" s="111"/>
      <c r="I107" s="111"/>
      <c r="J107" s="111"/>
      <c r="K107" s="111"/>
      <c r="L107" s="111"/>
      <c r="M107" s="111"/>
      <c r="N107" s="111">
        <v>0</v>
      </c>
      <c r="O107" s="111" t="s">
        <v>91</v>
      </c>
      <c r="P107" s="111">
        <f>N105-SUM(D31:N31)</f>
        <v>11083.333333333334</v>
      </c>
      <c r="Q107" s="111"/>
    </row>
    <row r="108" spans="1:17" x14ac:dyDescent="0.2">
      <c r="D108" s="111"/>
      <c r="E108" s="111"/>
      <c r="F108" s="123"/>
      <c r="G108" s="111"/>
      <c r="H108" s="111"/>
      <c r="I108" s="111"/>
      <c r="J108" s="111"/>
      <c r="K108" s="111"/>
      <c r="L108" s="111"/>
      <c r="M108" s="111"/>
      <c r="N108" s="111"/>
      <c r="O108" s="111" t="s">
        <v>93</v>
      </c>
      <c r="P108" s="111">
        <f>SUM(N105:N106)-P107</f>
        <v>-4083.3333333333339</v>
      </c>
      <c r="Q108" s="111"/>
    </row>
    <row r="109" spans="1:17" s="156" customFormat="1" x14ac:dyDescent="0.2">
      <c r="D109" s="157"/>
      <c r="E109" s="157"/>
      <c r="F109" s="158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</row>
    <row r="110" spans="1:17" x14ac:dyDescent="0.2">
      <c r="A110" s="155" t="s">
        <v>95</v>
      </c>
      <c r="B110" s="154"/>
      <c r="C110" s="152">
        <f t="shared" ref="C110:N110" si="42">SUM(C83:C109)</f>
        <v>-478835.61643835617</v>
      </c>
      <c r="D110" s="152">
        <f t="shared" si="42"/>
        <v>-17709.511986301361</v>
      </c>
      <c r="E110" s="152">
        <f t="shared" si="42"/>
        <v>-73752.541283818515</v>
      </c>
      <c r="F110" s="153">
        <f t="shared" si="42"/>
        <v>-93756.417852880608</v>
      </c>
      <c r="G110" s="152">
        <f t="shared" si="42"/>
        <v>-99726.00504250628</v>
      </c>
      <c r="H110" s="152">
        <f t="shared" si="42"/>
        <v>-100206.00788363934</v>
      </c>
      <c r="I110" s="152">
        <f t="shared" si="42"/>
        <v>-98484.272365595956</v>
      </c>
      <c r="J110" s="152">
        <f t="shared" si="42"/>
        <v>-95813.731161847056</v>
      </c>
      <c r="K110" s="152">
        <f t="shared" si="42"/>
        <v>-92665.288890234428</v>
      </c>
      <c r="L110" s="152">
        <f t="shared" si="42"/>
        <v>-89211.013198922781</v>
      </c>
      <c r="M110" s="152">
        <f t="shared" si="42"/>
        <v>-85509.189905059888</v>
      </c>
      <c r="N110" s="152">
        <f t="shared" si="42"/>
        <v>376735.25101723126</v>
      </c>
      <c r="O110" s="111"/>
      <c r="P110" s="111"/>
      <c r="Q110" s="111"/>
    </row>
    <row r="111" spans="1:17" x14ac:dyDescent="0.2">
      <c r="A111" s="126" t="s">
        <v>75</v>
      </c>
      <c r="C111" s="117">
        <v>7.0699999999999999E-2</v>
      </c>
      <c r="D111" s="111"/>
      <c r="E111" s="111"/>
      <c r="F111" s="123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</row>
    <row r="112" spans="1:17" x14ac:dyDescent="0.2">
      <c r="A112" s="135" t="s">
        <v>96</v>
      </c>
      <c r="C112" s="136">
        <f t="shared" ref="C112:N112" si="43">-PV($C$111,C76,,C110)</f>
        <v>-478835.61643835617</v>
      </c>
      <c r="D112" s="136">
        <f t="shared" si="43"/>
        <v>-16540.125138975774</v>
      </c>
      <c r="E112" s="136">
        <f t="shared" si="43"/>
        <v>-64334.12284398466</v>
      </c>
      <c r="F112" s="151">
        <f t="shared" si="43"/>
        <v>-76383.155877606216</v>
      </c>
      <c r="G112" s="136">
        <f t="shared" si="43"/>
        <v>-75881.727813756719</v>
      </c>
      <c r="H112" s="136">
        <f t="shared" si="43"/>
        <v>-71212.256457576455</v>
      </c>
      <c r="I112" s="136">
        <f t="shared" si="43"/>
        <v>-65367.227409649859</v>
      </c>
      <c r="J112" s="136">
        <f t="shared" si="43"/>
        <v>-59395.44411191473</v>
      </c>
      <c r="K112" s="136">
        <f t="shared" si="43"/>
        <v>-53650.609804795087</v>
      </c>
      <c r="L112" s="136">
        <f t="shared" si="43"/>
        <v>-48240.105368940087</v>
      </c>
      <c r="M112" s="136">
        <f t="shared" si="43"/>
        <v>-43185.183099747563</v>
      </c>
      <c r="N112" s="136">
        <f t="shared" si="43"/>
        <v>177701.22820380336</v>
      </c>
      <c r="O112" s="111"/>
      <c r="P112" s="111"/>
      <c r="Q112" s="111"/>
    </row>
    <row r="113" spans="1:17" x14ac:dyDescent="0.2">
      <c r="A113" s="135" t="s">
        <v>97</v>
      </c>
      <c r="C113" s="136">
        <f>SUM(C112:N112)</f>
        <v>-875324.34616150009</v>
      </c>
      <c r="D113" s="149"/>
      <c r="E113" s="149"/>
      <c r="F113" s="150"/>
      <c r="G113" s="149"/>
      <c r="H113" s="149"/>
      <c r="I113" s="149"/>
      <c r="J113" s="149"/>
      <c r="K113" s="149"/>
      <c r="L113" s="149"/>
      <c r="M113" s="149"/>
      <c r="N113" s="149"/>
      <c r="O113" s="111"/>
      <c r="P113" s="111"/>
      <c r="Q113" s="111"/>
    </row>
    <row r="114" spans="1:17" x14ac:dyDescent="0.2">
      <c r="D114" s="111"/>
      <c r="E114" s="111"/>
      <c r="F114" s="123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</row>
    <row r="115" spans="1:17" x14ac:dyDescent="0.2">
      <c r="A115" s="126" t="s">
        <v>98</v>
      </c>
      <c r="C115" s="117">
        <f>IRR(C110:N110)</f>
        <v>-0.1921819764702688</v>
      </c>
      <c r="D115" s="148">
        <f>C115-C111</f>
        <v>-0.26288197647026879</v>
      </c>
      <c r="E115" s="111" t="s">
        <v>119</v>
      </c>
      <c r="F115" s="123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</row>
    <row r="116" spans="1:17" x14ac:dyDescent="0.2">
      <c r="A116" s="135" t="s">
        <v>99</v>
      </c>
      <c r="B116" s="134"/>
      <c r="C116" s="136">
        <f>SUM(D112:N112)</f>
        <v>-396488.72972314368</v>
      </c>
      <c r="D116" s="111"/>
      <c r="E116" s="111"/>
      <c r="F116" s="123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</row>
    <row r="117" spans="1:17" x14ac:dyDescent="0.2">
      <c r="A117" s="135"/>
      <c r="B117" s="134"/>
      <c r="C117" s="136"/>
      <c r="D117" s="111"/>
      <c r="E117" s="111"/>
      <c r="F117" s="123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</row>
    <row r="118" spans="1:17" x14ac:dyDescent="0.2">
      <c r="A118" s="135" t="s">
        <v>118</v>
      </c>
      <c r="B118" s="134"/>
      <c r="C118" s="136"/>
      <c r="D118" s="111"/>
      <c r="E118" s="111"/>
      <c r="F118" s="123"/>
      <c r="G118" s="111"/>
      <c r="H118" s="111"/>
      <c r="I118" s="111"/>
      <c r="J118" s="111"/>
      <c r="K118" s="111"/>
      <c r="L118" s="111"/>
      <c r="M118" s="111"/>
      <c r="N118" s="111">
        <v>1500000</v>
      </c>
      <c r="O118" s="111"/>
      <c r="P118" s="111"/>
      <c r="Q118" s="111"/>
    </row>
    <row r="119" spans="1:17" x14ac:dyDescent="0.2">
      <c r="A119" s="135"/>
      <c r="B119" s="134"/>
      <c r="C119" s="136"/>
      <c r="D119" s="111"/>
      <c r="E119" s="111"/>
      <c r="F119" s="123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</row>
    <row r="120" spans="1:17" x14ac:dyDescent="0.2">
      <c r="A120" s="147" t="s">
        <v>117</v>
      </c>
      <c r="B120" s="146"/>
      <c r="C120" s="145">
        <f t="shared" ref="C120:M120" si="44">C110</f>
        <v>-478835.61643835617</v>
      </c>
      <c r="D120" s="145">
        <f t="shared" si="44"/>
        <v>-17709.511986301361</v>
      </c>
      <c r="E120" s="145">
        <f t="shared" si="44"/>
        <v>-73752.541283818515</v>
      </c>
      <c r="F120" s="145">
        <f t="shared" si="44"/>
        <v>-93756.417852880608</v>
      </c>
      <c r="G120" s="145">
        <f t="shared" si="44"/>
        <v>-99726.00504250628</v>
      </c>
      <c r="H120" s="145">
        <f t="shared" si="44"/>
        <v>-100206.00788363934</v>
      </c>
      <c r="I120" s="145">
        <f t="shared" si="44"/>
        <v>-98484.272365595956</v>
      </c>
      <c r="J120" s="145">
        <f t="shared" si="44"/>
        <v>-95813.731161847056</v>
      </c>
      <c r="K120" s="145">
        <f t="shared" si="44"/>
        <v>-92665.288890234428</v>
      </c>
      <c r="L120" s="145">
        <f t="shared" si="44"/>
        <v>-89211.013198922781</v>
      </c>
      <c r="M120" s="145">
        <f t="shared" si="44"/>
        <v>-85509.189905059888</v>
      </c>
      <c r="N120" s="145">
        <f>N110+N118</f>
        <v>1876735.2510172313</v>
      </c>
      <c r="O120" s="111"/>
      <c r="P120" s="111"/>
      <c r="Q120" s="111"/>
    </row>
    <row r="121" spans="1:17" x14ac:dyDescent="0.2">
      <c r="A121" s="135" t="s">
        <v>114</v>
      </c>
      <c r="B121" s="134"/>
      <c r="C121" s="136">
        <f t="shared" ref="C121:N121" si="45">-PV($C$111,C76,,C110)</f>
        <v>-478835.61643835617</v>
      </c>
      <c r="D121" s="136">
        <f t="shared" si="45"/>
        <v>-16540.125138975774</v>
      </c>
      <c r="E121" s="136">
        <f t="shared" si="45"/>
        <v>-64334.12284398466</v>
      </c>
      <c r="F121" s="136">
        <f t="shared" si="45"/>
        <v>-76383.155877606216</v>
      </c>
      <c r="G121" s="136">
        <f t="shared" si="45"/>
        <v>-75881.727813756719</v>
      </c>
      <c r="H121" s="136">
        <f t="shared" si="45"/>
        <v>-71212.256457576455</v>
      </c>
      <c r="I121" s="136">
        <f t="shared" si="45"/>
        <v>-65367.227409649859</v>
      </c>
      <c r="J121" s="136">
        <f t="shared" si="45"/>
        <v>-59395.44411191473</v>
      </c>
      <c r="K121" s="136">
        <f t="shared" si="45"/>
        <v>-53650.609804795087</v>
      </c>
      <c r="L121" s="136">
        <f t="shared" si="45"/>
        <v>-48240.105368940087</v>
      </c>
      <c r="M121" s="136">
        <f t="shared" si="45"/>
        <v>-43185.183099747563</v>
      </c>
      <c r="N121" s="136">
        <f t="shared" si="45"/>
        <v>177701.22820380336</v>
      </c>
      <c r="O121" s="111"/>
      <c r="P121" s="111"/>
      <c r="Q121" s="111"/>
    </row>
    <row r="122" spans="1:17" ht="13.5" thickBot="1" x14ac:dyDescent="0.25">
      <c r="A122" s="135" t="s">
        <v>97</v>
      </c>
      <c r="B122" s="134"/>
      <c r="C122" s="138">
        <f>SUM(C121:N121)</f>
        <v>-875324.34616150009</v>
      </c>
      <c r="D122" s="137">
        <v>0.8</v>
      </c>
      <c r="E122" s="111"/>
      <c r="F122" s="123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</row>
    <row r="123" spans="1:17" ht="13.5" customHeight="1" x14ac:dyDescent="0.2">
      <c r="B123" s="134"/>
      <c r="C123" s="136"/>
      <c r="D123" s="111"/>
      <c r="E123" s="111"/>
      <c r="F123" s="123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</row>
    <row r="124" spans="1:17" x14ac:dyDescent="0.2">
      <c r="A124" s="144" t="s">
        <v>116</v>
      </c>
      <c r="B124" s="143"/>
      <c r="C124" s="142">
        <f t="shared" ref="C124:M124" si="46">C110</f>
        <v>-478835.61643835617</v>
      </c>
      <c r="D124" s="142">
        <f t="shared" si="46"/>
        <v>-17709.511986301361</v>
      </c>
      <c r="E124" s="142">
        <f t="shared" si="46"/>
        <v>-73752.541283818515</v>
      </c>
      <c r="F124" s="142">
        <f t="shared" si="46"/>
        <v>-93756.417852880608</v>
      </c>
      <c r="G124" s="142">
        <f t="shared" si="46"/>
        <v>-99726.00504250628</v>
      </c>
      <c r="H124" s="142">
        <f t="shared" si="46"/>
        <v>-100206.00788363934</v>
      </c>
      <c r="I124" s="142">
        <f t="shared" si="46"/>
        <v>-98484.272365595956</v>
      </c>
      <c r="J124" s="142">
        <f t="shared" si="46"/>
        <v>-95813.731161847056</v>
      </c>
      <c r="K124" s="142">
        <f t="shared" si="46"/>
        <v>-92665.288890234428</v>
      </c>
      <c r="L124" s="142">
        <f t="shared" si="46"/>
        <v>-89211.013198922781</v>
      </c>
      <c r="M124" s="142">
        <f t="shared" si="46"/>
        <v>-85509.189905059888</v>
      </c>
      <c r="N124" s="142">
        <f>N110+1300000</f>
        <v>1676735.2510172313</v>
      </c>
      <c r="O124" s="111"/>
      <c r="P124" s="111"/>
      <c r="Q124" s="111"/>
    </row>
    <row r="125" spans="1:17" x14ac:dyDescent="0.2">
      <c r="A125" s="135" t="s">
        <v>114</v>
      </c>
      <c r="B125" s="134"/>
      <c r="C125" s="136">
        <f t="shared" ref="C125:N125" si="47">-PV($C$111,C76,,C124)</f>
        <v>-478835.61643835617</v>
      </c>
      <c r="D125" s="136">
        <f t="shared" si="47"/>
        <v>-16540.125138975774</v>
      </c>
      <c r="E125" s="136">
        <f t="shared" si="47"/>
        <v>-64334.12284398466</v>
      </c>
      <c r="F125" s="136">
        <f t="shared" si="47"/>
        <v>-76383.155877606216</v>
      </c>
      <c r="G125" s="136">
        <f t="shared" si="47"/>
        <v>-75881.727813756719</v>
      </c>
      <c r="H125" s="136">
        <f t="shared" si="47"/>
        <v>-71212.256457576455</v>
      </c>
      <c r="I125" s="136">
        <f t="shared" si="47"/>
        <v>-65367.227409649859</v>
      </c>
      <c r="J125" s="136">
        <f t="shared" si="47"/>
        <v>-59395.44411191473</v>
      </c>
      <c r="K125" s="136">
        <f t="shared" si="47"/>
        <v>-53650.609804795087</v>
      </c>
      <c r="L125" s="136">
        <f t="shared" si="47"/>
        <v>-48240.105368940087</v>
      </c>
      <c r="M125" s="136">
        <f t="shared" si="47"/>
        <v>-43185.183099747563</v>
      </c>
      <c r="N125" s="136">
        <f t="shared" si="47"/>
        <v>790894.70038668183</v>
      </c>
      <c r="O125" s="111"/>
      <c r="P125" s="111"/>
      <c r="Q125" s="111"/>
    </row>
    <row r="126" spans="1:17" ht="13.5" thickBot="1" x14ac:dyDescent="0.25">
      <c r="A126" s="135" t="s">
        <v>97</v>
      </c>
      <c r="B126" s="134"/>
      <c r="C126" s="138">
        <f>SUM(C125:N125)</f>
        <v>-262130.87397862156</v>
      </c>
      <c r="D126" s="137">
        <v>0.6</v>
      </c>
      <c r="E126" s="111"/>
      <c r="F126" s="123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</row>
    <row r="127" spans="1:17" x14ac:dyDescent="0.2">
      <c r="A127" s="135"/>
      <c r="B127" s="134"/>
      <c r="C127" s="136"/>
      <c r="D127" s="111"/>
      <c r="E127" s="111"/>
      <c r="F127" s="123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</row>
    <row r="128" spans="1:17" x14ac:dyDescent="0.2">
      <c r="A128" s="141" t="s">
        <v>115</v>
      </c>
      <c r="B128" s="140"/>
      <c r="C128" s="139">
        <f t="shared" ref="C128:M128" si="48">C110</f>
        <v>-478835.61643835617</v>
      </c>
      <c r="D128" s="139">
        <f t="shared" si="48"/>
        <v>-17709.511986301361</v>
      </c>
      <c r="E128" s="139">
        <f t="shared" si="48"/>
        <v>-73752.541283818515</v>
      </c>
      <c r="F128" s="139">
        <f t="shared" si="48"/>
        <v>-93756.417852880608</v>
      </c>
      <c r="G128" s="139">
        <f t="shared" si="48"/>
        <v>-99726.00504250628</v>
      </c>
      <c r="H128" s="139">
        <f t="shared" si="48"/>
        <v>-100206.00788363934</v>
      </c>
      <c r="I128" s="139">
        <f t="shared" si="48"/>
        <v>-98484.272365595956</v>
      </c>
      <c r="J128" s="139">
        <f t="shared" si="48"/>
        <v>-95813.731161847056</v>
      </c>
      <c r="K128" s="139">
        <f t="shared" si="48"/>
        <v>-92665.288890234428</v>
      </c>
      <c r="L128" s="139">
        <f t="shared" si="48"/>
        <v>-89211.013198922781</v>
      </c>
      <c r="M128" s="139">
        <f t="shared" si="48"/>
        <v>-85509.189905059888</v>
      </c>
      <c r="N128" s="139">
        <f>N110+500000</f>
        <v>876735.25101723126</v>
      </c>
      <c r="O128" s="111"/>
      <c r="P128" s="111"/>
      <c r="Q128" s="111"/>
    </row>
    <row r="129" spans="1:17" x14ac:dyDescent="0.2">
      <c r="A129" s="135" t="s">
        <v>114</v>
      </c>
      <c r="B129" s="134"/>
      <c r="C129" s="136">
        <f t="shared" ref="C129:N129" si="49">-PV($C$111,C76,,C128)</f>
        <v>-478835.61643835617</v>
      </c>
      <c r="D129" s="136">
        <f t="shared" si="49"/>
        <v>-16540.125138975774</v>
      </c>
      <c r="E129" s="136">
        <f t="shared" si="49"/>
        <v>-64334.12284398466</v>
      </c>
      <c r="F129" s="136">
        <f t="shared" si="49"/>
        <v>-76383.155877606216</v>
      </c>
      <c r="G129" s="136">
        <f t="shared" si="49"/>
        <v>-75881.727813756719</v>
      </c>
      <c r="H129" s="136">
        <f t="shared" si="49"/>
        <v>-71212.256457576455</v>
      </c>
      <c r="I129" s="136">
        <f t="shared" si="49"/>
        <v>-65367.227409649859</v>
      </c>
      <c r="J129" s="136">
        <f t="shared" si="49"/>
        <v>-59395.44411191473</v>
      </c>
      <c r="K129" s="136">
        <f t="shared" si="49"/>
        <v>-53650.609804795087</v>
      </c>
      <c r="L129" s="136">
        <f t="shared" si="49"/>
        <v>-48240.105368940087</v>
      </c>
      <c r="M129" s="136">
        <f t="shared" si="49"/>
        <v>-43185.183099747563</v>
      </c>
      <c r="N129" s="136">
        <f t="shared" si="49"/>
        <v>413544.8713510643</v>
      </c>
      <c r="O129" s="111"/>
      <c r="P129" s="111"/>
      <c r="Q129" s="111"/>
    </row>
    <row r="130" spans="1:17" ht="13.5" thickBot="1" x14ac:dyDescent="0.25">
      <c r="A130" s="135" t="s">
        <v>97</v>
      </c>
      <c r="B130" s="134"/>
      <c r="C130" s="138">
        <f>SUM(C129:N129)</f>
        <v>-639480.70301423909</v>
      </c>
      <c r="D130" s="137">
        <v>0.3</v>
      </c>
      <c r="E130" s="111"/>
      <c r="F130" s="123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</row>
    <row r="131" spans="1:17" x14ac:dyDescent="0.2">
      <c r="A131" s="135"/>
      <c r="B131" s="134"/>
      <c r="C131" s="136"/>
      <c r="D131" s="111"/>
      <c r="E131" s="111"/>
      <c r="F131" s="123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</row>
    <row r="132" spans="1:17" x14ac:dyDescent="0.2">
      <c r="A132" s="135"/>
      <c r="B132" s="134" t="s">
        <v>113</v>
      </c>
      <c r="C132" s="133">
        <f>C122*D122+C126*D126+C130*D130</f>
        <v>-1049382.2122206448</v>
      </c>
      <c r="D132" s="111"/>
      <c r="E132" s="111"/>
      <c r="F132" s="123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</row>
    <row r="133" spans="1:17" x14ac:dyDescent="0.2">
      <c r="D133" s="111"/>
      <c r="E133" s="111"/>
      <c r="F133" s="123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</row>
    <row r="134" spans="1:17" x14ac:dyDescent="0.2">
      <c r="A134" s="132" t="s">
        <v>112</v>
      </c>
      <c r="B134" s="131"/>
      <c r="D134" s="111"/>
      <c r="E134" s="111"/>
      <c r="F134" s="123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</row>
    <row r="135" spans="1:17" x14ac:dyDescent="0.2">
      <c r="D135" s="111"/>
      <c r="E135" s="111"/>
      <c r="F135" s="123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</row>
    <row r="136" spans="1:17" x14ac:dyDescent="0.2">
      <c r="A136" s="126" t="s">
        <v>111</v>
      </c>
      <c r="F136" s="130"/>
      <c r="O136" s="111"/>
      <c r="P136" s="111"/>
      <c r="Q136" s="111"/>
    </row>
    <row r="137" spans="1:17" x14ac:dyDescent="0.2">
      <c r="A137" s="108" t="s">
        <v>85</v>
      </c>
      <c r="B137" s="108" t="s">
        <v>109</v>
      </c>
      <c r="C137" s="128">
        <f t="shared" ref="C137:M137" si="50">-(D65-C65)</f>
        <v>-489431.66850338219</v>
      </c>
      <c r="D137" s="128">
        <f t="shared" si="50"/>
        <v>11445.497798615484</v>
      </c>
      <c r="E137" s="128">
        <f t="shared" si="50"/>
        <v>12395.46847106691</v>
      </c>
      <c r="F137" s="129">
        <f t="shared" si="50"/>
        <v>13424.286240813555</v>
      </c>
      <c r="G137" s="128">
        <f t="shared" si="50"/>
        <v>14538.495378043968</v>
      </c>
      <c r="H137" s="128">
        <f t="shared" si="50"/>
        <v>15745.183324145037</v>
      </c>
      <c r="I137" s="128">
        <f t="shared" si="50"/>
        <v>17052.025774642767</v>
      </c>
      <c r="J137" s="128">
        <f t="shared" si="50"/>
        <v>18467.33550400706</v>
      </c>
      <c r="K137" s="128">
        <f t="shared" si="50"/>
        <v>20000.115242888452</v>
      </c>
      <c r="L137" s="128">
        <f t="shared" si="50"/>
        <v>21660.114944141533</v>
      </c>
      <c r="M137" s="128">
        <f t="shared" si="50"/>
        <v>23457.893801899219</v>
      </c>
      <c r="N137" s="111"/>
      <c r="O137" s="111"/>
      <c r="P137" s="111"/>
      <c r="Q137" s="111"/>
    </row>
    <row r="138" spans="1:17" x14ac:dyDescent="0.2">
      <c r="A138" s="108" t="s">
        <v>86</v>
      </c>
      <c r="B138" s="108" t="s">
        <v>108</v>
      </c>
      <c r="D138" s="111"/>
      <c r="E138" s="111"/>
      <c r="F138" s="123"/>
      <c r="G138" s="111"/>
      <c r="H138" s="111"/>
      <c r="I138" s="111"/>
      <c r="J138" s="111"/>
      <c r="K138" s="111"/>
      <c r="L138" s="111"/>
      <c r="M138" s="111"/>
      <c r="N138" s="111">
        <f>V65</f>
        <v>258609.1110357352</v>
      </c>
      <c r="O138" s="111"/>
      <c r="P138" s="111"/>
      <c r="Q138" s="111"/>
    </row>
    <row r="139" spans="1:17" x14ac:dyDescent="0.2">
      <c r="A139" s="108" t="s">
        <v>86</v>
      </c>
      <c r="B139" s="108" t="s">
        <v>107</v>
      </c>
      <c r="D139" s="111">
        <f t="shared" ref="D139:N139" si="51">D34</f>
        <v>39618.072642989893</v>
      </c>
      <c r="E139" s="111">
        <f t="shared" si="51"/>
        <v>38740.906340992333</v>
      </c>
      <c r="F139" s="123">
        <f t="shared" si="51"/>
        <v>37790.935668540791</v>
      </c>
      <c r="G139" s="111">
        <f t="shared" si="51"/>
        <v>36762.117898794197</v>
      </c>
      <c r="H139" s="111">
        <f t="shared" si="51"/>
        <v>35647.908761563813</v>
      </c>
      <c r="I139" s="111">
        <f t="shared" si="51"/>
        <v>34441.220815462882</v>
      </c>
      <c r="J139" s="111">
        <f t="shared" si="51"/>
        <v>33134.378364965007</v>
      </c>
      <c r="K139" s="111">
        <f t="shared" si="51"/>
        <v>31719.068635600699</v>
      </c>
      <c r="L139" s="111">
        <f t="shared" si="51"/>
        <v>30186.288896719281</v>
      </c>
      <c r="M139" s="111">
        <f t="shared" si="51"/>
        <v>28526.289195466154</v>
      </c>
      <c r="N139" s="111">
        <f t="shared" si="51"/>
        <v>26728.510337708423</v>
      </c>
      <c r="O139" s="111"/>
      <c r="P139" s="111"/>
      <c r="Q139" s="111"/>
    </row>
    <row r="140" spans="1:17" x14ac:dyDescent="0.2">
      <c r="A140" s="108" t="s">
        <v>106</v>
      </c>
      <c r="C140" s="128">
        <f t="shared" ref="C140:N140" si="52">SUM(C137:C139)</f>
        <v>-489431.66850338219</v>
      </c>
      <c r="D140" s="128">
        <f t="shared" si="52"/>
        <v>51063.570441605378</v>
      </c>
      <c r="E140" s="128">
        <f t="shared" si="52"/>
        <v>51136.374812059243</v>
      </c>
      <c r="F140" s="129">
        <f t="shared" si="52"/>
        <v>51215.221909354346</v>
      </c>
      <c r="G140" s="128">
        <f t="shared" si="52"/>
        <v>51300.613276838165</v>
      </c>
      <c r="H140" s="128">
        <f t="shared" si="52"/>
        <v>51393.092085708849</v>
      </c>
      <c r="I140" s="128">
        <f t="shared" si="52"/>
        <v>51493.246590105649</v>
      </c>
      <c r="J140" s="128">
        <f t="shared" si="52"/>
        <v>51601.713868972067</v>
      </c>
      <c r="K140" s="128">
        <f t="shared" si="52"/>
        <v>51719.183878489152</v>
      </c>
      <c r="L140" s="128">
        <f t="shared" si="52"/>
        <v>51846.403840860818</v>
      </c>
      <c r="M140" s="128">
        <f t="shared" si="52"/>
        <v>51984.182997365373</v>
      </c>
      <c r="N140" s="128">
        <f t="shared" si="52"/>
        <v>285337.62137344363</v>
      </c>
      <c r="O140" s="111" t="s">
        <v>105</v>
      </c>
      <c r="P140" s="111"/>
      <c r="Q140" s="111"/>
    </row>
    <row r="141" spans="1:17" ht="13.5" thickBot="1" x14ac:dyDescent="0.25">
      <c r="A141" s="108" t="s">
        <v>98</v>
      </c>
      <c r="C141" s="127">
        <f>IRR(C140:N140)</f>
        <v>7.2397961257254506E-2</v>
      </c>
      <c r="D141" s="111"/>
      <c r="E141" s="111"/>
      <c r="F141" s="123"/>
      <c r="G141" s="111"/>
      <c r="H141" s="111"/>
      <c r="I141" s="111"/>
      <c r="J141" s="111"/>
      <c r="K141" s="111"/>
      <c r="L141" s="111"/>
      <c r="M141" s="111"/>
      <c r="N141" s="111"/>
      <c r="O141" s="118">
        <v>0.05</v>
      </c>
      <c r="P141" s="111"/>
      <c r="Q141" s="111"/>
    </row>
    <row r="142" spans="1:17" x14ac:dyDescent="0.2">
      <c r="A142" s="108" t="s">
        <v>104</v>
      </c>
      <c r="C142" s="119">
        <f>'Mortgage (2)'!F1</f>
        <v>0.08</v>
      </c>
      <c r="D142" s="111"/>
      <c r="E142" s="111"/>
      <c r="F142" s="123"/>
      <c r="G142" s="111"/>
      <c r="H142" s="111"/>
      <c r="I142" s="111"/>
      <c r="J142" s="111"/>
      <c r="K142" s="111"/>
      <c r="L142" s="111"/>
      <c r="M142" s="111"/>
      <c r="N142" s="111"/>
      <c r="O142" s="118">
        <v>0.95</v>
      </c>
      <c r="P142" s="111"/>
      <c r="Q142" s="111"/>
    </row>
    <row r="143" spans="1:17" x14ac:dyDescent="0.2">
      <c r="A143" s="108" t="s">
        <v>103</v>
      </c>
      <c r="C143" s="117">
        <f>C141*O141+C142*O142</f>
        <v>7.9619898062862723E-2</v>
      </c>
      <c r="D143" s="111"/>
      <c r="E143" s="111"/>
      <c r="F143" s="123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</row>
    <row r="144" spans="1:17" x14ac:dyDescent="0.2">
      <c r="D144" s="111"/>
      <c r="E144" s="111"/>
      <c r="F144" s="123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</row>
    <row r="145" spans="1:17" x14ac:dyDescent="0.2">
      <c r="A145" s="126" t="s">
        <v>110</v>
      </c>
      <c r="B145" s="126"/>
      <c r="D145" s="111"/>
      <c r="E145" s="111"/>
      <c r="F145" s="123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</row>
    <row r="146" spans="1:17" x14ac:dyDescent="0.2">
      <c r="A146" s="108" t="s">
        <v>85</v>
      </c>
      <c r="B146" s="108" t="s">
        <v>109</v>
      </c>
      <c r="C146" s="124">
        <f t="shared" ref="C146:M146" si="53">-(D66-C66)</f>
        <v>-39319.949746197934</v>
      </c>
      <c r="D146" s="124">
        <f t="shared" si="53"/>
        <v>-75898.406871726838</v>
      </c>
      <c r="E146" s="124">
        <f t="shared" si="53"/>
        <v>-132463.11380981392</v>
      </c>
      <c r="F146" s="125">
        <f t="shared" si="53"/>
        <v>-154866.49146999707</v>
      </c>
      <c r="G146" s="124">
        <f t="shared" si="53"/>
        <v>-154157.24124537589</v>
      </c>
      <c r="H146" s="124">
        <f t="shared" si="53"/>
        <v>-220450.599744712</v>
      </c>
      <c r="I146" s="124">
        <f t="shared" si="53"/>
        <v>-248477.51744901319</v>
      </c>
      <c r="J146" s="124">
        <f t="shared" si="53"/>
        <v>-272633.18214522582</v>
      </c>
      <c r="K146" s="124">
        <f t="shared" si="53"/>
        <v>-299103.40245036292</v>
      </c>
      <c r="L146" s="124">
        <f t="shared" si="53"/>
        <v>-328228.88179120678</v>
      </c>
      <c r="M146" s="124">
        <f t="shared" si="53"/>
        <v>-360328.10270245001</v>
      </c>
      <c r="N146" s="111"/>
      <c r="O146" s="111"/>
      <c r="P146" s="111"/>
      <c r="Q146" s="111"/>
    </row>
    <row r="147" spans="1:17" x14ac:dyDescent="0.2">
      <c r="A147" s="108" t="s">
        <v>86</v>
      </c>
      <c r="B147" s="108" t="s">
        <v>108</v>
      </c>
      <c r="D147" s="111"/>
      <c r="E147" s="111"/>
      <c r="F147" s="123"/>
      <c r="G147" s="111"/>
      <c r="H147" s="111"/>
      <c r="I147" s="111"/>
      <c r="J147" s="111"/>
      <c r="K147" s="111"/>
      <c r="L147" s="111"/>
      <c r="M147" s="111"/>
      <c r="N147" s="111">
        <f>V66</f>
        <v>20431.391626722005</v>
      </c>
      <c r="O147" s="111"/>
      <c r="P147" s="111"/>
      <c r="Q147" s="111"/>
    </row>
    <row r="148" spans="1:17" x14ac:dyDescent="0.2">
      <c r="A148" s="108" t="s">
        <v>86</v>
      </c>
      <c r="B148" s="108" t="s">
        <v>107</v>
      </c>
      <c r="D148" s="111">
        <f t="shared" ref="D148:N148" si="54">D35</f>
        <v>3931.9949746197935</v>
      </c>
      <c r="E148" s="111">
        <f t="shared" si="54"/>
        <v>11521.835661792478</v>
      </c>
      <c r="F148" s="123">
        <f t="shared" si="54"/>
        <v>24768.147042773871</v>
      </c>
      <c r="G148" s="111">
        <f t="shared" si="54"/>
        <v>40254.79618977358</v>
      </c>
      <c r="H148" s="111">
        <f t="shared" si="54"/>
        <v>55670.520314311172</v>
      </c>
      <c r="I148" s="111">
        <f t="shared" si="54"/>
        <v>77715.580288782367</v>
      </c>
      <c r="J148" s="111">
        <f t="shared" si="54"/>
        <v>102563.33203368369</v>
      </c>
      <c r="K148" s="111">
        <f t="shared" si="54"/>
        <v>129826.65024820628</v>
      </c>
      <c r="L148" s="111">
        <f t="shared" si="54"/>
        <v>159736.99049324257</v>
      </c>
      <c r="M148" s="111">
        <f t="shared" si="54"/>
        <v>192559.87867236324</v>
      </c>
      <c r="N148" s="111">
        <f t="shared" si="54"/>
        <v>228592.68894260825</v>
      </c>
      <c r="O148" s="111"/>
      <c r="P148" s="111"/>
      <c r="Q148" s="111"/>
    </row>
    <row r="149" spans="1:17" x14ac:dyDescent="0.2">
      <c r="A149" s="108" t="s">
        <v>106</v>
      </c>
      <c r="C149" s="121">
        <f t="shared" ref="C149:N149" si="55">SUM(C146:C148)</f>
        <v>-39319.949746197934</v>
      </c>
      <c r="D149" s="121">
        <f t="shared" si="55"/>
        <v>-71966.411897107042</v>
      </c>
      <c r="E149" s="121">
        <f t="shared" si="55"/>
        <v>-120941.27814802145</v>
      </c>
      <c r="F149" s="122">
        <f t="shared" si="55"/>
        <v>-130098.3444272232</v>
      </c>
      <c r="G149" s="121">
        <f t="shared" si="55"/>
        <v>-113902.44505560231</v>
      </c>
      <c r="H149" s="121">
        <f t="shared" si="55"/>
        <v>-164780.07943040083</v>
      </c>
      <c r="I149" s="121">
        <f t="shared" si="55"/>
        <v>-170761.93716023082</v>
      </c>
      <c r="J149" s="121">
        <f t="shared" si="55"/>
        <v>-170069.85011154212</v>
      </c>
      <c r="K149" s="121">
        <f t="shared" si="55"/>
        <v>-169276.75220215664</v>
      </c>
      <c r="L149" s="121">
        <f t="shared" si="55"/>
        <v>-168491.8912979642</v>
      </c>
      <c r="M149" s="121">
        <f t="shared" si="55"/>
        <v>-167768.22403008677</v>
      </c>
      <c r="N149" s="121">
        <f t="shared" si="55"/>
        <v>249024.08056933025</v>
      </c>
      <c r="O149" s="111" t="s">
        <v>105</v>
      </c>
      <c r="P149" s="111"/>
      <c r="Q149" s="111"/>
    </row>
    <row r="150" spans="1:17" ht="13.5" thickBot="1" x14ac:dyDescent="0.25">
      <c r="A150" s="108" t="s">
        <v>98</v>
      </c>
      <c r="C150" s="120">
        <f>IRR(C149:N149,-50%)</f>
        <v>-0.39901960058271768</v>
      </c>
      <c r="D150" s="111"/>
      <c r="E150" s="111"/>
      <c r="F150" s="112"/>
      <c r="G150" s="111"/>
      <c r="H150" s="111"/>
      <c r="I150" s="111"/>
      <c r="J150" s="111"/>
      <c r="K150" s="111"/>
      <c r="L150" s="111"/>
      <c r="M150" s="111"/>
      <c r="N150" s="111"/>
      <c r="O150" s="118">
        <v>0.05</v>
      </c>
      <c r="P150" s="111"/>
      <c r="Q150" s="111"/>
    </row>
    <row r="151" spans="1:17" x14ac:dyDescent="0.2">
      <c r="A151" s="108" t="s">
        <v>104</v>
      </c>
      <c r="C151" s="119">
        <v>0.1</v>
      </c>
      <c r="D151" s="111"/>
      <c r="E151" s="111"/>
      <c r="F151" s="112"/>
      <c r="G151" s="111"/>
      <c r="H151" s="111"/>
      <c r="I151" s="111"/>
      <c r="J151" s="111"/>
      <c r="K151" s="111"/>
      <c r="L151" s="111"/>
      <c r="M151" s="111"/>
      <c r="N151" s="111"/>
      <c r="O151" s="118">
        <v>0.95</v>
      </c>
      <c r="P151" s="111"/>
      <c r="Q151" s="111"/>
    </row>
    <row r="152" spans="1:17" x14ac:dyDescent="0.2">
      <c r="A152" s="108" t="s">
        <v>103</v>
      </c>
      <c r="C152" s="117">
        <f>C150*O150+C151*O151</f>
        <v>7.504901997086412E-2</v>
      </c>
      <c r="D152" s="111"/>
      <c r="E152" s="111"/>
      <c r="F152" s="112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</row>
    <row r="153" spans="1:17" x14ac:dyDescent="0.2">
      <c r="D153" s="111"/>
      <c r="E153" s="111"/>
      <c r="F153" s="112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</row>
    <row r="154" spans="1:17" s="110" customFormat="1" x14ac:dyDescent="0.2">
      <c r="C154" s="116"/>
      <c r="D154" s="115"/>
      <c r="E154" s="116"/>
      <c r="F154" s="115"/>
      <c r="G154" s="116"/>
      <c r="H154" s="115"/>
      <c r="I154" s="116"/>
      <c r="J154" s="115"/>
      <c r="K154" s="116"/>
      <c r="L154" s="115"/>
      <c r="M154" s="116"/>
      <c r="N154" s="115"/>
      <c r="O154" s="112"/>
      <c r="P154" s="112"/>
      <c r="Q154" s="112"/>
    </row>
    <row r="155" spans="1:17" s="110" customFormat="1" ht="15" x14ac:dyDescent="0.25">
      <c r="A155" s="114"/>
      <c r="B155" s="113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1:17" s="110" customFormat="1" ht="15" x14ac:dyDescent="0.25">
      <c r="A156" s="114"/>
      <c r="B156" s="113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1:17" s="110" customFormat="1" ht="15" x14ac:dyDescent="0.25">
      <c r="A157" s="114"/>
      <c r="B157" s="113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1:17" s="110" customFormat="1" ht="15" x14ac:dyDescent="0.25">
      <c r="A158" s="114"/>
      <c r="B158" s="113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1:17" s="110" customFormat="1" ht="15" x14ac:dyDescent="0.25">
      <c r="A159" s="114"/>
      <c r="B159" s="113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1:17" s="110" customFormat="1" ht="15" x14ac:dyDescent="0.25">
      <c r="A160" s="114"/>
      <c r="B160" s="113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1:17" s="110" customFormat="1" ht="15" x14ac:dyDescent="0.25">
      <c r="A161" s="114"/>
      <c r="B161" s="113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1:17" s="110" customFormat="1" ht="15" x14ac:dyDescent="0.25">
      <c r="A162" s="114"/>
      <c r="B162" s="113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1:17" s="110" customFormat="1" ht="15" x14ac:dyDescent="0.25">
      <c r="A163" s="114"/>
      <c r="B163" s="113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1:17" s="110" customFormat="1" ht="15" x14ac:dyDescent="0.25">
      <c r="A164" s="114"/>
      <c r="B164" s="113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1:17" s="110" customFormat="1" ht="15" x14ac:dyDescent="0.25">
      <c r="A165" s="114"/>
      <c r="B165" s="113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1:17" s="110" customFormat="1" ht="15" x14ac:dyDescent="0.25">
      <c r="A166" s="114"/>
      <c r="B166" s="113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1:17" s="110" customFormat="1" ht="15" x14ac:dyDescent="0.25">
      <c r="A167" s="114"/>
      <c r="B167" s="113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1:17" s="110" customFormat="1" ht="15" x14ac:dyDescent="0.25">
      <c r="A168" s="114"/>
      <c r="B168" s="113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1:17" s="110" customFormat="1" ht="15" x14ac:dyDescent="0.25">
      <c r="A169" s="114"/>
      <c r="B169" s="113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1:17" s="110" customFormat="1" ht="15" x14ac:dyDescent="0.25">
      <c r="A170" s="114"/>
      <c r="B170" s="113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1:17" s="110" customFormat="1" ht="15" x14ac:dyDescent="0.25">
      <c r="A171" s="114"/>
      <c r="B171" s="113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1:17" s="110" customFormat="1" ht="15" x14ac:dyDescent="0.25">
      <c r="A172" s="114"/>
      <c r="B172" s="113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1:17" s="110" customFormat="1" ht="15" x14ac:dyDescent="0.25">
      <c r="A173" s="113"/>
      <c r="B173" s="113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1:17" s="110" customFormat="1" ht="15" x14ac:dyDescent="0.25">
      <c r="A174" s="114"/>
      <c r="B174" s="113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1:17" s="110" customFormat="1" ht="15" x14ac:dyDescent="0.25">
      <c r="A175" s="114"/>
      <c r="B175" s="113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1:17" s="110" customFormat="1" ht="15" x14ac:dyDescent="0.25">
      <c r="A176" s="114"/>
      <c r="B176" s="113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1:17" s="110" customFormat="1" ht="15" x14ac:dyDescent="0.25">
      <c r="A177" s="113"/>
      <c r="B177" s="113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1:17" s="110" customFormat="1" ht="15" x14ac:dyDescent="0.25">
      <c r="A178" s="114"/>
      <c r="B178" s="113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1:17" s="110" customFormat="1" ht="15" x14ac:dyDescent="0.25">
      <c r="A179" s="114"/>
      <c r="B179" s="113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1:17" s="110" customFormat="1" ht="15" x14ac:dyDescent="0.25">
      <c r="A180" s="114"/>
      <c r="B180" s="113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1:17" s="110" customFormat="1" ht="15" x14ac:dyDescent="0.25">
      <c r="A181" s="114"/>
      <c r="B181" s="113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1:17" s="110" customFormat="1" ht="15" x14ac:dyDescent="0.25">
      <c r="A182" s="114"/>
      <c r="B182" s="113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1:17" s="110" customFormat="1" x14ac:dyDescent="0.2"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1:17" s="110" customFormat="1" x14ac:dyDescent="0.2"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1:17" s="110" customFormat="1" x14ac:dyDescent="0.2"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1:17" s="110" customFormat="1" x14ac:dyDescent="0.2"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1:17" s="110" customFormat="1" x14ac:dyDescent="0.2"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1:17" s="110" customFormat="1" x14ac:dyDescent="0.2"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1:17" s="110" customFormat="1" x14ac:dyDescent="0.2"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1:17" s="110" customFormat="1" x14ac:dyDescent="0.2"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1:17" s="110" customFormat="1" x14ac:dyDescent="0.2"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1:17" s="110" customFormat="1" x14ac:dyDescent="0.2"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4:17" s="110" customFormat="1" x14ac:dyDescent="0.2"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4:17" s="110" customFormat="1" x14ac:dyDescent="0.2"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4:17" s="110" customFormat="1" x14ac:dyDescent="0.2"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4:17" s="110" customFormat="1" x14ac:dyDescent="0.2"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4:17" s="110" customFormat="1" x14ac:dyDescent="0.2"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4:17" s="110" customFormat="1" x14ac:dyDescent="0.2"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4:17" s="110" customFormat="1" x14ac:dyDescent="0.2"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4:17" s="110" customFormat="1" x14ac:dyDescent="0.2"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4:17" s="110" customFormat="1" x14ac:dyDescent="0.2"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4:17" s="110" customFormat="1" x14ac:dyDescent="0.2"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4:17" s="110" customFormat="1" x14ac:dyDescent="0.2"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4:17" s="110" customFormat="1" x14ac:dyDescent="0.2"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4:17" s="110" customFormat="1" x14ac:dyDescent="0.2"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4:17" x14ac:dyDescent="0.2">
      <c r="D206" s="111"/>
      <c r="E206" s="111"/>
      <c r="F206" s="112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</row>
    <row r="207" spans="4:17" x14ac:dyDescent="0.2">
      <c r="D207" s="111"/>
      <c r="E207" s="111"/>
      <c r="F207" s="112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</row>
    <row r="208" spans="4:17" x14ac:dyDescent="0.2">
      <c r="D208" s="111"/>
      <c r="E208" s="111"/>
      <c r="F208" s="112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</row>
    <row r="209" spans="4:17" x14ac:dyDescent="0.2">
      <c r="D209" s="111"/>
      <c r="E209" s="111"/>
      <c r="F209" s="112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</row>
    <row r="210" spans="4:17" x14ac:dyDescent="0.2">
      <c r="D210" s="111"/>
      <c r="E210" s="111"/>
      <c r="F210" s="112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</row>
    <row r="211" spans="4:17" x14ac:dyDescent="0.2">
      <c r="D211" s="111"/>
      <c r="E211" s="111"/>
      <c r="F211" s="112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</row>
    <row r="212" spans="4:17" x14ac:dyDescent="0.2">
      <c r="D212" s="111"/>
      <c r="E212" s="111"/>
      <c r="F212" s="112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</row>
    <row r="213" spans="4:17" x14ac:dyDescent="0.2">
      <c r="D213" s="111"/>
      <c r="E213" s="111"/>
      <c r="F213" s="112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</row>
    <row r="214" spans="4:17" x14ac:dyDescent="0.2">
      <c r="D214" s="111"/>
      <c r="E214" s="111"/>
      <c r="F214" s="112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</row>
    <row r="215" spans="4:17" x14ac:dyDescent="0.2">
      <c r="D215" s="111"/>
      <c r="E215" s="111"/>
      <c r="F215" s="112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</row>
    <row r="216" spans="4:17" x14ac:dyDescent="0.2">
      <c r="D216" s="111"/>
      <c r="E216" s="111"/>
      <c r="F216" s="112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</row>
    <row r="217" spans="4:17" x14ac:dyDescent="0.2">
      <c r="D217" s="111"/>
      <c r="E217" s="111"/>
      <c r="F217" s="112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</row>
    <row r="218" spans="4:17" x14ac:dyDescent="0.2">
      <c r="D218" s="111"/>
      <c r="E218" s="111"/>
      <c r="F218" s="112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</row>
    <row r="219" spans="4:17" x14ac:dyDescent="0.2">
      <c r="D219" s="111"/>
      <c r="E219" s="111"/>
      <c r="F219" s="112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</row>
    <row r="220" spans="4:17" x14ac:dyDescent="0.2">
      <c r="D220" s="111"/>
      <c r="E220" s="111"/>
      <c r="F220" s="112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</row>
    <row r="221" spans="4:17" x14ac:dyDescent="0.2">
      <c r="D221" s="111"/>
      <c r="E221" s="111"/>
      <c r="F221" s="112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</row>
    <row r="222" spans="4:17" x14ac:dyDescent="0.2">
      <c r="D222" s="111"/>
      <c r="E222" s="111"/>
      <c r="F222" s="112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</row>
    <row r="223" spans="4:17" x14ac:dyDescent="0.2">
      <c r="D223" s="111"/>
      <c r="E223" s="111"/>
      <c r="F223" s="112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</row>
    <row r="224" spans="4:17" x14ac:dyDescent="0.2">
      <c r="D224" s="111"/>
      <c r="E224" s="111"/>
      <c r="F224" s="112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</row>
    <row r="225" spans="4:17" x14ac:dyDescent="0.2">
      <c r="D225" s="111"/>
      <c r="E225" s="111"/>
      <c r="F225" s="112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</row>
    <row r="226" spans="4:17" x14ac:dyDescent="0.2">
      <c r="D226" s="111"/>
      <c r="E226" s="111"/>
      <c r="F226" s="112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</row>
    <row r="227" spans="4:17" x14ac:dyDescent="0.2">
      <c r="D227" s="111"/>
      <c r="E227" s="111"/>
      <c r="F227" s="112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</row>
    <row r="228" spans="4:17" x14ac:dyDescent="0.2">
      <c r="D228" s="111"/>
      <c r="E228" s="111"/>
      <c r="F228" s="112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</row>
    <row r="229" spans="4:17" x14ac:dyDescent="0.2">
      <c r="D229" s="111"/>
      <c r="E229" s="111"/>
      <c r="F229" s="112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</row>
    <row r="230" spans="4:17" x14ac:dyDescent="0.2">
      <c r="D230" s="111"/>
      <c r="E230" s="111"/>
      <c r="F230" s="112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</row>
    <row r="231" spans="4:17" x14ac:dyDescent="0.2">
      <c r="D231" s="111"/>
      <c r="E231" s="111"/>
      <c r="F231" s="112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</row>
    <row r="232" spans="4:17" x14ac:dyDescent="0.2">
      <c r="D232" s="111"/>
      <c r="E232" s="111"/>
      <c r="F232" s="112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</row>
    <row r="233" spans="4:17" x14ac:dyDescent="0.2">
      <c r="D233" s="111"/>
      <c r="E233" s="111"/>
      <c r="F233" s="112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</row>
    <row r="234" spans="4:17" x14ac:dyDescent="0.2">
      <c r="D234" s="111"/>
      <c r="E234" s="111"/>
      <c r="F234" s="112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</row>
    <row r="235" spans="4:17" x14ac:dyDescent="0.2">
      <c r="D235" s="111"/>
      <c r="E235" s="111"/>
      <c r="F235" s="112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</row>
    <row r="236" spans="4:17" x14ac:dyDescent="0.2">
      <c r="D236" s="111"/>
      <c r="E236" s="111"/>
      <c r="F236" s="112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</row>
    <row r="237" spans="4:17" x14ac:dyDescent="0.2">
      <c r="D237" s="111"/>
      <c r="E237" s="111"/>
      <c r="F237" s="112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</row>
    <row r="238" spans="4:17" x14ac:dyDescent="0.2">
      <c r="D238" s="111"/>
      <c r="E238" s="111"/>
      <c r="F238" s="112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</row>
    <row r="239" spans="4:17" x14ac:dyDescent="0.2">
      <c r="D239" s="111"/>
      <c r="E239" s="111"/>
      <c r="F239" s="112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</row>
    <row r="240" spans="4:17" x14ac:dyDescent="0.2">
      <c r="D240" s="111"/>
      <c r="E240" s="111"/>
      <c r="F240" s="112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</row>
    <row r="241" spans="4:17" x14ac:dyDescent="0.2">
      <c r="D241" s="111"/>
      <c r="E241" s="111"/>
      <c r="F241" s="112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</row>
    <row r="242" spans="4:17" x14ac:dyDescent="0.2">
      <c r="D242" s="111"/>
      <c r="E242" s="111"/>
      <c r="F242" s="112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</row>
    <row r="243" spans="4:17" x14ac:dyDescent="0.2">
      <c r="D243" s="111"/>
      <c r="E243" s="111"/>
      <c r="F243" s="112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</row>
    <row r="244" spans="4:17" x14ac:dyDescent="0.2">
      <c r="D244" s="111"/>
      <c r="E244" s="111"/>
      <c r="F244" s="112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</row>
    <row r="245" spans="4:17" x14ac:dyDescent="0.2">
      <c r="D245" s="111"/>
      <c r="E245" s="111"/>
      <c r="F245" s="112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</row>
    <row r="246" spans="4:17" x14ac:dyDescent="0.2">
      <c r="D246" s="111"/>
      <c r="E246" s="111"/>
      <c r="F246" s="112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</row>
    <row r="247" spans="4:17" x14ac:dyDescent="0.2">
      <c r="D247" s="111"/>
      <c r="E247" s="111"/>
      <c r="F247" s="112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</row>
    <row r="248" spans="4:17" x14ac:dyDescent="0.2">
      <c r="D248" s="111"/>
      <c r="E248" s="111"/>
      <c r="F248" s="112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</row>
    <row r="249" spans="4:17" x14ac:dyDescent="0.2">
      <c r="D249" s="111"/>
      <c r="E249" s="111"/>
      <c r="F249" s="112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</row>
    <row r="250" spans="4:17" x14ac:dyDescent="0.2">
      <c r="D250" s="111"/>
      <c r="E250" s="111"/>
      <c r="F250" s="112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</row>
    <row r="251" spans="4:17" x14ac:dyDescent="0.2">
      <c r="D251" s="111"/>
      <c r="E251" s="111"/>
      <c r="F251" s="112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</row>
    <row r="252" spans="4:17" x14ac:dyDescent="0.2">
      <c r="D252" s="111"/>
      <c r="E252" s="111"/>
      <c r="F252" s="112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</row>
    <row r="253" spans="4:17" x14ac:dyDescent="0.2">
      <c r="D253" s="111"/>
      <c r="E253" s="111"/>
      <c r="F253" s="112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</row>
    <row r="254" spans="4:17" x14ac:dyDescent="0.2">
      <c r="D254" s="111"/>
      <c r="E254" s="111"/>
      <c r="F254" s="112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</row>
    <row r="255" spans="4:17" x14ac:dyDescent="0.2">
      <c r="D255" s="111"/>
      <c r="E255" s="111"/>
      <c r="F255" s="112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</row>
    <row r="256" spans="4:17" x14ac:dyDescent="0.2">
      <c r="D256" s="111"/>
      <c r="E256" s="111"/>
      <c r="F256" s="112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</row>
    <row r="257" spans="4:17" x14ac:dyDescent="0.2">
      <c r="D257" s="111"/>
      <c r="E257" s="111"/>
      <c r="F257" s="112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</row>
    <row r="258" spans="4:17" x14ac:dyDescent="0.2">
      <c r="D258" s="111"/>
      <c r="E258" s="111"/>
      <c r="F258" s="112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</row>
    <row r="259" spans="4:17" x14ac:dyDescent="0.2">
      <c r="D259" s="111"/>
      <c r="E259" s="111"/>
      <c r="F259" s="112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</row>
    <row r="260" spans="4:17" x14ac:dyDescent="0.2">
      <c r="D260" s="111"/>
      <c r="E260" s="111"/>
      <c r="F260" s="112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</row>
    <row r="261" spans="4:17" x14ac:dyDescent="0.2">
      <c r="D261" s="111"/>
      <c r="E261" s="111"/>
      <c r="F261" s="112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</row>
    <row r="262" spans="4:17" x14ac:dyDescent="0.2">
      <c r="D262" s="111"/>
      <c r="E262" s="111"/>
      <c r="F262" s="112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</row>
    <row r="263" spans="4:17" x14ac:dyDescent="0.2">
      <c r="D263" s="111"/>
      <c r="E263" s="111"/>
      <c r="F263" s="112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</row>
    <row r="264" spans="4:17" x14ac:dyDescent="0.2">
      <c r="D264" s="111"/>
      <c r="E264" s="111"/>
      <c r="F264" s="112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</row>
    <row r="265" spans="4:17" x14ac:dyDescent="0.2">
      <c r="D265" s="111"/>
      <c r="E265" s="111"/>
      <c r="F265" s="112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</row>
  </sheetData>
  <mergeCells count="2">
    <mergeCell ref="AG57:AJ57"/>
    <mergeCell ref="Z57:AE5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138"/>
  <sheetViews>
    <sheetView workbookViewId="0">
      <selection activeCell="F2" sqref="F2"/>
    </sheetView>
  </sheetViews>
  <sheetFormatPr defaultRowHeight="15" x14ac:dyDescent="0.25"/>
  <cols>
    <col min="1" max="1" width="2.140625" customWidth="1"/>
    <col min="3" max="3" width="13.7109375" bestFit="1" customWidth="1"/>
    <col min="4" max="4" width="10.7109375" customWidth="1"/>
    <col min="5" max="5" width="11.7109375" bestFit="1" customWidth="1"/>
    <col min="6" max="6" width="13.7109375" bestFit="1" customWidth="1"/>
    <col min="7" max="7" width="11" bestFit="1" customWidth="1"/>
    <col min="8" max="8" width="11.5703125" bestFit="1" customWidth="1"/>
    <col min="10" max="10" width="11.7109375" bestFit="1" customWidth="1"/>
    <col min="11" max="11" width="13.7109375" bestFit="1" customWidth="1"/>
    <col min="12" max="12" width="11.7109375" bestFit="1" customWidth="1"/>
  </cols>
  <sheetData>
    <row r="1" spans="2:12" x14ac:dyDescent="0.25">
      <c r="B1" s="44" t="s">
        <v>40</v>
      </c>
      <c r="C1" s="20">
        <f>F1/F2</f>
        <v>6.6666666666666671E-3</v>
      </c>
      <c r="E1" s="38" t="s">
        <v>40</v>
      </c>
      <c r="F1" s="39">
        <v>0.08</v>
      </c>
      <c r="J1" s="21"/>
      <c r="K1" s="22"/>
      <c r="L1" s="21"/>
    </row>
    <row r="2" spans="2:12" x14ac:dyDescent="0.25">
      <c r="B2" s="45" t="s">
        <v>53</v>
      </c>
      <c r="C2" s="23">
        <f>F2*F3</f>
        <v>240</v>
      </c>
      <c r="E2" s="40" t="s">
        <v>60</v>
      </c>
      <c r="F2" s="41">
        <v>12</v>
      </c>
      <c r="J2" s="21"/>
      <c r="K2" s="22"/>
      <c r="L2" s="21"/>
    </row>
    <row r="3" spans="2:12" ht="15.75" thickBot="1" x14ac:dyDescent="0.3">
      <c r="B3" s="45" t="s">
        <v>54</v>
      </c>
      <c r="C3" s="24">
        <f>'Forecast (2)'!P65</f>
        <v>500000</v>
      </c>
      <c r="E3" s="42" t="s">
        <v>41</v>
      </c>
      <c r="F3" s="43">
        <v>20</v>
      </c>
      <c r="J3" s="21"/>
      <c r="K3" s="22"/>
      <c r="L3" s="21"/>
    </row>
    <row r="4" spans="2:12" ht="15.75" thickBot="1" x14ac:dyDescent="0.3">
      <c r="B4" s="46" t="s">
        <v>39</v>
      </c>
      <c r="C4" s="25">
        <f>PMT(C1,C2,-C3,,0)</f>
        <v>4182.2003449673139</v>
      </c>
    </row>
    <row r="5" spans="2:12" ht="15.75" thickBot="1" x14ac:dyDescent="0.3">
      <c r="C5" s="26"/>
    </row>
    <row r="6" spans="2:12" ht="15.75" thickBot="1" x14ac:dyDescent="0.3">
      <c r="C6" s="37" t="s">
        <v>55</v>
      </c>
      <c r="D6" s="52" t="s">
        <v>56</v>
      </c>
      <c r="E6" s="52" t="s">
        <v>57</v>
      </c>
      <c r="F6" s="53" t="s">
        <v>58</v>
      </c>
    </row>
    <row r="7" spans="2:12" x14ac:dyDescent="0.25">
      <c r="B7" s="27">
        <v>1</v>
      </c>
      <c r="C7" s="28">
        <f>C3</f>
        <v>500000</v>
      </c>
      <c r="D7" s="28">
        <f t="shared" ref="D7:D38" si="0">C7*$C$1</f>
        <v>3333.3333333333335</v>
      </c>
      <c r="E7" s="29">
        <f t="shared" ref="E7:E38" si="1">$C$4-D7</f>
        <v>848.86701163398038</v>
      </c>
      <c r="F7" s="49">
        <f t="shared" ref="F7:F38" si="2">IF(C7-E7&lt;0,0,C7-E7)</f>
        <v>499151.13298836601</v>
      </c>
    </row>
    <row r="8" spans="2:12" x14ac:dyDescent="0.25">
      <c r="B8" s="30">
        <v>2</v>
      </c>
      <c r="C8" s="31">
        <f t="shared" ref="C8:C39" si="3">F7</f>
        <v>499151.13298836601</v>
      </c>
      <c r="D8" s="31">
        <f t="shared" si="0"/>
        <v>3327.6742199224404</v>
      </c>
      <c r="E8" s="32">
        <f t="shared" si="1"/>
        <v>854.52612504487342</v>
      </c>
      <c r="F8" s="50">
        <f t="shared" si="2"/>
        <v>498296.60686332115</v>
      </c>
    </row>
    <row r="9" spans="2:12" x14ac:dyDescent="0.25">
      <c r="B9" s="30">
        <v>3</v>
      </c>
      <c r="C9" s="31">
        <f t="shared" si="3"/>
        <v>498296.60686332115</v>
      </c>
      <c r="D9" s="31">
        <f t="shared" si="0"/>
        <v>3321.977379088808</v>
      </c>
      <c r="E9" s="32">
        <f t="shared" si="1"/>
        <v>860.22296587850587</v>
      </c>
      <c r="F9" s="50">
        <f t="shared" si="2"/>
        <v>497436.38389744266</v>
      </c>
    </row>
    <row r="10" spans="2:12" x14ac:dyDescent="0.25">
      <c r="B10" s="30">
        <v>4</v>
      </c>
      <c r="C10" s="31">
        <f t="shared" si="3"/>
        <v>497436.38389744266</v>
      </c>
      <c r="D10" s="31">
        <f t="shared" si="0"/>
        <v>3316.2425593162848</v>
      </c>
      <c r="E10" s="32">
        <f t="shared" si="1"/>
        <v>865.9577856510291</v>
      </c>
      <c r="F10" s="50">
        <f t="shared" si="2"/>
        <v>496570.42611179163</v>
      </c>
    </row>
    <row r="11" spans="2:12" x14ac:dyDescent="0.25">
      <c r="B11" s="30">
        <v>5</v>
      </c>
      <c r="C11" s="31">
        <f t="shared" si="3"/>
        <v>496570.42611179163</v>
      </c>
      <c r="D11" s="31">
        <f t="shared" si="0"/>
        <v>3310.4695074119445</v>
      </c>
      <c r="E11" s="32">
        <f t="shared" si="1"/>
        <v>871.73083755536936</v>
      </c>
      <c r="F11" s="50">
        <f t="shared" si="2"/>
        <v>495698.69527423626</v>
      </c>
    </row>
    <row r="12" spans="2:12" x14ac:dyDescent="0.25">
      <c r="B12" s="30">
        <v>6</v>
      </c>
      <c r="C12" s="31">
        <f t="shared" si="3"/>
        <v>495698.69527423626</v>
      </c>
      <c r="D12" s="31">
        <f t="shared" si="0"/>
        <v>3304.6579684949088</v>
      </c>
      <c r="E12" s="32">
        <f t="shared" si="1"/>
        <v>877.54237647240507</v>
      </c>
      <c r="F12" s="50">
        <f t="shared" si="2"/>
        <v>494821.15289776388</v>
      </c>
    </row>
    <row r="13" spans="2:12" x14ac:dyDescent="0.25">
      <c r="B13" s="30">
        <v>7</v>
      </c>
      <c r="C13" s="31">
        <f t="shared" si="3"/>
        <v>494821.15289776388</v>
      </c>
      <c r="D13" s="31">
        <f t="shared" si="0"/>
        <v>3298.8076859850926</v>
      </c>
      <c r="E13" s="32">
        <f t="shared" si="1"/>
        <v>883.39265898222129</v>
      </c>
      <c r="F13" s="50">
        <f t="shared" si="2"/>
        <v>493937.76023878169</v>
      </c>
    </row>
    <row r="14" spans="2:12" x14ac:dyDescent="0.25">
      <c r="B14" s="30">
        <v>8</v>
      </c>
      <c r="C14" s="31">
        <f t="shared" si="3"/>
        <v>493937.76023878169</v>
      </c>
      <c r="D14" s="31">
        <f t="shared" si="0"/>
        <v>3292.9184015918781</v>
      </c>
      <c r="E14" s="32">
        <f t="shared" si="1"/>
        <v>889.28194337543573</v>
      </c>
      <c r="F14" s="50">
        <f t="shared" si="2"/>
        <v>493048.47829540627</v>
      </c>
    </row>
    <row r="15" spans="2:12" x14ac:dyDescent="0.25">
      <c r="B15" s="30">
        <v>9</v>
      </c>
      <c r="C15" s="31">
        <f t="shared" si="3"/>
        <v>493048.47829540627</v>
      </c>
      <c r="D15" s="31">
        <f t="shared" si="0"/>
        <v>3286.9898553027087</v>
      </c>
      <c r="E15" s="32">
        <f t="shared" si="1"/>
        <v>895.21048966460512</v>
      </c>
      <c r="F15" s="50">
        <f t="shared" si="2"/>
        <v>492153.26780574163</v>
      </c>
    </row>
    <row r="16" spans="2:12" ht="15.75" thickBot="1" x14ac:dyDescent="0.3">
      <c r="B16" s="30">
        <v>10</v>
      </c>
      <c r="C16" s="31">
        <f t="shared" si="3"/>
        <v>492153.26780574163</v>
      </c>
      <c r="D16" s="31">
        <f t="shared" si="0"/>
        <v>3281.0217853716113</v>
      </c>
      <c r="E16" s="32">
        <f t="shared" si="1"/>
        <v>901.17855959570261</v>
      </c>
      <c r="F16" s="50">
        <f t="shared" si="2"/>
        <v>491252.08924614592</v>
      </c>
    </row>
    <row r="17" spans="2:8" ht="15.75" thickBot="1" x14ac:dyDescent="0.3">
      <c r="B17" s="30">
        <v>11</v>
      </c>
      <c r="C17" s="31">
        <f t="shared" si="3"/>
        <v>491252.08924614592</v>
      </c>
      <c r="D17" s="31">
        <f t="shared" si="0"/>
        <v>3275.0139283076396</v>
      </c>
      <c r="E17" s="32">
        <f t="shared" si="1"/>
        <v>907.18641665967425</v>
      </c>
      <c r="F17" s="50">
        <f t="shared" si="2"/>
        <v>490344.90282948624</v>
      </c>
      <c r="G17" s="47" t="s">
        <v>55</v>
      </c>
      <c r="H17" s="48" t="s">
        <v>59</v>
      </c>
    </row>
    <row r="18" spans="2:8" ht="15.75" thickBot="1" x14ac:dyDescent="0.3">
      <c r="B18" s="30">
        <v>12</v>
      </c>
      <c r="C18" s="31">
        <f t="shared" si="3"/>
        <v>490344.90282948624</v>
      </c>
      <c r="D18" s="31">
        <f t="shared" si="0"/>
        <v>3268.966018863242</v>
      </c>
      <c r="E18" s="32">
        <f t="shared" si="1"/>
        <v>913.2343261040719</v>
      </c>
      <c r="F18" s="50">
        <f t="shared" si="2"/>
        <v>489431.66850338219</v>
      </c>
      <c r="G18" s="33">
        <f>F18</f>
        <v>489431.66850338219</v>
      </c>
      <c r="H18" s="34">
        <f>SUM(D7:D18)</f>
        <v>39618.072642989893</v>
      </c>
    </row>
    <row r="19" spans="2:8" x14ac:dyDescent="0.25">
      <c r="B19" s="30">
        <v>13</v>
      </c>
      <c r="C19" s="31">
        <f t="shared" si="3"/>
        <v>489431.66850338219</v>
      </c>
      <c r="D19" s="31">
        <f t="shared" si="0"/>
        <v>3262.8777900225482</v>
      </c>
      <c r="E19" s="32">
        <f t="shared" si="1"/>
        <v>919.32255494476567</v>
      </c>
      <c r="F19" s="50">
        <f t="shared" si="2"/>
        <v>488512.3459484374</v>
      </c>
      <c r="G19" s="22"/>
      <c r="H19" s="22"/>
    </row>
    <row r="20" spans="2:8" x14ac:dyDescent="0.25">
      <c r="B20" s="30">
        <v>14</v>
      </c>
      <c r="C20" s="31">
        <f t="shared" si="3"/>
        <v>488512.3459484374</v>
      </c>
      <c r="D20" s="31">
        <f t="shared" si="0"/>
        <v>3256.7489729895829</v>
      </c>
      <c r="E20" s="32">
        <f t="shared" si="1"/>
        <v>925.45137197773101</v>
      </c>
      <c r="F20" s="50">
        <f t="shared" si="2"/>
        <v>487586.89457645966</v>
      </c>
      <c r="G20" s="22"/>
      <c r="H20" s="22"/>
    </row>
    <row r="21" spans="2:8" x14ac:dyDescent="0.25">
      <c r="B21" s="30">
        <v>15</v>
      </c>
      <c r="C21" s="31">
        <f t="shared" si="3"/>
        <v>487586.89457645966</v>
      </c>
      <c r="D21" s="31">
        <f t="shared" si="0"/>
        <v>3250.5792971763981</v>
      </c>
      <c r="E21" s="32">
        <f t="shared" si="1"/>
        <v>931.62104779091578</v>
      </c>
      <c r="F21" s="50">
        <f t="shared" si="2"/>
        <v>486655.27352866874</v>
      </c>
      <c r="G21" s="22"/>
      <c r="H21" s="22"/>
    </row>
    <row r="22" spans="2:8" x14ac:dyDescent="0.25">
      <c r="B22" s="30">
        <v>16</v>
      </c>
      <c r="C22" s="31">
        <f t="shared" si="3"/>
        <v>486655.27352866874</v>
      </c>
      <c r="D22" s="31">
        <f t="shared" si="0"/>
        <v>3244.3684901911251</v>
      </c>
      <c r="E22" s="32">
        <f t="shared" si="1"/>
        <v>937.83185477618872</v>
      </c>
      <c r="F22" s="50">
        <f t="shared" si="2"/>
        <v>485717.44167389255</v>
      </c>
      <c r="G22" s="22"/>
      <c r="H22" s="22"/>
    </row>
    <row r="23" spans="2:8" x14ac:dyDescent="0.25">
      <c r="B23" s="30">
        <v>17</v>
      </c>
      <c r="C23" s="31">
        <f t="shared" si="3"/>
        <v>485717.44167389255</v>
      </c>
      <c r="D23" s="31">
        <f t="shared" si="0"/>
        <v>3238.1162778259504</v>
      </c>
      <c r="E23" s="32">
        <f t="shared" si="1"/>
        <v>944.08406714136345</v>
      </c>
      <c r="F23" s="50">
        <f t="shared" si="2"/>
        <v>484773.3576067512</v>
      </c>
      <c r="G23" s="22"/>
      <c r="H23" s="22"/>
    </row>
    <row r="24" spans="2:8" x14ac:dyDescent="0.25">
      <c r="B24" s="30">
        <v>18</v>
      </c>
      <c r="C24" s="31">
        <f t="shared" si="3"/>
        <v>484773.3576067512</v>
      </c>
      <c r="D24" s="31">
        <f t="shared" si="0"/>
        <v>3231.8223840450082</v>
      </c>
      <c r="E24" s="32">
        <f t="shared" si="1"/>
        <v>950.37796092230565</v>
      </c>
      <c r="F24" s="50">
        <f t="shared" si="2"/>
        <v>483822.97964582889</v>
      </c>
      <c r="G24" s="22"/>
      <c r="H24" s="22"/>
    </row>
    <row r="25" spans="2:8" x14ac:dyDescent="0.25">
      <c r="B25" s="30">
        <v>19</v>
      </c>
      <c r="C25" s="31">
        <f t="shared" si="3"/>
        <v>483822.97964582889</v>
      </c>
      <c r="D25" s="31">
        <f t="shared" si="0"/>
        <v>3225.4865309721927</v>
      </c>
      <c r="E25" s="32">
        <f t="shared" si="1"/>
        <v>956.7138139951212</v>
      </c>
      <c r="F25" s="50">
        <f t="shared" si="2"/>
        <v>482866.26583183376</v>
      </c>
      <c r="G25" s="22"/>
      <c r="H25" s="22"/>
    </row>
    <row r="26" spans="2:8" x14ac:dyDescent="0.25">
      <c r="B26" s="30">
        <v>20</v>
      </c>
      <c r="C26" s="31">
        <f t="shared" si="3"/>
        <v>482866.26583183376</v>
      </c>
      <c r="D26" s="31">
        <f t="shared" si="0"/>
        <v>3219.1084388788918</v>
      </c>
      <c r="E26" s="32">
        <f t="shared" si="1"/>
        <v>963.09190608842209</v>
      </c>
      <c r="F26" s="50">
        <f t="shared" si="2"/>
        <v>481903.17392574536</v>
      </c>
      <c r="G26" s="22"/>
      <c r="H26" s="22"/>
    </row>
    <row r="27" spans="2:8" x14ac:dyDescent="0.25">
      <c r="B27" s="30">
        <v>21</v>
      </c>
      <c r="C27" s="31">
        <f t="shared" si="3"/>
        <v>481903.17392574536</v>
      </c>
      <c r="D27" s="31">
        <f t="shared" si="0"/>
        <v>3212.6878261716361</v>
      </c>
      <c r="E27" s="32">
        <f t="shared" si="1"/>
        <v>969.51251879567781</v>
      </c>
      <c r="F27" s="50">
        <f t="shared" si="2"/>
        <v>480933.66140694969</v>
      </c>
      <c r="G27" s="22"/>
      <c r="H27" s="22"/>
    </row>
    <row r="28" spans="2:8" x14ac:dyDescent="0.25">
      <c r="B28" s="30">
        <v>22</v>
      </c>
      <c r="C28" s="31">
        <f t="shared" si="3"/>
        <v>480933.66140694969</v>
      </c>
      <c r="D28" s="31">
        <f t="shared" si="0"/>
        <v>3206.2244093796648</v>
      </c>
      <c r="E28" s="32">
        <f t="shared" si="1"/>
        <v>975.97593558764902</v>
      </c>
      <c r="F28" s="50">
        <f t="shared" si="2"/>
        <v>479957.68547136203</v>
      </c>
      <c r="G28" s="22"/>
      <c r="H28" s="22"/>
    </row>
    <row r="29" spans="2:8" ht="15.75" thickBot="1" x14ac:dyDescent="0.3">
      <c r="B29" s="30">
        <v>23</v>
      </c>
      <c r="C29" s="31">
        <f t="shared" si="3"/>
        <v>479957.68547136203</v>
      </c>
      <c r="D29" s="31">
        <f t="shared" si="0"/>
        <v>3199.7179031424139</v>
      </c>
      <c r="E29" s="32">
        <f t="shared" si="1"/>
        <v>982.48244182489998</v>
      </c>
      <c r="F29" s="50">
        <f t="shared" si="2"/>
        <v>478975.20302953711</v>
      </c>
      <c r="G29" s="22"/>
      <c r="H29" s="22"/>
    </row>
    <row r="30" spans="2:8" ht="15.75" thickBot="1" x14ac:dyDescent="0.3">
      <c r="B30" s="30">
        <v>24</v>
      </c>
      <c r="C30" s="31">
        <f t="shared" si="3"/>
        <v>478975.20302953711</v>
      </c>
      <c r="D30" s="31">
        <f t="shared" si="0"/>
        <v>3193.1680201969143</v>
      </c>
      <c r="E30" s="32">
        <f t="shared" si="1"/>
        <v>989.03232477039955</v>
      </c>
      <c r="F30" s="50">
        <f t="shared" si="2"/>
        <v>477986.1707047667</v>
      </c>
      <c r="G30" s="33">
        <f>F30</f>
        <v>477986.1707047667</v>
      </c>
      <c r="H30" s="34">
        <f>SUM(D19:D30)</f>
        <v>38740.906340992333</v>
      </c>
    </row>
    <row r="31" spans="2:8" x14ac:dyDescent="0.25">
      <c r="B31" s="30">
        <v>25</v>
      </c>
      <c r="C31" s="31">
        <f t="shared" si="3"/>
        <v>477986.1707047667</v>
      </c>
      <c r="D31" s="31">
        <f t="shared" si="0"/>
        <v>3186.5744713651115</v>
      </c>
      <c r="E31" s="32">
        <f t="shared" si="1"/>
        <v>995.62587360220232</v>
      </c>
      <c r="F31" s="50">
        <f t="shared" si="2"/>
        <v>476990.54483116447</v>
      </c>
      <c r="G31" s="22"/>
      <c r="H31" s="22"/>
    </row>
    <row r="32" spans="2:8" x14ac:dyDescent="0.25">
      <c r="B32" s="30">
        <v>26</v>
      </c>
      <c r="C32" s="31">
        <f t="shared" si="3"/>
        <v>476990.54483116447</v>
      </c>
      <c r="D32" s="31">
        <f t="shared" si="0"/>
        <v>3179.9369655410965</v>
      </c>
      <c r="E32" s="32">
        <f t="shared" si="1"/>
        <v>1002.2633794262174</v>
      </c>
      <c r="F32" s="50">
        <f t="shared" si="2"/>
        <v>475988.28145173826</v>
      </c>
      <c r="G32" s="22"/>
      <c r="H32" s="22"/>
    </row>
    <row r="33" spans="2:8" x14ac:dyDescent="0.25">
      <c r="B33" s="30">
        <v>27</v>
      </c>
      <c r="C33" s="31">
        <f t="shared" si="3"/>
        <v>475988.28145173826</v>
      </c>
      <c r="D33" s="31">
        <f t="shared" si="0"/>
        <v>3173.2552096782551</v>
      </c>
      <c r="E33" s="32">
        <f t="shared" si="1"/>
        <v>1008.9451352890587</v>
      </c>
      <c r="F33" s="50">
        <f t="shared" si="2"/>
        <v>474979.33631644922</v>
      </c>
      <c r="G33" s="22"/>
      <c r="H33" s="22"/>
    </row>
    <row r="34" spans="2:8" x14ac:dyDescent="0.25">
      <c r="B34" s="30">
        <v>28</v>
      </c>
      <c r="C34" s="31">
        <f t="shared" si="3"/>
        <v>474979.33631644922</v>
      </c>
      <c r="D34" s="31">
        <f t="shared" si="0"/>
        <v>3166.5289087763285</v>
      </c>
      <c r="E34" s="32">
        <f t="shared" si="1"/>
        <v>1015.6714361909853</v>
      </c>
      <c r="F34" s="50">
        <f t="shared" si="2"/>
        <v>473963.66488025821</v>
      </c>
      <c r="G34" s="22"/>
      <c r="H34" s="22"/>
    </row>
    <row r="35" spans="2:8" x14ac:dyDescent="0.25">
      <c r="B35" s="30">
        <v>29</v>
      </c>
      <c r="C35" s="31">
        <f t="shared" si="3"/>
        <v>473963.66488025821</v>
      </c>
      <c r="D35" s="31">
        <f t="shared" si="0"/>
        <v>3159.7577658683881</v>
      </c>
      <c r="E35" s="32">
        <f t="shared" si="1"/>
        <v>1022.4425790989258</v>
      </c>
      <c r="F35" s="50">
        <f t="shared" si="2"/>
        <v>472941.22230115929</v>
      </c>
      <c r="G35" s="22"/>
      <c r="H35" s="22"/>
    </row>
    <row r="36" spans="2:8" x14ac:dyDescent="0.25">
      <c r="B36" s="30">
        <v>30</v>
      </c>
      <c r="C36" s="31">
        <f t="shared" si="3"/>
        <v>472941.22230115929</v>
      </c>
      <c r="D36" s="31">
        <f t="shared" si="0"/>
        <v>3152.9414820077286</v>
      </c>
      <c r="E36" s="32">
        <f t="shared" si="1"/>
        <v>1029.2588629595853</v>
      </c>
      <c r="F36" s="50">
        <f t="shared" si="2"/>
        <v>471911.96343819972</v>
      </c>
      <c r="G36" s="22"/>
      <c r="H36" s="22"/>
    </row>
    <row r="37" spans="2:8" x14ac:dyDescent="0.25">
      <c r="B37" s="30">
        <v>31</v>
      </c>
      <c r="C37" s="31">
        <f t="shared" si="3"/>
        <v>471911.96343819972</v>
      </c>
      <c r="D37" s="31">
        <f t="shared" si="0"/>
        <v>3146.079756254665</v>
      </c>
      <c r="E37" s="32">
        <f t="shared" si="1"/>
        <v>1036.1205887126489</v>
      </c>
      <c r="F37" s="50">
        <f t="shared" si="2"/>
        <v>470875.84284948709</v>
      </c>
      <c r="G37" s="22"/>
      <c r="H37" s="22"/>
    </row>
    <row r="38" spans="2:8" x14ac:dyDescent="0.25">
      <c r="B38" s="30">
        <v>32</v>
      </c>
      <c r="C38" s="31">
        <f t="shared" si="3"/>
        <v>470875.84284948709</v>
      </c>
      <c r="D38" s="31">
        <f t="shared" si="0"/>
        <v>3139.1722856632473</v>
      </c>
      <c r="E38" s="32">
        <f t="shared" si="1"/>
        <v>1043.0280593040666</v>
      </c>
      <c r="F38" s="50">
        <f t="shared" si="2"/>
        <v>469832.81479018304</v>
      </c>
      <c r="G38" s="22"/>
      <c r="H38" s="22"/>
    </row>
    <row r="39" spans="2:8" x14ac:dyDescent="0.25">
      <c r="B39" s="30">
        <v>33</v>
      </c>
      <c r="C39" s="31">
        <f t="shared" si="3"/>
        <v>469832.81479018304</v>
      </c>
      <c r="D39" s="31">
        <f t="shared" ref="D39:D70" si="4">C39*$C$1</f>
        <v>3132.2187652678872</v>
      </c>
      <c r="E39" s="32">
        <f t="shared" ref="E39:E70" si="5">$C$4-D39</f>
        <v>1049.9815796994267</v>
      </c>
      <c r="F39" s="50">
        <f t="shared" ref="F39:F70" si="6">IF(C39-E39&lt;0,0,C39-E39)</f>
        <v>468782.8332104836</v>
      </c>
      <c r="G39" s="22"/>
      <c r="H39" s="22"/>
    </row>
    <row r="40" spans="2:8" x14ac:dyDescent="0.25">
      <c r="B40" s="30">
        <v>34</v>
      </c>
      <c r="C40" s="31">
        <f t="shared" ref="C40:C71" si="7">F39</f>
        <v>468782.8332104836</v>
      </c>
      <c r="D40" s="31">
        <f t="shared" si="4"/>
        <v>3125.2188880698909</v>
      </c>
      <c r="E40" s="32">
        <f t="shared" si="5"/>
        <v>1056.981456897423</v>
      </c>
      <c r="F40" s="50">
        <f t="shared" si="6"/>
        <v>467725.8517535862</v>
      </c>
      <c r="G40" s="22"/>
      <c r="H40" s="22"/>
    </row>
    <row r="41" spans="2:8" ht="15.75" thickBot="1" x14ac:dyDescent="0.3">
      <c r="B41" s="30">
        <v>35</v>
      </c>
      <c r="C41" s="31">
        <f t="shared" si="7"/>
        <v>467725.8517535862</v>
      </c>
      <c r="D41" s="31">
        <f t="shared" si="4"/>
        <v>3118.1723450239083</v>
      </c>
      <c r="E41" s="32">
        <f t="shared" si="5"/>
        <v>1064.0279999434056</v>
      </c>
      <c r="F41" s="50">
        <f t="shared" si="6"/>
        <v>466661.82375364279</v>
      </c>
      <c r="G41" s="22"/>
      <c r="H41" s="22"/>
    </row>
    <row r="42" spans="2:8" ht="15.75" thickBot="1" x14ac:dyDescent="0.3">
      <c r="B42" s="30">
        <v>36</v>
      </c>
      <c r="C42" s="31">
        <f t="shared" si="7"/>
        <v>466661.82375364279</v>
      </c>
      <c r="D42" s="31">
        <f t="shared" si="4"/>
        <v>3111.0788250242854</v>
      </c>
      <c r="E42" s="32">
        <f t="shared" si="5"/>
        <v>1071.1215199430285</v>
      </c>
      <c r="F42" s="50">
        <f t="shared" si="6"/>
        <v>465590.70223369979</v>
      </c>
      <c r="G42" s="33">
        <f>F42</f>
        <v>465590.70223369979</v>
      </c>
      <c r="H42" s="34">
        <f>SUM(D31:D42)</f>
        <v>37790.935668540791</v>
      </c>
    </row>
    <row r="43" spans="2:8" x14ac:dyDescent="0.25">
      <c r="B43" s="30">
        <v>37</v>
      </c>
      <c r="C43" s="31">
        <f t="shared" si="7"/>
        <v>465590.70223369979</v>
      </c>
      <c r="D43" s="31">
        <f t="shared" si="4"/>
        <v>3103.9380148913319</v>
      </c>
      <c r="E43" s="32">
        <f t="shared" si="5"/>
        <v>1078.2623300759819</v>
      </c>
      <c r="F43" s="50">
        <f t="shared" si="6"/>
        <v>464512.43990362383</v>
      </c>
    </row>
    <row r="44" spans="2:8" x14ac:dyDescent="0.25">
      <c r="B44" s="30">
        <v>38</v>
      </c>
      <c r="C44" s="31">
        <f t="shared" si="7"/>
        <v>464512.43990362383</v>
      </c>
      <c r="D44" s="31">
        <f t="shared" si="4"/>
        <v>3096.7495993574926</v>
      </c>
      <c r="E44" s="32">
        <f t="shared" si="5"/>
        <v>1085.4507456098213</v>
      </c>
      <c r="F44" s="50">
        <f t="shared" si="6"/>
        <v>463426.98915801401</v>
      </c>
    </row>
    <row r="45" spans="2:8" x14ac:dyDescent="0.25">
      <c r="B45" s="30">
        <v>39</v>
      </c>
      <c r="C45" s="31">
        <f t="shared" si="7"/>
        <v>463426.98915801401</v>
      </c>
      <c r="D45" s="31">
        <f t="shared" si="4"/>
        <v>3089.513261053427</v>
      </c>
      <c r="E45" s="32">
        <f t="shared" si="5"/>
        <v>1092.6870839138869</v>
      </c>
      <c r="F45" s="50">
        <f t="shared" si="6"/>
        <v>462334.30207410012</v>
      </c>
    </row>
    <row r="46" spans="2:8" x14ac:dyDescent="0.25">
      <c r="B46" s="30">
        <v>40</v>
      </c>
      <c r="C46" s="31">
        <f t="shared" si="7"/>
        <v>462334.30207410012</v>
      </c>
      <c r="D46" s="31">
        <f t="shared" si="4"/>
        <v>3082.2286804940009</v>
      </c>
      <c r="E46" s="32">
        <f t="shared" si="5"/>
        <v>1099.971664473313</v>
      </c>
      <c r="F46" s="50">
        <f t="shared" si="6"/>
        <v>461234.33040962683</v>
      </c>
    </row>
    <row r="47" spans="2:8" x14ac:dyDescent="0.25">
      <c r="B47" s="30">
        <v>41</v>
      </c>
      <c r="C47" s="31">
        <f t="shared" si="7"/>
        <v>461234.33040962683</v>
      </c>
      <c r="D47" s="31">
        <f t="shared" si="4"/>
        <v>3074.8955360641789</v>
      </c>
      <c r="E47" s="32">
        <f t="shared" si="5"/>
        <v>1107.3048089031349</v>
      </c>
      <c r="F47" s="50">
        <f t="shared" si="6"/>
        <v>460127.02560072369</v>
      </c>
    </row>
    <row r="48" spans="2:8" x14ac:dyDescent="0.25">
      <c r="B48" s="30">
        <v>42</v>
      </c>
      <c r="C48" s="31">
        <f t="shared" si="7"/>
        <v>460127.02560072369</v>
      </c>
      <c r="D48" s="31">
        <f t="shared" si="4"/>
        <v>3067.5135040048249</v>
      </c>
      <c r="E48" s="32">
        <f t="shared" si="5"/>
        <v>1114.686840962489</v>
      </c>
      <c r="F48" s="50">
        <f t="shared" si="6"/>
        <v>459012.33875976119</v>
      </c>
    </row>
    <row r="49" spans="2:8" x14ac:dyDescent="0.25">
      <c r="B49" s="30">
        <v>43</v>
      </c>
      <c r="C49" s="31">
        <f t="shared" si="7"/>
        <v>459012.33875976119</v>
      </c>
      <c r="D49" s="31">
        <f t="shared" si="4"/>
        <v>3060.0822583984082</v>
      </c>
      <c r="E49" s="32">
        <f t="shared" si="5"/>
        <v>1122.1180865689057</v>
      </c>
      <c r="F49" s="50">
        <f t="shared" si="6"/>
        <v>457890.22067319229</v>
      </c>
    </row>
    <row r="50" spans="2:8" x14ac:dyDescent="0.25">
      <c r="B50" s="30">
        <v>44</v>
      </c>
      <c r="C50" s="31">
        <f t="shared" si="7"/>
        <v>457890.22067319229</v>
      </c>
      <c r="D50" s="31">
        <f t="shared" si="4"/>
        <v>3052.6014711546154</v>
      </c>
      <c r="E50" s="32">
        <f t="shared" si="5"/>
        <v>1129.5988738126985</v>
      </c>
      <c r="F50" s="50">
        <f t="shared" si="6"/>
        <v>456760.62179937959</v>
      </c>
    </row>
    <row r="51" spans="2:8" x14ac:dyDescent="0.25">
      <c r="B51" s="30">
        <v>45</v>
      </c>
      <c r="C51" s="31">
        <f t="shared" si="7"/>
        <v>456760.62179937959</v>
      </c>
      <c r="D51" s="31">
        <f t="shared" si="4"/>
        <v>3045.070811995864</v>
      </c>
      <c r="E51" s="32">
        <f t="shared" si="5"/>
        <v>1137.1295329714499</v>
      </c>
      <c r="F51" s="50">
        <f t="shared" si="6"/>
        <v>455623.49226640811</v>
      </c>
    </row>
    <row r="52" spans="2:8" x14ac:dyDescent="0.25">
      <c r="B52" s="30">
        <v>46</v>
      </c>
      <c r="C52" s="31">
        <f t="shared" si="7"/>
        <v>455623.49226640811</v>
      </c>
      <c r="D52" s="31">
        <f t="shared" si="4"/>
        <v>3037.489948442721</v>
      </c>
      <c r="E52" s="32">
        <f t="shared" si="5"/>
        <v>1144.7103965245929</v>
      </c>
      <c r="F52" s="50">
        <f t="shared" si="6"/>
        <v>454478.78186988353</v>
      </c>
    </row>
    <row r="53" spans="2:8" ht="15.75" thickBot="1" x14ac:dyDescent="0.3">
      <c r="B53" s="30">
        <v>47</v>
      </c>
      <c r="C53" s="31">
        <f t="shared" si="7"/>
        <v>454478.78186988353</v>
      </c>
      <c r="D53" s="31">
        <f t="shared" si="4"/>
        <v>3029.8585457992235</v>
      </c>
      <c r="E53" s="32">
        <f t="shared" si="5"/>
        <v>1152.3417991680903</v>
      </c>
      <c r="F53" s="50">
        <f t="shared" si="6"/>
        <v>453326.44007071544</v>
      </c>
    </row>
    <row r="54" spans="2:8" ht="15.75" thickBot="1" x14ac:dyDescent="0.3">
      <c r="B54" s="30">
        <v>48</v>
      </c>
      <c r="C54" s="31">
        <f t="shared" si="7"/>
        <v>453326.44007071544</v>
      </c>
      <c r="D54" s="31">
        <f t="shared" si="4"/>
        <v>3022.176267138103</v>
      </c>
      <c r="E54" s="32">
        <f t="shared" si="5"/>
        <v>1160.0240778292109</v>
      </c>
      <c r="F54" s="50">
        <f t="shared" si="6"/>
        <v>452166.41599288624</v>
      </c>
      <c r="G54" s="33">
        <f>F54</f>
        <v>452166.41599288624</v>
      </c>
      <c r="H54" s="34">
        <f>SUM(D43:D54)</f>
        <v>36762.117898794197</v>
      </c>
    </row>
    <row r="55" spans="2:8" x14ac:dyDescent="0.25">
      <c r="B55" s="30">
        <v>49</v>
      </c>
      <c r="C55" s="31">
        <f t="shared" si="7"/>
        <v>452166.41599288624</v>
      </c>
      <c r="D55" s="31">
        <f t="shared" si="4"/>
        <v>3014.4427732859085</v>
      </c>
      <c r="E55" s="32">
        <f t="shared" si="5"/>
        <v>1167.7575716814054</v>
      </c>
      <c r="F55" s="50">
        <f t="shared" si="6"/>
        <v>450998.65842120483</v>
      </c>
    </row>
    <row r="56" spans="2:8" x14ac:dyDescent="0.25">
      <c r="B56" s="30">
        <v>50</v>
      </c>
      <c r="C56" s="31">
        <f t="shared" si="7"/>
        <v>450998.65842120483</v>
      </c>
      <c r="D56" s="31">
        <f t="shared" si="4"/>
        <v>3006.6577228080323</v>
      </c>
      <c r="E56" s="32">
        <f t="shared" si="5"/>
        <v>1175.5426221592816</v>
      </c>
      <c r="F56" s="50">
        <f t="shared" si="6"/>
        <v>449823.11579904554</v>
      </c>
    </row>
    <row r="57" spans="2:8" x14ac:dyDescent="0.25">
      <c r="B57" s="30">
        <v>51</v>
      </c>
      <c r="C57" s="31">
        <f t="shared" si="7"/>
        <v>449823.11579904554</v>
      </c>
      <c r="D57" s="31">
        <f t="shared" si="4"/>
        <v>2998.8207719936372</v>
      </c>
      <c r="E57" s="32">
        <f t="shared" si="5"/>
        <v>1183.3795729736767</v>
      </c>
      <c r="F57" s="50">
        <f t="shared" si="6"/>
        <v>448639.73622607184</v>
      </c>
    </row>
    <row r="58" spans="2:8" x14ac:dyDescent="0.25">
      <c r="B58" s="30">
        <v>52</v>
      </c>
      <c r="C58" s="31">
        <f t="shared" si="7"/>
        <v>448639.73622607184</v>
      </c>
      <c r="D58" s="31">
        <f t="shared" si="4"/>
        <v>2990.9315748404792</v>
      </c>
      <c r="E58" s="32">
        <f t="shared" si="5"/>
        <v>1191.2687701268346</v>
      </c>
      <c r="F58" s="50">
        <f t="shared" si="6"/>
        <v>447448.46745594498</v>
      </c>
    </row>
    <row r="59" spans="2:8" x14ac:dyDescent="0.25">
      <c r="B59" s="30">
        <v>53</v>
      </c>
      <c r="C59" s="31">
        <f t="shared" si="7"/>
        <v>447448.46745594498</v>
      </c>
      <c r="D59" s="31">
        <f t="shared" si="4"/>
        <v>2982.9897830396335</v>
      </c>
      <c r="E59" s="32">
        <f t="shared" si="5"/>
        <v>1199.2105619276804</v>
      </c>
      <c r="F59" s="50">
        <f t="shared" si="6"/>
        <v>446249.25689401728</v>
      </c>
    </row>
    <row r="60" spans="2:8" x14ac:dyDescent="0.25">
      <c r="B60" s="30">
        <v>54</v>
      </c>
      <c r="C60" s="31">
        <f t="shared" si="7"/>
        <v>446249.25689401728</v>
      </c>
      <c r="D60" s="31">
        <f t="shared" si="4"/>
        <v>2974.9950459601155</v>
      </c>
      <c r="E60" s="32">
        <f t="shared" si="5"/>
        <v>1207.2052990071984</v>
      </c>
      <c r="F60" s="50">
        <f t="shared" si="6"/>
        <v>445042.0515950101</v>
      </c>
    </row>
    <row r="61" spans="2:8" x14ac:dyDescent="0.25">
      <c r="B61" s="30">
        <v>55</v>
      </c>
      <c r="C61" s="31">
        <f t="shared" si="7"/>
        <v>445042.0515950101</v>
      </c>
      <c r="D61" s="31">
        <f t="shared" si="4"/>
        <v>2966.9470106334006</v>
      </c>
      <c r="E61" s="32">
        <f t="shared" si="5"/>
        <v>1215.2533343339132</v>
      </c>
      <c r="F61" s="50">
        <f t="shared" si="6"/>
        <v>443826.79826067621</v>
      </c>
    </row>
    <row r="62" spans="2:8" x14ac:dyDescent="0.25">
      <c r="B62" s="30">
        <v>56</v>
      </c>
      <c r="C62" s="31">
        <f t="shared" si="7"/>
        <v>443826.79826067621</v>
      </c>
      <c r="D62" s="31">
        <f t="shared" si="4"/>
        <v>2958.8453217378415</v>
      </c>
      <c r="E62" s="32">
        <f t="shared" si="5"/>
        <v>1223.3550232294724</v>
      </c>
      <c r="F62" s="50">
        <f t="shared" si="6"/>
        <v>442603.44323744671</v>
      </c>
    </row>
    <row r="63" spans="2:8" x14ac:dyDescent="0.25">
      <c r="B63" s="30">
        <v>57</v>
      </c>
      <c r="C63" s="31">
        <f t="shared" si="7"/>
        <v>442603.44323744671</v>
      </c>
      <c r="D63" s="31">
        <f t="shared" si="4"/>
        <v>2950.6896215829784</v>
      </c>
      <c r="E63" s="32">
        <f t="shared" si="5"/>
        <v>1231.5107233843355</v>
      </c>
      <c r="F63" s="50">
        <f t="shared" si="6"/>
        <v>441371.93251406238</v>
      </c>
    </row>
    <row r="64" spans="2:8" x14ac:dyDescent="0.25">
      <c r="B64" s="30">
        <v>58</v>
      </c>
      <c r="C64" s="31">
        <f t="shared" si="7"/>
        <v>441371.93251406238</v>
      </c>
      <c r="D64" s="31">
        <f t="shared" si="4"/>
        <v>2942.4795500937494</v>
      </c>
      <c r="E64" s="32">
        <f t="shared" si="5"/>
        <v>1239.7207948735645</v>
      </c>
      <c r="F64" s="50">
        <f t="shared" si="6"/>
        <v>440132.21171918884</v>
      </c>
    </row>
    <row r="65" spans="2:8" ht="15.75" thickBot="1" x14ac:dyDescent="0.3">
      <c r="B65" s="30">
        <v>59</v>
      </c>
      <c r="C65" s="31">
        <f t="shared" si="7"/>
        <v>440132.21171918884</v>
      </c>
      <c r="D65" s="31">
        <f t="shared" si="4"/>
        <v>2934.2147447945927</v>
      </c>
      <c r="E65" s="32">
        <f t="shared" si="5"/>
        <v>1247.9856001727212</v>
      </c>
      <c r="F65" s="50">
        <f t="shared" si="6"/>
        <v>438884.22611901612</v>
      </c>
    </row>
    <row r="66" spans="2:8" ht="15.75" thickBot="1" x14ac:dyDescent="0.3">
      <c r="B66" s="30">
        <v>60</v>
      </c>
      <c r="C66" s="31">
        <f t="shared" si="7"/>
        <v>438884.22611901612</v>
      </c>
      <c r="D66" s="31">
        <f t="shared" si="4"/>
        <v>2925.8948407934408</v>
      </c>
      <c r="E66" s="32">
        <f t="shared" si="5"/>
        <v>1256.305504173873</v>
      </c>
      <c r="F66" s="50">
        <f t="shared" si="6"/>
        <v>437627.92061484227</v>
      </c>
      <c r="G66" s="33">
        <f>F66</f>
        <v>437627.92061484227</v>
      </c>
      <c r="H66" s="34">
        <f>SUM(D55:D66)</f>
        <v>35647.908761563813</v>
      </c>
    </row>
    <row r="67" spans="2:8" x14ac:dyDescent="0.25">
      <c r="B67" s="30">
        <v>61</v>
      </c>
      <c r="C67" s="55">
        <f t="shared" si="7"/>
        <v>437627.92061484227</v>
      </c>
      <c r="D67" s="31">
        <f t="shared" si="4"/>
        <v>2917.5194707656151</v>
      </c>
      <c r="E67" s="54">
        <f t="shared" si="5"/>
        <v>1264.6808742016988</v>
      </c>
      <c r="F67" s="50">
        <f t="shared" si="6"/>
        <v>436363.23974064057</v>
      </c>
    </row>
    <row r="68" spans="2:8" x14ac:dyDescent="0.25">
      <c r="B68" s="30">
        <v>62</v>
      </c>
      <c r="C68" s="31">
        <f t="shared" si="7"/>
        <v>436363.23974064057</v>
      </c>
      <c r="D68" s="31">
        <f t="shared" si="4"/>
        <v>2909.088264937604</v>
      </c>
      <c r="E68" s="54">
        <f t="shared" si="5"/>
        <v>1273.1120800297099</v>
      </c>
      <c r="F68" s="50">
        <f t="shared" si="6"/>
        <v>435090.12766061083</v>
      </c>
    </row>
    <row r="69" spans="2:8" x14ac:dyDescent="0.25">
      <c r="B69" s="30">
        <v>63</v>
      </c>
      <c r="C69" s="31">
        <f t="shared" si="7"/>
        <v>435090.12766061083</v>
      </c>
      <c r="D69" s="31">
        <f t="shared" si="4"/>
        <v>2900.6008510707388</v>
      </c>
      <c r="E69" s="54">
        <f t="shared" si="5"/>
        <v>1281.599493896575</v>
      </c>
      <c r="F69" s="50">
        <f t="shared" si="6"/>
        <v>433808.52816671424</v>
      </c>
    </row>
    <row r="70" spans="2:8" x14ac:dyDescent="0.25">
      <c r="B70" s="30">
        <v>64</v>
      </c>
      <c r="C70" s="31">
        <f t="shared" si="7"/>
        <v>433808.52816671424</v>
      </c>
      <c r="D70" s="31">
        <f t="shared" si="4"/>
        <v>2892.0568544447619</v>
      </c>
      <c r="E70" s="54">
        <f t="shared" si="5"/>
        <v>1290.1434905225519</v>
      </c>
      <c r="F70" s="50">
        <f t="shared" si="6"/>
        <v>432518.38467619166</v>
      </c>
    </row>
    <row r="71" spans="2:8" x14ac:dyDescent="0.25">
      <c r="B71" s="30">
        <v>65</v>
      </c>
      <c r="C71" s="31">
        <f t="shared" si="7"/>
        <v>432518.38467619166</v>
      </c>
      <c r="D71" s="31">
        <f t="shared" ref="D71:D102" si="8">C71*$C$1</f>
        <v>2883.4558978412779</v>
      </c>
      <c r="E71" s="54">
        <f t="shared" ref="E71:E102" si="9">$C$4-D71</f>
        <v>1298.744447126036</v>
      </c>
      <c r="F71" s="50">
        <f t="shared" ref="F71:F102" si="10">IF(C71-E71&lt;0,0,C71-E71)</f>
        <v>431219.64022906561</v>
      </c>
    </row>
    <row r="72" spans="2:8" x14ac:dyDescent="0.25">
      <c r="B72" s="30">
        <v>66</v>
      </c>
      <c r="C72" s="31">
        <f t="shared" ref="C72:C103" si="11">F71</f>
        <v>431219.64022906561</v>
      </c>
      <c r="D72" s="31">
        <f t="shared" si="8"/>
        <v>2874.7976015271042</v>
      </c>
      <c r="E72" s="54">
        <f t="shared" si="9"/>
        <v>1307.4027434402096</v>
      </c>
      <c r="F72" s="50">
        <f t="shared" si="10"/>
        <v>429912.23748562537</v>
      </c>
    </row>
    <row r="73" spans="2:8" x14ac:dyDescent="0.25">
      <c r="B73" s="30">
        <v>67</v>
      </c>
      <c r="C73" s="31">
        <f t="shared" si="11"/>
        <v>429912.23748562537</v>
      </c>
      <c r="D73" s="31">
        <f t="shared" si="8"/>
        <v>2866.0815832375029</v>
      </c>
      <c r="E73" s="54">
        <f t="shared" si="9"/>
        <v>1316.118761729811</v>
      </c>
      <c r="F73" s="50">
        <f t="shared" si="10"/>
        <v>428596.11872389558</v>
      </c>
    </row>
    <row r="74" spans="2:8" x14ac:dyDescent="0.25">
      <c r="B74" s="30">
        <v>68</v>
      </c>
      <c r="C74" s="31">
        <f t="shared" si="11"/>
        <v>428596.11872389558</v>
      </c>
      <c r="D74" s="31">
        <f t="shared" si="8"/>
        <v>2857.3074581593041</v>
      </c>
      <c r="E74" s="54">
        <f t="shared" si="9"/>
        <v>1324.8928868080097</v>
      </c>
      <c r="F74" s="50">
        <f t="shared" si="10"/>
        <v>427271.22583708755</v>
      </c>
    </row>
    <row r="75" spans="2:8" x14ac:dyDescent="0.25">
      <c r="B75" s="30">
        <v>69</v>
      </c>
      <c r="C75" s="31">
        <f t="shared" si="11"/>
        <v>427271.22583708755</v>
      </c>
      <c r="D75" s="31">
        <f t="shared" si="8"/>
        <v>2848.4748389139172</v>
      </c>
      <c r="E75" s="54">
        <f t="shared" si="9"/>
        <v>1333.7255060533967</v>
      </c>
      <c r="F75" s="50">
        <f t="shared" si="10"/>
        <v>425937.50033103413</v>
      </c>
    </row>
    <row r="76" spans="2:8" x14ac:dyDescent="0.25">
      <c r="B76" s="30">
        <v>70</v>
      </c>
      <c r="C76" s="31">
        <f t="shared" si="11"/>
        <v>425937.50033103413</v>
      </c>
      <c r="D76" s="31">
        <f t="shared" si="8"/>
        <v>2839.5833355402278</v>
      </c>
      <c r="E76" s="54">
        <f t="shared" si="9"/>
        <v>1342.617009427086</v>
      </c>
      <c r="F76" s="50">
        <f t="shared" si="10"/>
        <v>424594.88332160702</v>
      </c>
    </row>
    <row r="77" spans="2:8" x14ac:dyDescent="0.25">
      <c r="B77" s="30">
        <v>71</v>
      </c>
      <c r="C77" s="31">
        <f t="shared" si="11"/>
        <v>424594.88332160702</v>
      </c>
      <c r="D77" s="31">
        <f t="shared" si="8"/>
        <v>2830.6325554773803</v>
      </c>
      <c r="E77" s="54">
        <f t="shared" si="9"/>
        <v>1351.5677894899336</v>
      </c>
      <c r="F77" s="50">
        <f t="shared" si="10"/>
        <v>423243.31553211709</v>
      </c>
    </row>
    <row r="78" spans="2:8" x14ac:dyDescent="0.25">
      <c r="B78" s="30">
        <v>72</v>
      </c>
      <c r="C78" s="31">
        <f t="shared" si="11"/>
        <v>423243.31553211709</v>
      </c>
      <c r="D78" s="31">
        <f t="shared" si="8"/>
        <v>2821.6221035474473</v>
      </c>
      <c r="E78" s="54">
        <f t="shared" si="9"/>
        <v>1360.5782414198666</v>
      </c>
      <c r="F78" s="107">
        <f t="shared" si="10"/>
        <v>421882.73729069723</v>
      </c>
      <c r="H78" s="105">
        <f>SUM(D67:D78)</f>
        <v>34441.220815462882</v>
      </c>
    </row>
    <row r="79" spans="2:8" x14ac:dyDescent="0.25">
      <c r="B79" s="30">
        <v>73</v>
      </c>
      <c r="C79" s="31">
        <f t="shared" si="11"/>
        <v>421882.73729069723</v>
      </c>
      <c r="D79" s="31">
        <f t="shared" si="8"/>
        <v>2812.5515819379816</v>
      </c>
      <c r="E79" s="54">
        <f t="shared" si="9"/>
        <v>1369.6487630293323</v>
      </c>
      <c r="F79" s="50">
        <f t="shared" si="10"/>
        <v>420513.08852766792</v>
      </c>
    </row>
    <row r="80" spans="2:8" x14ac:dyDescent="0.25">
      <c r="B80" s="30">
        <v>74</v>
      </c>
      <c r="C80" s="31">
        <f t="shared" si="11"/>
        <v>420513.08852766792</v>
      </c>
      <c r="D80" s="31">
        <f t="shared" si="8"/>
        <v>2803.420590184453</v>
      </c>
      <c r="E80" s="54">
        <f t="shared" si="9"/>
        <v>1378.7797547828609</v>
      </c>
      <c r="F80" s="50">
        <f t="shared" si="10"/>
        <v>419134.30877288507</v>
      </c>
    </row>
    <row r="81" spans="2:8" x14ac:dyDescent="0.25">
      <c r="B81" s="30">
        <v>75</v>
      </c>
      <c r="C81" s="31">
        <f t="shared" si="11"/>
        <v>419134.30877288507</v>
      </c>
      <c r="D81" s="31">
        <f t="shared" si="8"/>
        <v>2794.2287251525672</v>
      </c>
      <c r="E81" s="54">
        <f t="shared" si="9"/>
        <v>1387.9716198147466</v>
      </c>
      <c r="F81" s="50">
        <f t="shared" si="10"/>
        <v>417746.33715307032</v>
      </c>
    </row>
    <row r="82" spans="2:8" x14ac:dyDescent="0.25">
      <c r="B82" s="30">
        <v>76</v>
      </c>
      <c r="C82" s="31">
        <f t="shared" si="11"/>
        <v>417746.33715307032</v>
      </c>
      <c r="D82" s="31">
        <f t="shared" si="8"/>
        <v>2784.9755810204688</v>
      </c>
      <c r="E82" s="54">
        <f t="shared" si="9"/>
        <v>1397.2247639468451</v>
      </c>
      <c r="F82" s="50">
        <f t="shared" si="10"/>
        <v>416349.11238912347</v>
      </c>
    </row>
    <row r="83" spans="2:8" x14ac:dyDescent="0.25">
      <c r="B83" s="30">
        <v>77</v>
      </c>
      <c r="C83" s="31">
        <f t="shared" si="11"/>
        <v>416349.11238912347</v>
      </c>
      <c r="D83" s="31">
        <f t="shared" si="8"/>
        <v>2775.6607492608232</v>
      </c>
      <c r="E83" s="54">
        <f t="shared" si="9"/>
        <v>1406.5395957064907</v>
      </c>
      <c r="F83" s="50">
        <f t="shared" si="10"/>
        <v>414942.57279341697</v>
      </c>
    </row>
    <row r="84" spans="2:8" x14ac:dyDescent="0.25">
      <c r="B84" s="30">
        <v>78</v>
      </c>
      <c r="C84" s="31">
        <f t="shared" si="11"/>
        <v>414942.57279341697</v>
      </c>
      <c r="D84" s="31">
        <f t="shared" si="8"/>
        <v>2766.28381862278</v>
      </c>
      <c r="E84" s="54">
        <f t="shared" si="9"/>
        <v>1415.9165263445338</v>
      </c>
      <c r="F84" s="50">
        <f t="shared" si="10"/>
        <v>413526.65626707242</v>
      </c>
    </row>
    <row r="85" spans="2:8" x14ac:dyDescent="0.25">
      <c r="B85" s="30">
        <v>79</v>
      </c>
      <c r="C85" s="31">
        <f t="shared" si="11"/>
        <v>413526.65626707242</v>
      </c>
      <c r="D85" s="31">
        <f t="shared" si="8"/>
        <v>2756.8443751138161</v>
      </c>
      <c r="E85" s="54">
        <f t="shared" si="9"/>
        <v>1425.3559698534978</v>
      </c>
      <c r="F85" s="50">
        <f t="shared" si="10"/>
        <v>412101.3002972189</v>
      </c>
    </row>
    <row r="86" spans="2:8" x14ac:dyDescent="0.25">
      <c r="B86" s="30">
        <v>80</v>
      </c>
      <c r="C86" s="31">
        <f t="shared" si="11"/>
        <v>412101.3002972189</v>
      </c>
      <c r="D86" s="31">
        <f t="shared" si="8"/>
        <v>2747.3420019814594</v>
      </c>
      <c r="E86" s="54">
        <f t="shared" si="9"/>
        <v>1434.8583429858545</v>
      </c>
      <c r="F86" s="50">
        <f t="shared" si="10"/>
        <v>410666.44195423304</v>
      </c>
    </row>
    <row r="87" spans="2:8" x14ac:dyDescent="0.25">
      <c r="B87" s="30">
        <v>81</v>
      </c>
      <c r="C87" s="31">
        <f t="shared" si="11"/>
        <v>410666.44195423304</v>
      </c>
      <c r="D87" s="31">
        <f t="shared" si="8"/>
        <v>2737.7762796948873</v>
      </c>
      <c r="E87" s="54">
        <f t="shared" si="9"/>
        <v>1444.4240652724266</v>
      </c>
      <c r="F87" s="50">
        <f t="shared" si="10"/>
        <v>409222.0178889606</v>
      </c>
    </row>
    <row r="88" spans="2:8" x14ac:dyDescent="0.25">
      <c r="B88" s="30">
        <v>82</v>
      </c>
      <c r="C88" s="31">
        <f t="shared" si="11"/>
        <v>409222.0178889606</v>
      </c>
      <c r="D88" s="31">
        <f t="shared" si="8"/>
        <v>2728.1467859264044</v>
      </c>
      <c r="E88" s="54">
        <f t="shared" si="9"/>
        <v>1454.0535590409095</v>
      </c>
      <c r="F88" s="50">
        <f t="shared" si="10"/>
        <v>407767.96432991972</v>
      </c>
    </row>
    <row r="89" spans="2:8" x14ac:dyDescent="0.25">
      <c r="B89" s="30">
        <v>83</v>
      </c>
      <c r="C89" s="31">
        <f t="shared" si="11"/>
        <v>407767.96432991972</v>
      </c>
      <c r="D89" s="31">
        <f t="shared" si="8"/>
        <v>2718.4530955327982</v>
      </c>
      <c r="E89" s="54">
        <f t="shared" si="9"/>
        <v>1463.7472494345157</v>
      </c>
      <c r="F89" s="50">
        <f t="shared" si="10"/>
        <v>406304.21708048519</v>
      </c>
    </row>
    <row r="90" spans="2:8" x14ac:dyDescent="0.25">
      <c r="B90" s="30">
        <v>84</v>
      </c>
      <c r="C90" s="31">
        <f t="shared" si="11"/>
        <v>406304.21708048519</v>
      </c>
      <c r="D90" s="31">
        <f t="shared" si="8"/>
        <v>2708.694780536568</v>
      </c>
      <c r="E90" s="54">
        <f t="shared" si="9"/>
        <v>1473.5055644307458</v>
      </c>
      <c r="F90" s="107">
        <f t="shared" si="10"/>
        <v>404830.71151605446</v>
      </c>
      <c r="H90" s="105">
        <f>SUM(D79:D90)</f>
        <v>33134.378364965007</v>
      </c>
    </row>
    <row r="91" spans="2:8" x14ac:dyDescent="0.25">
      <c r="B91" s="30">
        <v>85</v>
      </c>
      <c r="C91" s="31">
        <f t="shared" si="11"/>
        <v>404830.71151605446</v>
      </c>
      <c r="D91" s="31">
        <f t="shared" si="8"/>
        <v>2698.87141010703</v>
      </c>
      <c r="E91" s="54">
        <f t="shared" si="9"/>
        <v>1483.3289348602839</v>
      </c>
      <c r="F91" s="50">
        <f t="shared" si="10"/>
        <v>403347.38258119416</v>
      </c>
    </row>
    <row r="92" spans="2:8" x14ac:dyDescent="0.25">
      <c r="B92" s="30">
        <v>86</v>
      </c>
      <c r="C92" s="31">
        <f t="shared" si="11"/>
        <v>403347.38258119416</v>
      </c>
      <c r="D92" s="31">
        <f t="shared" si="8"/>
        <v>2688.9825505412946</v>
      </c>
      <c r="E92" s="54">
        <f t="shared" si="9"/>
        <v>1493.2177944260193</v>
      </c>
      <c r="F92" s="50">
        <f t="shared" si="10"/>
        <v>401854.16478676815</v>
      </c>
    </row>
    <row r="93" spans="2:8" x14ac:dyDescent="0.25">
      <c r="B93" s="30">
        <v>87</v>
      </c>
      <c r="C93" s="31">
        <f t="shared" si="11"/>
        <v>401854.16478676815</v>
      </c>
      <c r="D93" s="31">
        <f t="shared" si="8"/>
        <v>2679.0277652451209</v>
      </c>
      <c r="E93" s="54">
        <f t="shared" si="9"/>
        <v>1503.1725797221929</v>
      </c>
      <c r="F93" s="50">
        <f t="shared" si="10"/>
        <v>400350.99220704596</v>
      </c>
    </row>
    <row r="94" spans="2:8" x14ac:dyDescent="0.25">
      <c r="B94" s="30">
        <v>88</v>
      </c>
      <c r="C94" s="31">
        <f t="shared" si="11"/>
        <v>400350.99220704596</v>
      </c>
      <c r="D94" s="31">
        <f t="shared" si="8"/>
        <v>2669.0066147136399</v>
      </c>
      <c r="E94" s="54">
        <f t="shared" si="9"/>
        <v>1513.1937302536739</v>
      </c>
      <c r="F94" s="50">
        <f t="shared" si="10"/>
        <v>398837.79847679229</v>
      </c>
    </row>
    <row r="95" spans="2:8" x14ac:dyDescent="0.25">
      <c r="B95" s="30">
        <v>89</v>
      </c>
      <c r="C95" s="31">
        <f t="shared" si="11"/>
        <v>398837.79847679229</v>
      </c>
      <c r="D95" s="31">
        <f t="shared" si="8"/>
        <v>2658.9186565119489</v>
      </c>
      <c r="E95" s="54">
        <f t="shared" si="9"/>
        <v>1523.2816884553649</v>
      </c>
      <c r="F95" s="50">
        <f t="shared" si="10"/>
        <v>397314.51678833691</v>
      </c>
    </row>
    <row r="96" spans="2:8" x14ac:dyDescent="0.25">
      <c r="B96" s="30">
        <v>90</v>
      </c>
      <c r="C96" s="31">
        <f t="shared" si="11"/>
        <v>397314.51678833691</v>
      </c>
      <c r="D96" s="31">
        <f t="shared" si="8"/>
        <v>2648.7634452555794</v>
      </c>
      <c r="E96" s="54">
        <f t="shared" si="9"/>
        <v>1533.4368997117344</v>
      </c>
      <c r="F96" s="50">
        <f t="shared" si="10"/>
        <v>395781.07988862519</v>
      </c>
    </row>
    <row r="97" spans="2:8" x14ac:dyDescent="0.25">
      <c r="B97" s="30">
        <v>91</v>
      </c>
      <c r="C97" s="31">
        <f t="shared" si="11"/>
        <v>395781.07988862519</v>
      </c>
      <c r="D97" s="31">
        <f t="shared" si="8"/>
        <v>2638.5405325908346</v>
      </c>
      <c r="E97" s="54">
        <f t="shared" si="9"/>
        <v>1543.6598123764793</v>
      </c>
      <c r="F97" s="50">
        <f t="shared" si="10"/>
        <v>394237.4200762487</v>
      </c>
    </row>
    <row r="98" spans="2:8" x14ac:dyDescent="0.25">
      <c r="B98" s="30">
        <v>92</v>
      </c>
      <c r="C98" s="31">
        <f t="shared" si="11"/>
        <v>394237.4200762487</v>
      </c>
      <c r="D98" s="31">
        <f t="shared" si="8"/>
        <v>2628.2494671749914</v>
      </c>
      <c r="E98" s="54">
        <f t="shared" si="9"/>
        <v>1553.9508777923224</v>
      </c>
      <c r="F98" s="50">
        <f t="shared" si="10"/>
        <v>392683.46919845638</v>
      </c>
    </row>
    <row r="99" spans="2:8" x14ac:dyDescent="0.25">
      <c r="B99" s="30">
        <v>93</v>
      </c>
      <c r="C99" s="31">
        <f t="shared" si="11"/>
        <v>392683.46919845638</v>
      </c>
      <c r="D99" s="31">
        <f t="shared" si="8"/>
        <v>2617.8897946563761</v>
      </c>
      <c r="E99" s="54">
        <f t="shared" si="9"/>
        <v>1564.3105503109377</v>
      </c>
      <c r="F99" s="50">
        <f t="shared" si="10"/>
        <v>391119.15864814544</v>
      </c>
    </row>
    <row r="100" spans="2:8" x14ac:dyDescent="0.25">
      <c r="B100" s="30">
        <v>94</v>
      </c>
      <c r="C100" s="31">
        <f t="shared" si="11"/>
        <v>391119.15864814544</v>
      </c>
      <c r="D100" s="31">
        <f t="shared" si="8"/>
        <v>2607.4610576543032</v>
      </c>
      <c r="E100" s="54">
        <f t="shared" si="9"/>
        <v>1574.7392873130107</v>
      </c>
      <c r="F100" s="50">
        <f t="shared" si="10"/>
        <v>389544.41936083243</v>
      </c>
    </row>
    <row r="101" spans="2:8" x14ac:dyDescent="0.25">
      <c r="B101" s="30">
        <v>95</v>
      </c>
      <c r="C101" s="31">
        <f t="shared" si="11"/>
        <v>389544.41936083243</v>
      </c>
      <c r="D101" s="31">
        <f t="shared" si="8"/>
        <v>2596.962795738883</v>
      </c>
      <c r="E101" s="54">
        <f t="shared" si="9"/>
        <v>1585.2375492284309</v>
      </c>
      <c r="F101" s="50">
        <f t="shared" si="10"/>
        <v>387959.18181160401</v>
      </c>
    </row>
    <row r="102" spans="2:8" x14ac:dyDescent="0.25">
      <c r="B102" s="30">
        <v>96</v>
      </c>
      <c r="C102" s="31">
        <f t="shared" si="11"/>
        <v>387959.18181160401</v>
      </c>
      <c r="D102" s="31">
        <f t="shared" si="8"/>
        <v>2586.3945454106934</v>
      </c>
      <c r="E102" s="54">
        <f t="shared" si="9"/>
        <v>1595.8057995566205</v>
      </c>
      <c r="F102" s="107">
        <f t="shared" si="10"/>
        <v>386363.3760120474</v>
      </c>
      <c r="H102" s="105">
        <f>SUM(D91:D102)</f>
        <v>31719.068635600699</v>
      </c>
    </row>
    <row r="103" spans="2:8" x14ac:dyDescent="0.25">
      <c r="B103" s="30">
        <v>97</v>
      </c>
      <c r="C103" s="31">
        <f t="shared" si="11"/>
        <v>386363.3760120474</v>
      </c>
      <c r="D103" s="31">
        <f t="shared" ref="D103:D134" si="12">C103*$C$1</f>
        <v>2575.7558400803164</v>
      </c>
      <c r="E103" s="54">
        <f t="shared" ref="E103:E134" si="13">$C$4-D103</f>
        <v>1606.4445048869975</v>
      </c>
      <c r="F103" s="50">
        <f t="shared" ref="F103:F134" si="14">IF(C103-E103&lt;0,0,C103-E103)</f>
        <v>384756.93150716042</v>
      </c>
    </row>
    <row r="104" spans="2:8" x14ac:dyDescent="0.25">
      <c r="B104" s="30">
        <v>98</v>
      </c>
      <c r="C104" s="31">
        <f t="shared" ref="C104:C138" si="15">F103</f>
        <v>384756.93150716042</v>
      </c>
      <c r="D104" s="31">
        <f t="shared" si="12"/>
        <v>2565.0462100477362</v>
      </c>
      <c r="E104" s="54">
        <f t="shared" si="13"/>
        <v>1617.1541349195777</v>
      </c>
      <c r="F104" s="50">
        <f t="shared" si="14"/>
        <v>383139.77737224085</v>
      </c>
    </row>
    <row r="105" spans="2:8" x14ac:dyDescent="0.25">
      <c r="B105" s="30">
        <v>99</v>
      </c>
      <c r="C105" s="31">
        <f t="shared" si="15"/>
        <v>383139.77737224085</v>
      </c>
      <c r="D105" s="31">
        <f t="shared" si="12"/>
        <v>2554.2651824816057</v>
      </c>
      <c r="E105" s="54">
        <f t="shared" si="13"/>
        <v>1627.9351624857081</v>
      </c>
      <c r="F105" s="50">
        <f t="shared" si="14"/>
        <v>381511.84220975515</v>
      </c>
    </row>
    <row r="106" spans="2:8" x14ac:dyDescent="0.25">
      <c r="B106" s="30">
        <v>100</v>
      </c>
      <c r="C106" s="31">
        <f t="shared" si="15"/>
        <v>381511.84220975515</v>
      </c>
      <c r="D106" s="31">
        <f t="shared" si="12"/>
        <v>2543.4122813983677</v>
      </c>
      <c r="E106" s="54">
        <f t="shared" si="13"/>
        <v>1638.7880635689462</v>
      </c>
      <c r="F106" s="50">
        <f t="shared" si="14"/>
        <v>379873.05414618622</v>
      </c>
    </row>
    <row r="107" spans="2:8" x14ac:dyDescent="0.25">
      <c r="B107" s="30">
        <v>101</v>
      </c>
      <c r="C107" s="31">
        <f t="shared" si="15"/>
        <v>379873.05414618622</v>
      </c>
      <c r="D107" s="31">
        <f t="shared" si="12"/>
        <v>2532.4870276412416</v>
      </c>
      <c r="E107" s="54">
        <f t="shared" si="13"/>
        <v>1649.7133173260722</v>
      </c>
      <c r="F107" s="50">
        <f t="shared" si="14"/>
        <v>378223.34082886012</v>
      </c>
    </row>
    <row r="108" spans="2:8" x14ac:dyDescent="0.25">
      <c r="B108" s="30">
        <v>102</v>
      </c>
      <c r="C108" s="31">
        <f t="shared" si="15"/>
        <v>378223.34082886012</v>
      </c>
      <c r="D108" s="31">
        <f t="shared" si="12"/>
        <v>2521.4889388590677</v>
      </c>
      <c r="E108" s="54">
        <f t="shared" si="13"/>
        <v>1660.7114061082461</v>
      </c>
      <c r="F108" s="50">
        <f t="shared" si="14"/>
        <v>376562.6294227519</v>
      </c>
    </row>
    <row r="109" spans="2:8" x14ac:dyDescent="0.25">
      <c r="B109" s="30">
        <v>103</v>
      </c>
      <c r="C109" s="31">
        <f t="shared" si="15"/>
        <v>376562.6294227519</v>
      </c>
      <c r="D109" s="31">
        <f t="shared" si="12"/>
        <v>2510.4175294850129</v>
      </c>
      <c r="E109" s="54">
        <f t="shared" si="13"/>
        <v>1671.782815482301</v>
      </c>
      <c r="F109" s="50">
        <f t="shared" si="14"/>
        <v>374890.8466072696</v>
      </c>
    </row>
    <row r="110" spans="2:8" x14ac:dyDescent="0.25">
      <c r="B110" s="30">
        <v>104</v>
      </c>
      <c r="C110" s="31">
        <f t="shared" si="15"/>
        <v>374890.8466072696</v>
      </c>
      <c r="D110" s="31">
        <f t="shared" si="12"/>
        <v>2499.272310715131</v>
      </c>
      <c r="E110" s="54">
        <f t="shared" si="13"/>
        <v>1682.9280342521829</v>
      </c>
      <c r="F110" s="50">
        <f t="shared" si="14"/>
        <v>373207.91857301741</v>
      </c>
    </row>
    <row r="111" spans="2:8" x14ac:dyDescent="0.25">
      <c r="B111" s="30">
        <v>105</v>
      </c>
      <c r="C111" s="31">
        <f t="shared" si="15"/>
        <v>373207.91857301741</v>
      </c>
      <c r="D111" s="31">
        <f t="shared" si="12"/>
        <v>2488.0527904867827</v>
      </c>
      <c r="E111" s="54">
        <f t="shared" si="13"/>
        <v>1694.1475544805312</v>
      </c>
      <c r="F111" s="50">
        <f t="shared" si="14"/>
        <v>371513.77101853688</v>
      </c>
    </row>
    <row r="112" spans="2:8" x14ac:dyDescent="0.25">
      <c r="B112" s="30">
        <v>106</v>
      </c>
      <c r="C112" s="31">
        <f t="shared" si="15"/>
        <v>371513.77101853688</v>
      </c>
      <c r="D112" s="31">
        <f t="shared" si="12"/>
        <v>2476.7584734569127</v>
      </c>
      <c r="E112" s="54">
        <f t="shared" si="13"/>
        <v>1705.4418715104011</v>
      </c>
      <c r="F112" s="50">
        <f t="shared" si="14"/>
        <v>369808.32914702647</v>
      </c>
    </row>
    <row r="113" spans="2:8" x14ac:dyDescent="0.25">
      <c r="B113" s="30">
        <v>107</v>
      </c>
      <c r="C113" s="31">
        <f t="shared" si="15"/>
        <v>369808.32914702647</v>
      </c>
      <c r="D113" s="31">
        <f t="shared" si="12"/>
        <v>2465.3888609801766</v>
      </c>
      <c r="E113" s="54">
        <f t="shared" si="13"/>
        <v>1716.8114839871373</v>
      </c>
      <c r="F113" s="50">
        <f t="shared" si="14"/>
        <v>368091.51766303933</v>
      </c>
    </row>
    <row r="114" spans="2:8" x14ac:dyDescent="0.25">
      <c r="B114" s="30">
        <v>108</v>
      </c>
      <c r="C114" s="31">
        <f t="shared" si="15"/>
        <v>368091.51766303933</v>
      </c>
      <c r="D114" s="31">
        <f t="shared" si="12"/>
        <v>2453.9434510869291</v>
      </c>
      <c r="E114" s="54">
        <f t="shared" si="13"/>
        <v>1728.2568938803847</v>
      </c>
      <c r="F114" s="107">
        <f t="shared" si="14"/>
        <v>366363.26076915895</v>
      </c>
      <c r="H114" s="105">
        <f>SUM(D103:D114)</f>
        <v>30186.288896719281</v>
      </c>
    </row>
    <row r="115" spans="2:8" x14ac:dyDescent="0.25">
      <c r="B115" s="30">
        <v>109</v>
      </c>
      <c r="C115" s="31">
        <f t="shared" si="15"/>
        <v>366363.26076915895</v>
      </c>
      <c r="D115" s="31">
        <f t="shared" si="12"/>
        <v>2442.4217384610597</v>
      </c>
      <c r="E115" s="54">
        <f t="shared" si="13"/>
        <v>1739.7786065062542</v>
      </c>
      <c r="F115" s="50">
        <f t="shared" si="14"/>
        <v>364623.48216265271</v>
      </c>
    </row>
    <row r="116" spans="2:8" x14ac:dyDescent="0.25">
      <c r="B116" s="30">
        <v>110</v>
      </c>
      <c r="C116" s="31">
        <f t="shared" si="15"/>
        <v>364623.48216265271</v>
      </c>
      <c r="D116" s="31">
        <f t="shared" si="12"/>
        <v>2430.823214417685</v>
      </c>
      <c r="E116" s="54">
        <f t="shared" si="13"/>
        <v>1751.3771305496289</v>
      </c>
      <c r="F116" s="50">
        <f t="shared" si="14"/>
        <v>362872.10503210308</v>
      </c>
    </row>
    <row r="117" spans="2:8" x14ac:dyDescent="0.25">
      <c r="B117" s="30">
        <v>111</v>
      </c>
      <c r="C117" s="31">
        <f t="shared" si="15"/>
        <v>362872.10503210308</v>
      </c>
      <c r="D117" s="31">
        <f t="shared" si="12"/>
        <v>2419.1473668806875</v>
      </c>
      <c r="E117" s="54">
        <f t="shared" si="13"/>
        <v>1763.0529780866264</v>
      </c>
      <c r="F117" s="50">
        <f t="shared" si="14"/>
        <v>361109.05205401644</v>
      </c>
    </row>
    <row r="118" spans="2:8" x14ac:dyDescent="0.25">
      <c r="B118" s="30">
        <v>112</v>
      </c>
      <c r="C118" s="31">
        <f t="shared" si="15"/>
        <v>361109.05205401644</v>
      </c>
      <c r="D118" s="31">
        <f t="shared" si="12"/>
        <v>2407.3936803601096</v>
      </c>
      <c r="E118" s="54">
        <f t="shared" si="13"/>
        <v>1774.8066646072043</v>
      </c>
      <c r="F118" s="50">
        <f t="shared" si="14"/>
        <v>359334.24538940925</v>
      </c>
    </row>
    <row r="119" spans="2:8" x14ac:dyDescent="0.25">
      <c r="B119" s="30">
        <v>113</v>
      </c>
      <c r="C119" s="31">
        <f t="shared" si="15"/>
        <v>359334.24538940925</v>
      </c>
      <c r="D119" s="31">
        <f t="shared" si="12"/>
        <v>2395.5616359293949</v>
      </c>
      <c r="E119" s="54">
        <f t="shared" si="13"/>
        <v>1786.6387090379189</v>
      </c>
      <c r="F119" s="50">
        <f t="shared" si="14"/>
        <v>357547.60668037133</v>
      </c>
    </row>
    <row r="120" spans="2:8" x14ac:dyDescent="0.25">
      <c r="B120" s="30">
        <v>114</v>
      </c>
      <c r="C120" s="31">
        <f t="shared" si="15"/>
        <v>357547.60668037133</v>
      </c>
      <c r="D120" s="31">
        <f t="shared" si="12"/>
        <v>2383.6507112024756</v>
      </c>
      <c r="E120" s="54">
        <f t="shared" si="13"/>
        <v>1798.5496337648383</v>
      </c>
      <c r="F120" s="50">
        <f t="shared" si="14"/>
        <v>355749.0570466065</v>
      </c>
    </row>
    <row r="121" spans="2:8" x14ac:dyDescent="0.25">
      <c r="B121" s="30">
        <v>115</v>
      </c>
      <c r="C121" s="31">
        <f t="shared" si="15"/>
        <v>355749.0570466065</v>
      </c>
      <c r="D121" s="31">
        <f t="shared" si="12"/>
        <v>2371.66038031071</v>
      </c>
      <c r="E121" s="54">
        <f t="shared" si="13"/>
        <v>1810.5399646566038</v>
      </c>
      <c r="F121" s="50">
        <f t="shared" si="14"/>
        <v>353938.51708194992</v>
      </c>
    </row>
    <row r="122" spans="2:8" x14ac:dyDescent="0.25">
      <c r="B122" s="30">
        <v>116</v>
      </c>
      <c r="C122" s="31">
        <f t="shared" si="15"/>
        <v>353938.51708194992</v>
      </c>
      <c r="D122" s="31">
        <f t="shared" si="12"/>
        <v>2359.5901138796662</v>
      </c>
      <c r="E122" s="54">
        <f t="shared" si="13"/>
        <v>1822.6102310876477</v>
      </c>
      <c r="F122" s="50">
        <f t="shared" si="14"/>
        <v>352115.90685086226</v>
      </c>
    </row>
    <row r="123" spans="2:8" x14ac:dyDescent="0.25">
      <c r="B123" s="30">
        <v>117</v>
      </c>
      <c r="C123" s="31">
        <f t="shared" si="15"/>
        <v>352115.90685086226</v>
      </c>
      <c r="D123" s="31">
        <f t="shared" si="12"/>
        <v>2347.4393790057484</v>
      </c>
      <c r="E123" s="54">
        <f t="shared" si="13"/>
        <v>1834.7609659615655</v>
      </c>
      <c r="F123" s="50">
        <f t="shared" si="14"/>
        <v>350281.1458849007</v>
      </c>
    </row>
    <row r="124" spans="2:8" x14ac:dyDescent="0.25">
      <c r="B124" s="30">
        <v>118</v>
      </c>
      <c r="C124" s="31">
        <f t="shared" si="15"/>
        <v>350281.1458849007</v>
      </c>
      <c r="D124" s="31">
        <f t="shared" si="12"/>
        <v>2335.2076392326717</v>
      </c>
      <c r="E124" s="54">
        <f t="shared" si="13"/>
        <v>1846.9927057346422</v>
      </c>
      <c r="F124" s="50">
        <f t="shared" si="14"/>
        <v>348434.15317916608</v>
      </c>
    </row>
    <row r="125" spans="2:8" x14ac:dyDescent="0.25">
      <c r="B125" s="30">
        <v>119</v>
      </c>
      <c r="C125" s="31">
        <f t="shared" si="15"/>
        <v>348434.15317916608</v>
      </c>
      <c r="D125" s="31">
        <f t="shared" si="12"/>
        <v>2322.8943545277739</v>
      </c>
      <c r="E125" s="54">
        <f t="shared" si="13"/>
        <v>1859.30599043954</v>
      </c>
      <c r="F125" s="50">
        <f t="shared" si="14"/>
        <v>346574.84718872653</v>
      </c>
    </row>
    <row r="126" spans="2:8" ht="15.75" thickBot="1" x14ac:dyDescent="0.3">
      <c r="B126" s="35">
        <v>120</v>
      </c>
      <c r="C126" s="36">
        <f t="shared" si="15"/>
        <v>346574.84718872653</v>
      </c>
      <c r="D126" s="36">
        <f t="shared" si="12"/>
        <v>2310.4989812581771</v>
      </c>
      <c r="E126" s="56">
        <f t="shared" si="13"/>
        <v>1871.7013637091368</v>
      </c>
      <c r="F126" s="106">
        <f t="shared" si="14"/>
        <v>344703.14582501742</v>
      </c>
      <c r="H126" s="105">
        <f>SUM(D115:D126)</f>
        <v>28526.289195466154</v>
      </c>
    </row>
    <row r="127" spans="2:8" ht="15.75" thickBot="1" x14ac:dyDescent="0.3">
      <c r="B127" s="35">
        <v>121</v>
      </c>
      <c r="C127" s="36">
        <f t="shared" si="15"/>
        <v>344703.14582501742</v>
      </c>
      <c r="D127" s="36">
        <f t="shared" si="12"/>
        <v>2298.0209721667829</v>
      </c>
      <c r="E127" s="56">
        <f t="shared" si="13"/>
        <v>1884.1793728005309</v>
      </c>
      <c r="F127" s="51">
        <f t="shared" si="14"/>
        <v>342818.9664522169</v>
      </c>
    </row>
    <row r="128" spans="2:8" ht="15.75" thickBot="1" x14ac:dyDescent="0.3">
      <c r="B128" s="35">
        <v>122</v>
      </c>
      <c r="C128" s="36">
        <f t="shared" si="15"/>
        <v>342818.9664522169</v>
      </c>
      <c r="D128" s="36">
        <f t="shared" si="12"/>
        <v>2285.4597763481129</v>
      </c>
      <c r="E128" s="56">
        <f t="shared" si="13"/>
        <v>1896.740568619201</v>
      </c>
      <c r="F128" s="51">
        <f t="shared" si="14"/>
        <v>340922.22588359768</v>
      </c>
    </row>
    <row r="129" spans="2:8" ht="15.75" thickBot="1" x14ac:dyDescent="0.3">
      <c r="B129" s="35">
        <v>123</v>
      </c>
      <c r="C129" s="36">
        <f t="shared" si="15"/>
        <v>340922.22588359768</v>
      </c>
      <c r="D129" s="36">
        <f t="shared" si="12"/>
        <v>2272.8148392239846</v>
      </c>
      <c r="E129" s="56">
        <f t="shared" si="13"/>
        <v>1909.3855057433293</v>
      </c>
      <c r="F129" s="51">
        <f t="shared" si="14"/>
        <v>339012.84037785436</v>
      </c>
    </row>
    <row r="130" spans="2:8" ht="15.75" thickBot="1" x14ac:dyDescent="0.3">
      <c r="B130" s="35">
        <v>124</v>
      </c>
      <c r="C130" s="36">
        <f t="shared" si="15"/>
        <v>339012.84037785436</v>
      </c>
      <c r="D130" s="36">
        <f t="shared" si="12"/>
        <v>2260.0856025190292</v>
      </c>
      <c r="E130" s="56">
        <f t="shared" si="13"/>
        <v>1922.1147424482847</v>
      </c>
      <c r="F130" s="51">
        <f t="shared" si="14"/>
        <v>337090.7256354061</v>
      </c>
    </row>
    <row r="131" spans="2:8" ht="15.75" thickBot="1" x14ac:dyDescent="0.3">
      <c r="B131" s="35">
        <v>125</v>
      </c>
      <c r="C131" s="36">
        <f t="shared" si="15"/>
        <v>337090.7256354061</v>
      </c>
      <c r="D131" s="36">
        <f t="shared" si="12"/>
        <v>2247.271504236041</v>
      </c>
      <c r="E131" s="56">
        <f t="shared" si="13"/>
        <v>1934.9288407312729</v>
      </c>
      <c r="F131" s="51">
        <f t="shared" si="14"/>
        <v>335155.79679467482</v>
      </c>
    </row>
    <row r="132" spans="2:8" ht="15.75" thickBot="1" x14ac:dyDescent="0.3">
      <c r="B132" s="35">
        <v>126</v>
      </c>
      <c r="C132" s="36">
        <f t="shared" si="15"/>
        <v>335155.79679467482</v>
      </c>
      <c r="D132" s="36">
        <f t="shared" si="12"/>
        <v>2234.3719786311658</v>
      </c>
      <c r="E132" s="56">
        <f t="shared" si="13"/>
        <v>1947.8283663361481</v>
      </c>
      <c r="F132" s="51">
        <f t="shared" si="14"/>
        <v>333207.9684283387</v>
      </c>
    </row>
    <row r="133" spans="2:8" ht="15.75" thickBot="1" x14ac:dyDescent="0.3">
      <c r="B133" s="35">
        <v>127</v>
      </c>
      <c r="C133" s="36">
        <f t="shared" si="15"/>
        <v>333207.9684283387</v>
      </c>
      <c r="D133" s="36">
        <f t="shared" si="12"/>
        <v>2221.386456188925</v>
      </c>
      <c r="E133" s="56">
        <f t="shared" si="13"/>
        <v>1960.8138887783889</v>
      </c>
      <c r="F133" s="51">
        <f t="shared" si="14"/>
        <v>331247.15453956032</v>
      </c>
    </row>
    <row r="134" spans="2:8" ht="15.75" thickBot="1" x14ac:dyDescent="0.3">
      <c r="B134" s="35">
        <v>128</v>
      </c>
      <c r="C134" s="36">
        <f t="shared" si="15"/>
        <v>331247.15453956032</v>
      </c>
      <c r="D134" s="36">
        <f t="shared" si="12"/>
        <v>2208.3143635970691</v>
      </c>
      <c r="E134" s="56">
        <f t="shared" si="13"/>
        <v>1973.8859813702447</v>
      </c>
      <c r="F134" s="51">
        <f t="shared" si="14"/>
        <v>329273.26855819009</v>
      </c>
    </row>
    <row r="135" spans="2:8" ht="15.75" thickBot="1" x14ac:dyDescent="0.3">
      <c r="B135" s="35">
        <v>129</v>
      </c>
      <c r="C135" s="36">
        <f t="shared" si="15"/>
        <v>329273.26855819009</v>
      </c>
      <c r="D135" s="36">
        <f t="shared" ref="D135:D138" si="16">C135*$C$1</f>
        <v>2195.1551237212675</v>
      </c>
      <c r="E135" s="56">
        <f t="shared" ref="E135:E138" si="17">$C$4-D135</f>
        <v>1987.0452212460464</v>
      </c>
      <c r="F135" s="51">
        <f t="shared" ref="F135:F138" si="18">IF(C135-E135&lt;0,0,C135-E135)</f>
        <v>327286.22333694407</v>
      </c>
    </row>
    <row r="136" spans="2:8" ht="15.75" thickBot="1" x14ac:dyDescent="0.3">
      <c r="B136" s="35">
        <v>130</v>
      </c>
      <c r="C136" s="36">
        <f t="shared" si="15"/>
        <v>327286.22333694407</v>
      </c>
      <c r="D136" s="36">
        <f t="shared" si="16"/>
        <v>2181.9081555796274</v>
      </c>
      <c r="E136" s="56">
        <f t="shared" si="17"/>
        <v>2000.2921893876864</v>
      </c>
      <c r="F136" s="51">
        <f t="shared" si="18"/>
        <v>325285.9311475564</v>
      </c>
    </row>
    <row r="137" spans="2:8" ht="15.75" thickBot="1" x14ac:dyDescent="0.3">
      <c r="B137" s="35">
        <v>131</v>
      </c>
      <c r="C137" s="36">
        <f t="shared" si="15"/>
        <v>325285.9311475564</v>
      </c>
      <c r="D137" s="36">
        <f t="shared" si="16"/>
        <v>2168.572874317043</v>
      </c>
      <c r="E137" s="56">
        <f t="shared" si="17"/>
        <v>2013.6274706502709</v>
      </c>
      <c r="F137" s="51">
        <f t="shared" si="18"/>
        <v>323272.30367690616</v>
      </c>
    </row>
    <row r="138" spans="2:8" ht="15.75" thickBot="1" x14ac:dyDescent="0.3">
      <c r="B138" s="35">
        <v>132</v>
      </c>
      <c r="C138" s="36">
        <f t="shared" si="15"/>
        <v>323272.30367690616</v>
      </c>
      <c r="D138" s="36">
        <f t="shared" si="16"/>
        <v>2155.1486911793745</v>
      </c>
      <c r="E138" s="56">
        <f t="shared" si="17"/>
        <v>2027.0516537879394</v>
      </c>
      <c r="F138" s="106">
        <f t="shared" si="18"/>
        <v>321245.2520231182</v>
      </c>
      <c r="H138" s="105">
        <f>SUM(D127:D138)</f>
        <v>26728.510337708423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Forecast</vt:lpstr>
      <vt:lpstr>Mortgage</vt:lpstr>
      <vt:lpstr>Forecast (2)</vt:lpstr>
      <vt:lpstr>Mortgage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2019-08-22T21:47:40Z</dcterms:created>
  <dcterms:modified xsi:type="dcterms:W3CDTF">2019-08-22T21:47:49Z</dcterms:modified>
</cp:coreProperties>
</file>