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0" yWindow="0" windowWidth="20730" windowHeight="11760" tabRatio="500"/>
  </bookViews>
  <sheets>
    <sheet name="10 Year Forecast" sheetId="3" r:id="rId1"/>
    <sheet name="Mortgage Loan" sheetId="4" r:id="rId2"/>
    <sheet name="6 Year Bankruptcy" sheetId="1" r:id="rId3"/>
    <sheet name="Mortgage Loan Bankruptcy" sheetId="2" r:id="rId4"/>
  </sheets>
  <externalReferences>
    <externalReference r:id="rId5"/>
  </externalReferences>
  <calcPr calcId="145621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54" i="3" l="1"/>
  <c r="N75" i="3"/>
  <c r="X56" i="3"/>
  <c r="X58" i="3"/>
  <c r="T52" i="3"/>
  <c r="Y48" i="3"/>
  <c r="T50" i="3"/>
  <c r="F57" i="3"/>
  <c r="G57" i="3"/>
  <c r="H57" i="3"/>
  <c r="I57" i="3"/>
  <c r="J57" i="3"/>
  <c r="K57" i="3"/>
  <c r="L57" i="3"/>
  <c r="M57" i="3"/>
  <c r="N57" i="3"/>
  <c r="R57" i="3"/>
  <c r="T57" i="3"/>
  <c r="U57" i="3"/>
  <c r="E31" i="3"/>
  <c r="E12" i="3"/>
  <c r="E14" i="3"/>
  <c r="E17" i="3"/>
  <c r="E18" i="3"/>
  <c r="E19" i="3"/>
  <c r="E21" i="3"/>
  <c r="E25" i="3"/>
  <c r="O47" i="3"/>
  <c r="E28" i="3"/>
  <c r="E30" i="3"/>
  <c r="O46" i="3"/>
  <c r="E29" i="3"/>
  <c r="E33" i="3"/>
  <c r="E34" i="3"/>
  <c r="E35" i="3"/>
  <c r="E58" i="3"/>
  <c r="F31" i="3"/>
  <c r="F3" i="3"/>
  <c r="F12" i="3"/>
  <c r="F14" i="3"/>
  <c r="F17" i="3"/>
  <c r="F18" i="3"/>
  <c r="F19" i="3"/>
  <c r="O20" i="3"/>
  <c r="F20" i="3"/>
  <c r="F21" i="3"/>
  <c r="F22" i="3"/>
  <c r="F23" i="3"/>
  <c r="F24" i="3"/>
  <c r="F25" i="3"/>
  <c r="F26" i="3"/>
  <c r="F28" i="3"/>
  <c r="F30" i="3"/>
  <c r="F29" i="3"/>
  <c r="F33" i="3"/>
  <c r="F34" i="3"/>
  <c r="F35" i="3"/>
  <c r="F58" i="3"/>
  <c r="G31" i="3"/>
  <c r="G3" i="3"/>
  <c r="G12" i="3"/>
  <c r="G14" i="3"/>
  <c r="G17" i="3"/>
  <c r="G18" i="3"/>
  <c r="G19" i="3"/>
  <c r="G20" i="3"/>
  <c r="G21" i="3"/>
  <c r="G22" i="3"/>
  <c r="G23" i="3"/>
  <c r="G24" i="3"/>
  <c r="G25" i="3"/>
  <c r="G26" i="3"/>
  <c r="G28" i="3"/>
  <c r="G30" i="3"/>
  <c r="G29" i="3"/>
  <c r="G33" i="3"/>
  <c r="G34" i="3"/>
  <c r="G35" i="3"/>
  <c r="G58" i="3"/>
  <c r="H31" i="3"/>
  <c r="H3" i="3"/>
  <c r="H12" i="3"/>
  <c r="H14" i="3"/>
  <c r="H17" i="3"/>
  <c r="H18" i="3"/>
  <c r="H19" i="3"/>
  <c r="H20" i="3"/>
  <c r="H21" i="3"/>
  <c r="H22" i="3"/>
  <c r="H23" i="3"/>
  <c r="H24" i="3"/>
  <c r="H25" i="3"/>
  <c r="H26" i="3"/>
  <c r="H28" i="3"/>
  <c r="H30" i="3"/>
  <c r="H29" i="3"/>
  <c r="H33" i="3"/>
  <c r="H34" i="3"/>
  <c r="H35" i="3"/>
  <c r="H58" i="3"/>
  <c r="I31" i="3"/>
  <c r="I3" i="3"/>
  <c r="I12" i="3"/>
  <c r="I14" i="3"/>
  <c r="I17" i="3"/>
  <c r="I18" i="3"/>
  <c r="I19" i="3"/>
  <c r="I20" i="3"/>
  <c r="I21" i="3"/>
  <c r="I22" i="3"/>
  <c r="I23" i="3"/>
  <c r="I24" i="3"/>
  <c r="I25" i="3"/>
  <c r="I26" i="3"/>
  <c r="I28" i="3"/>
  <c r="I30" i="3"/>
  <c r="I29" i="3"/>
  <c r="I33" i="3"/>
  <c r="I34" i="3"/>
  <c r="I35" i="3"/>
  <c r="I58" i="3"/>
  <c r="J31" i="3"/>
  <c r="J3" i="3"/>
  <c r="J12" i="3"/>
  <c r="J14" i="3"/>
  <c r="J17" i="3"/>
  <c r="J18" i="3"/>
  <c r="J19" i="3"/>
  <c r="J20" i="3"/>
  <c r="J21" i="3"/>
  <c r="J22" i="3"/>
  <c r="J23" i="3"/>
  <c r="J24" i="3"/>
  <c r="J25" i="3"/>
  <c r="J26" i="3"/>
  <c r="J28" i="3"/>
  <c r="J30" i="3"/>
  <c r="J29" i="3"/>
  <c r="J33" i="3"/>
  <c r="J34" i="3"/>
  <c r="J35" i="3"/>
  <c r="J58" i="3"/>
  <c r="K31" i="3"/>
  <c r="K3" i="3"/>
  <c r="K12" i="3"/>
  <c r="K14" i="3"/>
  <c r="K17" i="3"/>
  <c r="K18" i="3"/>
  <c r="K19" i="3"/>
  <c r="K20" i="3"/>
  <c r="K21" i="3"/>
  <c r="K22" i="3"/>
  <c r="K23" i="3"/>
  <c r="K24" i="3"/>
  <c r="K25" i="3"/>
  <c r="K26" i="3"/>
  <c r="K28" i="3"/>
  <c r="K30" i="3"/>
  <c r="K29" i="3"/>
  <c r="K33" i="3"/>
  <c r="K34" i="3"/>
  <c r="K35" i="3"/>
  <c r="K58" i="3"/>
  <c r="L31" i="3"/>
  <c r="L3" i="3"/>
  <c r="L12" i="3"/>
  <c r="L14" i="3"/>
  <c r="L17" i="3"/>
  <c r="L18" i="3"/>
  <c r="L19" i="3"/>
  <c r="L20" i="3"/>
  <c r="L21" i="3"/>
  <c r="L22" i="3"/>
  <c r="L23" i="3"/>
  <c r="L24" i="3"/>
  <c r="L25" i="3"/>
  <c r="L26" i="3"/>
  <c r="L28" i="3"/>
  <c r="L30" i="3"/>
  <c r="L29" i="3"/>
  <c r="L33" i="3"/>
  <c r="L34" i="3"/>
  <c r="L35" i="3"/>
  <c r="L58" i="3"/>
  <c r="M31" i="3"/>
  <c r="M3" i="3"/>
  <c r="M12" i="3"/>
  <c r="M14" i="3"/>
  <c r="M17" i="3"/>
  <c r="M18" i="3"/>
  <c r="M19" i="3"/>
  <c r="M20" i="3"/>
  <c r="M21" i="3"/>
  <c r="M22" i="3"/>
  <c r="M23" i="3"/>
  <c r="M24" i="3"/>
  <c r="M25" i="3"/>
  <c r="M26" i="3"/>
  <c r="M28" i="3"/>
  <c r="M30" i="3"/>
  <c r="M29" i="3"/>
  <c r="M33" i="3"/>
  <c r="M34" i="3"/>
  <c r="M35" i="3"/>
  <c r="M58" i="3"/>
  <c r="N31" i="3"/>
  <c r="N3" i="3"/>
  <c r="N12" i="3"/>
  <c r="N14" i="3"/>
  <c r="N17" i="3"/>
  <c r="N18" i="3"/>
  <c r="N19" i="3"/>
  <c r="N20" i="3"/>
  <c r="N21" i="3"/>
  <c r="N22" i="3"/>
  <c r="N23" i="3"/>
  <c r="N24" i="3"/>
  <c r="N25" i="3"/>
  <c r="N26" i="3"/>
  <c r="N28" i="3"/>
  <c r="N30" i="3"/>
  <c r="N29" i="3"/>
  <c r="N33" i="3"/>
  <c r="N34" i="3"/>
  <c r="N35" i="3"/>
  <c r="N58" i="3"/>
  <c r="R58" i="3"/>
  <c r="E55" i="3"/>
  <c r="F55" i="3"/>
  <c r="G55" i="3"/>
  <c r="H55" i="3"/>
  <c r="I55" i="3"/>
  <c r="J55" i="3"/>
  <c r="K55" i="3"/>
  <c r="L55" i="3"/>
  <c r="M55" i="3"/>
  <c r="N55" i="3"/>
  <c r="R55" i="3"/>
  <c r="R60" i="3"/>
  <c r="S57" i="3"/>
  <c r="V57" i="3"/>
  <c r="S54" i="3"/>
  <c r="T54" i="3"/>
  <c r="U54" i="3"/>
  <c r="V54" i="3"/>
  <c r="S55" i="3"/>
  <c r="T55" i="3"/>
  <c r="U55" i="3"/>
  <c r="V55" i="3"/>
  <c r="V59" i="3"/>
  <c r="E9" i="3"/>
  <c r="F9" i="3"/>
  <c r="G9" i="3"/>
  <c r="H9" i="3"/>
  <c r="I9" i="3"/>
  <c r="J9" i="3"/>
  <c r="K9" i="3"/>
  <c r="L9" i="3"/>
  <c r="M9" i="3"/>
  <c r="N9" i="3"/>
  <c r="N42" i="3"/>
  <c r="N41" i="3"/>
  <c r="F44" i="3"/>
  <c r="G44" i="3"/>
  <c r="H44" i="3"/>
  <c r="I44" i="3"/>
  <c r="J44" i="3"/>
  <c r="K44" i="3"/>
  <c r="L44" i="3"/>
  <c r="M44" i="3"/>
  <c r="N44" i="3"/>
  <c r="E47" i="3"/>
  <c r="F47" i="3"/>
  <c r="G47" i="3"/>
  <c r="H47" i="3"/>
  <c r="I47" i="3"/>
  <c r="J47" i="3"/>
  <c r="K47" i="3"/>
  <c r="L47" i="3"/>
  <c r="M47" i="3"/>
  <c r="N47" i="3"/>
  <c r="E48" i="3"/>
  <c r="F48" i="3"/>
  <c r="G48" i="3"/>
  <c r="H48" i="3"/>
  <c r="I48" i="3"/>
  <c r="J48" i="3"/>
  <c r="K48" i="3"/>
  <c r="L48" i="3"/>
  <c r="M48" i="3"/>
  <c r="N48" i="3"/>
  <c r="N49" i="3"/>
  <c r="N52" i="3"/>
  <c r="N60" i="3"/>
  <c r="N62" i="3"/>
  <c r="AB47" i="3"/>
  <c r="AB48" i="3"/>
  <c r="AB49" i="3"/>
  <c r="AB50" i="3"/>
  <c r="Z55" i="3"/>
  <c r="AA55" i="3"/>
  <c r="Z57" i="3"/>
  <c r="AA57" i="3"/>
  <c r="Z54" i="3"/>
  <c r="AA54" i="3"/>
  <c r="AA59" i="3"/>
  <c r="D96" i="3"/>
  <c r="D75" i="3"/>
  <c r="E52" i="3"/>
  <c r="D78" i="3"/>
  <c r="D74" i="3"/>
  <c r="E41" i="3"/>
  <c r="D76" i="3"/>
  <c r="D77" i="3"/>
  <c r="D81" i="3"/>
  <c r="D85" i="3"/>
  <c r="D89" i="3"/>
  <c r="D94" i="3"/>
  <c r="E75" i="3"/>
  <c r="E67" i="3"/>
  <c r="E68" i="3"/>
  <c r="E69" i="3"/>
  <c r="E70" i="3"/>
  <c r="E71" i="3"/>
  <c r="F42" i="3"/>
  <c r="E77" i="3"/>
  <c r="F52" i="3"/>
  <c r="E78" i="3"/>
  <c r="E74" i="3"/>
  <c r="F41" i="3"/>
  <c r="E76" i="3"/>
  <c r="E81" i="3"/>
  <c r="E85" i="3"/>
  <c r="E89" i="3"/>
  <c r="E94" i="3"/>
  <c r="F75" i="3"/>
  <c r="F67" i="3"/>
  <c r="F68" i="3"/>
  <c r="F69" i="3"/>
  <c r="F70" i="3"/>
  <c r="F71" i="3"/>
  <c r="G42" i="3"/>
  <c r="F77" i="3"/>
  <c r="G52" i="3"/>
  <c r="F78" i="3"/>
  <c r="F74" i="3"/>
  <c r="G41" i="3"/>
  <c r="F76" i="3"/>
  <c r="F81" i="3"/>
  <c r="F85" i="3"/>
  <c r="F89" i="3"/>
  <c r="F94" i="3"/>
  <c r="G75" i="3"/>
  <c r="G67" i="3"/>
  <c r="G68" i="3"/>
  <c r="G69" i="3"/>
  <c r="G70" i="3"/>
  <c r="G71" i="3"/>
  <c r="H42" i="3"/>
  <c r="G77" i="3"/>
  <c r="H52" i="3"/>
  <c r="G78" i="3"/>
  <c r="G74" i="3"/>
  <c r="H41" i="3"/>
  <c r="G76" i="3"/>
  <c r="G81" i="3"/>
  <c r="G85" i="3"/>
  <c r="G89" i="3"/>
  <c r="G94" i="3"/>
  <c r="H75" i="3"/>
  <c r="H67" i="3"/>
  <c r="H68" i="3"/>
  <c r="H69" i="3"/>
  <c r="H70" i="3"/>
  <c r="H71" i="3"/>
  <c r="I42" i="3"/>
  <c r="H77" i="3"/>
  <c r="I52" i="3"/>
  <c r="H78" i="3"/>
  <c r="H74" i="3"/>
  <c r="I41" i="3"/>
  <c r="H76" i="3"/>
  <c r="H81" i="3"/>
  <c r="H85" i="3"/>
  <c r="H89" i="3"/>
  <c r="H94" i="3"/>
  <c r="I75" i="3"/>
  <c r="I67" i="3"/>
  <c r="I68" i="3"/>
  <c r="I69" i="3"/>
  <c r="I70" i="3"/>
  <c r="I71" i="3"/>
  <c r="J42" i="3"/>
  <c r="I77" i="3"/>
  <c r="J52" i="3"/>
  <c r="I78" i="3"/>
  <c r="I74" i="3"/>
  <c r="J41" i="3"/>
  <c r="I76" i="3"/>
  <c r="I81" i="3"/>
  <c r="I85" i="3"/>
  <c r="I89" i="3"/>
  <c r="I94" i="3"/>
  <c r="J75" i="3"/>
  <c r="J67" i="3"/>
  <c r="J68" i="3"/>
  <c r="J69" i="3"/>
  <c r="J70" i="3"/>
  <c r="J71" i="3"/>
  <c r="K42" i="3"/>
  <c r="J77" i="3"/>
  <c r="K52" i="3"/>
  <c r="J78" i="3"/>
  <c r="J74" i="3"/>
  <c r="K41" i="3"/>
  <c r="J76" i="3"/>
  <c r="J81" i="3"/>
  <c r="J85" i="3"/>
  <c r="J89" i="3"/>
  <c r="J94" i="3"/>
  <c r="K75" i="3"/>
  <c r="K67" i="3"/>
  <c r="K68" i="3"/>
  <c r="K69" i="3"/>
  <c r="K70" i="3"/>
  <c r="K71" i="3"/>
  <c r="L42" i="3"/>
  <c r="K77" i="3"/>
  <c r="L52" i="3"/>
  <c r="K78" i="3"/>
  <c r="K74" i="3"/>
  <c r="L41" i="3"/>
  <c r="K76" i="3"/>
  <c r="K81" i="3"/>
  <c r="K85" i="3"/>
  <c r="K89" i="3"/>
  <c r="K94" i="3"/>
  <c r="L75" i="3"/>
  <c r="L67" i="3"/>
  <c r="L68" i="3"/>
  <c r="L69" i="3"/>
  <c r="L70" i="3"/>
  <c r="L71" i="3"/>
  <c r="M42" i="3"/>
  <c r="L77" i="3"/>
  <c r="M52" i="3"/>
  <c r="L78" i="3"/>
  <c r="L74" i="3"/>
  <c r="M41" i="3"/>
  <c r="L76" i="3"/>
  <c r="L81" i="3"/>
  <c r="L85" i="3"/>
  <c r="L89" i="3"/>
  <c r="L94" i="3"/>
  <c r="M75" i="3"/>
  <c r="M67" i="3"/>
  <c r="M68" i="3"/>
  <c r="M69" i="3"/>
  <c r="M70" i="3"/>
  <c r="M71" i="3"/>
  <c r="M77" i="3"/>
  <c r="M78" i="3"/>
  <c r="M74" i="3"/>
  <c r="M76" i="3"/>
  <c r="M81" i="3"/>
  <c r="M85" i="3"/>
  <c r="M89" i="3"/>
  <c r="M94" i="3"/>
  <c r="N67" i="3"/>
  <c r="N68" i="3"/>
  <c r="N69" i="3"/>
  <c r="N70" i="3"/>
  <c r="N71" i="3"/>
  <c r="N77" i="3"/>
  <c r="N78" i="3"/>
  <c r="N74" i="3"/>
  <c r="N76" i="3"/>
  <c r="N81" i="3"/>
  <c r="N82" i="3"/>
  <c r="P82" i="3"/>
  <c r="P83" i="3"/>
  <c r="N83" i="3"/>
  <c r="N85" i="3"/>
  <c r="N86" i="3"/>
  <c r="P86" i="3"/>
  <c r="P87" i="3"/>
  <c r="N87" i="3"/>
  <c r="N89" i="3"/>
  <c r="N90" i="3"/>
  <c r="P90" i="3"/>
  <c r="P91" i="3"/>
  <c r="N91" i="3"/>
  <c r="N94" i="3"/>
  <c r="D95" i="3"/>
  <c r="S56" i="3"/>
  <c r="S58" i="3"/>
  <c r="S59" i="3"/>
  <c r="S60" i="3"/>
  <c r="B2" i="4"/>
  <c r="I2" i="4"/>
  <c r="I4" i="4"/>
  <c r="I8" i="4"/>
  <c r="E2" i="4"/>
  <c r="D2" i="4"/>
  <c r="C2" i="4"/>
  <c r="F2" i="4"/>
  <c r="B3" i="4"/>
  <c r="E3" i="4"/>
  <c r="D3" i="4"/>
  <c r="C3" i="4"/>
  <c r="F3" i="4"/>
  <c r="B4" i="4"/>
  <c r="E4" i="4"/>
  <c r="D4" i="4"/>
  <c r="C4" i="4"/>
  <c r="F4" i="4"/>
  <c r="B5" i="4"/>
  <c r="E5" i="4"/>
  <c r="D5" i="4"/>
  <c r="C5" i="4"/>
  <c r="F5" i="4"/>
  <c r="B6" i="4"/>
  <c r="E6" i="4"/>
  <c r="D6" i="4"/>
  <c r="C6" i="4"/>
  <c r="F6" i="4"/>
  <c r="B7" i="4"/>
  <c r="E7" i="4"/>
  <c r="D7" i="4"/>
  <c r="C7" i="4"/>
  <c r="F7" i="4"/>
  <c r="B8" i="4"/>
  <c r="E8" i="4"/>
  <c r="D8" i="4"/>
  <c r="C8" i="4"/>
  <c r="F8" i="4"/>
  <c r="B9" i="4"/>
  <c r="E9" i="4"/>
  <c r="D9" i="4"/>
  <c r="C9" i="4"/>
  <c r="F9" i="4"/>
  <c r="B10" i="4"/>
  <c r="E10" i="4"/>
  <c r="D10" i="4"/>
  <c r="C10" i="4"/>
  <c r="F10" i="4"/>
  <c r="B11" i="4"/>
  <c r="E11" i="4"/>
  <c r="D11" i="4"/>
  <c r="C11" i="4"/>
  <c r="F11" i="4"/>
  <c r="B12" i="4"/>
  <c r="E12" i="4"/>
  <c r="D12" i="4"/>
  <c r="C12" i="4"/>
  <c r="F12" i="4"/>
  <c r="B13" i="4"/>
  <c r="E13" i="4"/>
  <c r="D13" i="4"/>
  <c r="C13" i="4"/>
  <c r="F13" i="4"/>
  <c r="B16" i="4"/>
  <c r="E16" i="4"/>
  <c r="D16" i="4"/>
  <c r="C16" i="4"/>
  <c r="F16" i="4"/>
  <c r="B17" i="4"/>
  <c r="E17" i="4"/>
  <c r="D17" i="4"/>
  <c r="C17" i="4"/>
  <c r="F17" i="4"/>
  <c r="B18" i="4"/>
  <c r="E18" i="4"/>
  <c r="D18" i="4"/>
  <c r="C18" i="4"/>
  <c r="F18" i="4"/>
  <c r="B19" i="4"/>
  <c r="E19" i="4"/>
  <c r="D19" i="4"/>
  <c r="C19" i="4"/>
  <c r="F19" i="4"/>
  <c r="B20" i="4"/>
  <c r="E20" i="4"/>
  <c r="D20" i="4"/>
  <c r="C20" i="4"/>
  <c r="F20" i="4"/>
  <c r="B21" i="4"/>
  <c r="E21" i="4"/>
  <c r="D21" i="4"/>
  <c r="C21" i="4"/>
  <c r="F21" i="4"/>
  <c r="B22" i="4"/>
  <c r="E22" i="4"/>
  <c r="D22" i="4"/>
  <c r="C22" i="4"/>
  <c r="F22" i="4"/>
  <c r="B23" i="4"/>
  <c r="E23" i="4"/>
  <c r="D23" i="4"/>
  <c r="C23" i="4"/>
  <c r="F23" i="4"/>
  <c r="B24" i="4"/>
  <c r="E24" i="4"/>
  <c r="D24" i="4"/>
  <c r="C24" i="4"/>
  <c r="F24" i="4"/>
  <c r="B25" i="4"/>
  <c r="E25" i="4"/>
  <c r="D25" i="4"/>
  <c r="C25" i="4"/>
  <c r="F25" i="4"/>
  <c r="B26" i="4"/>
  <c r="E26" i="4"/>
  <c r="D26" i="4"/>
  <c r="C26" i="4"/>
  <c r="F26" i="4"/>
  <c r="B27" i="4"/>
  <c r="E27" i="4"/>
  <c r="D27" i="4"/>
  <c r="C27" i="4"/>
  <c r="F27" i="4"/>
  <c r="B30" i="4"/>
  <c r="E30" i="4"/>
  <c r="D30" i="4"/>
  <c r="C30" i="4"/>
  <c r="F30" i="4"/>
  <c r="B31" i="4"/>
  <c r="E31" i="4"/>
  <c r="D31" i="4"/>
  <c r="C31" i="4"/>
  <c r="F31" i="4"/>
  <c r="B32" i="4"/>
  <c r="E32" i="4"/>
  <c r="D32" i="4"/>
  <c r="C32" i="4"/>
  <c r="F32" i="4"/>
  <c r="B33" i="4"/>
  <c r="E33" i="4"/>
  <c r="D33" i="4"/>
  <c r="C33" i="4"/>
  <c r="F33" i="4"/>
  <c r="B34" i="4"/>
  <c r="E34" i="4"/>
  <c r="D34" i="4"/>
  <c r="C34" i="4"/>
  <c r="F34" i="4"/>
  <c r="B35" i="4"/>
  <c r="E35" i="4"/>
  <c r="D35" i="4"/>
  <c r="C35" i="4"/>
  <c r="F35" i="4"/>
  <c r="B36" i="4"/>
  <c r="E36" i="4"/>
  <c r="D36" i="4"/>
  <c r="C36" i="4"/>
  <c r="F36" i="4"/>
  <c r="B37" i="4"/>
  <c r="E37" i="4"/>
  <c r="D37" i="4"/>
  <c r="C37" i="4"/>
  <c r="F37" i="4"/>
  <c r="B38" i="4"/>
  <c r="E38" i="4"/>
  <c r="D38" i="4"/>
  <c r="C38" i="4"/>
  <c r="F38" i="4"/>
  <c r="B39" i="4"/>
  <c r="E39" i="4"/>
  <c r="D39" i="4"/>
  <c r="C39" i="4"/>
  <c r="F39" i="4"/>
  <c r="B40" i="4"/>
  <c r="E40" i="4"/>
  <c r="D40" i="4"/>
  <c r="C40" i="4"/>
  <c r="F40" i="4"/>
  <c r="B41" i="4"/>
  <c r="E41" i="4"/>
  <c r="D41" i="4"/>
  <c r="C41" i="4"/>
  <c r="F41" i="4"/>
  <c r="B44" i="4"/>
  <c r="E44" i="4"/>
  <c r="D44" i="4"/>
  <c r="C44" i="4"/>
  <c r="F44" i="4"/>
  <c r="B45" i="4"/>
  <c r="E45" i="4"/>
  <c r="D45" i="4"/>
  <c r="C45" i="4"/>
  <c r="F45" i="4"/>
  <c r="B46" i="4"/>
  <c r="E46" i="4"/>
  <c r="D46" i="4"/>
  <c r="C46" i="4"/>
  <c r="F46" i="4"/>
  <c r="B47" i="4"/>
  <c r="E47" i="4"/>
  <c r="D47" i="4"/>
  <c r="C47" i="4"/>
  <c r="F47" i="4"/>
  <c r="B48" i="4"/>
  <c r="E48" i="4"/>
  <c r="D48" i="4"/>
  <c r="C48" i="4"/>
  <c r="F48" i="4"/>
  <c r="B49" i="4"/>
  <c r="E49" i="4"/>
  <c r="D49" i="4"/>
  <c r="C49" i="4"/>
  <c r="F49" i="4"/>
  <c r="B50" i="4"/>
  <c r="E50" i="4"/>
  <c r="D50" i="4"/>
  <c r="C50" i="4"/>
  <c r="F50" i="4"/>
  <c r="B51" i="4"/>
  <c r="E51" i="4"/>
  <c r="D51" i="4"/>
  <c r="C51" i="4"/>
  <c r="F51" i="4"/>
  <c r="B52" i="4"/>
  <c r="E52" i="4"/>
  <c r="D52" i="4"/>
  <c r="C52" i="4"/>
  <c r="F52" i="4"/>
  <c r="B53" i="4"/>
  <c r="E53" i="4"/>
  <c r="D53" i="4"/>
  <c r="C53" i="4"/>
  <c r="F53" i="4"/>
  <c r="B54" i="4"/>
  <c r="E54" i="4"/>
  <c r="D54" i="4"/>
  <c r="C54" i="4"/>
  <c r="F54" i="4"/>
  <c r="B55" i="4"/>
  <c r="E55" i="4"/>
  <c r="D55" i="4"/>
  <c r="C55" i="4"/>
  <c r="F55" i="4"/>
  <c r="B58" i="4"/>
  <c r="E58" i="4"/>
  <c r="D58" i="4"/>
  <c r="C58" i="4"/>
  <c r="F58" i="4"/>
  <c r="B59" i="4"/>
  <c r="E59" i="4"/>
  <c r="D59" i="4"/>
  <c r="C59" i="4"/>
  <c r="F59" i="4"/>
  <c r="B60" i="4"/>
  <c r="E60" i="4"/>
  <c r="D60" i="4"/>
  <c r="C60" i="4"/>
  <c r="F60" i="4"/>
  <c r="B61" i="4"/>
  <c r="E61" i="4"/>
  <c r="D61" i="4"/>
  <c r="C61" i="4"/>
  <c r="F61" i="4"/>
  <c r="B62" i="4"/>
  <c r="E62" i="4"/>
  <c r="D62" i="4"/>
  <c r="C62" i="4"/>
  <c r="F62" i="4"/>
  <c r="B63" i="4"/>
  <c r="E63" i="4"/>
  <c r="D63" i="4"/>
  <c r="C63" i="4"/>
  <c r="F63" i="4"/>
  <c r="B64" i="4"/>
  <c r="E64" i="4"/>
  <c r="D64" i="4"/>
  <c r="C64" i="4"/>
  <c r="F64" i="4"/>
  <c r="B65" i="4"/>
  <c r="E65" i="4"/>
  <c r="D65" i="4"/>
  <c r="C65" i="4"/>
  <c r="F65" i="4"/>
  <c r="B66" i="4"/>
  <c r="E66" i="4"/>
  <c r="D66" i="4"/>
  <c r="C66" i="4"/>
  <c r="F66" i="4"/>
  <c r="B67" i="4"/>
  <c r="E67" i="4"/>
  <c r="D67" i="4"/>
  <c r="C67" i="4"/>
  <c r="F67" i="4"/>
  <c r="B68" i="4"/>
  <c r="E68" i="4"/>
  <c r="D68" i="4"/>
  <c r="C68" i="4"/>
  <c r="F68" i="4"/>
  <c r="B69" i="4"/>
  <c r="E69" i="4"/>
  <c r="D69" i="4"/>
  <c r="C69" i="4"/>
  <c r="F69" i="4"/>
  <c r="B72" i="4"/>
  <c r="E72" i="4"/>
  <c r="D72" i="4"/>
  <c r="C72" i="4"/>
  <c r="F72" i="4"/>
  <c r="B73" i="4"/>
  <c r="E73" i="4"/>
  <c r="D73" i="4"/>
  <c r="C73" i="4"/>
  <c r="F73" i="4"/>
  <c r="B74" i="4"/>
  <c r="E74" i="4"/>
  <c r="D74" i="4"/>
  <c r="C74" i="4"/>
  <c r="F74" i="4"/>
  <c r="B75" i="4"/>
  <c r="E75" i="4"/>
  <c r="D75" i="4"/>
  <c r="C75" i="4"/>
  <c r="F75" i="4"/>
  <c r="B76" i="4"/>
  <c r="E76" i="4"/>
  <c r="D76" i="4"/>
  <c r="C76" i="4"/>
  <c r="F76" i="4"/>
  <c r="B77" i="4"/>
  <c r="E77" i="4"/>
  <c r="D77" i="4"/>
  <c r="C77" i="4"/>
  <c r="F77" i="4"/>
  <c r="B78" i="4"/>
  <c r="E78" i="4"/>
  <c r="D78" i="4"/>
  <c r="C78" i="4"/>
  <c r="F78" i="4"/>
  <c r="B79" i="4"/>
  <c r="E79" i="4"/>
  <c r="D79" i="4"/>
  <c r="C79" i="4"/>
  <c r="F79" i="4"/>
  <c r="B80" i="4"/>
  <c r="E80" i="4"/>
  <c r="D80" i="4"/>
  <c r="C80" i="4"/>
  <c r="F80" i="4"/>
  <c r="B81" i="4"/>
  <c r="E81" i="4"/>
  <c r="D81" i="4"/>
  <c r="C81" i="4"/>
  <c r="F81" i="4"/>
  <c r="B82" i="4"/>
  <c r="E82" i="4"/>
  <c r="D82" i="4"/>
  <c r="C82" i="4"/>
  <c r="F82" i="4"/>
  <c r="B83" i="4"/>
  <c r="E83" i="4"/>
  <c r="D83" i="4"/>
  <c r="C83" i="4"/>
  <c r="F83" i="4"/>
  <c r="B86" i="4"/>
  <c r="E86" i="4"/>
  <c r="D86" i="4"/>
  <c r="C86" i="4"/>
  <c r="F86" i="4"/>
  <c r="B87" i="4"/>
  <c r="E87" i="4"/>
  <c r="D87" i="4"/>
  <c r="C87" i="4"/>
  <c r="F87" i="4"/>
  <c r="B88" i="4"/>
  <c r="E88" i="4"/>
  <c r="D88" i="4"/>
  <c r="C88" i="4"/>
  <c r="F88" i="4"/>
  <c r="B89" i="4"/>
  <c r="E89" i="4"/>
  <c r="D89" i="4"/>
  <c r="C89" i="4"/>
  <c r="F89" i="4"/>
  <c r="B90" i="4"/>
  <c r="E90" i="4"/>
  <c r="D90" i="4"/>
  <c r="C90" i="4"/>
  <c r="F90" i="4"/>
  <c r="B91" i="4"/>
  <c r="E91" i="4"/>
  <c r="D91" i="4"/>
  <c r="C91" i="4"/>
  <c r="F91" i="4"/>
  <c r="B92" i="4"/>
  <c r="E92" i="4"/>
  <c r="D92" i="4"/>
  <c r="C92" i="4"/>
  <c r="F92" i="4"/>
  <c r="B93" i="4"/>
  <c r="E93" i="4"/>
  <c r="D93" i="4"/>
  <c r="C93" i="4"/>
  <c r="F93" i="4"/>
  <c r="B94" i="4"/>
  <c r="E94" i="4"/>
  <c r="D94" i="4"/>
  <c r="C94" i="4"/>
  <c r="F94" i="4"/>
  <c r="B95" i="4"/>
  <c r="E95" i="4"/>
  <c r="D95" i="4"/>
  <c r="C95" i="4"/>
  <c r="F95" i="4"/>
  <c r="B96" i="4"/>
  <c r="E96" i="4"/>
  <c r="D96" i="4"/>
  <c r="C96" i="4"/>
  <c r="F96" i="4"/>
  <c r="B97" i="4"/>
  <c r="E97" i="4"/>
  <c r="D97" i="4"/>
  <c r="C97" i="4"/>
  <c r="F97" i="4"/>
  <c r="B100" i="4"/>
  <c r="E100" i="4"/>
  <c r="D100" i="4"/>
  <c r="C100" i="4"/>
  <c r="F100" i="4"/>
  <c r="B101" i="4"/>
  <c r="E101" i="4"/>
  <c r="D101" i="4"/>
  <c r="C101" i="4"/>
  <c r="F101" i="4"/>
  <c r="B102" i="4"/>
  <c r="E102" i="4"/>
  <c r="D102" i="4"/>
  <c r="C102" i="4"/>
  <c r="F102" i="4"/>
  <c r="B103" i="4"/>
  <c r="E103" i="4"/>
  <c r="D103" i="4"/>
  <c r="C103" i="4"/>
  <c r="F103" i="4"/>
  <c r="B104" i="4"/>
  <c r="E104" i="4"/>
  <c r="D104" i="4"/>
  <c r="C104" i="4"/>
  <c r="F104" i="4"/>
  <c r="B105" i="4"/>
  <c r="E105" i="4"/>
  <c r="D105" i="4"/>
  <c r="C105" i="4"/>
  <c r="F105" i="4"/>
  <c r="B106" i="4"/>
  <c r="E106" i="4"/>
  <c r="D106" i="4"/>
  <c r="C106" i="4"/>
  <c r="F106" i="4"/>
  <c r="B107" i="4"/>
  <c r="E107" i="4"/>
  <c r="D107" i="4"/>
  <c r="C107" i="4"/>
  <c r="F107" i="4"/>
  <c r="B108" i="4"/>
  <c r="E108" i="4"/>
  <c r="D108" i="4"/>
  <c r="C108" i="4"/>
  <c r="F108" i="4"/>
  <c r="B109" i="4"/>
  <c r="E109" i="4"/>
  <c r="D109" i="4"/>
  <c r="C109" i="4"/>
  <c r="F109" i="4"/>
  <c r="B110" i="4"/>
  <c r="E110" i="4"/>
  <c r="D110" i="4"/>
  <c r="C110" i="4"/>
  <c r="F110" i="4"/>
  <c r="B111" i="4"/>
  <c r="E111" i="4"/>
  <c r="D111" i="4"/>
  <c r="C111" i="4"/>
  <c r="F111" i="4"/>
  <c r="B114" i="4"/>
  <c r="E114" i="4"/>
  <c r="D114" i="4"/>
  <c r="C114" i="4"/>
  <c r="F114" i="4"/>
  <c r="B115" i="4"/>
  <c r="E115" i="4"/>
  <c r="D115" i="4"/>
  <c r="C115" i="4"/>
  <c r="F115" i="4"/>
  <c r="B116" i="4"/>
  <c r="E116" i="4"/>
  <c r="D116" i="4"/>
  <c r="C116" i="4"/>
  <c r="F116" i="4"/>
  <c r="B117" i="4"/>
  <c r="E117" i="4"/>
  <c r="D117" i="4"/>
  <c r="C117" i="4"/>
  <c r="F117" i="4"/>
  <c r="B118" i="4"/>
  <c r="E118" i="4"/>
  <c r="D118" i="4"/>
  <c r="C118" i="4"/>
  <c r="F118" i="4"/>
  <c r="B119" i="4"/>
  <c r="E119" i="4"/>
  <c r="D119" i="4"/>
  <c r="C119" i="4"/>
  <c r="F119" i="4"/>
  <c r="B120" i="4"/>
  <c r="E120" i="4"/>
  <c r="D120" i="4"/>
  <c r="C120" i="4"/>
  <c r="F120" i="4"/>
  <c r="B121" i="4"/>
  <c r="E121" i="4"/>
  <c r="D121" i="4"/>
  <c r="C121" i="4"/>
  <c r="F121" i="4"/>
  <c r="B122" i="4"/>
  <c r="E122" i="4"/>
  <c r="D122" i="4"/>
  <c r="C122" i="4"/>
  <c r="F122" i="4"/>
  <c r="B123" i="4"/>
  <c r="E123" i="4"/>
  <c r="D123" i="4"/>
  <c r="C123" i="4"/>
  <c r="F123" i="4"/>
  <c r="B124" i="4"/>
  <c r="E124" i="4"/>
  <c r="D124" i="4"/>
  <c r="C124" i="4"/>
  <c r="F124" i="4"/>
  <c r="B125" i="4"/>
  <c r="E125" i="4"/>
  <c r="D125" i="4"/>
  <c r="C125" i="4"/>
  <c r="F125" i="4"/>
  <c r="B128" i="4"/>
  <c r="E128" i="4"/>
  <c r="D128" i="4"/>
  <c r="C128" i="4"/>
  <c r="F128" i="4"/>
  <c r="B129" i="4"/>
  <c r="E129" i="4"/>
  <c r="D129" i="4"/>
  <c r="C129" i="4"/>
  <c r="F129" i="4"/>
  <c r="B130" i="4"/>
  <c r="E130" i="4"/>
  <c r="D130" i="4"/>
  <c r="C130" i="4"/>
  <c r="F130" i="4"/>
  <c r="B131" i="4"/>
  <c r="E131" i="4"/>
  <c r="D131" i="4"/>
  <c r="C131" i="4"/>
  <c r="F131" i="4"/>
  <c r="B132" i="4"/>
  <c r="E132" i="4"/>
  <c r="D132" i="4"/>
  <c r="C132" i="4"/>
  <c r="F132" i="4"/>
  <c r="B133" i="4"/>
  <c r="E133" i="4"/>
  <c r="D133" i="4"/>
  <c r="C133" i="4"/>
  <c r="F133" i="4"/>
  <c r="B134" i="4"/>
  <c r="E134" i="4"/>
  <c r="D134" i="4"/>
  <c r="C134" i="4"/>
  <c r="F134" i="4"/>
  <c r="B135" i="4"/>
  <c r="E135" i="4"/>
  <c r="D135" i="4"/>
  <c r="C135" i="4"/>
  <c r="F135" i="4"/>
  <c r="B136" i="4"/>
  <c r="E136" i="4"/>
  <c r="D136" i="4"/>
  <c r="C136" i="4"/>
  <c r="F136" i="4"/>
  <c r="B137" i="4"/>
  <c r="E137" i="4"/>
  <c r="D137" i="4"/>
  <c r="C137" i="4"/>
  <c r="F137" i="4"/>
  <c r="B138" i="4"/>
  <c r="E138" i="4"/>
  <c r="D138" i="4"/>
  <c r="C138" i="4"/>
  <c r="F138" i="4"/>
  <c r="B139" i="4"/>
  <c r="E139" i="4"/>
  <c r="D139" i="4"/>
  <c r="C139" i="4"/>
  <c r="F139" i="4"/>
  <c r="B142" i="4"/>
  <c r="E142" i="4"/>
  <c r="D142" i="4"/>
  <c r="C142" i="4"/>
  <c r="F142" i="4"/>
  <c r="B143" i="4"/>
  <c r="E143" i="4"/>
  <c r="D143" i="4"/>
  <c r="C143" i="4"/>
  <c r="F143" i="4"/>
  <c r="B144" i="4"/>
  <c r="E144" i="4"/>
  <c r="D144" i="4"/>
  <c r="C144" i="4"/>
  <c r="F144" i="4"/>
  <c r="B145" i="4"/>
  <c r="E145" i="4"/>
  <c r="D145" i="4"/>
  <c r="C145" i="4"/>
  <c r="F145" i="4"/>
  <c r="B146" i="4"/>
  <c r="E146" i="4"/>
  <c r="D146" i="4"/>
  <c r="C146" i="4"/>
  <c r="F146" i="4"/>
  <c r="B147" i="4"/>
  <c r="E147" i="4"/>
  <c r="D147" i="4"/>
  <c r="C147" i="4"/>
  <c r="F147" i="4"/>
  <c r="B148" i="4"/>
  <c r="E148" i="4"/>
  <c r="D148" i="4"/>
  <c r="C148" i="4"/>
  <c r="F148" i="4"/>
  <c r="B149" i="4"/>
  <c r="E149" i="4"/>
  <c r="D149" i="4"/>
  <c r="C149" i="4"/>
  <c r="F149" i="4"/>
  <c r="B150" i="4"/>
  <c r="E150" i="4"/>
  <c r="D150" i="4"/>
  <c r="C150" i="4"/>
  <c r="F150" i="4"/>
  <c r="B151" i="4"/>
  <c r="E151" i="4"/>
  <c r="D151" i="4"/>
  <c r="C151" i="4"/>
  <c r="F151" i="4"/>
  <c r="B152" i="4"/>
  <c r="E152" i="4"/>
  <c r="D152" i="4"/>
  <c r="C152" i="4"/>
  <c r="F152" i="4"/>
  <c r="B153" i="4"/>
  <c r="E153" i="4"/>
  <c r="D153" i="4"/>
  <c r="C153" i="4"/>
  <c r="F153" i="4"/>
  <c r="B156" i="4"/>
  <c r="E156" i="4"/>
  <c r="D156" i="4"/>
  <c r="C156" i="4"/>
  <c r="F156" i="4"/>
  <c r="B157" i="4"/>
  <c r="E157" i="4"/>
  <c r="D157" i="4"/>
  <c r="C157" i="4"/>
  <c r="F157" i="4"/>
  <c r="B158" i="4"/>
  <c r="E158" i="4"/>
  <c r="D158" i="4"/>
  <c r="C158" i="4"/>
  <c r="F158" i="4"/>
  <c r="B159" i="4"/>
  <c r="E159" i="4"/>
  <c r="D159" i="4"/>
  <c r="C159" i="4"/>
  <c r="F159" i="4"/>
  <c r="B160" i="4"/>
  <c r="E160" i="4"/>
  <c r="D160" i="4"/>
  <c r="C160" i="4"/>
  <c r="F160" i="4"/>
  <c r="B161" i="4"/>
  <c r="E161" i="4"/>
  <c r="D161" i="4"/>
  <c r="C161" i="4"/>
  <c r="F161" i="4"/>
  <c r="B162" i="4"/>
  <c r="E162" i="4"/>
  <c r="D162" i="4"/>
  <c r="C162" i="4"/>
  <c r="F162" i="4"/>
  <c r="B163" i="4"/>
  <c r="E163" i="4"/>
  <c r="D163" i="4"/>
  <c r="C163" i="4"/>
  <c r="F163" i="4"/>
  <c r="B164" i="4"/>
  <c r="E164" i="4"/>
  <c r="D164" i="4"/>
  <c r="C164" i="4"/>
  <c r="F164" i="4"/>
  <c r="B165" i="4"/>
  <c r="E165" i="4"/>
  <c r="D165" i="4"/>
  <c r="C165" i="4"/>
  <c r="F165" i="4"/>
  <c r="B166" i="4"/>
  <c r="E166" i="4"/>
  <c r="D166" i="4"/>
  <c r="C166" i="4"/>
  <c r="F166" i="4"/>
  <c r="B167" i="4"/>
  <c r="E167" i="4"/>
  <c r="D167" i="4"/>
  <c r="C167" i="4"/>
  <c r="F167" i="4"/>
  <c r="B170" i="4"/>
  <c r="E170" i="4"/>
  <c r="D170" i="4"/>
  <c r="C170" i="4"/>
  <c r="F170" i="4"/>
  <c r="B171" i="4"/>
  <c r="E171" i="4"/>
  <c r="D171" i="4"/>
  <c r="C171" i="4"/>
  <c r="F171" i="4"/>
  <c r="B172" i="4"/>
  <c r="E172" i="4"/>
  <c r="D172" i="4"/>
  <c r="C172" i="4"/>
  <c r="F172" i="4"/>
  <c r="B173" i="4"/>
  <c r="E173" i="4"/>
  <c r="D173" i="4"/>
  <c r="C173" i="4"/>
  <c r="F173" i="4"/>
  <c r="B174" i="4"/>
  <c r="E174" i="4"/>
  <c r="D174" i="4"/>
  <c r="C174" i="4"/>
  <c r="F174" i="4"/>
  <c r="B175" i="4"/>
  <c r="E175" i="4"/>
  <c r="D175" i="4"/>
  <c r="C175" i="4"/>
  <c r="F175" i="4"/>
  <c r="B176" i="4"/>
  <c r="E176" i="4"/>
  <c r="D176" i="4"/>
  <c r="C176" i="4"/>
  <c r="F176" i="4"/>
  <c r="B177" i="4"/>
  <c r="E177" i="4"/>
  <c r="D177" i="4"/>
  <c r="C177" i="4"/>
  <c r="F177" i="4"/>
  <c r="B178" i="4"/>
  <c r="E178" i="4"/>
  <c r="D178" i="4"/>
  <c r="C178" i="4"/>
  <c r="F178" i="4"/>
  <c r="B179" i="4"/>
  <c r="E179" i="4"/>
  <c r="D179" i="4"/>
  <c r="C179" i="4"/>
  <c r="F179" i="4"/>
  <c r="B180" i="4"/>
  <c r="E180" i="4"/>
  <c r="D180" i="4"/>
  <c r="C180" i="4"/>
  <c r="F180" i="4"/>
  <c r="B181" i="4"/>
  <c r="E181" i="4"/>
  <c r="D181" i="4"/>
  <c r="C181" i="4"/>
  <c r="F181" i="4"/>
  <c r="B184" i="4"/>
  <c r="E184" i="4"/>
  <c r="D184" i="4"/>
  <c r="C184" i="4"/>
  <c r="F184" i="4"/>
  <c r="B185" i="4"/>
  <c r="E185" i="4"/>
  <c r="D185" i="4"/>
  <c r="C185" i="4"/>
  <c r="F185" i="4"/>
  <c r="B186" i="4"/>
  <c r="E186" i="4"/>
  <c r="D186" i="4"/>
  <c r="C186" i="4"/>
  <c r="F186" i="4"/>
  <c r="B187" i="4"/>
  <c r="E187" i="4"/>
  <c r="D187" i="4"/>
  <c r="C187" i="4"/>
  <c r="F187" i="4"/>
  <c r="B188" i="4"/>
  <c r="E188" i="4"/>
  <c r="D188" i="4"/>
  <c r="C188" i="4"/>
  <c r="F188" i="4"/>
  <c r="B189" i="4"/>
  <c r="E189" i="4"/>
  <c r="D189" i="4"/>
  <c r="C189" i="4"/>
  <c r="F189" i="4"/>
  <c r="B190" i="4"/>
  <c r="E190" i="4"/>
  <c r="D190" i="4"/>
  <c r="C190" i="4"/>
  <c r="F190" i="4"/>
  <c r="B191" i="4"/>
  <c r="E191" i="4"/>
  <c r="D191" i="4"/>
  <c r="C191" i="4"/>
  <c r="F191" i="4"/>
  <c r="B192" i="4"/>
  <c r="E192" i="4"/>
  <c r="D192" i="4"/>
  <c r="C192" i="4"/>
  <c r="F192" i="4"/>
  <c r="B193" i="4"/>
  <c r="E193" i="4"/>
  <c r="D193" i="4"/>
  <c r="C193" i="4"/>
  <c r="F193" i="4"/>
  <c r="B194" i="4"/>
  <c r="E194" i="4"/>
  <c r="D194" i="4"/>
  <c r="C194" i="4"/>
  <c r="F194" i="4"/>
  <c r="B195" i="4"/>
  <c r="E195" i="4"/>
  <c r="D195" i="4"/>
  <c r="C195" i="4"/>
  <c r="F195" i="4"/>
  <c r="B198" i="4"/>
  <c r="E198" i="4"/>
  <c r="D198" i="4"/>
  <c r="C198" i="4"/>
  <c r="F198" i="4"/>
  <c r="B199" i="4"/>
  <c r="E199" i="4"/>
  <c r="D199" i="4"/>
  <c r="C199" i="4"/>
  <c r="F199" i="4"/>
  <c r="B200" i="4"/>
  <c r="E200" i="4"/>
  <c r="D200" i="4"/>
  <c r="C200" i="4"/>
  <c r="F200" i="4"/>
  <c r="B201" i="4"/>
  <c r="E201" i="4"/>
  <c r="D201" i="4"/>
  <c r="C201" i="4"/>
  <c r="F201" i="4"/>
  <c r="B202" i="4"/>
  <c r="E202" i="4"/>
  <c r="D202" i="4"/>
  <c r="C202" i="4"/>
  <c r="F202" i="4"/>
  <c r="B203" i="4"/>
  <c r="E203" i="4"/>
  <c r="D203" i="4"/>
  <c r="C203" i="4"/>
  <c r="F203" i="4"/>
  <c r="B204" i="4"/>
  <c r="E204" i="4"/>
  <c r="D204" i="4"/>
  <c r="C204" i="4"/>
  <c r="F204" i="4"/>
  <c r="B205" i="4"/>
  <c r="E205" i="4"/>
  <c r="D205" i="4"/>
  <c r="C205" i="4"/>
  <c r="F205" i="4"/>
  <c r="B206" i="4"/>
  <c r="E206" i="4"/>
  <c r="D206" i="4"/>
  <c r="C206" i="4"/>
  <c r="F206" i="4"/>
  <c r="B207" i="4"/>
  <c r="E207" i="4"/>
  <c r="D207" i="4"/>
  <c r="C207" i="4"/>
  <c r="F207" i="4"/>
  <c r="B208" i="4"/>
  <c r="E208" i="4"/>
  <c r="D208" i="4"/>
  <c r="C208" i="4"/>
  <c r="F208" i="4"/>
  <c r="B209" i="4"/>
  <c r="E209" i="4"/>
  <c r="D209" i="4"/>
  <c r="C209" i="4"/>
  <c r="F209" i="4"/>
  <c r="B212" i="4"/>
  <c r="E212" i="4"/>
  <c r="D212" i="4"/>
  <c r="C212" i="4"/>
  <c r="F212" i="4"/>
  <c r="B213" i="4"/>
  <c r="E213" i="4"/>
  <c r="D213" i="4"/>
  <c r="C213" i="4"/>
  <c r="F213" i="4"/>
  <c r="B214" i="4"/>
  <c r="E214" i="4"/>
  <c r="D214" i="4"/>
  <c r="C214" i="4"/>
  <c r="F214" i="4"/>
  <c r="B215" i="4"/>
  <c r="E215" i="4"/>
  <c r="D215" i="4"/>
  <c r="C215" i="4"/>
  <c r="F215" i="4"/>
  <c r="B216" i="4"/>
  <c r="E216" i="4"/>
  <c r="D216" i="4"/>
  <c r="C216" i="4"/>
  <c r="F216" i="4"/>
  <c r="B217" i="4"/>
  <c r="E217" i="4"/>
  <c r="D217" i="4"/>
  <c r="C217" i="4"/>
  <c r="F217" i="4"/>
  <c r="B218" i="4"/>
  <c r="E218" i="4"/>
  <c r="D218" i="4"/>
  <c r="C218" i="4"/>
  <c r="F218" i="4"/>
  <c r="B219" i="4"/>
  <c r="E219" i="4"/>
  <c r="D219" i="4"/>
  <c r="C219" i="4"/>
  <c r="F219" i="4"/>
  <c r="B220" i="4"/>
  <c r="E220" i="4"/>
  <c r="D220" i="4"/>
  <c r="C220" i="4"/>
  <c r="F220" i="4"/>
  <c r="B221" i="4"/>
  <c r="E221" i="4"/>
  <c r="D221" i="4"/>
  <c r="C221" i="4"/>
  <c r="F221" i="4"/>
  <c r="B222" i="4"/>
  <c r="E222" i="4"/>
  <c r="D222" i="4"/>
  <c r="C222" i="4"/>
  <c r="F222" i="4"/>
  <c r="B223" i="4"/>
  <c r="E223" i="4"/>
  <c r="D223" i="4"/>
  <c r="C223" i="4"/>
  <c r="F223" i="4"/>
  <c r="B226" i="4"/>
  <c r="E226" i="4"/>
  <c r="D226" i="4"/>
  <c r="C226" i="4"/>
  <c r="F226" i="4"/>
  <c r="B227" i="4"/>
  <c r="E227" i="4"/>
  <c r="D227" i="4"/>
  <c r="C227" i="4"/>
  <c r="F227" i="4"/>
  <c r="B228" i="4"/>
  <c r="E228" i="4"/>
  <c r="D228" i="4"/>
  <c r="C228" i="4"/>
  <c r="F228" i="4"/>
  <c r="B229" i="4"/>
  <c r="E229" i="4"/>
  <c r="D229" i="4"/>
  <c r="C229" i="4"/>
  <c r="F229" i="4"/>
  <c r="B230" i="4"/>
  <c r="E230" i="4"/>
  <c r="D230" i="4"/>
  <c r="C230" i="4"/>
  <c r="F230" i="4"/>
  <c r="B231" i="4"/>
  <c r="E231" i="4"/>
  <c r="D231" i="4"/>
  <c r="C231" i="4"/>
  <c r="F231" i="4"/>
  <c r="B232" i="4"/>
  <c r="E232" i="4"/>
  <c r="D232" i="4"/>
  <c r="C232" i="4"/>
  <c r="F232" i="4"/>
  <c r="B233" i="4"/>
  <c r="E233" i="4"/>
  <c r="D233" i="4"/>
  <c r="C233" i="4"/>
  <c r="F233" i="4"/>
  <c r="B234" i="4"/>
  <c r="E234" i="4"/>
  <c r="D234" i="4"/>
  <c r="C234" i="4"/>
  <c r="F234" i="4"/>
  <c r="B235" i="4"/>
  <c r="E235" i="4"/>
  <c r="D235" i="4"/>
  <c r="C235" i="4"/>
  <c r="F235" i="4"/>
  <c r="B236" i="4"/>
  <c r="E236" i="4"/>
  <c r="D236" i="4"/>
  <c r="C236" i="4"/>
  <c r="F236" i="4"/>
  <c r="B237" i="4"/>
  <c r="E237" i="4"/>
  <c r="D237" i="4"/>
  <c r="C237" i="4"/>
  <c r="F237" i="4"/>
  <c r="B240" i="4"/>
  <c r="E240" i="4"/>
  <c r="D240" i="4"/>
  <c r="C240" i="4"/>
  <c r="F240" i="4"/>
  <c r="B241" i="4"/>
  <c r="E241" i="4"/>
  <c r="D241" i="4"/>
  <c r="C241" i="4"/>
  <c r="F241" i="4"/>
  <c r="B242" i="4"/>
  <c r="E242" i="4"/>
  <c r="D242" i="4"/>
  <c r="C242" i="4"/>
  <c r="F242" i="4"/>
  <c r="B243" i="4"/>
  <c r="E243" i="4"/>
  <c r="D243" i="4"/>
  <c r="C243" i="4"/>
  <c r="F243" i="4"/>
  <c r="B244" i="4"/>
  <c r="E244" i="4"/>
  <c r="D244" i="4"/>
  <c r="C244" i="4"/>
  <c r="F244" i="4"/>
  <c r="B245" i="4"/>
  <c r="E245" i="4"/>
  <c r="D245" i="4"/>
  <c r="C245" i="4"/>
  <c r="F245" i="4"/>
  <c r="B246" i="4"/>
  <c r="E246" i="4"/>
  <c r="D246" i="4"/>
  <c r="C246" i="4"/>
  <c r="F246" i="4"/>
  <c r="B247" i="4"/>
  <c r="E247" i="4"/>
  <c r="D247" i="4"/>
  <c r="C247" i="4"/>
  <c r="F247" i="4"/>
  <c r="B248" i="4"/>
  <c r="E248" i="4"/>
  <c r="D248" i="4"/>
  <c r="C248" i="4"/>
  <c r="F248" i="4"/>
  <c r="B249" i="4"/>
  <c r="E249" i="4"/>
  <c r="D249" i="4"/>
  <c r="C249" i="4"/>
  <c r="F249" i="4"/>
  <c r="B250" i="4"/>
  <c r="E250" i="4"/>
  <c r="D250" i="4"/>
  <c r="C250" i="4"/>
  <c r="F250" i="4"/>
  <c r="B251" i="4"/>
  <c r="E251" i="4"/>
  <c r="D251" i="4"/>
  <c r="C251" i="4"/>
  <c r="F251" i="4"/>
  <c r="B254" i="4"/>
  <c r="E254" i="4"/>
  <c r="D254" i="4"/>
  <c r="C254" i="4"/>
  <c r="F254" i="4"/>
  <c r="B255" i="4"/>
  <c r="E255" i="4"/>
  <c r="D255" i="4"/>
  <c r="C255" i="4"/>
  <c r="F255" i="4"/>
  <c r="B256" i="4"/>
  <c r="E256" i="4"/>
  <c r="D256" i="4"/>
  <c r="C256" i="4"/>
  <c r="F256" i="4"/>
  <c r="B257" i="4"/>
  <c r="E257" i="4"/>
  <c r="D257" i="4"/>
  <c r="C257" i="4"/>
  <c r="F257" i="4"/>
  <c r="B258" i="4"/>
  <c r="E258" i="4"/>
  <c r="D258" i="4"/>
  <c r="C258" i="4"/>
  <c r="F258" i="4"/>
  <c r="B259" i="4"/>
  <c r="E259" i="4"/>
  <c r="D259" i="4"/>
  <c r="C259" i="4"/>
  <c r="F259" i="4"/>
  <c r="B260" i="4"/>
  <c r="E260" i="4"/>
  <c r="D260" i="4"/>
  <c r="C260" i="4"/>
  <c r="F260" i="4"/>
  <c r="B261" i="4"/>
  <c r="E261" i="4"/>
  <c r="D261" i="4"/>
  <c r="C261" i="4"/>
  <c r="F261" i="4"/>
  <c r="B262" i="4"/>
  <c r="E262" i="4"/>
  <c r="D262" i="4"/>
  <c r="C262" i="4"/>
  <c r="F262" i="4"/>
  <c r="B263" i="4"/>
  <c r="E263" i="4"/>
  <c r="D263" i="4"/>
  <c r="C263" i="4"/>
  <c r="F263" i="4"/>
  <c r="B264" i="4"/>
  <c r="E264" i="4"/>
  <c r="D264" i="4"/>
  <c r="C264" i="4"/>
  <c r="F264" i="4"/>
  <c r="B265" i="4"/>
  <c r="E265" i="4"/>
  <c r="D265" i="4"/>
  <c r="C265" i="4"/>
  <c r="F265" i="4"/>
  <c r="B268" i="4"/>
  <c r="D268" i="4"/>
  <c r="E268" i="4"/>
  <c r="C268" i="4"/>
  <c r="F268" i="4"/>
  <c r="B269" i="4"/>
  <c r="D269" i="4"/>
  <c r="E269" i="4"/>
  <c r="C269" i="4"/>
  <c r="F269" i="4"/>
  <c r="B270" i="4"/>
  <c r="D270" i="4"/>
  <c r="E270" i="4"/>
  <c r="C270" i="4"/>
  <c r="F270" i="4"/>
  <c r="B271" i="4"/>
  <c r="D271" i="4"/>
  <c r="E271" i="4"/>
  <c r="C271" i="4"/>
  <c r="F271" i="4"/>
  <c r="B272" i="4"/>
  <c r="D272" i="4"/>
  <c r="E272" i="4"/>
  <c r="C272" i="4"/>
  <c r="F272" i="4"/>
  <c r="B273" i="4"/>
  <c r="D273" i="4"/>
  <c r="E273" i="4"/>
  <c r="C273" i="4"/>
  <c r="F273" i="4"/>
  <c r="B274" i="4"/>
  <c r="D274" i="4"/>
  <c r="E274" i="4"/>
  <c r="C274" i="4"/>
  <c r="F274" i="4"/>
  <c r="B275" i="4"/>
  <c r="D275" i="4"/>
  <c r="E275" i="4"/>
  <c r="C275" i="4"/>
  <c r="F275" i="4"/>
  <c r="B276" i="4"/>
  <c r="D276" i="4"/>
  <c r="E276" i="4"/>
  <c r="C276" i="4"/>
  <c r="F276" i="4"/>
  <c r="B277" i="4"/>
  <c r="D277" i="4"/>
  <c r="E277" i="4"/>
  <c r="C277" i="4"/>
  <c r="F277" i="4"/>
  <c r="B278" i="4"/>
  <c r="D278" i="4"/>
  <c r="E278" i="4"/>
  <c r="C278" i="4"/>
  <c r="F278" i="4"/>
  <c r="B279" i="4"/>
  <c r="D279" i="4"/>
  <c r="D280" i="4"/>
  <c r="E279" i="4"/>
  <c r="C279" i="4"/>
  <c r="C280" i="4"/>
  <c r="F279" i="4"/>
  <c r="D266" i="4"/>
  <c r="C266" i="4"/>
  <c r="D252" i="4"/>
  <c r="C252" i="4"/>
  <c r="D238" i="4"/>
  <c r="C238" i="4"/>
  <c r="D224" i="4"/>
  <c r="C224" i="4"/>
  <c r="D210" i="4"/>
  <c r="C210" i="4"/>
  <c r="D196" i="4"/>
  <c r="C196" i="4"/>
  <c r="D182" i="4"/>
  <c r="C182" i="4"/>
  <c r="D168" i="4"/>
  <c r="C168" i="4"/>
  <c r="D154" i="4"/>
  <c r="C154" i="4"/>
  <c r="D140" i="4"/>
  <c r="C140" i="4"/>
  <c r="D126" i="4"/>
  <c r="C126" i="4"/>
  <c r="D112" i="4"/>
  <c r="C112" i="4"/>
  <c r="D98" i="4"/>
  <c r="C98" i="4"/>
  <c r="D84" i="4"/>
  <c r="C84" i="4"/>
  <c r="D70" i="4"/>
  <c r="C70" i="4"/>
  <c r="D56" i="4"/>
  <c r="C56" i="4"/>
  <c r="D42" i="4"/>
  <c r="C42" i="4"/>
  <c r="D28" i="4"/>
  <c r="C28" i="4"/>
  <c r="D14" i="4"/>
  <c r="C14" i="4"/>
  <c r="D97" i="3"/>
  <c r="E97" i="3"/>
  <c r="F97" i="3"/>
  <c r="G97" i="3"/>
  <c r="H97" i="3"/>
  <c r="I97" i="3"/>
  <c r="J97" i="3"/>
  <c r="K97" i="3"/>
  <c r="L97" i="3"/>
  <c r="M97" i="3"/>
  <c r="N97" i="3"/>
  <c r="D98" i="3"/>
  <c r="C81" i="3"/>
  <c r="C78" i="3"/>
  <c r="C77" i="3"/>
  <c r="C76" i="3"/>
  <c r="C75" i="3"/>
  <c r="C74" i="3"/>
  <c r="M49" i="3"/>
  <c r="M60" i="3"/>
  <c r="M62" i="3"/>
  <c r="L49" i="3"/>
  <c r="L60" i="3"/>
  <c r="L62" i="3"/>
  <c r="K49" i="3"/>
  <c r="K60" i="3"/>
  <c r="K62" i="3"/>
  <c r="J49" i="3"/>
  <c r="J60" i="3"/>
  <c r="J62" i="3"/>
  <c r="I49" i="3"/>
  <c r="I60" i="3"/>
  <c r="I62" i="3"/>
  <c r="H49" i="3"/>
  <c r="H60" i="3"/>
  <c r="H62" i="3"/>
  <c r="G49" i="3"/>
  <c r="G60" i="3"/>
  <c r="G62" i="3"/>
  <c r="F49" i="3"/>
  <c r="F60" i="3"/>
  <c r="F62" i="3"/>
  <c r="E49" i="3"/>
  <c r="E60" i="3"/>
  <c r="E62" i="3"/>
  <c r="X60" i="3"/>
  <c r="Y57" i="3"/>
  <c r="Y55" i="3"/>
  <c r="Y54" i="3"/>
  <c r="N40" i="1"/>
  <c r="L39" i="1"/>
  <c r="N39" i="1"/>
  <c r="F3" i="1"/>
  <c r="G3" i="1"/>
  <c r="H3" i="1"/>
  <c r="I3" i="1"/>
  <c r="J3" i="1"/>
  <c r="J12" i="1"/>
  <c r="J41" i="1"/>
  <c r="N41" i="1"/>
  <c r="J14" i="1"/>
  <c r="E12" i="1"/>
  <c r="E14" i="1"/>
  <c r="E9" i="1"/>
  <c r="F9" i="1"/>
  <c r="G9" i="1"/>
  <c r="H9" i="1"/>
  <c r="I9" i="1"/>
  <c r="J9" i="1"/>
  <c r="J42" i="1"/>
  <c r="N42" i="1"/>
  <c r="N46" i="1"/>
  <c r="J52" i="1"/>
  <c r="N52" i="1"/>
  <c r="N55" i="1"/>
  <c r="F44" i="1"/>
  <c r="G44" i="1"/>
  <c r="H44" i="1"/>
  <c r="I44" i="1"/>
  <c r="J44" i="1"/>
  <c r="M44" i="1"/>
  <c r="M45" i="1"/>
  <c r="M55" i="1"/>
  <c r="B2" i="2"/>
  <c r="I2" i="2"/>
  <c r="I4" i="2"/>
  <c r="I8" i="2"/>
  <c r="E2" i="2"/>
  <c r="D2" i="2"/>
  <c r="C2" i="2"/>
  <c r="F2" i="2"/>
  <c r="B3" i="2"/>
  <c r="E3" i="2"/>
  <c r="D3" i="2"/>
  <c r="C3" i="2"/>
  <c r="F3" i="2"/>
  <c r="B4" i="2"/>
  <c r="E4" i="2"/>
  <c r="D4" i="2"/>
  <c r="C4" i="2"/>
  <c r="F4" i="2"/>
  <c r="B5" i="2"/>
  <c r="E5" i="2"/>
  <c r="D5" i="2"/>
  <c r="C5" i="2"/>
  <c r="F5" i="2"/>
  <c r="B6" i="2"/>
  <c r="E6" i="2"/>
  <c r="D6" i="2"/>
  <c r="C6" i="2"/>
  <c r="F6" i="2"/>
  <c r="B7" i="2"/>
  <c r="E7" i="2"/>
  <c r="D7" i="2"/>
  <c r="C7" i="2"/>
  <c r="F7" i="2"/>
  <c r="B8" i="2"/>
  <c r="E8" i="2"/>
  <c r="D8" i="2"/>
  <c r="C8" i="2"/>
  <c r="F8" i="2"/>
  <c r="B9" i="2"/>
  <c r="E9" i="2"/>
  <c r="D9" i="2"/>
  <c r="C9" i="2"/>
  <c r="F9" i="2"/>
  <c r="B10" i="2"/>
  <c r="E10" i="2"/>
  <c r="D10" i="2"/>
  <c r="C10" i="2"/>
  <c r="F10" i="2"/>
  <c r="B11" i="2"/>
  <c r="E11" i="2"/>
  <c r="D11" i="2"/>
  <c r="C11" i="2"/>
  <c r="F11" i="2"/>
  <c r="B12" i="2"/>
  <c r="E12" i="2"/>
  <c r="D12" i="2"/>
  <c r="C12" i="2"/>
  <c r="F12" i="2"/>
  <c r="B13" i="2"/>
  <c r="E13" i="2"/>
  <c r="D13" i="2"/>
  <c r="C13" i="2"/>
  <c r="F13" i="2"/>
  <c r="B16" i="2"/>
  <c r="E16" i="2"/>
  <c r="D16" i="2"/>
  <c r="C16" i="2"/>
  <c r="F16" i="2"/>
  <c r="B17" i="2"/>
  <c r="E17" i="2"/>
  <c r="D17" i="2"/>
  <c r="C17" i="2"/>
  <c r="F17" i="2"/>
  <c r="B18" i="2"/>
  <c r="E18" i="2"/>
  <c r="D18" i="2"/>
  <c r="C18" i="2"/>
  <c r="F18" i="2"/>
  <c r="B19" i="2"/>
  <c r="E19" i="2"/>
  <c r="D19" i="2"/>
  <c r="C19" i="2"/>
  <c r="F19" i="2"/>
  <c r="B20" i="2"/>
  <c r="E20" i="2"/>
  <c r="D20" i="2"/>
  <c r="C20" i="2"/>
  <c r="F20" i="2"/>
  <c r="B21" i="2"/>
  <c r="E21" i="2"/>
  <c r="D21" i="2"/>
  <c r="C21" i="2"/>
  <c r="F21" i="2"/>
  <c r="B22" i="2"/>
  <c r="E22" i="2"/>
  <c r="D22" i="2"/>
  <c r="C22" i="2"/>
  <c r="F22" i="2"/>
  <c r="B23" i="2"/>
  <c r="E23" i="2"/>
  <c r="D23" i="2"/>
  <c r="C23" i="2"/>
  <c r="F23" i="2"/>
  <c r="B24" i="2"/>
  <c r="E24" i="2"/>
  <c r="D24" i="2"/>
  <c r="C24" i="2"/>
  <c r="F24" i="2"/>
  <c r="B25" i="2"/>
  <c r="E25" i="2"/>
  <c r="D25" i="2"/>
  <c r="C25" i="2"/>
  <c r="F25" i="2"/>
  <c r="B26" i="2"/>
  <c r="E26" i="2"/>
  <c r="D26" i="2"/>
  <c r="C26" i="2"/>
  <c r="F26" i="2"/>
  <c r="B27" i="2"/>
  <c r="E27" i="2"/>
  <c r="D27" i="2"/>
  <c r="C27" i="2"/>
  <c r="F27" i="2"/>
  <c r="B30" i="2"/>
  <c r="E30" i="2"/>
  <c r="D30" i="2"/>
  <c r="C30" i="2"/>
  <c r="F30" i="2"/>
  <c r="B31" i="2"/>
  <c r="E31" i="2"/>
  <c r="D31" i="2"/>
  <c r="C31" i="2"/>
  <c r="F31" i="2"/>
  <c r="B32" i="2"/>
  <c r="E32" i="2"/>
  <c r="D32" i="2"/>
  <c r="C32" i="2"/>
  <c r="F32" i="2"/>
  <c r="B33" i="2"/>
  <c r="E33" i="2"/>
  <c r="D33" i="2"/>
  <c r="C33" i="2"/>
  <c r="F33" i="2"/>
  <c r="B34" i="2"/>
  <c r="E34" i="2"/>
  <c r="D34" i="2"/>
  <c r="C34" i="2"/>
  <c r="F34" i="2"/>
  <c r="B35" i="2"/>
  <c r="E35" i="2"/>
  <c r="D35" i="2"/>
  <c r="C35" i="2"/>
  <c r="F35" i="2"/>
  <c r="B36" i="2"/>
  <c r="E36" i="2"/>
  <c r="D36" i="2"/>
  <c r="C36" i="2"/>
  <c r="F36" i="2"/>
  <c r="B37" i="2"/>
  <c r="E37" i="2"/>
  <c r="D37" i="2"/>
  <c r="C37" i="2"/>
  <c r="F37" i="2"/>
  <c r="B38" i="2"/>
  <c r="E38" i="2"/>
  <c r="D38" i="2"/>
  <c r="C38" i="2"/>
  <c r="F38" i="2"/>
  <c r="B39" i="2"/>
  <c r="E39" i="2"/>
  <c r="D39" i="2"/>
  <c r="C39" i="2"/>
  <c r="F39" i="2"/>
  <c r="B40" i="2"/>
  <c r="E40" i="2"/>
  <c r="D40" i="2"/>
  <c r="C40" i="2"/>
  <c r="F40" i="2"/>
  <c r="B41" i="2"/>
  <c r="E41" i="2"/>
  <c r="D41" i="2"/>
  <c r="C41" i="2"/>
  <c r="F41" i="2"/>
  <c r="B44" i="2"/>
  <c r="E44" i="2"/>
  <c r="D44" i="2"/>
  <c r="C44" i="2"/>
  <c r="F44" i="2"/>
  <c r="B45" i="2"/>
  <c r="E45" i="2"/>
  <c r="D45" i="2"/>
  <c r="C45" i="2"/>
  <c r="F45" i="2"/>
  <c r="B46" i="2"/>
  <c r="E46" i="2"/>
  <c r="D46" i="2"/>
  <c r="C46" i="2"/>
  <c r="F46" i="2"/>
  <c r="B47" i="2"/>
  <c r="E47" i="2"/>
  <c r="D47" i="2"/>
  <c r="C47" i="2"/>
  <c r="F47" i="2"/>
  <c r="B48" i="2"/>
  <c r="E48" i="2"/>
  <c r="D48" i="2"/>
  <c r="C48" i="2"/>
  <c r="F48" i="2"/>
  <c r="B49" i="2"/>
  <c r="E49" i="2"/>
  <c r="D49" i="2"/>
  <c r="C49" i="2"/>
  <c r="F49" i="2"/>
  <c r="B50" i="2"/>
  <c r="E50" i="2"/>
  <c r="D50" i="2"/>
  <c r="C50" i="2"/>
  <c r="F50" i="2"/>
  <c r="B51" i="2"/>
  <c r="E51" i="2"/>
  <c r="D51" i="2"/>
  <c r="C51" i="2"/>
  <c r="F51" i="2"/>
  <c r="B52" i="2"/>
  <c r="E52" i="2"/>
  <c r="D52" i="2"/>
  <c r="C52" i="2"/>
  <c r="F52" i="2"/>
  <c r="B53" i="2"/>
  <c r="E53" i="2"/>
  <c r="D53" i="2"/>
  <c r="C53" i="2"/>
  <c r="F53" i="2"/>
  <c r="B54" i="2"/>
  <c r="E54" i="2"/>
  <c r="D54" i="2"/>
  <c r="C54" i="2"/>
  <c r="F54" i="2"/>
  <c r="B55" i="2"/>
  <c r="E55" i="2"/>
  <c r="D55" i="2"/>
  <c r="C55" i="2"/>
  <c r="F55" i="2"/>
  <c r="B58" i="2"/>
  <c r="E58" i="2"/>
  <c r="D58" i="2"/>
  <c r="C58" i="2"/>
  <c r="F58" i="2"/>
  <c r="B59" i="2"/>
  <c r="E59" i="2"/>
  <c r="D59" i="2"/>
  <c r="C59" i="2"/>
  <c r="F59" i="2"/>
  <c r="B60" i="2"/>
  <c r="E60" i="2"/>
  <c r="D60" i="2"/>
  <c r="C60" i="2"/>
  <c r="F60" i="2"/>
  <c r="B61" i="2"/>
  <c r="E61" i="2"/>
  <c r="D61" i="2"/>
  <c r="C61" i="2"/>
  <c r="F61" i="2"/>
  <c r="B62" i="2"/>
  <c r="E62" i="2"/>
  <c r="D62" i="2"/>
  <c r="C62" i="2"/>
  <c r="F62" i="2"/>
  <c r="B63" i="2"/>
  <c r="E63" i="2"/>
  <c r="D63" i="2"/>
  <c r="C63" i="2"/>
  <c r="F63" i="2"/>
  <c r="B64" i="2"/>
  <c r="E64" i="2"/>
  <c r="D64" i="2"/>
  <c r="C64" i="2"/>
  <c r="F64" i="2"/>
  <c r="B65" i="2"/>
  <c r="E65" i="2"/>
  <c r="D65" i="2"/>
  <c r="C65" i="2"/>
  <c r="F65" i="2"/>
  <c r="B66" i="2"/>
  <c r="E66" i="2"/>
  <c r="D66" i="2"/>
  <c r="C66" i="2"/>
  <c r="F66" i="2"/>
  <c r="B67" i="2"/>
  <c r="E67" i="2"/>
  <c r="D67" i="2"/>
  <c r="C67" i="2"/>
  <c r="F67" i="2"/>
  <c r="B68" i="2"/>
  <c r="E68" i="2"/>
  <c r="D68" i="2"/>
  <c r="C68" i="2"/>
  <c r="F68" i="2"/>
  <c r="B69" i="2"/>
  <c r="E69" i="2"/>
  <c r="D69" i="2"/>
  <c r="C69" i="2"/>
  <c r="F69" i="2"/>
  <c r="B72" i="2"/>
  <c r="E72" i="2"/>
  <c r="D72" i="2"/>
  <c r="C72" i="2"/>
  <c r="F72" i="2"/>
  <c r="B73" i="2"/>
  <c r="E73" i="2"/>
  <c r="D73" i="2"/>
  <c r="C73" i="2"/>
  <c r="F73" i="2"/>
  <c r="B74" i="2"/>
  <c r="E74" i="2"/>
  <c r="D74" i="2"/>
  <c r="C74" i="2"/>
  <c r="F74" i="2"/>
  <c r="B75" i="2"/>
  <c r="E75" i="2"/>
  <c r="D75" i="2"/>
  <c r="C75" i="2"/>
  <c r="F75" i="2"/>
  <c r="B76" i="2"/>
  <c r="E76" i="2"/>
  <c r="D76" i="2"/>
  <c r="C76" i="2"/>
  <c r="F76" i="2"/>
  <c r="B77" i="2"/>
  <c r="E77" i="2"/>
  <c r="D77" i="2"/>
  <c r="C77" i="2"/>
  <c r="F77" i="2"/>
  <c r="B78" i="2"/>
  <c r="E78" i="2"/>
  <c r="D78" i="2"/>
  <c r="C78" i="2"/>
  <c r="F78" i="2"/>
  <c r="B79" i="2"/>
  <c r="E79" i="2"/>
  <c r="D79" i="2"/>
  <c r="C79" i="2"/>
  <c r="F79" i="2"/>
  <c r="B80" i="2"/>
  <c r="E80" i="2"/>
  <c r="D80" i="2"/>
  <c r="C80" i="2"/>
  <c r="F80" i="2"/>
  <c r="B81" i="2"/>
  <c r="E81" i="2"/>
  <c r="D81" i="2"/>
  <c r="C81" i="2"/>
  <c r="F81" i="2"/>
  <c r="B82" i="2"/>
  <c r="E82" i="2"/>
  <c r="D82" i="2"/>
  <c r="C82" i="2"/>
  <c r="F82" i="2"/>
  <c r="B83" i="2"/>
  <c r="E83" i="2"/>
  <c r="D83" i="2"/>
  <c r="C83" i="2"/>
  <c r="F83" i="2"/>
  <c r="J55" i="1"/>
  <c r="N56" i="1"/>
  <c r="N58" i="1"/>
  <c r="N63" i="1"/>
  <c r="M62" i="1"/>
  <c r="N62" i="1"/>
  <c r="N64" i="1"/>
  <c r="O63" i="1"/>
  <c r="P63" i="1"/>
  <c r="Q63" i="1"/>
  <c r="U104" i="1"/>
  <c r="U103" i="1"/>
  <c r="J31" i="1"/>
  <c r="U105" i="1"/>
  <c r="U106" i="1"/>
  <c r="O103" i="1"/>
  <c r="O106" i="1"/>
  <c r="P103" i="1"/>
  <c r="E31" i="1"/>
  <c r="P105" i="1"/>
  <c r="P106" i="1"/>
  <c r="Q103" i="1"/>
  <c r="F31" i="1"/>
  <c r="Q105" i="1"/>
  <c r="Q106" i="1"/>
  <c r="R103" i="1"/>
  <c r="G31" i="1"/>
  <c r="R105" i="1"/>
  <c r="R106" i="1"/>
  <c r="S103" i="1"/>
  <c r="H31" i="1"/>
  <c r="S105" i="1"/>
  <c r="S106" i="1"/>
  <c r="T103" i="1"/>
  <c r="I31" i="1"/>
  <c r="T105" i="1"/>
  <c r="T106" i="1"/>
  <c r="N107" i="1"/>
  <c r="D84" i="2"/>
  <c r="J30" i="1"/>
  <c r="U97" i="1"/>
  <c r="O62" i="1"/>
  <c r="P62" i="1"/>
  <c r="Q62" i="1"/>
  <c r="U96" i="1"/>
  <c r="U98" i="1"/>
  <c r="D14" i="2"/>
  <c r="E30" i="1"/>
  <c r="P97" i="1"/>
  <c r="E55" i="1"/>
  <c r="O95" i="1"/>
  <c r="AE52" i="1"/>
  <c r="AI56" i="1"/>
  <c r="AI58" i="1"/>
  <c r="AJ48" i="1"/>
  <c r="AM47" i="1"/>
  <c r="O98" i="1"/>
  <c r="F55" i="1"/>
  <c r="P95" i="1"/>
  <c r="P98" i="1"/>
  <c r="G55" i="1"/>
  <c r="Q95" i="1"/>
  <c r="D28" i="2"/>
  <c r="F30" i="1"/>
  <c r="Q97" i="1"/>
  <c r="Q98" i="1"/>
  <c r="H55" i="1"/>
  <c r="R95" i="1"/>
  <c r="D42" i="2"/>
  <c r="G30" i="1"/>
  <c r="R97" i="1"/>
  <c r="R98" i="1"/>
  <c r="I55" i="1"/>
  <c r="S95" i="1"/>
  <c r="D56" i="2"/>
  <c r="H30" i="1"/>
  <c r="S97" i="1"/>
  <c r="S98" i="1"/>
  <c r="T95" i="1"/>
  <c r="D70" i="2"/>
  <c r="I30" i="1"/>
  <c r="T97" i="1"/>
  <c r="T98" i="1"/>
  <c r="N99" i="1"/>
  <c r="D75" i="1"/>
  <c r="D74" i="1"/>
  <c r="E41" i="1"/>
  <c r="D76" i="1"/>
  <c r="D77" i="1"/>
  <c r="E52" i="1"/>
  <c r="D78" i="1"/>
  <c r="D81" i="1"/>
  <c r="D85" i="1"/>
  <c r="D89" i="1"/>
  <c r="D94" i="1"/>
  <c r="AE54" i="1"/>
  <c r="AF54" i="1"/>
  <c r="AK54" i="1"/>
  <c r="AL54" i="1"/>
  <c r="AE55" i="1"/>
  <c r="AF55" i="1"/>
  <c r="AK55" i="1"/>
  <c r="AL55" i="1"/>
  <c r="AM48" i="1"/>
  <c r="AM49" i="1"/>
  <c r="AM50" i="1"/>
  <c r="AK57" i="1"/>
  <c r="AL57" i="1"/>
  <c r="AL59" i="1"/>
  <c r="D96" i="1"/>
  <c r="D97" i="1"/>
  <c r="E75" i="1"/>
  <c r="E17" i="1"/>
  <c r="E18" i="1"/>
  <c r="E19" i="1"/>
  <c r="E21" i="1"/>
  <c r="E25" i="1"/>
  <c r="E67" i="1"/>
  <c r="Z47" i="1"/>
  <c r="E28" i="1"/>
  <c r="K29" i="1"/>
  <c r="E29" i="1"/>
  <c r="E68" i="1"/>
  <c r="E69" i="1"/>
  <c r="E70" i="1"/>
  <c r="E71" i="1"/>
  <c r="E74" i="1"/>
  <c r="F12" i="1"/>
  <c r="F41" i="1"/>
  <c r="E76" i="1"/>
  <c r="F14" i="1"/>
  <c r="F42" i="1"/>
  <c r="E77" i="1"/>
  <c r="F52" i="1"/>
  <c r="E78" i="1"/>
  <c r="E81" i="1"/>
  <c r="E85" i="1"/>
  <c r="E89" i="1"/>
  <c r="E94" i="1"/>
  <c r="E97" i="1"/>
  <c r="F75" i="1"/>
  <c r="K17" i="1"/>
  <c r="F17" i="1"/>
  <c r="F18" i="1"/>
  <c r="F19" i="1"/>
  <c r="AG20" i="1"/>
  <c r="F20" i="1"/>
  <c r="F21" i="1"/>
  <c r="F22" i="1"/>
  <c r="F23" i="1"/>
  <c r="F24" i="1"/>
  <c r="F25" i="1"/>
  <c r="F26" i="1"/>
  <c r="F67" i="1"/>
  <c r="F28" i="1"/>
  <c r="F29" i="1"/>
  <c r="F68" i="1"/>
  <c r="F69" i="1"/>
  <c r="F70" i="1"/>
  <c r="F71" i="1"/>
  <c r="F74" i="1"/>
  <c r="G12" i="1"/>
  <c r="G41" i="1"/>
  <c r="F76" i="1"/>
  <c r="G14" i="1"/>
  <c r="G42" i="1"/>
  <c r="F77" i="1"/>
  <c r="G52" i="1"/>
  <c r="F78" i="1"/>
  <c r="F81" i="1"/>
  <c r="F85" i="1"/>
  <c r="F89" i="1"/>
  <c r="F94" i="1"/>
  <c r="F97" i="1"/>
  <c r="G75" i="1"/>
  <c r="G17" i="1"/>
  <c r="G18" i="1"/>
  <c r="G19" i="1"/>
  <c r="G20" i="1"/>
  <c r="G21" i="1"/>
  <c r="G22" i="1"/>
  <c r="G23" i="1"/>
  <c r="G24" i="1"/>
  <c r="G25" i="1"/>
  <c r="G26" i="1"/>
  <c r="G67" i="1"/>
  <c r="G28" i="1"/>
  <c r="G29" i="1"/>
  <c r="G68" i="1"/>
  <c r="G69" i="1"/>
  <c r="G70" i="1"/>
  <c r="G71" i="1"/>
  <c r="G74" i="1"/>
  <c r="H12" i="1"/>
  <c r="H41" i="1"/>
  <c r="G76" i="1"/>
  <c r="H14" i="1"/>
  <c r="H42" i="1"/>
  <c r="G77" i="1"/>
  <c r="H52" i="1"/>
  <c r="G78" i="1"/>
  <c r="G81" i="1"/>
  <c r="G85" i="1"/>
  <c r="G89" i="1"/>
  <c r="G94" i="1"/>
  <c r="G97" i="1"/>
  <c r="H75" i="1"/>
  <c r="H17" i="1"/>
  <c r="H18" i="1"/>
  <c r="H19" i="1"/>
  <c r="H20" i="1"/>
  <c r="H21" i="1"/>
  <c r="H22" i="1"/>
  <c r="H23" i="1"/>
  <c r="H24" i="1"/>
  <c r="H25" i="1"/>
  <c r="H26" i="1"/>
  <c r="H67" i="1"/>
  <c r="H28" i="1"/>
  <c r="H29" i="1"/>
  <c r="H68" i="1"/>
  <c r="H69" i="1"/>
  <c r="H70" i="1"/>
  <c r="H71" i="1"/>
  <c r="H74" i="1"/>
  <c r="I12" i="1"/>
  <c r="I41" i="1"/>
  <c r="H76" i="1"/>
  <c r="I14" i="1"/>
  <c r="I42" i="1"/>
  <c r="H77" i="1"/>
  <c r="I52" i="1"/>
  <c r="H78" i="1"/>
  <c r="H81" i="1"/>
  <c r="H85" i="1"/>
  <c r="H89" i="1"/>
  <c r="H94" i="1"/>
  <c r="H97" i="1"/>
  <c r="I75" i="1"/>
  <c r="I17" i="1"/>
  <c r="I18" i="1"/>
  <c r="I19" i="1"/>
  <c r="I20" i="1"/>
  <c r="I21" i="1"/>
  <c r="I22" i="1"/>
  <c r="I23" i="1"/>
  <c r="I24" i="1"/>
  <c r="I25" i="1"/>
  <c r="I26" i="1"/>
  <c r="I67" i="1"/>
  <c r="I28" i="1"/>
  <c r="I29" i="1"/>
  <c r="I68" i="1"/>
  <c r="I69" i="1"/>
  <c r="I70" i="1"/>
  <c r="I71" i="1"/>
  <c r="I74" i="1"/>
  <c r="I76" i="1"/>
  <c r="I77" i="1"/>
  <c r="I78" i="1"/>
  <c r="I81" i="1"/>
  <c r="I85" i="1"/>
  <c r="I89" i="1"/>
  <c r="I94" i="1"/>
  <c r="I97" i="1"/>
  <c r="J75" i="1"/>
  <c r="J17" i="1"/>
  <c r="J18" i="1"/>
  <c r="J19" i="1"/>
  <c r="J20" i="1"/>
  <c r="J21" i="1"/>
  <c r="J22" i="1"/>
  <c r="J23" i="1"/>
  <c r="J24" i="1"/>
  <c r="J25" i="1"/>
  <c r="J26" i="1"/>
  <c r="J67" i="1"/>
  <c r="J28" i="1"/>
  <c r="J29" i="1"/>
  <c r="J68" i="1"/>
  <c r="J69" i="1"/>
  <c r="J70" i="1"/>
  <c r="J71" i="1"/>
  <c r="J74" i="1"/>
  <c r="J76" i="1"/>
  <c r="J77" i="1"/>
  <c r="J78" i="1"/>
  <c r="J81" i="1"/>
  <c r="J82" i="1"/>
  <c r="J85" i="1"/>
  <c r="J86" i="1"/>
  <c r="J89" i="1"/>
  <c r="J90" i="1"/>
  <c r="J94" i="1"/>
  <c r="J97" i="1"/>
  <c r="D98" i="1"/>
  <c r="D95" i="1"/>
  <c r="AC54" i="1"/>
  <c r="AC55" i="1"/>
  <c r="F57" i="1"/>
  <c r="G57" i="1"/>
  <c r="H57" i="1"/>
  <c r="I57" i="1"/>
  <c r="J57" i="1"/>
  <c r="AC57" i="1"/>
  <c r="E33" i="1"/>
  <c r="E34" i="1"/>
  <c r="E35" i="1"/>
  <c r="E58" i="1"/>
  <c r="F33" i="1"/>
  <c r="F34" i="1"/>
  <c r="F35" i="1"/>
  <c r="F58" i="1"/>
  <c r="G33" i="1"/>
  <c r="G34" i="1"/>
  <c r="G35" i="1"/>
  <c r="G58" i="1"/>
  <c r="H33" i="1"/>
  <c r="H34" i="1"/>
  <c r="H35" i="1"/>
  <c r="H58" i="1"/>
  <c r="I33" i="1"/>
  <c r="I34" i="1"/>
  <c r="I35" i="1"/>
  <c r="I58" i="1"/>
  <c r="J33" i="1"/>
  <c r="J34" i="1"/>
  <c r="J35" i="1"/>
  <c r="J58" i="1"/>
  <c r="AC58" i="1"/>
  <c r="AC60" i="1"/>
  <c r="AD54" i="1"/>
  <c r="AD55" i="1"/>
  <c r="AD56" i="1"/>
  <c r="AD57" i="1"/>
  <c r="AD58" i="1"/>
  <c r="AD60" i="1"/>
  <c r="E47" i="1"/>
  <c r="E48" i="1"/>
  <c r="E49" i="1"/>
  <c r="E60" i="1"/>
  <c r="E62" i="1"/>
  <c r="AE50" i="1"/>
  <c r="AE57" i="1"/>
  <c r="AF57" i="1"/>
  <c r="F47" i="1"/>
  <c r="G47" i="1"/>
  <c r="H47" i="1"/>
  <c r="I47" i="1"/>
  <c r="J47" i="1"/>
  <c r="K18" i="1"/>
  <c r="K19" i="1"/>
  <c r="K24" i="1"/>
  <c r="K25" i="1"/>
  <c r="K26" i="1"/>
  <c r="K22" i="1"/>
  <c r="F48" i="1"/>
  <c r="G48" i="1"/>
  <c r="H48" i="1"/>
  <c r="I48" i="1"/>
  <c r="J48" i="1"/>
  <c r="Y90" i="1"/>
  <c r="J49" i="1"/>
  <c r="Y86" i="1"/>
  <c r="Y87" i="1"/>
  <c r="Y91" i="1"/>
  <c r="Y82" i="1"/>
  <c r="Y83" i="1"/>
  <c r="V78" i="1"/>
  <c r="V77" i="1"/>
  <c r="Y78" i="1"/>
  <c r="Y77" i="1"/>
  <c r="AA77" i="1"/>
  <c r="T71" i="1"/>
  <c r="Y70" i="1"/>
  <c r="X70" i="1"/>
  <c r="Z70" i="1"/>
  <c r="Y69" i="1"/>
  <c r="AA69" i="1"/>
  <c r="X78" i="1"/>
  <c r="X77" i="1"/>
  <c r="X69" i="1"/>
  <c r="Z78" i="1"/>
  <c r="Z77" i="1"/>
  <c r="Z80" i="1"/>
  <c r="Z69" i="1"/>
  <c r="Z72" i="1"/>
  <c r="AJ55" i="1"/>
  <c r="AJ54" i="1"/>
  <c r="AI60" i="1"/>
  <c r="B86" i="2"/>
  <c r="D86" i="2"/>
  <c r="E86" i="2"/>
  <c r="C86" i="2"/>
  <c r="F86" i="2"/>
  <c r="B87" i="2"/>
  <c r="D87" i="2"/>
  <c r="E87" i="2"/>
  <c r="C87" i="2"/>
  <c r="F87" i="2"/>
  <c r="B88" i="2"/>
  <c r="D88" i="2"/>
  <c r="E88" i="2"/>
  <c r="C88" i="2"/>
  <c r="F88" i="2"/>
  <c r="B89" i="2"/>
  <c r="D89" i="2"/>
  <c r="E89" i="2"/>
  <c r="C89" i="2"/>
  <c r="F89" i="2"/>
  <c r="B90" i="2"/>
  <c r="D90" i="2"/>
  <c r="E90" i="2"/>
  <c r="C90" i="2"/>
  <c r="F90" i="2"/>
  <c r="B91" i="2"/>
  <c r="D91" i="2"/>
  <c r="E91" i="2"/>
  <c r="C91" i="2"/>
  <c r="F91" i="2"/>
  <c r="B92" i="2"/>
  <c r="D92" i="2"/>
  <c r="E92" i="2"/>
  <c r="C92" i="2"/>
  <c r="F92" i="2"/>
  <c r="B93" i="2"/>
  <c r="D93" i="2"/>
  <c r="E93" i="2"/>
  <c r="C93" i="2"/>
  <c r="F93" i="2"/>
  <c r="B94" i="2"/>
  <c r="D94" i="2"/>
  <c r="E94" i="2"/>
  <c r="C94" i="2"/>
  <c r="F94" i="2"/>
  <c r="B95" i="2"/>
  <c r="D95" i="2"/>
  <c r="E95" i="2"/>
  <c r="C95" i="2"/>
  <c r="F95" i="2"/>
  <c r="B96" i="2"/>
  <c r="D96" i="2"/>
  <c r="E96" i="2"/>
  <c r="C96" i="2"/>
  <c r="F96" i="2"/>
  <c r="B97" i="2"/>
  <c r="D97" i="2"/>
  <c r="D98" i="2"/>
  <c r="E97" i="2"/>
  <c r="C97" i="2"/>
  <c r="F97" i="2"/>
  <c r="B100" i="2"/>
  <c r="D100" i="2"/>
  <c r="E100" i="2"/>
  <c r="C100" i="2"/>
  <c r="F100" i="2"/>
  <c r="B101" i="2"/>
  <c r="D101" i="2"/>
  <c r="E101" i="2"/>
  <c r="C101" i="2"/>
  <c r="F101" i="2"/>
  <c r="B102" i="2"/>
  <c r="D102" i="2"/>
  <c r="E102" i="2"/>
  <c r="C102" i="2"/>
  <c r="F102" i="2"/>
  <c r="B103" i="2"/>
  <c r="D103" i="2"/>
  <c r="E103" i="2"/>
  <c r="C103" i="2"/>
  <c r="F103" i="2"/>
  <c r="B104" i="2"/>
  <c r="D104" i="2"/>
  <c r="E104" i="2"/>
  <c r="C104" i="2"/>
  <c r="F104" i="2"/>
  <c r="B105" i="2"/>
  <c r="D105" i="2"/>
  <c r="E105" i="2"/>
  <c r="C105" i="2"/>
  <c r="F105" i="2"/>
  <c r="B106" i="2"/>
  <c r="D106" i="2"/>
  <c r="E106" i="2"/>
  <c r="C106" i="2"/>
  <c r="F106" i="2"/>
  <c r="B107" i="2"/>
  <c r="D107" i="2"/>
  <c r="E107" i="2"/>
  <c r="C107" i="2"/>
  <c r="F107" i="2"/>
  <c r="B108" i="2"/>
  <c r="D108" i="2"/>
  <c r="E108" i="2"/>
  <c r="C108" i="2"/>
  <c r="F108" i="2"/>
  <c r="B109" i="2"/>
  <c r="D109" i="2"/>
  <c r="E109" i="2"/>
  <c r="C109" i="2"/>
  <c r="F109" i="2"/>
  <c r="B110" i="2"/>
  <c r="D110" i="2"/>
  <c r="E110" i="2"/>
  <c r="C110" i="2"/>
  <c r="F110" i="2"/>
  <c r="B111" i="2"/>
  <c r="D111" i="2"/>
  <c r="D112" i="2"/>
  <c r="E111" i="2"/>
  <c r="C111" i="2"/>
  <c r="F111" i="2"/>
  <c r="B114" i="2"/>
  <c r="D114" i="2"/>
  <c r="E114" i="2"/>
  <c r="C114" i="2"/>
  <c r="F114" i="2"/>
  <c r="B115" i="2"/>
  <c r="D115" i="2"/>
  <c r="E115" i="2"/>
  <c r="C115" i="2"/>
  <c r="F115" i="2"/>
  <c r="B116" i="2"/>
  <c r="D116" i="2"/>
  <c r="E116" i="2"/>
  <c r="C116" i="2"/>
  <c r="F116" i="2"/>
  <c r="B117" i="2"/>
  <c r="D117" i="2"/>
  <c r="E117" i="2"/>
  <c r="C117" i="2"/>
  <c r="F117" i="2"/>
  <c r="B118" i="2"/>
  <c r="D118" i="2"/>
  <c r="E118" i="2"/>
  <c r="C118" i="2"/>
  <c r="F118" i="2"/>
  <c r="B119" i="2"/>
  <c r="D119" i="2"/>
  <c r="E119" i="2"/>
  <c r="C119" i="2"/>
  <c r="F119" i="2"/>
  <c r="B120" i="2"/>
  <c r="D120" i="2"/>
  <c r="E120" i="2"/>
  <c r="C120" i="2"/>
  <c r="F120" i="2"/>
  <c r="B121" i="2"/>
  <c r="D121" i="2"/>
  <c r="E121" i="2"/>
  <c r="C121" i="2"/>
  <c r="F121" i="2"/>
  <c r="B122" i="2"/>
  <c r="D122" i="2"/>
  <c r="E122" i="2"/>
  <c r="C122" i="2"/>
  <c r="F122" i="2"/>
  <c r="B123" i="2"/>
  <c r="D123" i="2"/>
  <c r="E123" i="2"/>
  <c r="C123" i="2"/>
  <c r="F123" i="2"/>
  <c r="B124" i="2"/>
  <c r="D124" i="2"/>
  <c r="E124" i="2"/>
  <c r="C124" i="2"/>
  <c r="F124" i="2"/>
  <c r="B125" i="2"/>
  <c r="D125" i="2"/>
  <c r="D126" i="2"/>
  <c r="E125" i="2"/>
  <c r="C125" i="2"/>
  <c r="F125" i="2"/>
  <c r="B128" i="2"/>
  <c r="D128" i="2"/>
  <c r="E128" i="2"/>
  <c r="C128" i="2"/>
  <c r="F128" i="2"/>
  <c r="B129" i="2"/>
  <c r="D129" i="2"/>
  <c r="E129" i="2"/>
  <c r="C129" i="2"/>
  <c r="F129" i="2"/>
  <c r="B130" i="2"/>
  <c r="D130" i="2"/>
  <c r="E130" i="2"/>
  <c r="C130" i="2"/>
  <c r="F130" i="2"/>
  <c r="B131" i="2"/>
  <c r="D131" i="2"/>
  <c r="E131" i="2"/>
  <c r="C131" i="2"/>
  <c r="F131" i="2"/>
  <c r="B132" i="2"/>
  <c r="D132" i="2"/>
  <c r="E132" i="2"/>
  <c r="C132" i="2"/>
  <c r="F132" i="2"/>
  <c r="B133" i="2"/>
  <c r="D133" i="2"/>
  <c r="E133" i="2"/>
  <c r="C133" i="2"/>
  <c r="F133" i="2"/>
  <c r="B134" i="2"/>
  <c r="D134" i="2"/>
  <c r="E134" i="2"/>
  <c r="C134" i="2"/>
  <c r="F134" i="2"/>
  <c r="B135" i="2"/>
  <c r="D135" i="2"/>
  <c r="E135" i="2"/>
  <c r="C135" i="2"/>
  <c r="F135" i="2"/>
  <c r="B136" i="2"/>
  <c r="D136" i="2"/>
  <c r="E136" i="2"/>
  <c r="C136" i="2"/>
  <c r="F136" i="2"/>
  <c r="B137" i="2"/>
  <c r="D137" i="2"/>
  <c r="E137" i="2"/>
  <c r="C137" i="2"/>
  <c r="F137" i="2"/>
  <c r="B138" i="2"/>
  <c r="D138" i="2"/>
  <c r="E138" i="2"/>
  <c r="C138" i="2"/>
  <c r="F138" i="2"/>
  <c r="B139" i="2"/>
  <c r="D139" i="2"/>
  <c r="D140" i="2"/>
  <c r="E139" i="2"/>
  <c r="C139" i="2"/>
  <c r="F139" i="2"/>
  <c r="C81" i="1"/>
  <c r="C78" i="1"/>
  <c r="C77" i="1"/>
  <c r="C76" i="1"/>
  <c r="C75" i="1"/>
  <c r="C74" i="1"/>
  <c r="B142" i="2"/>
  <c r="D142" i="2"/>
  <c r="E142" i="2"/>
  <c r="C142" i="2"/>
  <c r="F142" i="2"/>
  <c r="B143" i="2"/>
  <c r="D143" i="2"/>
  <c r="E143" i="2"/>
  <c r="C143" i="2"/>
  <c r="F143" i="2"/>
  <c r="B144" i="2"/>
  <c r="D144" i="2"/>
  <c r="E144" i="2"/>
  <c r="C144" i="2"/>
  <c r="F144" i="2"/>
  <c r="B145" i="2"/>
  <c r="D145" i="2"/>
  <c r="E145" i="2"/>
  <c r="C145" i="2"/>
  <c r="F145" i="2"/>
  <c r="B146" i="2"/>
  <c r="D146" i="2"/>
  <c r="E146" i="2"/>
  <c r="C146" i="2"/>
  <c r="F146" i="2"/>
  <c r="B147" i="2"/>
  <c r="D147" i="2"/>
  <c r="E147" i="2"/>
  <c r="C147" i="2"/>
  <c r="F147" i="2"/>
  <c r="B148" i="2"/>
  <c r="D148" i="2"/>
  <c r="E148" i="2"/>
  <c r="C148" i="2"/>
  <c r="F148" i="2"/>
  <c r="B149" i="2"/>
  <c r="D149" i="2"/>
  <c r="E149" i="2"/>
  <c r="C149" i="2"/>
  <c r="F149" i="2"/>
  <c r="B150" i="2"/>
  <c r="D150" i="2"/>
  <c r="E150" i="2"/>
  <c r="C150" i="2"/>
  <c r="F150" i="2"/>
  <c r="B151" i="2"/>
  <c r="D151" i="2"/>
  <c r="E151" i="2"/>
  <c r="C151" i="2"/>
  <c r="F151" i="2"/>
  <c r="B152" i="2"/>
  <c r="D152" i="2"/>
  <c r="E152" i="2"/>
  <c r="C152" i="2"/>
  <c r="F152" i="2"/>
  <c r="B153" i="2"/>
  <c r="D153" i="2"/>
  <c r="D154" i="2"/>
  <c r="E153" i="2"/>
  <c r="C153" i="2"/>
  <c r="F153" i="2"/>
  <c r="C154" i="2"/>
  <c r="B156" i="2"/>
  <c r="E156" i="2"/>
  <c r="D156" i="2"/>
  <c r="C156" i="2"/>
  <c r="F156" i="2"/>
  <c r="B157" i="2"/>
  <c r="E157" i="2"/>
  <c r="D157" i="2"/>
  <c r="C157" i="2"/>
  <c r="F157" i="2"/>
  <c r="B158" i="2"/>
  <c r="E158" i="2"/>
  <c r="D158" i="2"/>
  <c r="C158" i="2"/>
  <c r="F158" i="2"/>
  <c r="B159" i="2"/>
  <c r="E159" i="2"/>
  <c r="D159" i="2"/>
  <c r="C159" i="2"/>
  <c r="F159" i="2"/>
  <c r="B160" i="2"/>
  <c r="E160" i="2"/>
  <c r="D160" i="2"/>
  <c r="C160" i="2"/>
  <c r="F160" i="2"/>
  <c r="B161" i="2"/>
  <c r="E161" i="2"/>
  <c r="D161" i="2"/>
  <c r="C161" i="2"/>
  <c r="F161" i="2"/>
  <c r="B162" i="2"/>
  <c r="E162" i="2"/>
  <c r="D162" i="2"/>
  <c r="C162" i="2"/>
  <c r="F162" i="2"/>
  <c r="B163" i="2"/>
  <c r="E163" i="2"/>
  <c r="D163" i="2"/>
  <c r="C163" i="2"/>
  <c r="F163" i="2"/>
  <c r="B164" i="2"/>
  <c r="E164" i="2"/>
  <c r="D164" i="2"/>
  <c r="C164" i="2"/>
  <c r="F164" i="2"/>
  <c r="B165" i="2"/>
  <c r="E165" i="2"/>
  <c r="D165" i="2"/>
  <c r="C165" i="2"/>
  <c r="F165" i="2"/>
  <c r="B166" i="2"/>
  <c r="E166" i="2"/>
  <c r="D166" i="2"/>
  <c r="C166" i="2"/>
  <c r="F166" i="2"/>
  <c r="B167" i="2"/>
  <c r="E167" i="2"/>
  <c r="D167" i="2"/>
  <c r="C167" i="2"/>
  <c r="F167" i="2"/>
  <c r="C168" i="2"/>
  <c r="D168" i="2"/>
  <c r="B170" i="2"/>
  <c r="E170" i="2"/>
  <c r="D170" i="2"/>
  <c r="C170" i="2"/>
  <c r="F170" i="2"/>
  <c r="B171" i="2"/>
  <c r="E171" i="2"/>
  <c r="D171" i="2"/>
  <c r="C171" i="2"/>
  <c r="F171" i="2"/>
  <c r="B172" i="2"/>
  <c r="E172" i="2"/>
  <c r="D172" i="2"/>
  <c r="C172" i="2"/>
  <c r="F172" i="2"/>
  <c r="B173" i="2"/>
  <c r="E173" i="2"/>
  <c r="D173" i="2"/>
  <c r="C173" i="2"/>
  <c r="F173" i="2"/>
  <c r="B174" i="2"/>
  <c r="E174" i="2"/>
  <c r="D174" i="2"/>
  <c r="C174" i="2"/>
  <c r="F174" i="2"/>
  <c r="B175" i="2"/>
  <c r="E175" i="2"/>
  <c r="D175" i="2"/>
  <c r="C175" i="2"/>
  <c r="F175" i="2"/>
  <c r="B176" i="2"/>
  <c r="E176" i="2"/>
  <c r="D176" i="2"/>
  <c r="C176" i="2"/>
  <c r="F176" i="2"/>
  <c r="B177" i="2"/>
  <c r="E177" i="2"/>
  <c r="D177" i="2"/>
  <c r="C177" i="2"/>
  <c r="F177" i="2"/>
  <c r="B178" i="2"/>
  <c r="E178" i="2"/>
  <c r="D178" i="2"/>
  <c r="C178" i="2"/>
  <c r="F178" i="2"/>
  <c r="B179" i="2"/>
  <c r="E179" i="2"/>
  <c r="D179" i="2"/>
  <c r="C179" i="2"/>
  <c r="F179" i="2"/>
  <c r="B180" i="2"/>
  <c r="E180" i="2"/>
  <c r="D180" i="2"/>
  <c r="C180" i="2"/>
  <c r="F180" i="2"/>
  <c r="B181" i="2"/>
  <c r="E181" i="2"/>
  <c r="D181" i="2"/>
  <c r="C181" i="2"/>
  <c r="F181" i="2"/>
  <c r="C182" i="2"/>
  <c r="D182" i="2"/>
  <c r="B184" i="2"/>
  <c r="E184" i="2"/>
  <c r="D184" i="2"/>
  <c r="C184" i="2"/>
  <c r="F184" i="2"/>
  <c r="B185" i="2"/>
  <c r="E185" i="2"/>
  <c r="D185" i="2"/>
  <c r="C185" i="2"/>
  <c r="F185" i="2"/>
  <c r="B186" i="2"/>
  <c r="E186" i="2"/>
  <c r="D186" i="2"/>
  <c r="C186" i="2"/>
  <c r="F186" i="2"/>
  <c r="B187" i="2"/>
  <c r="E187" i="2"/>
  <c r="D187" i="2"/>
  <c r="C187" i="2"/>
  <c r="F187" i="2"/>
  <c r="B188" i="2"/>
  <c r="E188" i="2"/>
  <c r="D188" i="2"/>
  <c r="C188" i="2"/>
  <c r="F188" i="2"/>
  <c r="B189" i="2"/>
  <c r="E189" i="2"/>
  <c r="D189" i="2"/>
  <c r="C189" i="2"/>
  <c r="F189" i="2"/>
  <c r="B190" i="2"/>
  <c r="E190" i="2"/>
  <c r="D190" i="2"/>
  <c r="C190" i="2"/>
  <c r="F190" i="2"/>
  <c r="B191" i="2"/>
  <c r="E191" i="2"/>
  <c r="D191" i="2"/>
  <c r="C191" i="2"/>
  <c r="F191" i="2"/>
  <c r="B192" i="2"/>
  <c r="E192" i="2"/>
  <c r="D192" i="2"/>
  <c r="C192" i="2"/>
  <c r="F192" i="2"/>
  <c r="B193" i="2"/>
  <c r="E193" i="2"/>
  <c r="D193" i="2"/>
  <c r="C193" i="2"/>
  <c r="F193" i="2"/>
  <c r="B194" i="2"/>
  <c r="E194" i="2"/>
  <c r="D194" i="2"/>
  <c r="C194" i="2"/>
  <c r="F194" i="2"/>
  <c r="B195" i="2"/>
  <c r="E195" i="2"/>
  <c r="D195" i="2"/>
  <c r="C195" i="2"/>
  <c r="F195" i="2"/>
  <c r="C196" i="2"/>
  <c r="D196" i="2"/>
  <c r="B198" i="2"/>
  <c r="E198" i="2"/>
  <c r="D198" i="2"/>
  <c r="C198" i="2"/>
  <c r="F198" i="2"/>
  <c r="B199" i="2"/>
  <c r="E199" i="2"/>
  <c r="D199" i="2"/>
  <c r="C199" i="2"/>
  <c r="F199" i="2"/>
  <c r="B200" i="2"/>
  <c r="E200" i="2"/>
  <c r="D200" i="2"/>
  <c r="C200" i="2"/>
  <c r="F200" i="2"/>
  <c r="B201" i="2"/>
  <c r="E201" i="2"/>
  <c r="D201" i="2"/>
  <c r="C201" i="2"/>
  <c r="F201" i="2"/>
  <c r="B202" i="2"/>
  <c r="E202" i="2"/>
  <c r="D202" i="2"/>
  <c r="C202" i="2"/>
  <c r="F202" i="2"/>
  <c r="B203" i="2"/>
  <c r="E203" i="2"/>
  <c r="D203" i="2"/>
  <c r="C203" i="2"/>
  <c r="F203" i="2"/>
  <c r="B204" i="2"/>
  <c r="E204" i="2"/>
  <c r="D204" i="2"/>
  <c r="C204" i="2"/>
  <c r="F204" i="2"/>
  <c r="B205" i="2"/>
  <c r="E205" i="2"/>
  <c r="D205" i="2"/>
  <c r="C205" i="2"/>
  <c r="F205" i="2"/>
  <c r="B206" i="2"/>
  <c r="E206" i="2"/>
  <c r="D206" i="2"/>
  <c r="C206" i="2"/>
  <c r="F206" i="2"/>
  <c r="B207" i="2"/>
  <c r="E207" i="2"/>
  <c r="D207" i="2"/>
  <c r="C207" i="2"/>
  <c r="F207" i="2"/>
  <c r="B208" i="2"/>
  <c r="E208" i="2"/>
  <c r="D208" i="2"/>
  <c r="C208" i="2"/>
  <c r="F208" i="2"/>
  <c r="B209" i="2"/>
  <c r="E209" i="2"/>
  <c r="D209" i="2"/>
  <c r="C209" i="2"/>
  <c r="F209" i="2"/>
  <c r="C210" i="2"/>
  <c r="D210" i="2"/>
  <c r="B212" i="2"/>
  <c r="E212" i="2"/>
  <c r="D212" i="2"/>
  <c r="C212" i="2"/>
  <c r="F212" i="2"/>
  <c r="B213" i="2"/>
  <c r="E213" i="2"/>
  <c r="D213" i="2"/>
  <c r="C213" i="2"/>
  <c r="F213" i="2"/>
  <c r="B214" i="2"/>
  <c r="E214" i="2"/>
  <c r="D214" i="2"/>
  <c r="C214" i="2"/>
  <c r="F214" i="2"/>
  <c r="B215" i="2"/>
  <c r="E215" i="2"/>
  <c r="D215" i="2"/>
  <c r="C215" i="2"/>
  <c r="F215" i="2"/>
  <c r="B216" i="2"/>
  <c r="E216" i="2"/>
  <c r="D216" i="2"/>
  <c r="C216" i="2"/>
  <c r="F216" i="2"/>
  <c r="B217" i="2"/>
  <c r="E217" i="2"/>
  <c r="D217" i="2"/>
  <c r="C217" i="2"/>
  <c r="F217" i="2"/>
  <c r="B218" i="2"/>
  <c r="E218" i="2"/>
  <c r="D218" i="2"/>
  <c r="C218" i="2"/>
  <c r="F218" i="2"/>
  <c r="B219" i="2"/>
  <c r="E219" i="2"/>
  <c r="D219" i="2"/>
  <c r="C219" i="2"/>
  <c r="F219" i="2"/>
  <c r="B220" i="2"/>
  <c r="E220" i="2"/>
  <c r="D220" i="2"/>
  <c r="C220" i="2"/>
  <c r="F220" i="2"/>
  <c r="B221" i="2"/>
  <c r="E221" i="2"/>
  <c r="D221" i="2"/>
  <c r="C221" i="2"/>
  <c r="F221" i="2"/>
  <c r="B222" i="2"/>
  <c r="E222" i="2"/>
  <c r="D222" i="2"/>
  <c r="C222" i="2"/>
  <c r="F222" i="2"/>
  <c r="B223" i="2"/>
  <c r="E223" i="2"/>
  <c r="D223" i="2"/>
  <c r="C223" i="2"/>
  <c r="F223" i="2"/>
  <c r="C224" i="2"/>
  <c r="D224" i="2"/>
  <c r="B226" i="2"/>
  <c r="E226" i="2"/>
  <c r="D226" i="2"/>
  <c r="C226" i="2"/>
  <c r="F226" i="2"/>
  <c r="B227" i="2"/>
  <c r="E227" i="2"/>
  <c r="D227" i="2"/>
  <c r="C227" i="2"/>
  <c r="F227" i="2"/>
  <c r="B228" i="2"/>
  <c r="E228" i="2"/>
  <c r="D228" i="2"/>
  <c r="C228" i="2"/>
  <c r="F228" i="2"/>
  <c r="B229" i="2"/>
  <c r="E229" i="2"/>
  <c r="D229" i="2"/>
  <c r="C229" i="2"/>
  <c r="F229" i="2"/>
  <c r="B230" i="2"/>
  <c r="E230" i="2"/>
  <c r="D230" i="2"/>
  <c r="C230" i="2"/>
  <c r="F230" i="2"/>
  <c r="B231" i="2"/>
  <c r="E231" i="2"/>
  <c r="D231" i="2"/>
  <c r="C231" i="2"/>
  <c r="F231" i="2"/>
  <c r="B232" i="2"/>
  <c r="E232" i="2"/>
  <c r="D232" i="2"/>
  <c r="C232" i="2"/>
  <c r="F232" i="2"/>
  <c r="B233" i="2"/>
  <c r="E233" i="2"/>
  <c r="D233" i="2"/>
  <c r="C233" i="2"/>
  <c r="F233" i="2"/>
  <c r="B234" i="2"/>
  <c r="E234" i="2"/>
  <c r="D234" i="2"/>
  <c r="C234" i="2"/>
  <c r="F234" i="2"/>
  <c r="B235" i="2"/>
  <c r="E235" i="2"/>
  <c r="D235" i="2"/>
  <c r="C235" i="2"/>
  <c r="F235" i="2"/>
  <c r="B236" i="2"/>
  <c r="E236" i="2"/>
  <c r="D236" i="2"/>
  <c r="C236" i="2"/>
  <c r="F236" i="2"/>
  <c r="B237" i="2"/>
  <c r="E237" i="2"/>
  <c r="D237" i="2"/>
  <c r="C237" i="2"/>
  <c r="F237" i="2"/>
  <c r="C238" i="2"/>
  <c r="D238" i="2"/>
  <c r="B240" i="2"/>
  <c r="E240" i="2"/>
  <c r="D240" i="2"/>
  <c r="C240" i="2"/>
  <c r="F240" i="2"/>
  <c r="B241" i="2"/>
  <c r="E241" i="2"/>
  <c r="D241" i="2"/>
  <c r="C241" i="2"/>
  <c r="F241" i="2"/>
  <c r="B242" i="2"/>
  <c r="E242" i="2"/>
  <c r="D242" i="2"/>
  <c r="C242" i="2"/>
  <c r="F242" i="2"/>
  <c r="B243" i="2"/>
  <c r="E243" i="2"/>
  <c r="D243" i="2"/>
  <c r="C243" i="2"/>
  <c r="F243" i="2"/>
  <c r="B244" i="2"/>
  <c r="E244" i="2"/>
  <c r="D244" i="2"/>
  <c r="C244" i="2"/>
  <c r="F244" i="2"/>
  <c r="B245" i="2"/>
  <c r="E245" i="2"/>
  <c r="D245" i="2"/>
  <c r="C245" i="2"/>
  <c r="F245" i="2"/>
  <c r="B246" i="2"/>
  <c r="E246" i="2"/>
  <c r="D246" i="2"/>
  <c r="C246" i="2"/>
  <c r="F246" i="2"/>
  <c r="B247" i="2"/>
  <c r="E247" i="2"/>
  <c r="D247" i="2"/>
  <c r="C247" i="2"/>
  <c r="F247" i="2"/>
  <c r="B248" i="2"/>
  <c r="E248" i="2"/>
  <c r="D248" i="2"/>
  <c r="C248" i="2"/>
  <c r="F248" i="2"/>
  <c r="B249" i="2"/>
  <c r="E249" i="2"/>
  <c r="D249" i="2"/>
  <c r="C249" i="2"/>
  <c r="F249" i="2"/>
  <c r="B250" i="2"/>
  <c r="E250" i="2"/>
  <c r="D250" i="2"/>
  <c r="C250" i="2"/>
  <c r="F250" i="2"/>
  <c r="B251" i="2"/>
  <c r="E251" i="2"/>
  <c r="D251" i="2"/>
  <c r="C251" i="2"/>
  <c r="F251" i="2"/>
  <c r="C252" i="2"/>
  <c r="D252" i="2"/>
  <c r="B254" i="2"/>
  <c r="E254" i="2"/>
  <c r="D254" i="2"/>
  <c r="C254" i="2"/>
  <c r="F254" i="2"/>
  <c r="B255" i="2"/>
  <c r="E255" i="2"/>
  <c r="D255" i="2"/>
  <c r="C255" i="2"/>
  <c r="F255" i="2"/>
  <c r="B256" i="2"/>
  <c r="E256" i="2"/>
  <c r="D256" i="2"/>
  <c r="C256" i="2"/>
  <c r="F256" i="2"/>
  <c r="B257" i="2"/>
  <c r="E257" i="2"/>
  <c r="D257" i="2"/>
  <c r="C257" i="2"/>
  <c r="F257" i="2"/>
  <c r="B258" i="2"/>
  <c r="E258" i="2"/>
  <c r="D258" i="2"/>
  <c r="C258" i="2"/>
  <c r="F258" i="2"/>
  <c r="B259" i="2"/>
  <c r="E259" i="2"/>
  <c r="D259" i="2"/>
  <c r="C259" i="2"/>
  <c r="F259" i="2"/>
  <c r="B260" i="2"/>
  <c r="E260" i="2"/>
  <c r="D260" i="2"/>
  <c r="C260" i="2"/>
  <c r="F260" i="2"/>
  <c r="B261" i="2"/>
  <c r="E261" i="2"/>
  <c r="D261" i="2"/>
  <c r="C261" i="2"/>
  <c r="F261" i="2"/>
  <c r="B262" i="2"/>
  <c r="E262" i="2"/>
  <c r="D262" i="2"/>
  <c r="C262" i="2"/>
  <c r="F262" i="2"/>
  <c r="B263" i="2"/>
  <c r="E263" i="2"/>
  <c r="D263" i="2"/>
  <c r="C263" i="2"/>
  <c r="F263" i="2"/>
  <c r="B264" i="2"/>
  <c r="E264" i="2"/>
  <c r="D264" i="2"/>
  <c r="C264" i="2"/>
  <c r="F264" i="2"/>
  <c r="B265" i="2"/>
  <c r="E265" i="2"/>
  <c r="D265" i="2"/>
  <c r="C265" i="2"/>
  <c r="F265" i="2"/>
  <c r="C266" i="2"/>
  <c r="D266" i="2"/>
  <c r="B268" i="2"/>
  <c r="E268" i="2"/>
  <c r="D268" i="2"/>
  <c r="C268" i="2"/>
  <c r="F268" i="2"/>
  <c r="B269" i="2"/>
  <c r="E269" i="2"/>
  <c r="D269" i="2"/>
  <c r="C269" i="2"/>
  <c r="F269" i="2"/>
  <c r="B270" i="2"/>
  <c r="E270" i="2"/>
  <c r="D270" i="2"/>
  <c r="C270" i="2"/>
  <c r="F270" i="2"/>
  <c r="B271" i="2"/>
  <c r="E271" i="2"/>
  <c r="D271" i="2"/>
  <c r="C271" i="2"/>
  <c r="F271" i="2"/>
  <c r="B272" i="2"/>
  <c r="E272" i="2"/>
  <c r="D272" i="2"/>
  <c r="C272" i="2"/>
  <c r="F272" i="2"/>
  <c r="B273" i="2"/>
  <c r="E273" i="2"/>
  <c r="D273" i="2"/>
  <c r="C273" i="2"/>
  <c r="F273" i="2"/>
  <c r="B274" i="2"/>
  <c r="E274" i="2"/>
  <c r="D274" i="2"/>
  <c r="C274" i="2"/>
  <c r="F274" i="2"/>
  <c r="B275" i="2"/>
  <c r="E275" i="2"/>
  <c r="D275" i="2"/>
  <c r="C275" i="2"/>
  <c r="F275" i="2"/>
  <c r="B276" i="2"/>
  <c r="E276" i="2"/>
  <c r="D276" i="2"/>
  <c r="C276" i="2"/>
  <c r="F276" i="2"/>
  <c r="B277" i="2"/>
  <c r="E277" i="2"/>
  <c r="D277" i="2"/>
  <c r="C277" i="2"/>
  <c r="F277" i="2"/>
  <c r="B278" i="2"/>
  <c r="E278" i="2"/>
  <c r="D278" i="2"/>
  <c r="C278" i="2"/>
  <c r="F278" i="2"/>
  <c r="B279" i="2"/>
  <c r="E279" i="2"/>
  <c r="D279" i="2"/>
  <c r="C279" i="2"/>
  <c r="F279" i="2"/>
  <c r="C280" i="2"/>
  <c r="D280" i="2"/>
  <c r="C14" i="2"/>
  <c r="C126" i="2"/>
  <c r="C112" i="2"/>
  <c r="C98" i="2"/>
  <c r="C84" i="2"/>
  <c r="C70" i="2"/>
  <c r="C56" i="2"/>
  <c r="C42" i="2"/>
  <c r="C28" i="2"/>
  <c r="C140" i="2"/>
  <c r="O70" i="1"/>
  <c r="Q70" i="1"/>
  <c r="AJ57" i="1"/>
  <c r="G49" i="1"/>
  <c r="P70" i="1"/>
  <c r="O71" i="1"/>
  <c r="F49" i="1"/>
  <c r="R70" i="1"/>
  <c r="P71" i="1"/>
  <c r="S70" i="1"/>
  <c r="F60" i="1"/>
  <c r="F62" i="1"/>
  <c r="Q71" i="1"/>
  <c r="H49" i="1"/>
  <c r="T70" i="1"/>
  <c r="V69" i="1"/>
  <c r="R71" i="1"/>
  <c r="G60" i="1"/>
  <c r="G62" i="1"/>
  <c r="I49" i="1"/>
  <c r="H60" i="1"/>
  <c r="H62" i="1"/>
  <c r="S71" i="1"/>
  <c r="I60" i="1"/>
  <c r="I62" i="1"/>
  <c r="AG54" i="1"/>
  <c r="V70" i="1"/>
  <c r="J60" i="1"/>
  <c r="J62" i="1"/>
  <c r="AG55" i="1"/>
  <c r="R62" i="1"/>
  <c r="AG57" i="1"/>
  <c r="AG59" i="1"/>
  <c r="R63" i="1"/>
</calcChain>
</file>

<file path=xl/sharedStrings.xml><?xml version="1.0" encoding="utf-8"?>
<sst xmlns="http://schemas.openxmlformats.org/spreadsheetml/2006/main" count="377" uniqueCount="155">
  <si>
    <t>Assumptions</t>
  </si>
  <si>
    <t># of Baskets Sold</t>
  </si>
  <si>
    <t>Increase Per Year</t>
  </si>
  <si>
    <t>Average Selling Price</t>
  </si>
  <si>
    <t>Shipping Cost</t>
  </si>
  <si>
    <t># of Employees</t>
  </si>
  <si>
    <t>Days Recievable</t>
  </si>
  <si>
    <t>Days Payable</t>
  </si>
  <si>
    <t>Days inventory</t>
  </si>
  <si>
    <t>% Decrease of Days inventory</t>
  </si>
  <si>
    <t>Sales Revenue</t>
  </si>
  <si>
    <t>Cost of Goods Sold</t>
  </si>
  <si>
    <t>% of Sales</t>
  </si>
  <si>
    <t>Expenses</t>
  </si>
  <si>
    <t>Payroll Expense</t>
  </si>
  <si>
    <t>Salary Per Employee</t>
  </si>
  <si>
    <t>Pepper Jam Management</t>
  </si>
  <si>
    <t>Management Fee</t>
  </si>
  <si>
    <t>Marketing Expense</t>
  </si>
  <si>
    <t>% of Sales</t>
  </si>
  <si>
    <t>Shipping Expense</t>
  </si>
  <si>
    <t>Phone Expense</t>
  </si>
  <si>
    <t>Credit Card Expense</t>
  </si>
  <si>
    <t>Processing Fee %</t>
  </si>
  <si>
    <t>Go-Daddy Hosting Expense</t>
  </si>
  <si>
    <t>per domain</t>
  </si>
  <si>
    <t>Hosting Fee</t>
  </si>
  <si>
    <t>Software Expense</t>
  </si>
  <si>
    <t>Monthly Expense</t>
  </si>
  <si>
    <t>Ebay Expense</t>
  </si>
  <si>
    <t>Extra Loan Interest Expense</t>
  </si>
  <si>
    <t>Taxable Income</t>
  </si>
  <si>
    <t>Income Tax Expense</t>
  </si>
  <si>
    <t>Tax Rate</t>
  </si>
  <si>
    <t>Net Income</t>
  </si>
  <si>
    <t>BALANCE SHEET</t>
  </si>
  <si>
    <t>Assets</t>
  </si>
  <si>
    <t>Minimum Cash Inventory</t>
  </si>
  <si>
    <t>Cash Above Minimum</t>
  </si>
  <si>
    <t>Accounts Recievable</t>
  </si>
  <si>
    <t>Inventory</t>
  </si>
  <si>
    <t>Land</t>
  </si>
  <si>
    <t>Building</t>
  </si>
  <si>
    <t>Equipment &amp; Furniture</t>
  </si>
  <si>
    <t>Depreciation</t>
  </si>
  <si>
    <t>Total Assets</t>
  </si>
  <si>
    <t>Liabilities</t>
  </si>
  <si>
    <t>Accounts Payable</t>
  </si>
  <si>
    <t>Extra Bank Loan</t>
  </si>
  <si>
    <t>Interest for Extra Loan</t>
  </si>
  <si>
    <t>Equity</t>
  </si>
  <si>
    <t>Common Stock</t>
  </si>
  <si>
    <t>Retained Earnings</t>
  </si>
  <si>
    <t>Total Liabilities and Equity</t>
  </si>
  <si>
    <t>DFN</t>
  </si>
  <si>
    <t>Mortgage Loan</t>
  </si>
  <si>
    <t>Mortgage Loan Interest Expense</t>
  </si>
  <si>
    <t>Beg Balance</t>
  </si>
  <si>
    <t>Principal</t>
  </si>
  <si>
    <t xml:space="preserve">Interest </t>
  </si>
  <si>
    <t>Payment</t>
  </si>
  <si>
    <t>End Balance</t>
  </si>
  <si>
    <t>Rate</t>
  </si>
  <si>
    <t>Per Rate</t>
  </si>
  <si>
    <t>FV</t>
  </si>
  <si>
    <t>Per</t>
  </si>
  <si>
    <t>Type</t>
  </si>
  <si>
    <t>PV</t>
  </si>
  <si>
    <t>TOTALS</t>
  </si>
  <si>
    <t>Free Cash Flows</t>
  </si>
  <si>
    <t>Operating Profit</t>
  </si>
  <si>
    <t>Less: Fake Deprecation</t>
  </si>
  <si>
    <t>Tacable Operating Profit</t>
  </si>
  <si>
    <t>Taxes from Operations ONLY</t>
  </si>
  <si>
    <t>Total Cash from Operations</t>
  </si>
  <si>
    <t>Working Capital</t>
  </si>
  <si>
    <t>Fixed Assets</t>
  </si>
  <si>
    <t>Adjustment to Final Sale</t>
  </si>
  <si>
    <t>Taxes on Final Sale</t>
  </si>
  <si>
    <t>WACC</t>
  </si>
  <si>
    <t>Retained Earnings Previous</t>
  </si>
  <si>
    <t>Proportion</t>
  </si>
  <si>
    <t>After Tax</t>
  </si>
  <si>
    <t>Equity Beta</t>
  </si>
  <si>
    <t>Tbill</t>
  </si>
  <si>
    <t>S&amp;P</t>
  </si>
  <si>
    <t>CAPM</t>
  </si>
  <si>
    <t>Relevered Beta</t>
  </si>
  <si>
    <t>Salary for Management</t>
  </si>
  <si>
    <t>Salary Expense</t>
  </si>
  <si>
    <t>Book</t>
  </si>
  <si>
    <t>Gain (Loss)</t>
  </si>
  <si>
    <t>Buildings</t>
  </si>
  <si>
    <t>Building Depreciation Expense</t>
  </si>
  <si>
    <t>Equipment Depreciation Expense</t>
  </si>
  <si>
    <t>Less: Accumulated Depreciation Equipment</t>
  </si>
  <si>
    <t>Less: Accumulated Deprecation Buidling</t>
  </si>
  <si>
    <t>Total Free Cash Flows</t>
  </si>
  <si>
    <t>IRR</t>
  </si>
  <si>
    <t>NPV</t>
  </si>
  <si>
    <t>INCOME STATEMENT</t>
  </si>
  <si>
    <t>Unlevered Beta</t>
  </si>
  <si>
    <t>Beta</t>
  </si>
  <si>
    <t>T-Bill</t>
  </si>
  <si>
    <t>Return on Equity</t>
  </si>
  <si>
    <t>NEW</t>
  </si>
  <si>
    <t>Average</t>
  </si>
  <si>
    <t xml:space="preserve">Rate </t>
  </si>
  <si>
    <t>Weighted</t>
  </si>
  <si>
    <t>Current WACC</t>
  </si>
  <si>
    <t>New WACC</t>
  </si>
  <si>
    <t>Mortgage Interest Rate</t>
  </si>
  <si>
    <t>Extra Bank Loan Interest Rate</t>
  </si>
  <si>
    <t>Secured</t>
  </si>
  <si>
    <t xml:space="preserve"> Unsecured</t>
  </si>
  <si>
    <t xml:space="preserve">Total </t>
  </si>
  <si>
    <t xml:space="preserve">Extra </t>
  </si>
  <si>
    <t>Admin</t>
  </si>
  <si>
    <t>Remaining</t>
  </si>
  <si>
    <t>Unsecured</t>
  </si>
  <si>
    <t>Total</t>
  </si>
  <si>
    <t>On the $</t>
  </si>
  <si>
    <t>DEBT</t>
  </si>
  <si>
    <t>EBIT interest coverage (x)</t>
  </si>
  <si>
    <t>A</t>
  </si>
  <si>
    <t>Total debt / capital (%)</t>
  </si>
  <si>
    <t>AA</t>
  </si>
  <si>
    <t>TABLES TO USE</t>
  </si>
  <si>
    <t>Ratios and Debt Ratings</t>
  </si>
  <si>
    <t>AAA</t>
  </si>
  <si>
    <t>BBB</t>
  </si>
  <si>
    <t>BB</t>
  </si>
  <si>
    <t>B</t>
  </si>
  <si>
    <t>EBITDA Coverage</t>
  </si>
  <si>
    <t>Total Debt / Capital</t>
  </si>
  <si>
    <t>Debt Ratings and Interest Rate Spread Above T-Bills</t>
  </si>
  <si>
    <t>Extra Loan Interest Rate</t>
  </si>
  <si>
    <t>MORTGAGE LOANS RATING DATA</t>
  </si>
  <si>
    <t>EXTRA LOAN RATING DATA</t>
  </si>
  <si>
    <t xml:space="preserve"> ---------- MORTGAGE LOAN -------------</t>
  </si>
  <si>
    <t>Debt Rating</t>
  </si>
  <si>
    <t>T-Bills</t>
  </si>
  <si>
    <t>Mortgage Spread</t>
  </si>
  <si>
    <t>Total Interest Rate</t>
  </si>
  <si>
    <t xml:space="preserve"> ----------- EXTRA LOAN ---------------------</t>
  </si>
  <si>
    <t>Extra Loan Spread</t>
  </si>
  <si>
    <t>+</t>
  </si>
  <si>
    <t>Mortgage on Buildings</t>
  </si>
  <si>
    <t>(-)</t>
  </si>
  <si>
    <t>Principal Loans (Balance Sheet)</t>
  </si>
  <si>
    <t>(+)</t>
  </si>
  <si>
    <t>Bankruptcy Payout</t>
  </si>
  <si>
    <t>Interest Paid (Income Statement)</t>
  </si>
  <si>
    <t>Extra Bank Loan on Buildings</t>
  </si>
  <si>
    <t>E Bay Pepper Jam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</si>
</sst>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#,###"/>
    <numFmt numFmtId="167" formatCode="[$$-409]#,##0.00;[Red]\-[$$-409]#,##0.00"/>
    <numFmt numFmtId="168" formatCode="0.0%"/>
    <numFmt numFmtId="169" formatCode="_(&quot;$&quot;* #,##0_);_(&quot;$&quot;* \(#,##0\);_(&quot;$&quot;* &quot;-&quot;??_);_(@_)"/>
    <numFmt numFmtId="170" formatCode="_(* #,##0_);_(* \(#,##0\);_(* &quot;-&quot;??_);_(@_)"/>
    <numFmt numFmtId="171" formatCode="_(\$* #,##0_);_(\$* \(#,##0\);_(\$* \-??_);_(@_)"/>
    <numFmt numFmtId="172" formatCode="_(* #,##0.00_);_(* \(#,##0.00\);_(* \-??_);_(@_)"/>
    <numFmt numFmtId="173" formatCode="0.0000"/>
    <numFmt numFmtId="174" formatCode="0.0000000000000000%"/>
    <numFmt numFmtId="175" formatCode="&quot;$&quot;#,##0.0"/>
    <numFmt numFmtId="176" formatCode="0.000000%"/>
  </numFmts>
  <fonts count="3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</font>
    <font>
      <sz val="11"/>
      <color rgb="FFFF0000"/>
      <name val="Calibri"/>
      <family val="2"/>
      <charset val="1"/>
    </font>
    <font>
      <sz val="11"/>
      <color theme="0"/>
      <name val="Calibri"/>
      <family val="2"/>
    </font>
    <font>
      <b/>
      <sz val="12"/>
      <name val="Calibri"/>
      <family val="2"/>
    </font>
    <font>
      <sz val="11"/>
      <color theme="0"/>
      <name val="Calibri"/>
      <family val="2"/>
      <charset val="1"/>
    </font>
    <font>
      <sz val="11"/>
      <color indexed="8"/>
      <name val="Calibri"/>
      <family val="2"/>
    </font>
    <font>
      <b/>
      <sz val="11"/>
      <color theme="0"/>
      <name val="Calibri"/>
      <family val="2"/>
      <charset val="1"/>
    </font>
    <font>
      <b/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color rgb="FF000000"/>
      <name val="Lucida Grande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rgb="FFA4C2F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rgb="FFA4C2F4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3">
    <xf numFmtId="0" fontId="0" fillId="0" borderId="0"/>
    <xf numFmtId="43" fontId="1" fillId="2" borderId="0" applyFont="0" applyFill="0" applyBorder="0" applyAlignment="0" applyProtection="0"/>
    <xf numFmtId="44" fontId="1" fillId="2" borderId="0" applyFont="0" applyFill="0" applyBorder="0" applyAlignment="0" applyProtection="0"/>
    <xf numFmtId="42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0" fontId="20" fillId="2" borderId="1"/>
    <xf numFmtId="0" fontId="20" fillId="2" borderId="1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13">
    <xf numFmtId="0" fontId="0" fillId="0" borderId="0" xfId="0"/>
    <xf numFmtId="10" fontId="0" fillId="0" borderId="0" xfId="0" applyNumberFormat="1"/>
    <xf numFmtId="0" fontId="0" fillId="0" borderId="0" xfId="0" applyFont="1" applyAlignment="1">
      <alignment wrapText="1"/>
    </xf>
    <xf numFmtId="167" fontId="0" fillId="0" borderId="0" xfId="0" applyNumberFormat="1" applyFont="1" applyAlignment="1">
      <alignment wrapText="1"/>
    </xf>
    <xf numFmtId="167" fontId="0" fillId="0" borderId="0" xfId="0" applyNumberFormat="1"/>
    <xf numFmtId="0" fontId="0" fillId="0" borderId="0" xfId="0" applyNumberFormat="1"/>
    <xf numFmtId="167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17" fontId="0" fillId="0" borderId="0" xfId="0" applyNumberFormat="1" applyFont="1" applyAlignment="1">
      <alignment wrapText="1"/>
    </xf>
    <xf numFmtId="0" fontId="0" fillId="3" borderId="0" xfId="0" applyFill="1"/>
    <xf numFmtId="164" fontId="0" fillId="4" borderId="2" xfId="0" applyNumberFormat="1" applyFill="1" applyBorder="1"/>
    <xf numFmtId="0" fontId="2" fillId="5" borderId="1" xfId="0" applyFont="1" applyFill="1" applyBorder="1" applyAlignment="1"/>
    <xf numFmtId="0" fontId="1" fillId="5" borderId="1" xfId="0" applyFont="1" applyFill="1" applyBorder="1" applyAlignment="1"/>
    <xf numFmtId="0" fontId="0" fillId="5" borderId="0" xfId="0" applyFill="1"/>
    <xf numFmtId="3" fontId="3" fillId="5" borderId="1" xfId="0" applyNumberFormat="1" applyFont="1" applyFill="1" applyBorder="1" applyAlignment="1"/>
    <xf numFmtId="3" fontId="4" fillId="5" borderId="1" xfId="0" applyNumberFormat="1" applyFont="1" applyFill="1" applyBorder="1"/>
    <xf numFmtId="9" fontId="5" fillId="5" borderId="1" xfId="0" applyNumberFormat="1" applyFont="1" applyFill="1" applyBorder="1" applyAlignment="1"/>
    <xf numFmtId="164" fontId="6" fillId="5" borderId="1" xfId="0" applyNumberFormat="1" applyFont="1" applyFill="1" applyBorder="1" applyAlignment="1"/>
    <xf numFmtId="4" fontId="7" fillId="5" borderId="1" xfId="0" applyNumberFormat="1" applyFont="1" applyFill="1" applyBorder="1" applyAlignment="1"/>
    <xf numFmtId="164" fontId="8" fillId="5" borderId="1" xfId="0" applyNumberFormat="1" applyFont="1" applyFill="1" applyBorder="1"/>
    <xf numFmtId="165" fontId="10" fillId="5" borderId="1" xfId="0" applyNumberFormat="1" applyFont="1" applyFill="1" applyBorder="1" applyAlignment="1"/>
    <xf numFmtId="165" fontId="11" fillId="5" borderId="1" xfId="0" applyNumberFormat="1" applyFont="1" applyFill="1" applyBorder="1"/>
    <xf numFmtId="0" fontId="0" fillId="5" borderId="1" xfId="0" applyFont="1" applyFill="1" applyBorder="1" applyAlignment="1"/>
    <xf numFmtId="9" fontId="12" fillId="5" borderId="1" xfId="0" applyNumberFormat="1" applyFont="1" applyFill="1" applyBorder="1"/>
    <xf numFmtId="10" fontId="13" fillId="5" borderId="1" xfId="0" applyNumberFormat="1" applyFont="1" applyFill="1" applyBorder="1" applyAlignment="1"/>
    <xf numFmtId="164" fontId="11" fillId="5" borderId="1" xfId="0" applyNumberFormat="1" applyFont="1" applyFill="1" applyBorder="1"/>
    <xf numFmtId="10" fontId="15" fillId="5" borderId="1" xfId="0" applyNumberFormat="1" applyFont="1" applyFill="1" applyBorder="1"/>
    <xf numFmtId="10" fontId="0" fillId="5" borderId="0" xfId="0" applyNumberFormat="1" applyFill="1"/>
    <xf numFmtId="165" fontId="0" fillId="5" borderId="0" xfId="0" applyNumberFormat="1" applyFill="1"/>
    <xf numFmtId="166" fontId="16" fillId="5" borderId="1" xfId="0" applyNumberFormat="1" applyFont="1" applyFill="1" applyBorder="1" applyAlignment="1"/>
    <xf numFmtId="9" fontId="0" fillId="5" borderId="0" xfId="0" applyNumberFormat="1" applyFill="1"/>
    <xf numFmtId="0" fontId="2" fillId="5" borderId="0" xfId="0" applyFont="1" applyFill="1"/>
    <xf numFmtId="164" fontId="0" fillId="5" borderId="0" xfId="0" applyNumberFormat="1" applyFill="1"/>
    <xf numFmtId="0" fontId="17" fillId="5" borderId="1" xfId="0" applyFont="1" applyFill="1" applyBorder="1"/>
    <xf numFmtId="168" fontId="0" fillId="5" borderId="0" xfId="0" applyNumberFormat="1" applyFill="1"/>
    <xf numFmtId="169" fontId="0" fillId="5" borderId="0" xfId="2" applyNumberFormat="1" applyFont="1" applyFill="1"/>
    <xf numFmtId="42" fontId="0" fillId="5" borderId="0" xfId="3" applyFont="1" applyFill="1"/>
    <xf numFmtId="164" fontId="0" fillId="5" borderId="0" xfId="3" applyNumberFormat="1" applyFont="1" applyFill="1"/>
    <xf numFmtId="170" fontId="0" fillId="5" borderId="0" xfId="1" applyNumberFormat="1" applyFont="1" applyFill="1"/>
    <xf numFmtId="0" fontId="1" fillId="5" borderId="1" xfId="0" applyFont="1" applyFill="1" applyBorder="1" applyAlignment="1">
      <alignment vertical="center"/>
    </xf>
    <xf numFmtId="165" fontId="11" fillId="5" borderId="1" xfId="0" applyNumberFormat="1" applyFont="1" applyFill="1" applyBorder="1" applyAlignment="1">
      <alignment vertical="center"/>
    </xf>
    <xf numFmtId="0" fontId="18" fillId="6" borderId="3" xfId="0" applyFont="1" applyFill="1" applyBorder="1" applyAlignment="1">
      <alignment vertical="center"/>
    </xf>
    <xf numFmtId="0" fontId="18" fillId="6" borderId="4" xfId="0" applyFont="1" applyFill="1" applyBorder="1" applyAlignment="1">
      <alignment vertical="center"/>
    </xf>
    <xf numFmtId="0" fontId="19" fillId="6" borderId="4" xfId="0" applyFont="1" applyFill="1" applyBorder="1" applyAlignment="1">
      <alignment vertical="center"/>
    </xf>
    <xf numFmtId="0" fontId="19" fillId="6" borderId="5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165" fontId="14" fillId="6" borderId="4" xfId="0" applyNumberFormat="1" applyFont="1" applyFill="1" applyBorder="1" applyAlignment="1">
      <alignment vertical="center"/>
    </xf>
    <xf numFmtId="0" fontId="18" fillId="5" borderId="1" xfId="0" applyFont="1" applyFill="1" applyBorder="1" applyAlignment="1"/>
    <xf numFmtId="171" fontId="20" fillId="5" borderId="1" xfId="2" applyNumberFormat="1" applyFont="1" applyFill="1" applyBorder="1" applyAlignment="1" applyProtection="1"/>
    <xf numFmtId="0" fontId="20" fillId="5" borderId="1" xfId="5" applyFill="1"/>
    <xf numFmtId="0" fontId="21" fillId="5" borderId="1" xfId="5" applyFont="1" applyFill="1"/>
    <xf numFmtId="0" fontId="21" fillId="5" borderId="6" xfId="5" applyFont="1" applyFill="1" applyBorder="1"/>
    <xf numFmtId="0" fontId="20" fillId="5" borderId="6" xfId="5" applyFill="1" applyBorder="1"/>
    <xf numFmtId="2" fontId="21" fillId="5" borderId="6" xfId="5" applyNumberFormat="1" applyFont="1" applyFill="1" applyBorder="1"/>
    <xf numFmtId="172" fontId="1" fillId="5" borderId="0" xfId="1" applyNumberFormat="1" applyFill="1"/>
    <xf numFmtId="2" fontId="20" fillId="5" borderId="1" xfId="5" applyNumberFormat="1" applyFill="1"/>
    <xf numFmtId="0" fontId="21" fillId="5" borderId="7" xfId="5" applyFont="1" applyFill="1" applyBorder="1"/>
    <xf numFmtId="168" fontId="1" fillId="5" borderId="7" xfId="4" applyNumberFormat="1" applyFill="1" applyBorder="1"/>
    <xf numFmtId="173" fontId="21" fillId="5" borderId="8" xfId="5" applyNumberFormat="1" applyFont="1" applyFill="1" applyBorder="1"/>
    <xf numFmtId="9" fontId="21" fillId="5" borderId="0" xfId="4" applyFont="1" applyFill="1"/>
    <xf numFmtId="9" fontId="20" fillId="5" borderId="1" xfId="5" applyNumberFormat="1" applyFill="1"/>
    <xf numFmtId="0" fontId="21" fillId="5" borderId="8" xfId="5" applyFont="1" applyFill="1" applyBorder="1"/>
    <xf numFmtId="168" fontId="1" fillId="5" borderId="8" xfId="4" applyNumberFormat="1" applyFill="1" applyBorder="1"/>
    <xf numFmtId="10" fontId="1" fillId="5" borderId="0" xfId="4" applyNumberFormat="1" applyFill="1"/>
    <xf numFmtId="10" fontId="21" fillId="5" borderId="0" xfId="4" applyNumberFormat="1" applyFont="1" applyFill="1"/>
    <xf numFmtId="168" fontId="1" fillId="5" borderId="0" xfId="4" applyNumberFormat="1" applyFill="1"/>
    <xf numFmtId="171" fontId="20" fillId="5" borderId="1" xfId="5" applyNumberFormat="1" applyFill="1"/>
    <xf numFmtId="0" fontId="21" fillId="5" borderId="1" xfId="5" applyFont="1" applyFill="1" applyAlignment="1">
      <alignment horizontal="center" vertical="center"/>
    </xf>
    <xf numFmtId="171" fontId="20" fillId="5" borderId="1" xfId="5" applyNumberFormat="1" applyFill="1" applyAlignment="1">
      <alignment horizontal="center" vertical="center"/>
    </xf>
    <xf numFmtId="168" fontId="1" fillId="5" borderId="0" xfId="4" applyNumberFormat="1" applyFill="1" applyAlignment="1">
      <alignment horizontal="center" vertical="center"/>
    </xf>
    <xf numFmtId="10" fontId="20" fillId="5" borderId="1" xfId="5" applyNumberFormat="1" applyFill="1" applyAlignment="1">
      <alignment horizontal="center" vertical="center"/>
    </xf>
    <xf numFmtId="168" fontId="20" fillId="5" borderId="1" xfId="5" applyNumberFormat="1" applyFill="1" applyAlignment="1">
      <alignment horizontal="center" vertical="center"/>
    </xf>
    <xf numFmtId="9" fontId="1" fillId="5" borderId="0" xfId="4" applyFill="1" applyAlignment="1">
      <alignment horizontal="center" vertical="center"/>
    </xf>
    <xf numFmtId="0" fontId="20" fillId="5" borderId="1" xfId="5" applyFill="1" applyAlignment="1">
      <alignment horizontal="center" vertical="center"/>
    </xf>
    <xf numFmtId="168" fontId="22" fillId="5" borderId="0" xfId="4" applyNumberFormat="1" applyFont="1" applyFill="1" applyAlignment="1">
      <alignment horizontal="center" vertical="center"/>
    </xf>
    <xf numFmtId="9" fontId="22" fillId="5" borderId="1" xfId="5" applyNumberFormat="1" applyFont="1" applyFill="1" applyAlignment="1">
      <alignment horizontal="center" vertical="center"/>
    </xf>
    <xf numFmtId="174" fontId="20" fillId="5" borderId="1" xfId="5" applyNumberFormat="1" applyFill="1" applyAlignment="1">
      <alignment horizontal="center" vertical="center"/>
    </xf>
    <xf numFmtId="0" fontId="1" fillId="5" borderId="0" xfId="0" applyFont="1" applyFill="1"/>
    <xf numFmtId="9" fontId="20" fillId="5" borderId="1" xfId="5" applyNumberFormat="1" applyFill="1" applyAlignment="1">
      <alignment horizontal="center" vertical="center"/>
    </xf>
    <xf numFmtId="0" fontId="21" fillId="7" borderId="3" xfId="5" applyFont="1" applyFill="1" applyBorder="1" applyAlignment="1">
      <alignment horizontal="center" vertical="center"/>
    </xf>
    <xf numFmtId="0" fontId="21" fillId="7" borderId="9" xfId="5" applyFont="1" applyFill="1" applyBorder="1" applyAlignment="1">
      <alignment horizontal="center" vertical="center"/>
    </xf>
    <xf numFmtId="0" fontId="21" fillId="7" borderId="5" xfId="5" applyFont="1" applyFill="1" applyBorder="1" applyAlignment="1">
      <alignment horizontal="center" vertical="center"/>
    </xf>
    <xf numFmtId="9" fontId="23" fillId="8" borderId="10" xfId="5" applyNumberFormat="1" applyFont="1" applyFill="1" applyBorder="1"/>
    <xf numFmtId="171" fontId="23" fillId="8" borderId="11" xfId="5" applyNumberFormat="1" applyFont="1" applyFill="1" applyBorder="1"/>
    <xf numFmtId="171" fontId="23" fillId="8" borderId="12" xfId="5" applyNumberFormat="1" applyFont="1" applyFill="1" applyBorder="1"/>
    <xf numFmtId="9" fontId="23" fillId="8" borderId="13" xfId="5" applyNumberFormat="1" applyFont="1" applyFill="1" applyBorder="1"/>
    <xf numFmtId="0" fontId="23" fillId="8" borderId="1" xfId="5" applyFont="1" applyFill="1" applyBorder="1"/>
    <xf numFmtId="171" fontId="23" fillId="8" borderId="14" xfId="5" applyNumberFormat="1" applyFont="1" applyFill="1" applyBorder="1"/>
    <xf numFmtId="171" fontId="23" fillId="8" borderId="1" xfId="5" applyNumberFormat="1" applyFont="1" applyFill="1" applyBorder="1"/>
    <xf numFmtId="0" fontId="23" fillId="8" borderId="13" xfId="5" applyFont="1" applyFill="1" applyBorder="1"/>
    <xf numFmtId="0" fontId="23" fillId="8" borderId="14" xfId="5" applyFont="1" applyFill="1" applyBorder="1"/>
    <xf numFmtId="168" fontId="23" fillId="8" borderId="1" xfId="5" applyNumberFormat="1" applyFont="1" applyFill="1" applyBorder="1"/>
    <xf numFmtId="168" fontId="23" fillId="8" borderId="1" xfId="4" applyNumberFormat="1" applyFont="1" applyFill="1" applyBorder="1"/>
    <xf numFmtId="171" fontId="23" fillId="8" borderId="15" xfId="5" applyNumberFormat="1" applyFont="1" applyFill="1" applyBorder="1"/>
    <xf numFmtId="0" fontId="23" fillId="8" borderId="16" xfId="5" applyFont="1" applyFill="1" applyBorder="1"/>
    <xf numFmtId="9" fontId="24" fillId="7" borderId="9" xfId="5" applyNumberFormat="1" applyFont="1" applyFill="1" applyBorder="1" applyAlignment="1">
      <alignment horizontal="center" vertical="center"/>
    </xf>
    <xf numFmtId="171" fontId="23" fillId="8" borderId="16" xfId="5" applyNumberFormat="1" applyFont="1" applyFill="1" applyBorder="1"/>
    <xf numFmtId="0" fontId="21" fillId="7" borderId="4" xfId="5" applyFont="1" applyFill="1" applyBorder="1" applyAlignment="1">
      <alignment horizontal="center" vertical="center"/>
    </xf>
    <xf numFmtId="171" fontId="25" fillId="8" borderId="10" xfId="2" applyNumberFormat="1" applyFont="1" applyFill="1" applyBorder="1"/>
    <xf numFmtId="171" fontId="27" fillId="8" borderId="11" xfId="2" applyNumberFormat="1" applyFont="1" applyFill="1" applyBorder="1"/>
    <xf numFmtId="44" fontId="25" fillId="8" borderId="11" xfId="2" applyFont="1" applyFill="1" applyBorder="1"/>
    <xf numFmtId="171" fontId="27" fillId="8" borderId="15" xfId="2" applyNumberFormat="1" applyFont="1" applyFill="1" applyBorder="1"/>
    <xf numFmtId="44" fontId="25" fillId="8" borderId="15" xfId="2" applyFont="1" applyFill="1" applyBorder="1"/>
    <xf numFmtId="10" fontId="23" fillId="8" borderId="17" xfId="5" applyNumberFormat="1" applyFont="1" applyFill="1" applyBorder="1"/>
    <xf numFmtId="0" fontId="20" fillId="5" borderId="1" xfId="5" applyFill="1" applyBorder="1"/>
    <xf numFmtId="9" fontId="26" fillId="5" borderId="1" xfId="5" applyNumberFormat="1" applyFont="1" applyFill="1" applyBorder="1"/>
    <xf numFmtId="171" fontId="26" fillId="5" borderId="1" xfId="5" applyNumberFormat="1" applyFont="1" applyFill="1" applyBorder="1"/>
    <xf numFmtId="0" fontId="26" fillId="5" borderId="1" xfId="5" applyFont="1" applyFill="1" applyBorder="1"/>
    <xf numFmtId="10" fontId="1" fillId="5" borderId="1" xfId="4" applyNumberFormat="1" applyFill="1" applyBorder="1"/>
    <xf numFmtId="171" fontId="25" fillId="5" borderId="1" xfId="4" applyNumberFormat="1" applyFont="1" applyFill="1" applyBorder="1"/>
    <xf numFmtId="0" fontId="21" fillId="5" borderId="1" xfId="5" applyFont="1" applyFill="1" applyBorder="1" applyAlignment="1">
      <alignment horizontal="center" vertical="center"/>
    </xf>
    <xf numFmtId="171" fontId="25" fillId="5" borderId="1" xfId="2" applyNumberFormat="1" applyFont="1" applyFill="1" applyBorder="1"/>
    <xf numFmtId="44" fontId="25" fillId="5" borderId="1" xfId="2" applyFont="1" applyFill="1" applyBorder="1"/>
    <xf numFmtId="9" fontId="25" fillId="5" borderId="1" xfId="4" applyFont="1" applyFill="1" applyBorder="1" applyAlignment="1">
      <alignment horizontal="center" vertical="center"/>
    </xf>
    <xf numFmtId="171" fontId="27" fillId="5" borderId="1" xfId="2" applyNumberFormat="1" applyFont="1" applyFill="1" applyBorder="1"/>
    <xf numFmtId="2" fontId="25" fillId="5" borderId="1" xfId="1" applyNumberFormat="1" applyFont="1" applyFill="1" applyBorder="1" applyAlignment="1">
      <alignment horizontal="center" vertical="center"/>
    </xf>
    <xf numFmtId="10" fontId="23" fillId="5" borderId="1" xfId="5" applyNumberFormat="1" applyFont="1" applyFill="1" applyBorder="1"/>
    <xf numFmtId="171" fontId="23" fillId="5" borderId="1" xfId="5" applyNumberFormat="1" applyFont="1" applyFill="1" applyBorder="1"/>
    <xf numFmtId="0" fontId="0" fillId="5" borderId="1" xfId="0" applyFill="1" applyBorder="1"/>
    <xf numFmtId="171" fontId="23" fillId="8" borderId="10" xfId="5" applyNumberFormat="1" applyFont="1" applyFill="1" applyBorder="1"/>
    <xf numFmtId="171" fontId="23" fillId="8" borderId="13" xfId="5" applyNumberFormat="1" applyFont="1" applyFill="1" applyBorder="1"/>
    <xf numFmtId="171" fontId="25" fillId="8" borderId="14" xfId="2" applyNumberFormat="1" applyFont="1" applyFill="1" applyBorder="1"/>
    <xf numFmtId="171" fontId="23" fillId="8" borderId="17" xfId="5" applyNumberFormat="1" applyFont="1" applyFill="1" applyBorder="1"/>
    <xf numFmtId="9" fontId="25" fillId="8" borderId="11" xfId="4" applyFont="1" applyFill="1" applyBorder="1" applyAlignment="1">
      <alignment horizontal="center" vertical="center"/>
    </xf>
    <xf numFmtId="2" fontId="25" fillId="8" borderId="12" xfId="1" applyNumberFormat="1" applyFont="1" applyFill="1" applyBorder="1" applyAlignment="1">
      <alignment horizontal="center" vertical="center"/>
    </xf>
    <xf numFmtId="171" fontId="25" fillId="8" borderId="17" xfId="2" applyNumberFormat="1" applyFont="1" applyFill="1" applyBorder="1"/>
    <xf numFmtId="171" fontId="25" fillId="8" borderId="15" xfId="4" applyNumberFormat="1" applyFont="1" applyFill="1" applyBorder="1"/>
    <xf numFmtId="9" fontId="25" fillId="8" borderId="15" xfId="4" applyFont="1" applyFill="1" applyBorder="1" applyAlignment="1">
      <alignment horizontal="center" vertical="center"/>
    </xf>
    <xf numFmtId="2" fontId="25" fillId="8" borderId="16" xfId="1" applyNumberFormat="1" applyFont="1" applyFill="1" applyBorder="1" applyAlignment="1">
      <alignment horizontal="center" vertical="center"/>
    </xf>
    <xf numFmtId="0" fontId="23" fillId="5" borderId="1" xfId="5" applyFont="1" applyFill="1" applyBorder="1"/>
    <xf numFmtId="168" fontId="23" fillId="5" borderId="1" xfId="5" applyNumberFormat="1" applyFont="1" applyFill="1" applyBorder="1"/>
    <xf numFmtId="168" fontId="23" fillId="5" borderId="1" xfId="4" applyNumberFormat="1" applyFont="1" applyFill="1" applyBorder="1"/>
    <xf numFmtId="9" fontId="23" fillId="5" borderId="1" xfId="5" applyNumberFormat="1" applyFont="1" applyFill="1" applyBorder="1"/>
    <xf numFmtId="9" fontId="24" fillId="5" borderId="1" xfId="5" applyNumberFormat="1" applyFont="1" applyFill="1" applyBorder="1" applyAlignment="1">
      <alignment horizontal="center" vertical="center"/>
    </xf>
    <xf numFmtId="164" fontId="23" fillId="8" borderId="14" xfId="5" applyNumberFormat="1" applyFont="1" applyFill="1" applyBorder="1"/>
    <xf numFmtId="0" fontId="28" fillId="5" borderId="1" xfId="5" applyFont="1" applyFill="1" applyBorder="1"/>
    <xf numFmtId="43" fontId="20" fillId="5" borderId="18" xfId="5" applyNumberFormat="1" applyFill="1" applyBorder="1"/>
    <xf numFmtId="43" fontId="20" fillId="5" borderId="1" xfId="5" applyNumberFormat="1" applyFill="1" applyBorder="1"/>
    <xf numFmtId="10" fontId="20" fillId="5" borderId="1" xfId="5" applyNumberFormat="1" applyFill="1" applyBorder="1"/>
    <xf numFmtId="10" fontId="20" fillId="5" borderId="18" xfId="5" applyNumberFormat="1" applyFill="1" applyBorder="1"/>
    <xf numFmtId="9" fontId="1" fillId="5" borderId="0" xfId="4" applyFill="1"/>
    <xf numFmtId="10" fontId="20" fillId="5" borderId="1" xfId="5" applyNumberFormat="1" applyFill="1"/>
    <xf numFmtId="10" fontId="28" fillId="5" borderId="1" xfId="5" applyNumberFormat="1" applyFont="1" applyFill="1"/>
    <xf numFmtId="10" fontId="28" fillId="5" borderId="18" xfId="5" applyNumberFormat="1" applyFont="1" applyFill="1" applyBorder="1"/>
    <xf numFmtId="0" fontId="28" fillId="5" borderId="19" xfId="6" applyFont="1" applyFill="1" applyBorder="1"/>
    <xf numFmtId="0" fontId="20" fillId="5" borderId="20" xfId="6" applyFill="1" applyBorder="1"/>
    <xf numFmtId="0" fontId="0" fillId="5" borderId="20" xfId="0" applyFill="1" applyBorder="1"/>
    <xf numFmtId="0" fontId="0" fillId="5" borderId="21" xfId="0" applyFill="1" applyBorder="1"/>
    <xf numFmtId="0" fontId="28" fillId="5" borderId="22" xfId="6" applyFont="1" applyFill="1" applyBorder="1"/>
    <xf numFmtId="0" fontId="20" fillId="5" borderId="1" xfId="6" applyFill="1" applyBorder="1"/>
    <xf numFmtId="0" fontId="0" fillId="5" borderId="23" xfId="0" applyFill="1" applyBorder="1"/>
    <xf numFmtId="0" fontId="20" fillId="5" borderId="22" xfId="6" applyFill="1" applyBorder="1"/>
    <xf numFmtId="0" fontId="20" fillId="5" borderId="1" xfId="6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0" fillId="5" borderId="23" xfId="6" applyFill="1" applyBorder="1" applyAlignment="1">
      <alignment horizontal="center"/>
    </xf>
    <xf numFmtId="2" fontId="1" fillId="5" borderId="1" xfId="1" applyNumberFormat="1" applyFill="1" applyBorder="1" applyAlignment="1">
      <alignment horizontal="center"/>
    </xf>
    <xf numFmtId="2" fontId="1" fillId="5" borderId="23" xfId="1" applyNumberFormat="1" applyFill="1" applyBorder="1" applyAlignment="1">
      <alignment horizontal="center"/>
    </xf>
    <xf numFmtId="168" fontId="1" fillId="5" borderId="1" xfId="4" applyNumberFormat="1" applyFill="1" applyBorder="1" applyAlignment="1">
      <alignment horizontal="center"/>
    </xf>
    <xf numFmtId="168" fontId="1" fillId="5" borderId="23" xfId="4" applyNumberFormat="1" applyFill="1" applyBorder="1" applyAlignment="1">
      <alignment horizontal="center"/>
    </xf>
    <xf numFmtId="0" fontId="0" fillId="5" borderId="24" xfId="0" applyFill="1" applyBorder="1"/>
    <xf numFmtId="43" fontId="1" fillId="5" borderId="25" xfId="1" applyFill="1" applyBorder="1" applyAlignment="1">
      <alignment horizontal="center"/>
    </xf>
    <xf numFmtId="0" fontId="0" fillId="5" borderId="25" xfId="0" applyFill="1" applyBorder="1"/>
    <xf numFmtId="43" fontId="1" fillId="5" borderId="26" xfId="1" applyFill="1" applyBorder="1" applyAlignment="1">
      <alignment horizontal="center"/>
    </xf>
    <xf numFmtId="0" fontId="20" fillId="5" borderId="20" xfId="6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20" fillId="5" borderId="20" xfId="5" applyFill="1" applyBorder="1"/>
    <xf numFmtId="0" fontId="0" fillId="5" borderId="22" xfId="0" applyFill="1" applyBorder="1"/>
    <xf numFmtId="10" fontId="20" fillId="5" borderId="1" xfId="6" applyNumberFormat="1" applyFill="1" applyBorder="1" applyAlignment="1">
      <alignment horizontal="center"/>
    </xf>
    <xf numFmtId="10" fontId="0" fillId="5" borderId="1" xfId="0" applyNumberFormat="1" applyFill="1" applyBorder="1" applyAlignment="1">
      <alignment horizontal="center"/>
    </xf>
    <xf numFmtId="10" fontId="0" fillId="5" borderId="23" xfId="0" applyNumberFormat="1" applyFill="1" applyBorder="1" applyAlignment="1">
      <alignment horizontal="center"/>
    </xf>
    <xf numFmtId="0" fontId="20" fillId="5" borderId="24" xfId="6" applyFill="1" applyBorder="1"/>
    <xf numFmtId="0" fontId="20" fillId="5" borderId="25" xfId="6" applyFill="1" applyBorder="1"/>
    <xf numFmtId="0" fontId="20" fillId="5" borderId="25" xfId="5" applyFill="1" applyBorder="1"/>
    <xf numFmtId="0" fontId="0" fillId="5" borderId="26" xfId="0" applyFill="1" applyBorder="1"/>
    <xf numFmtId="0" fontId="26" fillId="5" borderId="18" xfId="5" applyFont="1" applyFill="1" applyBorder="1"/>
    <xf numFmtId="168" fontId="0" fillId="5" borderId="18" xfId="4" applyNumberFormat="1" applyFont="1" applyFill="1" applyBorder="1"/>
    <xf numFmtId="10" fontId="28" fillId="5" borderId="1" xfId="5" applyNumberFormat="1" applyFont="1" applyFill="1" applyBorder="1"/>
    <xf numFmtId="9" fontId="20" fillId="5" borderId="18" xfId="4" applyFont="1" applyFill="1" applyBorder="1"/>
    <xf numFmtId="168" fontId="1" fillId="5" borderId="18" xfId="4" applyNumberFormat="1" applyFont="1" applyFill="1" applyBorder="1"/>
    <xf numFmtId="175" fontId="0" fillId="5" borderId="0" xfId="0" applyNumberFormat="1" applyFill="1"/>
    <xf numFmtId="165" fontId="14" fillId="6" borderId="5" xfId="0" applyNumberFormat="1" applyFont="1" applyFill="1" applyBorder="1" applyAlignment="1">
      <alignment vertical="center"/>
    </xf>
    <xf numFmtId="0" fontId="19" fillId="9" borderId="1" xfId="0" applyFont="1" applyFill="1" applyBorder="1" applyAlignment="1">
      <alignment vertical="center"/>
    </xf>
    <xf numFmtId="164" fontId="1" fillId="5" borderId="1" xfId="0" applyNumberFormat="1" applyFont="1" applyFill="1" applyBorder="1"/>
    <xf numFmtId="44" fontId="0" fillId="5" borderId="0" xfId="2" applyFont="1" applyFill="1"/>
    <xf numFmtId="44" fontId="0" fillId="5" borderId="0" xfId="0" applyNumberFormat="1" applyFill="1"/>
    <xf numFmtId="10" fontId="10" fillId="5" borderId="1" xfId="4" applyNumberFormat="1" applyFont="1" applyFill="1" applyBorder="1" applyAlignment="1"/>
    <xf numFmtId="10" fontId="11" fillId="5" borderId="1" xfId="4" applyNumberFormat="1" applyFont="1" applyFill="1" applyBorder="1"/>
    <xf numFmtId="9" fontId="20" fillId="5" borderId="1" xfId="4" applyFont="1" applyFill="1" applyBorder="1" applyAlignment="1">
      <alignment horizontal="center" vertical="center"/>
    </xf>
    <xf numFmtId="43" fontId="23" fillId="8" borderId="14" xfId="1" applyFont="1" applyFill="1" applyBorder="1"/>
    <xf numFmtId="9" fontId="11" fillId="5" borderId="1" xfId="4" applyNumberFormat="1" applyFont="1" applyFill="1" applyBorder="1"/>
    <xf numFmtId="173" fontId="21" fillId="5" borderId="1" xfId="5" applyNumberFormat="1" applyFont="1" applyFill="1"/>
    <xf numFmtId="165" fontId="0" fillId="5" borderId="0" xfId="2" applyNumberFormat="1" applyFont="1" applyFill="1"/>
    <xf numFmtId="3" fontId="1" fillId="5" borderId="1" xfId="0" applyNumberFormat="1" applyFont="1" applyFill="1" applyBorder="1" applyAlignment="1"/>
    <xf numFmtId="3" fontId="1" fillId="5" borderId="1" xfId="0" applyNumberFormat="1" applyFont="1" applyFill="1" applyBorder="1"/>
    <xf numFmtId="9" fontId="1" fillId="5" borderId="1" xfId="0" applyNumberFormat="1" applyFont="1" applyFill="1" applyBorder="1" applyAlignment="1"/>
    <xf numFmtId="164" fontId="1" fillId="5" borderId="1" xfId="0" applyNumberFormat="1" applyFont="1" applyFill="1" applyBorder="1" applyAlignment="1"/>
    <xf numFmtId="4" fontId="1" fillId="5" borderId="1" xfId="0" applyNumberFormat="1" applyFont="1" applyFill="1" applyBorder="1" applyAlignment="1"/>
    <xf numFmtId="165" fontId="1" fillId="5" borderId="1" xfId="0" applyNumberFormat="1" applyFont="1" applyFill="1" applyBorder="1" applyAlignment="1"/>
    <xf numFmtId="165" fontId="1" fillId="5" borderId="1" xfId="0" applyNumberFormat="1" applyFont="1" applyFill="1" applyBorder="1"/>
    <xf numFmtId="9" fontId="1" fillId="5" borderId="1" xfId="0" applyNumberFormat="1" applyFont="1" applyFill="1" applyBorder="1"/>
    <xf numFmtId="10" fontId="1" fillId="5" borderId="1" xfId="0" applyNumberFormat="1" applyFont="1" applyFill="1" applyBorder="1" applyAlignment="1"/>
    <xf numFmtId="0" fontId="2" fillId="6" borderId="4" xfId="0" applyFont="1" applyFill="1" applyBorder="1" applyAlignment="1">
      <alignment vertical="center"/>
    </xf>
    <xf numFmtId="165" fontId="1" fillId="6" borderId="4" xfId="0" applyNumberFormat="1" applyFont="1" applyFill="1" applyBorder="1" applyAlignment="1">
      <alignment vertical="center"/>
    </xf>
    <xf numFmtId="165" fontId="1" fillId="10" borderId="4" xfId="0" applyNumberFormat="1" applyFont="1" applyFill="1" applyBorder="1" applyAlignment="1">
      <alignment vertical="center"/>
    </xf>
    <xf numFmtId="165" fontId="1" fillId="10" borderId="5" xfId="0" applyNumberFormat="1" applyFont="1" applyFill="1" applyBorder="1" applyAlignment="1">
      <alignment vertical="center"/>
    </xf>
    <xf numFmtId="10" fontId="1" fillId="5" borderId="1" xfId="0" applyNumberFormat="1" applyFont="1" applyFill="1" applyBorder="1"/>
    <xf numFmtId="176" fontId="20" fillId="5" borderId="1" xfId="5" applyNumberFormat="1" applyFill="1" applyAlignment="1">
      <alignment horizontal="center" vertical="center"/>
    </xf>
    <xf numFmtId="166" fontId="1" fillId="5" borderId="1" xfId="0" applyNumberFormat="1" applyFont="1" applyFill="1" applyBorder="1" applyAlignment="1"/>
    <xf numFmtId="165" fontId="1" fillId="5" borderId="1" xfId="0" applyNumberFormat="1" applyFont="1" applyFill="1" applyBorder="1" applyAlignment="1">
      <alignment vertical="center"/>
    </xf>
    <xf numFmtId="9" fontId="0" fillId="5" borderId="0" xfId="4" applyFont="1" applyFill="1"/>
    <xf numFmtId="0" fontId="20" fillId="5" borderId="1" xfId="5" applyFill="1" applyAlignment="1">
      <alignment horizontal="right" vertical="center"/>
    </xf>
    <xf numFmtId="0" fontId="20" fillId="5" borderId="1" xfId="5" applyFill="1" applyAlignment="1">
      <alignment horizontal="right" vertical="center" wrapText="1"/>
    </xf>
  </cellXfs>
  <cellStyles count="23">
    <cellStyle name="Comma" xfId="1" builtinId="3"/>
    <cellStyle name="Currency" xfId="2" builtinId="4"/>
    <cellStyle name="Currency [0]" xfId="3" builtinId="7"/>
    <cellStyle name="Excel Built-in Normal" xfId="5"/>
    <cellStyle name="Excel Built-in Normal 1" xfId="6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  <cellStyle name="Percent" xfId="4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1857375</xdr:colOff>
          <xdr:row>59</xdr:row>
          <xdr:rowOff>9525</xdr:rowOff>
        </xdr:from>
        <xdr:to>
          <xdr:col>3</xdr:col>
          <xdr:colOff>409575</xdr:colOff>
          <xdr:row>60</xdr:row>
          <xdr:rowOff>152400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Lucida Grande"/>
                </a:rPr>
                <a:t>Positive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1828800</xdr:colOff>
          <xdr:row>55</xdr:row>
          <xdr:rowOff>66675</xdr:rowOff>
        </xdr:from>
        <xdr:to>
          <xdr:col>3</xdr:col>
          <xdr:colOff>447675</xdr:colOff>
          <xdr:row>57</xdr:row>
          <xdr:rowOff>76200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Lucida Grande"/>
                </a:rPr>
                <a:t>Negative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1971675</xdr:colOff>
          <xdr:row>53</xdr:row>
          <xdr:rowOff>47625</xdr:rowOff>
        </xdr:from>
        <xdr:to>
          <xdr:col>4</xdr:col>
          <xdr:colOff>0</xdr:colOff>
          <xdr:row>54</xdr:row>
          <xdr:rowOff>180975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Lucida Grande"/>
                </a:rPr>
                <a:t>Negative 2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65</xdr:row>
      <xdr:rowOff>127000</xdr:rowOff>
    </xdr:to>
    <xdr:sp macro="" textlink="">
      <xdr:nvSpPr>
        <xdr:cNvPr id="1025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65</xdr:row>
      <xdr:rowOff>127000</xdr:rowOff>
    </xdr:to>
    <xdr:sp macro="" textlink="">
      <xdr:nvSpPr>
        <xdr:cNvPr id="2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1133475</xdr:colOff>
          <xdr:row>60</xdr:row>
          <xdr:rowOff>161925</xdr:rowOff>
        </xdr:from>
        <xdr:to>
          <xdr:col>3</xdr:col>
          <xdr:colOff>809625</xdr:colOff>
          <xdr:row>61</xdr:row>
          <xdr:rowOff>152400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Lucida Grande"/>
                </a:rPr>
                <a:t>SCIENCE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yanw189/Downloads/Forecast%20Giftbasket%20WACC_IRR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Year Forecast"/>
      <sheetName val="Mortgage Loan"/>
      <sheetName val="Forecast Giftbasket WACC_IRR Fi"/>
    </sheetNames>
    <definedNames>
      <definedName name="DFN"/>
    </definedNames>
    <sheetDataSet>
      <sheetData sheetId="0"/>
      <sheetData sheetId="1">
        <row r="13">
          <cell r="F13">
            <v>1453935.4673817579</v>
          </cell>
        </row>
        <row r="14">
          <cell r="D14">
            <v>70255.720381477935</v>
          </cell>
        </row>
        <row r="27">
          <cell r="F27">
            <v>1405634.5992951053</v>
          </cell>
        </row>
        <row r="28">
          <cell r="D28">
            <v>68019.384913067363</v>
          </cell>
        </row>
        <row r="41">
          <cell r="F41">
            <v>1354988.826390848</v>
          </cell>
        </row>
        <row r="42">
          <cell r="D42">
            <v>65674.48009546315</v>
          </cell>
        </row>
        <row r="55">
          <cell r="F55">
            <v>1301884.3085078995</v>
          </cell>
        </row>
        <row r="56">
          <cell r="D56">
            <v>63215.735116771997</v>
          </cell>
        </row>
        <row r="69">
          <cell r="F69">
            <v>1246201.6787865292</v>
          </cell>
        </row>
        <row r="70">
          <cell r="D70">
            <v>60637.623278349696</v>
          </cell>
        </row>
        <row r="83">
          <cell r="F83">
            <v>1187815.7753588504</v>
          </cell>
        </row>
        <row r="84">
          <cell r="D84">
            <v>57934.349572041436</v>
          </cell>
        </row>
        <row r="97">
          <cell r="F97">
            <v>1126595.3600134533</v>
          </cell>
        </row>
        <row r="98">
          <cell r="D98">
            <v>55099.837654323506</v>
          </cell>
        </row>
        <row r="111">
          <cell r="F111">
            <v>1062402.8232018</v>
          </cell>
        </row>
        <row r="112">
          <cell r="D112">
            <v>52127.716188067257</v>
          </cell>
        </row>
        <row r="125">
          <cell r="F125">
            <v>995093.87472330453</v>
          </cell>
        </row>
        <row r="126">
          <cell r="D126">
            <v>49011.304521224454</v>
          </cell>
        </row>
        <row r="139">
          <cell r="F139">
            <v>924517.21939382784</v>
          </cell>
        </row>
        <row r="140">
          <cell r="D140">
            <v>45743.597670243209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99"/>
  <sheetViews>
    <sheetView tabSelected="1" workbookViewId="0">
      <selection activeCell="D6" sqref="D6"/>
    </sheetView>
  </sheetViews>
  <sheetFormatPr defaultColWidth="14.42578125" defaultRowHeight="15.75" customHeight="1"/>
  <cols>
    <col min="1" max="2" width="0.42578125" style="14" customWidth="1"/>
    <col min="3" max="3" width="35.7109375" style="14" customWidth="1"/>
    <col min="4" max="4" width="13.42578125" style="14" bestFit="1" customWidth="1"/>
    <col min="5" max="7" width="14.42578125" style="14"/>
    <col min="8" max="8" width="14.42578125" style="14" customWidth="1"/>
    <col min="9" max="15" width="14.42578125" style="14"/>
    <col min="16" max="16" width="14.7109375" style="14" customWidth="1"/>
    <col min="17" max="17" width="14.42578125" style="14"/>
    <col min="18" max="18" width="11.7109375" style="14" bestFit="1" customWidth="1"/>
    <col min="19" max="19" width="18.42578125" style="14" bestFit="1" customWidth="1"/>
    <col min="20" max="20" width="6.42578125" style="14" bestFit="1" customWidth="1"/>
    <col min="21" max="21" width="9.85546875" style="14" bestFit="1" customWidth="1"/>
    <col min="22" max="22" width="10.85546875" style="14" bestFit="1" customWidth="1"/>
    <col min="23" max="23" width="14.42578125" style="14"/>
    <col min="24" max="24" width="15.42578125" style="14" bestFit="1" customWidth="1"/>
    <col min="25" max="25" width="7.7109375" style="14" bestFit="1" customWidth="1"/>
    <col min="26" max="26" width="9.85546875" style="14" bestFit="1" customWidth="1"/>
    <col min="27" max="27" width="16.28515625" style="14" bestFit="1" customWidth="1"/>
    <col min="28" max="28" width="14.28515625" style="14" bestFit="1" customWidth="1"/>
    <col min="29" max="16384" width="14.42578125" style="14"/>
  </cols>
  <sheetData>
    <row r="1" spans="1:16">
      <c r="A1" s="14">
        <v>3</v>
      </c>
      <c r="C1" s="48" t="s">
        <v>0</v>
      </c>
      <c r="D1" s="12"/>
      <c r="E1" s="13">
        <v>2015</v>
      </c>
      <c r="F1" s="13">
        <v>2016</v>
      </c>
      <c r="G1" s="13">
        <v>2017</v>
      </c>
      <c r="H1" s="13">
        <v>2018</v>
      </c>
      <c r="I1" s="13">
        <v>2019</v>
      </c>
      <c r="J1" s="13">
        <v>2020</v>
      </c>
      <c r="K1" s="13">
        <v>2021</v>
      </c>
      <c r="L1" s="13">
        <v>2022</v>
      </c>
      <c r="M1" s="13">
        <v>2023</v>
      </c>
      <c r="N1" s="13">
        <v>2024</v>
      </c>
      <c r="O1" s="13"/>
    </row>
    <row r="2" spans="1:16" ht="12.75">
      <c r="C2" s="13"/>
      <c r="D2" s="13"/>
      <c r="E2" s="13"/>
    </row>
    <row r="3" spans="1:16" ht="12.75">
      <c r="C3" s="13" t="s">
        <v>1</v>
      </c>
      <c r="D3" s="13"/>
      <c r="E3" s="193">
        <v>25000</v>
      </c>
      <c r="F3" s="194">
        <f t="shared" ref="F3:N3" si="0">E3+(E3*$O$3)</f>
        <v>26250</v>
      </c>
      <c r="G3" s="194">
        <f t="shared" si="0"/>
        <v>27562.5</v>
      </c>
      <c r="H3" s="194">
        <f t="shared" si="0"/>
        <v>28940.625</v>
      </c>
      <c r="I3" s="194">
        <f t="shared" si="0"/>
        <v>30387.65625</v>
      </c>
      <c r="J3" s="194">
        <f t="shared" si="0"/>
        <v>31907.0390625</v>
      </c>
      <c r="K3" s="194">
        <f t="shared" si="0"/>
        <v>33502.391015624999</v>
      </c>
      <c r="L3" s="194">
        <f t="shared" si="0"/>
        <v>35177.51056640625</v>
      </c>
      <c r="M3" s="194">
        <f t="shared" si="0"/>
        <v>36936.386094726564</v>
      </c>
      <c r="N3" s="194">
        <f t="shared" si="0"/>
        <v>38783.205399462895</v>
      </c>
      <c r="O3" s="195">
        <v>0.05</v>
      </c>
      <c r="P3" s="13" t="s">
        <v>2</v>
      </c>
    </row>
    <row r="4" spans="1:16" ht="12.75">
      <c r="C4" s="13" t="s">
        <v>3</v>
      </c>
      <c r="D4" s="13"/>
      <c r="E4" s="193">
        <v>160</v>
      </c>
      <c r="F4" s="193">
        <v>160</v>
      </c>
      <c r="G4" s="193">
        <v>160</v>
      </c>
      <c r="H4" s="193">
        <v>160</v>
      </c>
      <c r="I4" s="193">
        <v>160</v>
      </c>
      <c r="J4" s="193">
        <v>160</v>
      </c>
      <c r="K4" s="193">
        <v>160</v>
      </c>
      <c r="L4" s="193">
        <v>160</v>
      </c>
      <c r="M4" s="193">
        <v>160</v>
      </c>
      <c r="N4" s="193">
        <v>160</v>
      </c>
    </row>
    <row r="5" spans="1:16" ht="12.75">
      <c r="C5" s="13" t="s">
        <v>4</v>
      </c>
      <c r="D5" s="13"/>
      <c r="E5" s="196">
        <v>12.95</v>
      </c>
      <c r="F5" s="196">
        <v>12.95</v>
      </c>
      <c r="G5" s="196">
        <v>12.95</v>
      </c>
      <c r="H5" s="196">
        <v>12.95</v>
      </c>
      <c r="I5" s="196">
        <v>12.95</v>
      </c>
      <c r="J5" s="196">
        <v>12.95</v>
      </c>
      <c r="K5" s="196">
        <v>12.95</v>
      </c>
      <c r="L5" s="196">
        <v>12.95</v>
      </c>
      <c r="M5" s="196">
        <v>12.95</v>
      </c>
      <c r="N5" s="196">
        <v>12.949999999999992</v>
      </c>
    </row>
    <row r="6" spans="1:16" ht="12.75">
      <c r="C6" s="13" t="s">
        <v>5</v>
      </c>
      <c r="D6" s="13"/>
      <c r="E6" s="13">
        <v>4</v>
      </c>
      <c r="F6" s="13">
        <v>4</v>
      </c>
      <c r="G6" s="13">
        <v>4</v>
      </c>
      <c r="H6" s="13">
        <v>4</v>
      </c>
      <c r="I6" s="13">
        <v>4</v>
      </c>
      <c r="J6" s="13">
        <v>4</v>
      </c>
      <c r="K6" s="13">
        <v>4</v>
      </c>
      <c r="L6" s="13">
        <v>4</v>
      </c>
      <c r="M6" s="13">
        <v>4</v>
      </c>
      <c r="N6" s="13">
        <v>4</v>
      </c>
    </row>
    <row r="7" spans="1:16" ht="12.75">
      <c r="C7" s="13" t="s">
        <v>6</v>
      </c>
      <c r="D7" s="13"/>
      <c r="E7" s="13">
        <v>30</v>
      </c>
      <c r="F7" s="13">
        <v>30</v>
      </c>
      <c r="G7" s="13">
        <v>30</v>
      </c>
      <c r="H7" s="13">
        <v>30</v>
      </c>
      <c r="I7" s="13">
        <v>30</v>
      </c>
      <c r="J7" s="13">
        <v>30</v>
      </c>
      <c r="K7" s="13">
        <v>30</v>
      </c>
      <c r="L7" s="13">
        <v>30</v>
      </c>
      <c r="M7" s="13">
        <v>30</v>
      </c>
      <c r="N7" s="13">
        <v>30</v>
      </c>
    </row>
    <row r="8" spans="1:16" ht="12.75">
      <c r="C8" s="13" t="s">
        <v>7</v>
      </c>
      <c r="D8" s="13"/>
      <c r="E8" s="197">
        <v>25</v>
      </c>
      <c r="F8" s="197">
        <v>25</v>
      </c>
      <c r="G8" s="197">
        <v>25</v>
      </c>
      <c r="H8" s="197">
        <v>25</v>
      </c>
      <c r="I8" s="197">
        <v>25</v>
      </c>
      <c r="J8" s="197">
        <v>25</v>
      </c>
      <c r="K8" s="197">
        <v>25</v>
      </c>
      <c r="L8" s="197">
        <v>25</v>
      </c>
      <c r="M8" s="197">
        <v>25</v>
      </c>
      <c r="N8" s="197">
        <v>25</v>
      </c>
    </row>
    <row r="9" spans="1:16" ht="12.75">
      <c r="C9" s="13" t="s">
        <v>8</v>
      </c>
      <c r="D9" s="13"/>
      <c r="E9" s="194">
        <f>E42/(E14/365)</f>
        <v>201.28676470588235</v>
      </c>
      <c r="F9" s="194">
        <f t="shared" ref="F9:N9" si="1">E9*(1+$O$9)</f>
        <v>199.27389705882354</v>
      </c>
      <c r="G9" s="194">
        <f t="shared" si="1"/>
        <v>197.28115808823529</v>
      </c>
      <c r="H9" s="194">
        <f t="shared" si="1"/>
        <v>195.30834650735292</v>
      </c>
      <c r="I9" s="194">
        <f t="shared" si="1"/>
        <v>193.3552630422794</v>
      </c>
      <c r="J9" s="194">
        <f t="shared" si="1"/>
        <v>191.42171041185659</v>
      </c>
      <c r="K9" s="194">
        <f t="shared" si="1"/>
        <v>189.50749330773803</v>
      </c>
      <c r="L9" s="194">
        <f t="shared" si="1"/>
        <v>187.61241837466065</v>
      </c>
      <c r="M9" s="194">
        <f t="shared" si="1"/>
        <v>185.73629419091404</v>
      </c>
      <c r="N9" s="194">
        <f t="shared" si="1"/>
        <v>183.87893124900489</v>
      </c>
      <c r="O9" s="195">
        <v>-0.01</v>
      </c>
      <c r="P9" s="13" t="s">
        <v>9</v>
      </c>
    </row>
    <row r="10" spans="1:16" ht="13.5" thickBot="1">
      <c r="E10" s="183"/>
    </row>
    <row r="11" spans="1:16" ht="16.5" thickBot="1">
      <c r="C11" s="42" t="s">
        <v>100</v>
      </c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5"/>
    </row>
    <row r="12" spans="1:16" ht="12.75">
      <c r="C12" s="13" t="s">
        <v>10</v>
      </c>
      <c r="D12" s="13"/>
      <c r="E12" s="198">
        <f t="shared" ref="E12:N12" si="2">E3*E4</f>
        <v>4000000</v>
      </c>
      <c r="F12" s="198">
        <f t="shared" si="2"/>
        <v>4200000</v>
      </c>
      <c r="G12" s="198">
        <f t="shared" si="2"/>
        <v>4410000</v>
      </c>
      <c r="H12" s="198">
        <f t="shared" si="2"/>
        <v>4630500</v>
      </c>
      <c r="I12" s="198">
        <f t="shared" si="2"/>
        <v>4862025</v>
      </c>
      <c r="J12" s="198">
        <f t="shared" si="2"/>
        <v>5105126.25</v>
      </c>
      <c r="K12" s="198">
        <f t="shared" si="2"/>
        <v>5360382.5625</v>
      </c>
      <c r="L12" s="198">
        <f t="shared" si="2"/>
        <v>5628401.6906249998</v>
      </c>
      <c r="M12" s="198">
        <f t="shared" si="2"/>
        <v>5909821.7751562502</v>
      </c>
      <c r="N12" s="198">
        <f t="shared" si="2"/>
        <v>6205312.8639140632</v>
      </c>
    </row>
    <row r="13" spans="1:16" ht="12.75">
      <c r="E13" s="199"/>
      <c r="F13" s="199"/>
      <c r="G13" s="199"/>
      <c r="H13" s="199"/>
      <c r="I13" s="199"/>
      <c r="J13" s="199"/>
      <c r="K13" s="199"/>
      <c r="L13" s="199"/>
      <c r="M13" s="199"/>
      <c r="N13" s="199"/>
    </row>
    <row r="14" spans="1:16" ht="12.75">
      <c r="C14" s="13" t="s">
        <v>11</v>
      </c>
      <c r="D14" s="13"/>
      <c r="E14" s="199">
        <f t="shared" ref="E14:N14" si="3">E12*$O$14</f>
        <v>1360000</v>
      </c>
      <c r="F14" s="199">
        <f t="shared" si="3"/>
        <v>1428000</v>
      </c>
      <c r="G14" s="199">
        <f t="shared" si="3"/>
        <v>1499400</v>
      </c>
      <c r="H14" s="199">
        <f t="shared" si="3"/>
        <v>1574370</v>
      </c>
      <c r="I14" s="199">
        <f t="shared" si="3"/>
        <v>1653088.5000000002</v>
      </c>
      <c r="J14" s="199">
        <f t="shared" si="3"/>
        <v>1735742.925</v>
      </c>
      <c r="K14" s="199">
        <f t="shared" si="3"/>
        <v>1822530.07125</v>
      </c>
      <c r="L14" s="199">
        <f t="shared" si="3"/>
        <v>1913656.5748125</v>
      </c>
      <c r="M14" s="199">
        <f t="shared" si="3"/>
        <v>2009339.4035531252</v>
      </c>
      <c r="N14" s="199">
        <f t="shared" si="3"/>
        <v>2109806.3737307815</v>
      </c>
      <c r="O14" s="195">
        <v>0.34</v>
      </c>
      <c r="P14" s="13" t="s">
        <v>12</v>
      </c>
    </row>
    <row r="15" spans="1:16" ht="12.75"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5"/>
      <c r="P15" s="13"/>
    </row>
    <row r="16" spans="1:16" ht="12.75">
      <c r="C16" s="12" t="s">
        <v>13</v>
      </c>
      <c r="D16" s="12"/>
      <c r="E16" s="199"/>
      <c r="F16" s="199"/>
      <c r="G16" s="199"/>
      <c r="H16" s="199"/>
      <c r="I16" s="199"/>
      <c r="J16" s="199"/>
      <c r="K16" s="199"/>
      <c r="L16" s="199"/>
      <c r="M16" s="199"/>
      <c r="N16" s="199"/>
    </row>
    <row r="17" spans="3:19" ht="12.75">
      <c r="C17" s="13" t="s">
        <v>14</v>
      </c>
      <c r="D17" s="13"/>
      <c r="E17" s="198">
        <f t="shared" ref="E17:N17" si="4">E6*$O$17</f>
        <v>120000</v>
      </c>
      <c r="F17" s="198">
        <f t="shared" si="4"/>
        <v>120000</v>
      </c>
      <c r="G17" s="198">
        <f t="shared" si="4"/>
        <v>120000</v>
      </c>
      <c r="H17" s="198">
        <f t="shared" si="4"/>
        <v>120000</v>
      </c>
      <c r="I17" s="198">
        <f t="shared" si="4"/>
        <v>120000</v>
      </c>
      <c r="J17" s="198">
        <f t="shared" si="4"/>
        <v>120000</v>
      </c>
      <c r="K17" s="198">
        <f t="shared" si="4"/>
        <v>120000</v>
      </c>
      <c r="L17" s="198">
        <f t="shared" si="4"/>
        <v>120000</v>
      </c>
      <c r="M17" s="198">
        <f t="shared" si="4"/>
        <v>120000</v>
      </c>
      <c r="N17" s="198">
        <f t="shared" si="4"/>
        <v>120000</v>
      </c>
      <c r="O17" s="13">
        <v>30000</v>
      </c>
      <c r="P17" s="13" t="s">
        <v>15</v>
      </c>
    </row>
    <row r="18" spans="3:19" ht="12.75">
      <c r="C18" s="23" t="s">
        <v>89</v>
      </c>
      <c r="D18" s="13"/>
      <c r="E18" s="198">
        <f>O18</f>
        <v>75000</v>
      </c>
      <c r="F18" s="198">
        <f>E18</f>
        <v>75000</v>
      </c>
      <c r="G18" s="198">
        <f t="shared" ref="G18:N18" si="5">F18</f>
        <v>75000</v>
      </c>
      <c r="H18" s="198">
        <f t="shared" si="5"/>
        <v>75000</v>
      </c>
      <c r="I18" s="198">
        <f t="shared" si="5"/>
        <v>75000</v>
      </c>
      <c r="J18" s="198">
        <f t="shared" si="5"/>
        <v>75000</v>
      </c>
      <c r="K18" s="198">
        <f t="shared" si="5"/>
        <v>75000</v>
      </c>
      <c r="L18" s="198">
        <f t="shared" si="5"/>
        <v>75000</v>
      </c>
      <c r="M18" s="198">
        <f t="shared" si="5"/>
        <v>75000</v>
      </c>
      <c r="N18" s="198">
        <f t="shared" si="5"/>
        <v>75000</v>
      </c>
      <c r="O18" s="13">
        <v>75000</v>
      </c>
      <c r="P18" s="23" t="s">
        <v>88</v>
      </c>
    </row>
    <row r="19" spans="3:19" ht="12.75">
      <c r="C19" s="13" t="s">
        <v>154</v>
      </c>
      <c r="D19" s="13"/>
      <c r="E19" s="199">
        <f>43200</f>
        <v>43200</v>
      </c>
      <c r="F19" s="199">
        <f>E19+(E19*$O$19)</f>
        <v>44496</v>
      </c>
      <c r="G19" s="199">
        <f t="shared" ref="G19:M19" si="6">F19+(F19*$O$19)</f>
        <v>45830.879999999997</v>
      </c>
      <c r="H19" s="199">
        <f t="shared" si="6"/>
        <v>47205.806399999994</v>
      </c>
      <c r="I19" s="199">
        <f t="shared" si="6"/>
        <v>48621.980591999993</v>
      </c>
      <c r="J19" s="199">
        <f t="shared" si="6"/>
        <v>50080.640009759991</v>
      </c>
      <c r="K19" s="199">
        <f t="shared" si="6"/>
        <v>51583.059210052794</v>
      </c>
      <c r="L19" s="199">
        <f t="shared" si="6"/>
        <v>53130.550986354378</v>
      </c>
      <c r="M19" s="199">
        <f t="shared" si="6"/>
        <v>54724.467515945005</v>
      </c>
      <c r="N19" s="183">
        <f>M19+(M19*$O$19)</f>
        <v>56366.201541423354</v>
      </c>
      <c r="O19" s="195">
        <v>0.03</v>
      </c>
      <c r="P19" s="13" t="s">
        <v>17</v>
      </c>
      <c r="Q19" s="13"/>
    </row>
    <row r="20" spans="3:19" ht="12.75">
      <c r="C20" s="13" t="s">
        <v>18</v>
      </c>
      <c r="D20" s="13"/>
      <c r="E20" s="198">
        <v>1200000</v>
      </c>
      <c r="F20" s="199">
        <f t="shared" ref="F20:N20" si="7">F12*$O$20</f>
        <v>1260000</v>
      </c>
      <c r="G20" s="199">
        <f t="shared" si="7"/>
        <v>1323000</v>
      </c>
      <c r="H20" s="199">
        <f t="shared" si="7"/>
        <v>1389150</v>
      </c>
      <c r="I20" s="199">
        <f t="shared" si="7"/>
        <v>1458607.5</v>
      </c>
      <c r="J20" s="199">
        <f t="shared" si="7"/>
        <v>1531537.875</v>
      </c>
      <c r="K20" s="199">
        <f t="shared" si="7"/>
        <v>1608114.76875</v>
      </c>
      <c r="L20" s="199">
        <f t="shared" si="7"/>
        <v>1688520.5071874999</v>
      </c>
      <c r="M20" s="199">
        <f t="shared" si="7"/>
        <v>1772946.5325468751</v>
      </c>
      <c r="N20" s="199">
        <f t="shared" si="7"/>
        <v>1861593.859174219</v>
      </c>
      <c r="O20" s="200">
        <f>E20/E12</f>
        <v>0.3</v>
      </c>
      <c r="P20" s="13" t="s">
        <v>12</v>
      </c>
    </row>
    <row r="21" spans="3:19" ht="12.75">
      <c r="C21" s="13" t="s">
        <v>20</v>
      </c>
      <c r="D21" s="13"/>
      <c r="E21" s="199">
        <f t="shared" ref="E21:N21" si="8">E5*E3</f>
        <v>323750</v>
      </c>
      <c r="F21" s="199">
        <f t="shared" si="8"/>
        <v>339937.5</v>
      </c>
      <c r="G21" s="199">
        <f t="shared" si="8"/>
        <v>356934.375</v>
      </c>
      <c r="H21" s="199">
        <f t="shared" si="8"/>
        <v>374781.09375</v>
      </c>
      <c r="I21" s="199">
        <f t="shared" si="8"/>
        <v>393520.1484375</v>
      </c>
      <c r="J21" s="199">
        <f t="shared" si="8"/>
        <v>413196.15585937497</v>
      </c>
      <c r="K21" s="199">
        <f t="shared" si="8"/>
        <v>433855.96365234372</v>
      </c>
      <c r="L21" s="199">
        <f t="shared" si="8"/>
        <v>455548.7618349609</v>
      </c>
      <c r="M21" s="199">
        <f t="shared" si="8"/>
        <v>478326.199926709</v>
      </c>
      <c r="N21" s="199">
        <f t="shared" si="8"/>
        <v>502242.50992304418</v>
      </c>
    </row>
    <row r="22" spans="3:19" ht="12.75">
      <c r="C22" s="13" t="s">
        <v>21</v>
      </c>
      <c r="D22" s="13"/>
      <c r="E22" s="198">
        <v>3600</v>
      </c>
      <c r="F22" s="199">
        <f>E22+(E22*$O$19)</f>
        <v>3708</v>
      </c>
      <c r="G22" s="199">
        <f t="shared" ref="G22:M22" si="9">F22+(F22*$O$19)</f>
        <v>3819.24</v>
      </c>
      <c r="H22" s="199">
        <f t="shared" si="9"/>
        <v>3933.8172</v>
      </c>
      <c r="I22" s="199">
        <f t="shared" si="9"/>
        <v>4051.8317160000001</v>
      </c>
      <c r="J22" s="199">
        <f t="shared" si="9"/>
        <v>4173.3866674800001</v>
      </c>
      <c r="K22" s="199">
        <f t="shared" si="9"/>
        <v>4298.5882675044004</v>
      </c>
      <c r="L22" s="199">
        <f t="shared" si="9"/>
        <v>4427.5459155295321</v>
      </c>
      <c r="M22" s="199">
        <f t="shared" si="9"/>
        <v>4560.3722929954183</v>
      </c>
      <c r="N22" s="183">
        <f>M22+(M22*$O$19)</f>
        <v>4697.183461785281</v>
      </c>
      <c r="O22" s="31">
        <v>0.03</v>
      </c>
      <c r="S22" s="13"/>
    </row>
    <row r="23" spans="3:19" ht="12.75">
      <c r="C23" s="13" t="s">
        <v>22</v>
      </c>
      <c r="D23" s="13"/>
      <c r="E23" s="198">
        <v>120000</v>
      </c>
      <c r="F23" s="199">
        <f t="shared" ref="F23:N23" si="10">F12*$O$23</f>
        <v>115500</v>
      </c>
      <c r="G23" s="199">
        <f t="shared" si="10"/>
        <v>121275</v>
      </c>
      <c r="H23" s="199">
        <f t="shared" si="10"/>
        <v>127338.75</v>
      </c>
      <c r="I23" s="199">
        <f t="shared" si="10"/>
        <v>133705.6875</v>
      </c>
      <c r="J23" s="199">
        <f t="shared" si="10"/>
        <v>140390.97187499999</v>
      </c>
      <c r="K23" s="199">
        <f t="shared" si="10"/>
        <v>147410.52046875001</v>
      </c>
      <c r="L23" s="199">
        <f t="shared" si="10"/>
        <v>154781.04649218751</v>
      </c>
      <c r="M23" s="199">
        <f t="shared" si="10"/>
        <v>162520.09881679688</v>
      </c>
      <c r="N23" s="199">
        <f t="shared" si="10"/>
        <v>170646.10375763674</v>
      </c>
      <c r="O23" s="201">
        <v>2.75E-2</v>
      </c>
      <c r="P23" s="13" t="s">
        <v>23</v>
      </c>
    </row>
    <row r="24" spans="3:19" ht="12.75">
      <c r="C24" s="13" t="s">
        <v>24</v>
      </c>
      <c r="D24" s="13"/>
      <c r="E24" s="198">
        <v>4000</v>
      </c>
      <c r="F24" s="199">
        <f>E24+(E24*$O$19)</f>
        <v>4120</v>
      </c>
      <c r="G24" s="199">
        <f t="shared" ref="G24:N24" si="11">F24+(F24*$O$19)</f>
        <v>4243.6000000000004</v>
      </c>
      <c r="H24" s="199">
        <f t="shared" si="11"/>
        <v>4370.9080000000004</v>
      </c>
      <c r="I24" s="199">
        <f t="shared" si="11"/>
        <v>4502.0352400000002</v>
      </c>
      <c r="J24" s="199">
        <f t="shared" si="11"/>
        <v>4637.0962971999998</v>
      </c>
      <c r="K24" s="199">
        <f t="shared" si="11"/>
        <v>4776.2091861159997</v>
      </c>
      <c r="L24" s="199">
        <f t="shared" si="11"/>
        <v>4919.4954616994801</v>
      </c>
      <c r="M24" s="199">
        <f t="shared" si="11"/>
        <v>5067.0803255504643</v>
      </c>
      <c r="N24" s="199">
        <f t="shared" si="11"/>
        <v>5219.0927353169782</v>
      </c>
      <c r="O24" s="31">
        <v>0.03</v>
      </c>
      <c r="P24" s="13" t="s">
        <v>25</v>
      </c>
      <c r="Q24" s="13">
        <v>4.95</v>
      </c>
      <c r="R24" s="13" t="s">
        <v>26</v>
      </c>
    </row>
    <row r="25" spans="3:19" ht="12.75">
      <c r="C25" s="13" t="s">
        <v>27</v>
      </c>
      <c r="D25" s="13"/>
      <c r="E25" s="199">
        <f t="shared" ref="E25:N25" si="12">12*$O$25</f>
        <v>2400</v>
      </c>
      <c r="F25" s="199">
        <f t="shared" si="12"/>
        <v>2400</v>
      </c>
      <c r="G25" s="199">
        <f t="shared" si="12"/>
        <v>2400</v>
      </c>
      <c r="H25" s="199">
        <f t="shared" si="12"/>
        <v>2400</v>
      </c>
      <c r="I25" s="199">
        <f t="shared" si="12"/>
        <v>2400</v>
      </c>
      <c r="J25" s="199">
        <f t="shared" si="12"/>
        <v>2400</v>
      </c>
      <c r="K25" s="199">
        <f t="shared" si="12"/>
        <v>2400</v>
      </c>
      <c r="L25" s="199">
        <f t="shared" si="12"/>
        <v>2400</v>
      </c>
      <c r="M25" s="199">
        <f t="shared" si="12"/>
        <v>2400</v>
      </c>
      <c r="N25" s="199">
        <f t="shared" si="12"/>
        <v>2400</v>
      </c>
      <c r="O25" s="13">
        <v>200</v>
      </c>
      <c r="P25" s="13" t="s">
        <v>28</v>
      </c>
    </row>
    <row r="26" spans="3:19" ht="12.75">
      <c r="C26" s="13" t="s">
        <v>29</v>
      </c>
      <c r="D26" s="13"/>
      <c r="E26" s="198">
        <v>36000</v>
      </c>
      <c r="F26" s="199">
        <f>E26+(E26*$O$19)</f>
        <v>37080</v>
      </c>
      <c r="G26" s="199">
        <f t="shared" ref="G26:N26" si="13">F26+(F26*$O$19)</f>
        <v>38192.400000000001</v>
      </c>
      <c r="H26" s="199">
        <f t="shared" si="13"/>
        <v>39338.171999999999</v>
      </c>
      <c r="I26" s="199">
        <f t="shared" si="13"/>
        <v>40518.317159999999</v>
      </c>
      <c r="J26" s="199">
        <f t="shared" si="13"/>
        <v>41733.866674799996</v>
      </c>
      <c r="K26" s="199">
        <f t="shared" si="13"/>
        <v>42985.882675043998</v>
      </c>
      <c r="L26" s="199">
        <f t="shared" si="13"/>
        <v>44275.459155295321</v>
      </c>
      <c r="M26" s="199">
        <f t="shared" si="13"/>
        <v>45603.72292995418</v>
      </c>
      <c r="N26" s="199">
        <f t="shared" si="13"/>
        <v>46971.834617852808</v>
      </c>
      <c r="O26" s="31">
        <v>0.03</v>
      </c>
    </row>
    <row r="27" spans="3:19" ht="12.75">
      <c r="E27" s="199"/>
      <c r="F27" s="199"/>
      <c r="G27" s="199"/>
      <c r="H27" s="199"/>
      <c r="I27" s="199"/>
      <c r="J27" s="199"/>
      <c r="K27" s="199"/>
      <c r="L27" s="199"/>
      <c r="M27" s="199"/>
      <c r="N27" s="199"/>
    </row>
    <row r="28" spans="3:19" ht="12.75">
      <c r="C28" s="23" t="s">
        <v>93</v>
      </c>
      <c r="D28" s="13"/>
      <c r="E28" s="199">
        <f>E45*$O$47</f>
        <v>110000</v>
      </c>
      <c r="F28" s="199">
        <f t="shared" ref="F28:M28" si="14">F45*$O$47</f>
        <v>110000</v>
      </c>
      <c r="G28" s="199">
        <f t="shared" si="14"/>
        <v>110000</v>
      </c>
      <c r="H28" s="199">
        <f t="shared" si="14"/>
        <v>110000</v>
      </c>
      <c r="I28" s="199">
        <f t="shared" si="14"/>
        <v>110000</v>
      </c>
      <c r="J28" s="199">
        <f t="shared" si="14"/>
        <v>110000</v>
      </c>
      <c r="K28" s="199">
        <f t="shared" si="14"/>
        <v>110000</v>
      </c>
      <c r="L28" s="199">
        <f t="shared" si="14"/>
        <v>110000</v>
      </c>
      <c r="M28" s="199">
        <f t="shared" si="14"/>
        <v>110000</v>
      </c>
      <c r="N28" s="199">
        <f>N45*$O$47</f>
        <v>110000</v>
      </c>
    </row>
    <row r="29" spans="3:19" ht="12.75">
      <c r="C29" s="23" t="s">
        <v>94</v>
      </c>
      <c r="E29" s="199">
        <f>E46*$O$46</f>
        <v>20000</v>
      </c>
      <c r="F29" s="199">
        <f t="shared" ref="F29:M29" si="15">F46*$O$46</f>
        <v>20000</v>
      </c>
      <c r="G29" s="199">
        <f t="shared" si="15"/>
        <v>20000</v>
      </c>
      <c r="H29" s="199">
        <f t="shared" si="15"/>
        <v>20000</v>
      </c>
      <c r="I29" s="199">
        <f t="shared" si="15"/>
        <v>20000</v>
      </c>
      <c r="J29" s="199">
        <f t="shared" si="15"/>
        <v>20000</v>
      </c>
      <c r="K29" s="199">
        <f t="shared" si="15"/>
        <v>20000</v>
      </c>
      <c r="L29" s="199">
        <f t="shared" si="15"/>
        <v>20000</v>
      </c>
      <c r="M29" s="199">
        <f t="shared" si="15"/>
        <v>20000</v>
      </c>
      <c r="N29" s="199">
        <f>N46*$O$46</f>
        <v>20000</v>
      </c>
    </row>
    <row r="30" spans="3:19" ht="12.75">
      <c r="C30" s="23" t="s">
        <v>56</v>
      </c>
      <c r="D30" s="23"/>
      <c r="E30" s="199">
        <f>'[1]Mortgage Loan'!D14</f>
        <v>70255.720381477935</v>
      </c>
      <c r="F30" s="199">
        <f>'[1]Mortgage Loan'!$D28</f>
        <v>68019.384913067363</v>
      </c>
      <c r="G30" s="199">
        <f>'[1]Mortgage Loan'!D42</f>
        <v>65674.48009546315</v>
      </c>
      <c r="H30" s="199">
        <f>'[1]Mortgage Loan'!D56</f>
        <v>63215.735116771997</v>
      </c>
      <c r="I30" s="199">
        <f>'[1]Mortgage Loan'!D70</f>
        <v>60637.623278349696</v>
      </c>
      <c r="J30" s="199">
        <f>'[1]Mortgage Loan'!D84</f>
        <v>57934.349572041436</v>
      </c>
      <c r="K30" s="199">
        <f>'[1]Mortgage Loan'!D98</f>
        <v>55099.837654323506</v>
      </c>
      <c r="L30" s="199">
        <f>'[1]Mortgage Loan'!D112</f>
        <v>52127.716188067257</v>
      </c>
      <c r="M30" s="199">
        <f>'[1]Mortgage Loan'!D126</f>
        <v>49011.304521224454</v>
      </c>
      <c r="N30" s="199">
        <f>'[1]Mortgage Loan'!D140</f>
        <v>45743.597670243209</v>
      </c>
      <c r="O30" s="28">
        <v>4.7500000000000001E-2</v>
      </c>
      <c r="P30" s="78" t="s">
        <v>111</v>
      </c>
    </row>
    <row r="31" spans="3:19" ht="12.75">
      <c r="C31" s="13" t="s">
        <v>30</v>
      </c>
      <c r="D31" s="13"/>
      <c r="E31" s="199">
        <f>$O$54*E54</f>
        <v>0</v>
      </c>
      <c r="F31" s="199">
        <f t="shared" ref="F31:N31" si="16">$O$54*F54</f>
        <v>0</v>
      </c>
      <c r="G31" s="199">
        <f t="shared" si="16"/>
        <v>0</v>
      </c>
      <c r="H31" s="199">
        <f t="shared" si="16"/>
        <v>0</v>
      </c>
      <c r="I31" s="199">
        <f t="shared" si="16"/>
        <v>0</v>
      </c>
      <c r="J31" s="199">
        <f t="shared" si="16"/>
        <v>0</v>
      </c>
      <c r="K31" s="199">
        <f t="shared" si="16"/>
        <v>0</v>
      </c>
      <c r="L31" s="199">
        <f t="shared" si="16"/>
        <v>0</v>
      </c>
      <c r="M31" s="199">
        <f t="shared" si="16"/>
        <v>0</v>
      </c>
      <c r="N31" s="199">
        <f t="shared" si="16"/>
        <v>0</v>
      </c>
      <c r="O31" s="31">
        <v>0.1</v>
      </c>
      <c r="P31" s="78" t="s">
        <v>112</v>
      </c>
    </row>
    <row r="32" spans="3:19" ht="12.75">
      <c r="E32" s="199"/>
      <c r="F32" s="199"/>
      <c r="G32" s="199"/>
      <c r="H32" s="199"/>
      <c r="I32" s="199"/>
      <c r="J32" s="199"/>
      <c r="K32" s="199"/>
      <c r="L32" s="199"/>
      <c r="M32" s="199"/>
      <c r="N32" s="199"/>
    </row>
    <row r="33" spans="3:29" ht="15.75" customHeight="1">
      <c r="C33" s="13" t="s">
        <v>31</v>
      </c>
      <c r="D33" s="13"/>
      <c r="E33" s="199">
        <f>(E12-(SUM(E14:E26)))-E28-E30-E31-E29</f>
        <v>511794.27961852204</v>
      </c>
      <c r="F33" s="199">
        <f t="shared" ref="F33:N33" si="17">(F12-(SUM(F14:F26)))-F28-F30-F31-F29</f>
        <v>571739.11508693267</v>
      </c>
      <c r="G33" s="199">
        <f t="shared" si="17"/>
        <v>624230.02490453678</v>
      </c>
      <c r="H33" s="199">
        <f t="shared" si="17"/>
        <v>679395.71753322834</v>
      </c>
      <c r="I33" s="199">
        <f t="shared" si="17"/>
        <v>737371.37607614975</v>
      </c>
      <c r="J33" s="199">
        <f t="shared" si="17"/>
        <v>798298.98304434412</v>
      </c>
      <c r="K33" s="199">
        <f t="shared" si="17"/>
        <v>862327.66138586565</v>
      </c>
      <c r="L33" s="199">
        <f t="shared" si="17"/>
        <v>929614.03259090742</v>
      </c>
      <c r="M33" s="199">
        <f t="shared" si="17"/>
        <v>1000322.5927270735</v>
      </c>
      <c r="N33" s="199">
        <f t="shared" si="17"/>
        <v>1074626.1073017595</v>
      </c>
    </row>
    <row r="34" spans="3:29" ht="15.75" customHeight="1">
      <c r="C34" s="13" t="s">
        <v>32</v>
      </c>
      <c r="D34" s="13"/>
      <c r="E34" s="199">
        <f t="shared" ref="E34:N34" si="18">E33*$O$34</f>
        <v>46061.485165666978</v>
      </c>
      <c r="F34" s="199">
        <f t="shared" si="18"/>
        <v>51456.520357823938</v>
      </c>
      <c r="G34" s="199">
        <f t="shared" si="18"/>
        <v>56180.702241408311</v>
      </c>
      <c r="H34" s="199">
        <f t="shared" si="18"/>
        <v>61145.614577990549</v>
      </c>
      <c r="I34" s="199">
        <f t="shared" si="18"/>
        <v>66363.423846853475</v>
      </c>
      <c r="J34" s="199">
        <f t="shared" si="18"/>
        <v>71846.908473990974</v>
      </c>
      <c r="K34" s="199">
        <f t="shared" si="18"/>
        <v>77609.489524727906</v>
      </c>
      <c r="L34" s="199">
        <f t="shared" si="18"/>
        <v>83665.262933181672</v>
      </c>
      <c r="M34" s="199">
        <f t="shared" si="18"/>
        <v>90029.033345436605</v>
      </c>
      <c r="N34" s="199">
        <f t="shared" si="18"/>
        <v>96716.349657158353</v>
      </c>
      <c r="O34" s="195">
        <v>0.09</v>
      </c>
      <c r="P34" s="13" t="s">
        <v>33</v>
      </c>
    </row>
    <row r="35" spans="3:29" ht="15.75" customHeight="1">
      <c r="C35" s="13" t="s">
        <v>34</v>
      </c>
      <c r="D35" s="13"/>
      <c r="E35" s="199">
        <f>E33-E34</f>
        <v>465732.79445285507</v>
      </c>
      <c r="F35" s="199">
        <f t="shared" ref="F35:N35" si="19">F33-F34</f>
        <v>520282.59472910874</v>
      </c>
      <c r="G35" s="199">
        <f t="shared" si="19"/>
        <v>568049.32266312849</v>
      </c>
      <c r="H35" s="199">
        <f t="shared" si="19"/>
        <v>618250.10295523773</v>
      </c>
      <c r="I35" s="199">
        <f t="shared" si="19"/>
        <v>671007.95222929632</v>
      </c>
      <c r="J35" s="199">
        <f t="shared" si="19"/>
        <v>726452.07457035314</v>
      </c>
      <c r="K35" s="199">
        <f t="shared" si="19"/>
        <v>784718.17186113773</v>
      </c>
      <c r="L35" s="199">
        <f t="shared" si="19"/>
        <v>845948.7696577257</v>
      </c>
      <c r="M35" s="199">
        <f t="shared" si="19"/>
        <v>910293.55938163691</v>
      </c>
      <c r="N35" s="199">
        <f t="shared" si="19"/>
        <v>977909.75764460117</v>
      </c>
    </row>
    <row r="36" spans="3:29" ht="15.75" customHeight="1" thickBot="1">
      <c r="E36" s="199"/>
      <c r="F36" s="199"/>
      <c r="G36" s="199"/>
      <c r="H36" s="199"/>
      <c r="I36" s="199"/>
      <c r="J36" s="199"/>
      <c r="K36" s="199"/>
      <c r="L36" s="199"/>
      <c r="M36" s="199"/>
      <c r="N36" s="199"/>
    </row>
    <row r="37" spans="3:29" ht="15.75" customHeight="1" thickBot="1">
      <c r="C37" s="42" t="s">
        <v>35</v>
      </c>
      <c r="D37" s="202"/>
      <c r="E37" s="203"/>
      <c r="F37" s="203"/>
      <c r="G37" s="203"/>
      <c r="H37" s="203"/>
      <c r="I37" s="203"/>
      <c r="J37" s="203"/>
      <c r="K37" s="203"/>
      <c r="L37" s="204"/>
      <c r="M37" s="204"/>
      <c r="N37" s="205"/>
    </row>
    <row r="38" spans="3:29" ht="15.75" customHeight="1">
      <c r="C38" s="12" t="s">
        <v>36</v>
      </c>
      <c r="D38" s="12"/>
      <c r="E38" s="198"/>
      <c r="F38" s="198"/>
      <c r="G38" s="198"/>
      <c r="H38" s="198"/>
      <c r="I38" s="198"/>
      <c r="J38" s="198"/>
      <c r="K38" s="198"/>
      <c r="L38" s="198"/>
      <c r="M38" s="198"/>
      <c r="N38" s="198"/>
    </row>
    <row r="39" spans="3:29" ht="15.75" customHeight="1">
      <c r="C39" s="13" t="s">
        <v>37</v>
      </c>
      <c r="D39" s="13"/>
      <c r="E39" s="198">
        <v>500000</v>
      </c>
      <c r="F39" s="198">
        <v>500000</v>
      </c>
      <c r="G39" s="198">
        <v>500000</v>
      </c>
      <c r="H39" s="198">
        <v>500000</v>
      </c>
      <c r="I39" s="198">
        <v>500000</v>
      </c>
      <c r="J39" s="198">
        <v>500000</v>
      </c>
      <c r="K39" s="198">
        <v>500000</v>
      </c>
      <c r="L39" s="198">
        <v>500000</v>
      </c>
      <c r="M39" s="198">
        <v>500000</v>
      </c>
      <c r="N39" s="198">
        <v>500000</v>
      </c>
    </row>
    <row r="40" spans="3:29" ht="15.75" customHeight="1">
      <c r="C40" s="13" t="s">
        <v>38</v>
      </c>
      <c r="D40" s="13"/>
      <c r="E40" s="198">
        <v>164051.82347844966</v>
      </c>
      <c r="F40" s="198">
        <v>724627.72820309643</v>
      </c>
      <c r="G40" s="198">
        <v>1328866.2274482737</v>
      </c>
      <c r="H40" s="198">
        <v>1979011.8589499374</v>
      </c>
      <c r="I40" s="198">
        <v>2677423.3519814508</v>
      </c>
      <c r="J40" s="198">
        <v>3406579.4007566944</v>
      </c>
      <c r="K40" s="198">
        <v>4189084.7286134455</v>
      </c>
      <c r="L40" s="198">
        <v>5027676.4575875439</v>
      </c>
      <c r="M40" s="198">
        <v>5925230.7987207817</v>
      </c>
      <c r="N40" s="198">
        <v>6884770.0792153338</v>
      </c>
    </row>
    <row r="41" spans="3:29" ht="15.75" customHeight="1">
      <c r="C41" s="13" t="s">
        <v>39</v>
      </c>
      <c r="D41" s="13"/>
      <c r="E41" s="183">
        <f t="shared" ref="E41:N41" si="20">E12/365*E7</f>
        <v>328767.12328767125</v>
      </c>
      <c r="F41" s="199">
        <f t="shared" si="20"/>
        <v>345205.47945205483</v>
      </c>
      <c r="G41" s="199">
        <f t="shared" si="20"/>
        <v>362465.75342465757</v>
      </c>
      <c r="H41" s="199">
        <f t="shared" si="20"/>
        <v>380589.0410958904</v>
      </c>
      <c r="I41" s="199">
        <f t="shared" si="20"/>
        <v>399618.49315068492</v>
      </c>
      <c r="J41" s="199">
        <f t="shared" si="20"/>
        <v>419599.41780821915</v>
      </c>
      <c r="K41" s="199">
        <f t="shared" si="20"/>
        <v>440579.38869863009</v>
      </c>
      <c r="L41" s="199">
        <f t="shared" si="20"/>
        <v>462608.35813356162</v>
      </c>
      <c r="M41" s="199">
        <f t="shared" si="20"/>
        <v>485738.77604023973</v>
      </c>
      <c r="N41" s="199">
        <f t="shared" si="20"/>
        <v>510025.71484225173</v>
      </c>
    </row>
    <row r="42" spans="3:29" ht="15.75" customHeight="1">
      <c r="C42" s="13" t="s">
        <v>40</v>
      </c>
      <c r="D42" s="13"/>
      <c r="E42" s="198">
        <v>750000</v>
      </c>
      <c r="F42" s="199">
        <f t="shared" ref="F42:N42" si="21">F14/365*F9</f>
        <v>779625.00000000012</v>
      </c>
      <c r="G42" s="199">
        <f t="shared" si="21"/>
        <v>810420.1875</v>
      </c>
      <c r="H42" s="199">
        <f t="shared" si="21"/>
        <v>842431.78490624984</v>
      </c>
      <c r="I42" s="199">
        <f t="shared" si="21"/>
        <v>875707.84041004698</v>
      </c>
      <c r="J42" s="199">
        <f t="shared" si="21"/>
        <v>910298.3001062437</v>
      </c>
      <c r="K42" s="199">
        <f t="shared" si="21"/>
        <v>946255.0829604402</v>
      </c>
      <c r="L42" s="199">
        <f t="shared" si="21"/>
        <v>983632.15873737773</v>
      </c>
      <c r="M42" s="199">
        <f t="shared" si="21"/>
        <v>1022485.6290075042</v>
      </c>
      <c r="N42" s="199">
        <f t="shared" si="21"/>
        <v>1062873.8113533005</v>
      </c>
    </row>
    <row r="43" spans="3:29" ht="15.75" customHeight="1">
      <c r="E43" s="199"/>
      <c r="F43" s="199"/>
      <c r="G43" s="199"/>
      <c r="H43" s="199"/>
      <c r="I43" s="199"/>
      <c r="J43" s="199"/>
      <c r="K43" s="199"/>
      <c r="L43" s="199"/>
      <c r="M43" s="199"/>
      <c r="N43" s="199"/>
    </row>
    <row r="44" spans="3:29" ht="15.75" customHeight="1">
      <c r="C44" s="13" t="s">
        <v>41</v>
      </c>
      <c r="D44" s="13"/>
      <c r="E44" s="198">
        <v>1500000</v>
      </c>
      <c r="F44" s="199">
        <f>E44</f>
        <v>1500000</v>
      </c>
      <c r="G44" s="199">
        <f t="shared" ref="G44:N44" si="22">F44</f>
        <v>1500000</v>
      </c>
      <c r="H44" s="199">
        <f t="shared" si="22"/>
        <v>1500000</v>
      </c>
      <c r="I44" s="199">
        <f t="shared" si="22"/>
        <v>1500000</v>
      </c>
      <c r="J44" s="199">
        <f t="shared" si="22"/>
        <v>1500000</v>
      </c>
      <c r="K44" s="199">
        <f t="shared" si="22"/>
        <v>1500000</v>
      </c>
      <c r="L44" s="199">
        <f t="shared" si="22"/>
        <v>1500000</v>
      </c>
      <c r="M44" s="199">
        <f t="shared" si="22"/>
        <v>1500000</v>
      </c>
      <c r="N44" s="199">
        <f t="shared" si="22"/>
        <v>1500000</v>
      </c>
    </row>
    <row r="45" spans="3:29" ht="15.75" customHeight="1">
      <c r="C45" s="13" t="s">
        <v>42</v>
      </c>
      <c r="D45" s="13"/>
      <c r="E45" s="198">
        <v>3300000</v>
      </c>
      <c r="F45" s="198">
        <v>3300000</v>
      </c>
      <c r="G45" s="198">
        <v>3300000</v>
      </c>
      <c r="H45" s="198">
        <v>3300000</v>
      </c>
      <c r="I45" s="198">
        <v>3300000</v>
      </c>
      <c r="J45" s="198">
        <v>3300000</v>
      </c>
      <c r="K45" s="198">
        <v>3300000</v>
      </c>
      <c r="L45" s="198">
        <v>3300000</v>
      </c>
      <c r="M45" s="198">
        <v>3300000</v>
      </c>
      <c r="N45" s="198">
        <v>3300000</v>
      </c>
    </row>
    <row r="46" spans="3:29" ht="15.75" customHeight="1" thickBot="1">
      <c r="C46" s="13" t="s">
        <v>43</v>
      </c>
      <c r="D46" s="13"/>
      <c r="E46" s="198">
        <v>100000</v>
      </c>
      <c r="F46" s="198">
        <v>100000</v>
      </c>
      <c r="G46" s="198">
        <v>100000</v>
      </c>
      <c r="H46" s="198">
        <v>100000</v>
      </c>
      <c r="I46" s="198">
        <v>100000</v>
      </c>
      <c r="J46" s="198">
        <v>100000</v>
      </c>
      <c r="K46" s="198">
        <v>100000</v>
      </c>
      <c r="L46" s="198">
        <v>100000</v>
      </c>
      <c r="M46" s="198">
        <v>100000</v>
      </c>
      <c r="N46" s="198">
        <v>100000</v>
      </c>
      <c r="O46" s="210">
        <f>1/5</f>
        <v>0.2</v>
      </c>
      <c r="Q46" s="49"/>
      <c r="R46" s="50"/>
      <c r="S46" s="50"/>
      <c r="T46" s="50"/>
      <c r="U46" s="50"/>
      <c r="V46" s="50"/>
      <c r="W46" s="50"/>
      <c r="X46" s="50"/>
      <c r="Y46" s="50"/>
      <c r="Z46" s="50"/>
      <c r="AA46" s="50" t="s">
        <v>86</v>
      </c>
      <c r="AB46" s="51"/>
      <c r="AC46" s="50"/>
    </row>
    <row r="47" spans="3:29" ht="15.75" customHeight="1">
      <c r="C47" s="23" t="s">
        <v>95</v>
      </c>
      <c r="D47" s="13"/>
      <c r="E47" s="199">
        <f>E29</f>
        <v>20000</v>
      </c>
      <c r="F47" s="199">
        <f>F29+E47</f>
        <v>40000</v>
      </c>
      <c r="G47" s="199">
        <f t="shared" ref="G47:I47" si="23">G29+F47</f>
        <v>60000</v>
      </c>
      <c r="H47" s="199">
        <f t="shared" si="23"/>
        <v>80000</v>
      </c>
      <c r="I47" s="199">
        <f t="shared" si="23"/>
        <v>100000</v>
      </c>
      <c r="J47" s="199">
        <f>I47</f>
        <v>100000</v>
      </c>
      <c r="K47" s="199">
        <f t="shared" ref="K47:N47" si="24">J47</f>
        <v>100000</v>
      </c>
      <c r="L47" s="199">
        <f t="shared" si="24"/>
        <v>100000</v>
      </c>
      <c r="M47" s="199">
        <f t="shared" si="24"/>
        <v>100000</v>
      </c>
      <c r="N47" s="199">
        <f t="shared" si="24"/>
        <v>100000</v>
      </c>
      <c r="O47" s="206">
        <f>1/30</f>
        <v>3.3333333333333333E-2</v>
      </c>
      <c r="P47" s="13" t="s">
        <v>44</v>
      </c>
      <c r="Q47" s="50"/>
      <c r="R47" s="50"/>
      <c r="S47" s="52" t="s">
        <v>83</v>
      </c>
      <c r="T47" s="53">
        <v>0.7</v>
      </c>
      <c r="U47" s="50"/>
      <c r="V47" s="50"/>
      <c r="W47" s="50"/>
      <c r="X47" s="50" t="s">
        <v>101</v>
      </c>
      <c r="Y47" s="54">
        <v>0.99</v>
      </c>
      <c r="Z47" s="55"/>
      <c r="AA47" s="50" t="s">
        <v>102</v>
      </c>
      <c r="AB47" s="51">
        <f>Y48</f>
        <v>4.5936000000000003</v>
      </c>
      <c r="AC47" s="56"/>
    </row>
    <row r="48" spans="3:29" ht="15.75" customHeight="1" thickBot="1">
      <c r="C48" s="23" t="s">
        <v>96</v>
      </c>
      <c r="E48" s="199">
        <f>E28</f>
        <v>110000</v>
      </c>
      <c r="F48" s="199">
        <f>E48+F28</f>
        <v>220000</v>
      </c>
      <c r="G48" s="199">
        <f t="shared" ref="G48:N48" si="25">F48+G28</f>
        <v>330000</v>
      </c>
      <c r="H48" s="199">
        <f t="shared" si="25"/>
        <v>440000</v>
      </c>
      <c r="I48" s="199">
        <f t="shared" si="25"/>
        <v>550000</v>
      </c>
      <c r="J48" s="199">
        <f t="shared" si="25"/>
        <v>660000</v>
      </c>
      <c r="K48" s="199">
        <f t="shared" si="25"/>
        <v>770000</v>
      </c>
      <c r="L48" s="199">
        <f t="shared" si="25"/>
        <v>880000</v>
      </c>
      <c r="M48" s="199">
        <f t="shared" si="25"/>
        <v>990000</v>
      </c>
      <c r="N48" s="199">
        <f t="shared" si="25"/>
        <v>1100000</v>
      </c>
      <c r="Q48" s="50"/>
      <c r="R48" s="50"/>
      <c r="S48" s="57" t="s">
        <v>103</v>
      </c>
      <c r="T48" s="58">
        <v>2.5000000000000001E-2</v>
      </c>
      <c r="U48" s="50"/>
      <c r="V48" s="50"/>
      <c r="W48" s="50"/>
      <c r="X48" s="50" t="s">
        <v>87</v>
      </c>
      <c r="Y48" s="59">
        <f>Y47*(1+(1-T52)*(X56/X58))</f>
        <v>4.5936000000000003</v>
      </c>
      <c r="Z48" s="55"/>
      <c r="AA48" s="50" t="s">
        <v>84</v>
      </c>
      <c r="AB48" s="60">
        <f>T48</f>
        <v>2.5000000000000001E-2</v>
      </c>
      <c r="AC48" s="61"/>
    </row>
    <row r="49" spans="3:29" ht="15.75" customHeight="1" thickBot="1">
      <c r="C49" s="13" t="s">
        <v>45</v>
      </c>
      <c r="D49" s="13"/>
      <c r="E49" s="199">
        <f>SUM(E39:E46)-E47-E48</f>
        <v>6512818.9467661213</v>
      </c>
      <c r="F49" s="199">
        <f t="shared" ref="F49:N49" si="26">SUM(F39:F46)-F47-F48</f>
        <v>6989458.2076551514</v>
      </c>
      <c r="G49" s="199">
        <f t="shared" si="26"/>
        <v>7511752.168372931</v>
      </c>
      <c r="H49" s="199">
        <f t="shared" si="26"/>
        <v>8082032.6849520784</v>
      </c>
      <c r="I49" s="199">
        <f t="shared" si="26"/>
        <v>8702749.685542183</v>
      </c>
      <c r="J49" s="199">
        <f t="shared" si="26"/>
        <v>9376477.1186711565</v>
      </c>
      <c r="K49" s="199">
        <f t="shared" si="26"/>
        <v>10105919.200272515</v>
      </c>
      <c r="L49" s="199">
        <f t="shared" si="26"/>
        <v>10893916.974458484</v>
      </c>
      <c r="M49" s="199">
        <f t="shared" si="26"/>
        <v>11743455.203768525</v>
      </c>
      <c r="N49" s="199">
        <f t="shared" si="26"/>
        <v>12657669.605410885</v>
      </c>
      <c r="Q49" s="50"/>
      <c r="R49" s="50"/>
      <c r="S49" s="62" t="s">
        <v>85</v>
      </c>
      <c r="T49" s="63">
        <v>0.08</v>
      </c>
      <c r="U49" s="50"/>
      <c r="V49" s="50"/>
      <c r="W49" s="50"/>
      <c r="X49" s="50"/>
      <c r="Y49" s="50"/>
      <c r="Z49" s="50"/>
      <c r="AA49" s="50" t="s">
        <v>85</v>
      </c>
      <c r="AB49" s="60">
        <f>T49</f>
        <v>0.08</v>
      </c>
      <c r="AC49" s="61"/>
    </row>
    <row r="50" spans="3:29" ht="15.75" customHeight="1"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Q50" s="50"/>
      <c r="R50" s="50"/>
      <c r="S50" s="51" t="s">
        <v>104</v>
      </c>
      <c r="T50" s="65">
        <f>T48+T47*(T49-T48)</f>
        <v>6.3500000000000001E-2</v>
      </c>
      <c r="U50" s="50"/>
      <c r="V50" s="50"/>
      <c r="W50" s="50"/>
      <c r="X50" s="50"/>
      <c r="Y50" s="50"/>
      <c r="Z50" s="50"/>
      <c r="AA50" s="50" t="s">
        <v>104</v>
      </c>
      <c r="AB50" s="65">
        <f>AB48+AB47*(AB49-AB48)</f>
        <v>0.27764800000000006</v>
      </c>
      <c r="AC50" s="66"/>
    </row>
    <row r="51" spans="3:29" ht="15.75" customHeight="1">
      <c r="C51" s="12" t="s">
        <v>46</v>
      </c>
      <c r="D51" s="12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Q51" s="49"/>
      <c r="R51" s="50"/>
      <c r="S51" s="51"/>
      <c r="T51" s="50"/>
      <c r="U51" s="50"/>
      <c r="V51" s="50"/>
      <c r="W51" s="50"/>
      <c r="X51" s="50"/>
      <c r="Y51" s="50"/>
      <c r="Z51" s="50"/>
      <c r="AA51" s="50"/>
      <c r="AB51" s="50"/>
      <c r="AC51" s="50"/>
    </row>
    <row r="52" spans="3:29" ht="15.75" customHeight="1">
      <c r="C52" s="13" t="s">
        <v>47</v>
      </c>
      <c r="D52" s="13"/>
      <c r="E52" s="199">
        <f t="shared" ref="E52:N52" si="27">E14/365*E8</f>
        <v>93150.684931506854</v>
      </c>
      <c r="F52" s="199">
        <f t="shared" si="27"/>
        <v>97808.219178082203</v>
      </c>
      <c r="G52" s="199">
        <f t="shared" si="27"/>
        <v>102698.63013698629</v>
      </c>
      <c r="H52" s="199">
        <f t="shared" si="27"/>
        <v>107833.56164383561</v>
      </c>
      <c r="I52" s="199">
        <f t="shared" si="27"/>
        <v>113225.23972602742</v>
      </c>
      <c r="J52" s="199">
        <f t="shared" si="27"/>
        <v>118886.50171232878</v>
      </c>
      <c r="K52" s="199">
        <f t="shared" si="27"/>
        <v>124830.82679794521</v>
      </c>
      <c r="L52" s="199">
        <f t="shared" si="27"/>
        <v>131072.36813784248</v>
      </c>
      <c r="M52" s="199">
        <f t="shared" si="27"/>
        <v>137625.98654473462</v>
      </c>
      <c r="N52" s="199">
        <f t="shared" si="27"/>
        <v>144507.28587197134</v>
      </c>
      <c r="Q52" s="49"/>
      <c r="R52" s="67"/>
      <c r="S52" s="51" t="s">
        <v>33</v>
      </c>
      <c r="T52" s="61">
        <f>O34</f>
        <v>0.09</v>
      </c>
      <c r="U52" s="50"/>
      <c r="V52" s="50"/>
      <c r="W52" s="50"/>
      <c r="X52" s="50" t="s">
        <v>105</v>
      </c>
      <c r="Y52" s="68"/>
      <c r="Z52" s="68"/>
      <c r="AA52" s="68"/>
      <c r="AB52" s="68"/>
      <c r="AC52" s="50"/>
    </row>
    <row r="53" spans="3:29" ht="15.75" customHeight="1"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Q53" s="49"/>
      <c r="R53" s="68" t="s">
        <v>106</v>
      </c>
      <c r="S53" s="68" t="s">
        <v>81</v>
      </c>
      <c r="T53" s="68" t="s">
        <v>107</v>
      </c>
      <c r="U53" s="68" t="s">
        <v>82</v>
      </c>
      <c r="V53" s="68" t="s">
        <v>108</v>
      </c>
      <c r="W53" s="68"/>
      <c r="X53" s="68" t="s">
        <v>81</v>
      </c>
      <c r="Y53" s="68" t="s">
        <v>107</v>
      </c>
      <c r="Z53" s="68" t="s">
        <v>82</v>
      </c>
      <c r="AA53" s="68" t="s">
        <v>108</v>
      </c>
      <c r="AB53" s="68"/>
      <c r="AC53" s="50"/>
    </row>
    <row r="54" spans="3:29" ht="15.75" customHeight="1">
      <c r="C54" s="13" t="s">
        <v>48</v>
      </c>
      <c r="D54" s="13"/>
      <c r="E54" s="198">
        <v>0</v>
      </c>
      <c r="F54" s="198">
        <v>0</v>
      </c>
      <c r="G54" s="198">
        <v>0</v>
      </c>
      <c r="H54" s="198">
        <v>0</v>
      </c>
      <c r="I54" s="198">
        <v>0</v>
      </c>
      <c r="J54" s="198">
        <v>0</v>
      </c>
      <c r="K54" s="198">
        <v>0</v>
      </c>
      <c r="L54" s="198">
        <v>0</v>
      </c>
      <c r="M54" s="198">
        <v>0</v>
      </c>
      <c r="N54" s="198">
        <v>0</v>
      </c>
      <c r="O54" s="201"/>
      <c r="P54" s="13" t="s">
        <v>49</v>
      </c>
      <c r="Q54" s="49"/>
      <c r="R54" s="69">
        <f>AVERAGE(E54:N54)</f>
        <v>0</v>
      </c>
      <c r="S54" s="70">
        <f>R54/$R$60</f>
        <v>0</v>
      </c>
      <c r="T54" s="70">
        <f>O31</f>
        <v>0.1</v>
      </c>
      <c r="U54" s="71">
        <f>T54*(1-T52)</f>
        <v>9.1000000000000011E-2</v>
      </c>
      <c r="V54" s="72">
        <f>U54*S54</f>
        <v>0</v>
      </c>
      <c r="W54" s="72"/>
      <c r="X54" s="72">
        <v>0</v>
      </c>
      <c r="Y54" s="73">
        <f>T54</f>
        <v>0.1</v>
      </c>
      <c r="Z54" s="72">
        <f>U54</f>
        <v>9.1000000000000011E-2</v>
      </c>
      <c r="AA54" s="207">
        <f>X54*Z54</f>
        <v>0</v>
      </c>
      <c r="AB54" s="72"/>
      <c r="AC54" s="74"/>
    </row>
    <row r="55" spans="3:29" ht="15.75" customHeight="1">
      <c r="C55" s="14" t="s">
        <v>55</v>
      </c>
      <c r="E55" s="199">
        <f>'[1]Mortgage Loan'!F13</f>
        <v>1453935.4673817579</v>
      </c>
      <c r="F55" s="199">
        <f>'[1]Mortgage Loan'!F27</f>
        <v>1405634.5992951053</v>
      </c>
      <c r="G55" s="199">
        <f>'[1]Mortgage Loan'!F41</f>
        <v>1354988.826390848</v>
      </c>
      <c r="H55" s="199">
        <f>'[1]Mortgage Loan'!F55</f>
        <v>1301884.3085078995</v>
      </c>
      <c r="I55" s="199">
        <f>'[1]Mortgage Loan'!F69</f>
        <v>1246201.6787865292</v>
      </c>
      <c r="J55" s="199">
        <f>'[1]Mortgage Loan'!F83</f>
        <v>1187815.7753588504</v>
      </c>
      <c r="K55" s="199">
        <f>'[1]Mortgage Loan'!F97</f>
        <v>1126595.3600134533</v>
      </c>
      <c r="L55" s="199">
        <f>'[1]Mortgage Loan'!F111</f>
        <v>1062402.8232018</v>
      </c>
      <c r="M55" s="199">
        <f>'[1]Mortgage Loan'!F125</f>
        <v>995093.87472330453</v>
      </c>
      <c r="N55" s="199">
        <f>'[1]Mortgage Loan'!F139</f>
        <v>924517.21939382784</v>
      </c>
      <c r="Q55" s="49"/>
      <c r="R55" s="69">
        <f>AVERAGE(E55:N55)</f>
        <v>1205906.9933053376</v>
      </c>
      <c r="S55" s="70">
        <f>R55/$R$60</f>
        <v>0.13193065282211172</v>
      </c>
      <c r="T55" s="70">
        <f>O30</f>
        <v>4.7500000000000001E-2</v>
      </c>
      <c r="U55" s="70">
        <f>T55*(1-T52)</f>
        <v>4.3225E-2</v>
      </c>
      <c r="V55" s="72">
        <f>U55*S55</f>
        <v>5.7027024682357787E-3</v>
      </c>
      <c r="W55" s="72"/>
      <c r="X55" s="72">
        <v>0.8</v>
      </c>
      <c r="Y55" s="73">
        <f t="shared" ref="Y55:Z55" si="28">T55</f>
        <v>4.7500000000000001E-2</v>
      </c>
      <c r="Z55" s="72">
        <f t="shared" si="28"/>
        <v>4.3225E-2</v>
      </c>
      <c r="AA55" s="72">
        <f>X55*Z55</f>
        <v>3.458E-2</v>
      </c>
      <c r="AB55" s="72"/>
      <c r="AC55" s="74"/>
    </row>
    <row r="56" spans="3:29" ht="15.75" customHeight="1">
      <c r="C56" s="12" t="s">
        <v>50</v>
      </c>
      <c r="D56" s="12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Q56" s="49"/>
      <c r="R56" s="69"/>
      <c r="S56" s="75">
        <f>SUM(S54:S55)</f>
        <v>0.13193065282211172</v>
      </c>
      <c r="T56" s="74"/>
      <c r="U56" s="74"/>
      <c r="V56" s="72"/>
      <c r="W56" s="72"/>
      <c r="X56" s="76">
        <f>X54+X55</f>
        <v>0.8</v>
      </c>
      <c r="Y56" s="73"/>
      <c r="Z56" s="72"/>
      <c r="AA56" s="72"/>
      <c r="AB56" s="72"/>
      <c r="AC56" s="74"/>
    </row>
    <row r="57" spans="3:29" ht="15.75" customHeight="1">
      <c r="C57" s="13" t="s">
        <v>51</v>
      </c>
      <c r="D57" s="13"/>
      <c r="E57" s="198">
        <v>500000</v>
      </c>
      <c r="F57" s="198">
        <f>E57</f>
        <v>500000</v>
      </c>
      <c r="G57" s="198">
        <f t="shared" ref="G57:N57" si="29">F57</f>
        <v>500000</v>
      </c>
      <c r="H57" s="198">
        <f t="shared" si="29"/>
        <v>500000</v>
      </c>
      <c r="I57" s="198">
        <f t="shared" si="29"/>
        <v>500000</v>
      </c>
      <c r="J57" s="198">
        <f t="shared" si="29"/>
        <v>500000</v>
      </c>
      <c r="K57" s="198">
        <f t="shared" si="29"/>
        <v>500000</v>
      </c>
      <c r="L57" s="198">
        <f t="shared" si="29"/>
        <v>500000</v>
      </c>
      <c r="M57" s="198">
        <f t="shared" si="29"/>
        <v>500000</v>
      </c>
      <c r="N57" s="198">
        <f t="shared" si="29"/>
        <v>500000</v>
      </c>
      <c r="Q57" s="49"/>
      <c r="R57" s="69">
        <f>AVERAGE(E57:N57)</f>
        <v>500000</v>
      </c>
      <c r="S57" s="70">
        <f>R57/$R$60</f>
        <v>5.4701835860697538E-2</v>
      </c>
      <c r="T57" s="71">
        <f>T50</f>
        <v>6.3500000000000001E-2</v>
      </c>
      <c r="U57" s="71">
        <f>T57</f>
        <v>6.3500000000000001E-2</v>
      </c>
      <c r="V57" s="72">
        <f>U57*S57</f>
        <v>3.4735665771542935E-3</v>
      </c>
      <c r="W57" s="72"/>
      <c r="X57" s="72">
        <v>0.2</v>
      </c>
      <c r="Y57" s="73">
        <f>AB50</f>
        <v>0.27764800000000006</v>
      </c>
      <c r="Z57" s="72">
        <f>AB50</f>
        <v>0.27764800000000006</v>
      </c>
      <c r="AA57" s="72">
        <f>X57*Z57</f>
        <v>5.5529600000000012E-2</v>
      </c>
      <c r="AB57" s="72"/>
      <c r="AC57" s="74"/>
    </row>
    <row r="58" spans="3:29" ht="15.75" customHeight="1">
      <c r="C58" s="13" t="s">
        <v>52</v>
      </c>
      <c r="D58" s="13"/>
      <c r="E58" s="199">
        <f>E35+O58</f>
        <v>4465732.7944528554</v>
      </c>
      <c r="F58" s="199">
        <f>E58+F35</f>
        <v>4986015.3891819641</v>
      </c>
      <c r="G58" s="199">
        <f t="shared" ref="G58:N58" si="30">F58+G35</f>
        <v>5554064.7118450925</v>
      </c>
      <c r="H58" s="199">
        <f t="shared" si="30"/>
        <v>6172314.8148003304</v>
      </c>
      <c r="I58" s="199">
        <f t="shared" si="30"/>
        <v>6843322.7670296263</v>
      </c>
      <c r="J58" s="199">
        <f t="shared" si="30"/>
        <v>7569774.8415999794</v>
      </c>
      <c r="K58" s="199">
        <f t="shared" si="30"/>
        <v>8354493.0134611167</v>
      </c>
      <c r="L58" s="199">
        <f t="shared" si="30"/>
        <v>9200441.7831188422</v>
      </c>
      <c r="M58" s="199">
        <f t="shared" si="30"/>
        <v>10110735.34250048</v>
      </c>
      <c r="N58" s="199">
        <f t="shared" si="30"/>
        <v>11088645.100145081</v>
      </c>
      <c r="O58" s="208">
        <v>4000000</v>
      </c>
      <c r="P58" s="23" t="s">
        <v>80</v>
      </c>
      <c r="Q58" s="49"/>
      <c r="R58" s="69">
        <f>AVERAGE(E58:N58)</f>
        <v>7434554.0558135379</v>
      </c>
      <c r="S58" s="70">
        <f>R58/$R$60</f>
        <v>0.81336751131719065</v>
      </c>
      <c r="T58" s="74"/>
      <c r="U58" s="74"/>
      <c r="V58" s="77"/>
      <c r="W58" s="77"/>
      <c r="X58" s="76">
        <f>X57</f>
        <v>0.2</v>
      </c>
      <c r="Y58" s="73"/>
      <c r="Z58" s="74"/>
      <c r="AA58" s="74"/>
      <c r="AB58" s="74"/>
      <c r="AC58" s="74"/>
    </row>
    <row r="59" spans="3:29" ht="15.75" customHeight="1"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Q59" s="49"/>
      <c r="R59" s="74"/>
      <c r="S59" s="75">
        <f>S58+S57</f>
        <v>0.8680693471778882</v>
      </c>
      <c r="T59" s="211" t="s">
        <v>109</v>
      </c>
      <c r="U59" s="211"/>
      <c r="V59" s="71">
        <f>SUM(V54:V57)</f>
        <v>9.1762690453900727E-3</v>
      </c>
      <c r="W59" s="72"/>
      <c r="X59" s="74"/>
      <c r="Y59" s="212" t="s">
        <v>110</v>
      </c>
      <c r="Z59" s="212"/>
      <c r="AA59" s="64">
        <f>SUM(AA54:AA57)</f>
        <v>9.0109600000000012E-2</v>
      </c>
      <c r="AB59" s="72"/>
      <c r="AC59" s="74"/>
    </row>
    <row r="60" spans="3:29" ht="15.75" customHeight="1">
      <c r="C60" s="13" t="s">
        <v>53</v>
      </c>
      <c r="D60" s="13"/>
      <c r="E60" s="199">
        <f>SUM(E52:E59)</f>
        <v>6512818.9467661204</v>
      </c>
      <c r="F60" s="199">
        <f t="shared" ref="F60:N60" si="31">SUM(F52:F59)</f>
        <v>6989458.2076551514</v>
      </c>
      <c r="G60" s="199">
        <f t="shared" si="31"/>
        <v>7511752.1683729272</v>
      </c>
      <c r="H60" s="199">
        <f t="shared" si="31"/>
        <v>8082032.6849520653</v>
      </c>
      <c r="I60" s="199">
        <f t="shared" si="31"/>
        <v>8702749.685542183</v>
      </c>
      <c r="J60" s="199">
        <f t="shared" si="31"/>
        <v>9376477.1186711583</v>
      </c>
      <c r="K60" s="199">
        <f t="shared" si="31"/>
        <v>10105919.200272515</v>
      </c>
      <c r="L60" s="199">
        <f t="shared" si="31"/>
        <v>10893916.974458484</v>
      </c>
      <c r="M60" s="199">
        <f t="shared" si="31"/>
        <v>11743455.20376852</v>
      </c>
      <c r="N60" s="199">
        <f t="shared" si="31"/>
        <v>12657669.605410879</v>
      </c>
      <c r="Q60" s="49"/>
      <c r="R60" s="69">
        <f>SUM(R54:R59)</f>
        <v>9140461.0491188765</v>
      </c>
      <c r="S60" s="72">
        <f>S56+S59</f>
        <v>0.99999999999999989</v>
      </c>
      <c r="T60" s="74"/>
      <c r="U60" s="74"/>
      <c r="V60" s="72"/>
      <c r="W60" s="72"/>
      <c r="X60" s="79">
        <f>X56+X58</f>
        <v>1</v>
      </c>
      <c r="Y60" s="74"/>
      <c r="Z60" s="74"/>
      <c r="AA60" s="74"/>
      <c r="AB60" s="74"/>
      <c r="AC60" s="74"/>
    </row>
    <row r="62" spans="3:29" ht="15.75" customHeight="1">
      <c r="C62" s="40" t="s">
        <v>54</v>
      </c>
      <c r="D62" s="40"/>
      <c r="E62" s="209">
        <f>E49-E60</f>
        <v>0</v>
      </c>
      <c r="F62" s="209">
        <f t="shared" ref="F62:M62" si="32">F49-F60</f>
        <v>0</v>
      </c>
      <c r="G62" s="209">
        <f t="shared" si="32"/>
        <v>0</v>
      </c>
      <c r="H62" s="209">
        <f t="shared" si="32"/>
        <v>1.3038516044616699E-8</v>
      </c>
      <c r="I62" s="209">
        <f t="shared" si="32"/>
        <v>0</v>
      </c>
      <c r="J62" s="209">
        <f t="shared" si="32"/>
        <v>0</v>
      </c>
      <c r="K62" s="209">
        <f t="shared" si="32"/>
        <v>0</v>
      </c>
      <c r="L62" s="209">
        <f t="shared" si="32"/>
        <v>0</v>
      </c>
      <c r="M62" s="209">
        <f t="shared" si="32"/>
        <v>0</v>
      </c>
      <c r="N62" s="209">
        <f>N49-N60</f>
        <v>0</v>
      </c>
    </row>
    <row r="63" spans="3:29" ht="6" customHeight="1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6" spans="3:14" ht="12.75">
      <c r="C66" s="32" t="s">
        <v>69</v>
      </c>
      <c r="D66" s="14">
        <v>0</v>
      </c>
      <c r="E66" s="14">
        <v>1</v>
      </c>
      <c r="F66" s="14">
        <v>2</v>
      </c>
      <c r="G66" s="14">
        <v>3</v>
      </c>
      <c r="H66" s="14">
        <v>4</v>
      </c>
      <c r="I66" s="14">
        <v>5</v>
      </c>
      <c r="J66" s="14">
        <v>6</v>
      </c>
      <c r="K66" s="14">
        <v>7</v>
      </c>
      <c r="L66" s="14">
        <v>8</v>
      </c>
      <c r="M66" s="14">
        <v>9</v>
      </c>
      <c r="N66" s="14">
        <v>10</v>
      </c>
    </row>
    <row r="67" spans="3:14" ht="12.75">
      <c r="C67" s="14" t="s">
        <v>70</v>
      </c>
      <c r="E67" s="29">
        <f>E12-E14-SUM(E17:E26)</f>
        <v>712050</v>
      </c>
      <c r="F67" s="29">
        <f t="shared" ref="F67:N67" si="33">F12-F14-SUM(F17:F26)</f>
        <v>769758.5</v>
      </c>
      <c r="G67" s="29">
        <f t="shared" si="33"/>
        <v>819904.50500000012</v>
      </c>
      <c r="H67" s="29">
        <f t="shared" si="33"/>
        <v>872611.45265000034</v>
      </c>
      <c r="I67" s="29">
        <f t="shared" si="33"/>
        <v>928008.99935449986</v>
      </c>
      <c r="J67" s="29">
        <f t="shared" si="33"/>
        <v>986233.33261638554</v>
      </c>
      <c r="K67" s="29">
        <f t="shared" si="33"/>
        <v>1047427.4990401897</v>
      </c>
      <c r="L67" s="29">
        <f t="shared" si="33"/>
        <v>1111741.7487789728</v>
      </c>
      <c r="M67" s="29">
        <f t="shared" si="33"/>
        <v>1179333.8972482993</v>
      </c>
      <c r="N67" s="29">
        <f t="shared" si="33"/>
        <v>1250369.7049720036</v>
      </c>
    </row>
    <row r="68" spans="3:14" ht="12.75">
      <c r="C68" s="14" t="s">
        <v>71</v>
      </c>
      <c r="E68" s="29">
        <f>E28+E29</f>
        <v>130000</v>
      </c>
      <c r="F68" s="29">
        <f t="shared" ref="F68:N68" si="34">F28+F29</f>
        <v>130000</v>
      </c>
      <c r="G68" s="29">
        <f t="shared" si="34"/>
        <v>130000</v>
      </c>
      <c r="H68" s="29">
        <f t="shared" si="34"/>
        <v>130000</v>
      </c>
      <c r="I68" s="29">
        <f t="shared" si="34"/>
        <v>130000</v>
      </c>
      <c r="J68" s="29">
        <f t="shared" si="34"/>
        <v>130000</v>
      </c>
      <c r="K68" s="29">
        <f t="shared" si="34"/>
        <v>130000</v>
      </c>
      <c r="L68" s="29">
        <f t="shared" si="34"/>
        <v>130000</v>
      </c>
      <c r="M68" s="29">
        <f t="shared" si="34"/>
        <v>130000</v>
      </c>
      <c r="N68" s="29">
        <f t="shared" si="34"/>
        <v>130000</v>
      </c>
    </row>
    <row r="69" spans="3:14" ht="12.75">
      <c r="C69" s="14" t="s">
        <v>72</v>
      </c>
      <c r="E69" s="29">
        <f>E67-E68</f>
        <v>582050</v>
      </c>
      <c r="F69" s="29">
        <f t="shared" ref="F69:N69" si="35">F67-F68</f>
        <v>639758.5</v>
      </c>
      <c r="G69" s="29">
        <f t="shared" si="35"/>
        <v>689904.50500000012</v>
      </c>
      <c r="H69" s="29">
        <f t="shared" si="35"/>
        <v>742611.45265000034</v>
      </c>
      <c r="I69" s="29">
        <f t="shared" si="35"/>
        <v>798008.99935449986</v>
      </c>
      <c r="J69" s="29">
        <f t="shared" si="35"/>
        <v>856233.33261638554</v>
      </c>
      <c r="K69" s="29">
        <f t="shared" si="35"/>
        <v>917427.49904018966</v>
      </c>
      <c r="L69" s="29">
        <f t="shared" si="35"/>
        <v>981741.74877897277</v>
      </c>
      <c r="M69" s="29">
        <f t="shared" si="35"/>
        <v>1049333.8972482993</v>
      </c>
      <c r="N69" s="29">
        <f t="shared" si="35"/>
        <v>1120369.7049720036</v>
      </c>
    </row>
    <row r="70" spans="3:14" ht="12.75">
      <c r="C70" s="14" t="s">
        <v>73</v>
      </c>
      <c r="E70" s="33">
        <f>E69*$O$34</f>
        <v>52384.5</v>
      </c>
      <c r="F70" s="33">
        <f t="shared" ref="F70:M70" si="36">F69*$O$34</f>
        <v>57578.264999999999</v>
      </c>
      <c r="G70" s="33">
        <f t="shared" si="36"/>
        <v>62091.405450000006</v>
      </c>
      <c r="H70" s="33">
        <f t="shared" si="36"/>
        <v>66835.030738500034</v>
      </c>
      <c r="I70" s="33">
        <f t="shared" si="36"/>
        <v>71820.809941904983</v>
      </c>
      <c r="J70" s="33">
        <f t="shared" si="36"/>
        <v>77060.999935474698</v>
      </c>
      <c r="K70" s="33">
        <f t="shared" si="36"/>
        <v>82568.474913617072</v>
      </c>
      <c r="L70" s="33">
        <f t="shared" si="36"/>
        <v>88356.757390107552</v>
      </c>
      <c r="M70" s="33">
        <f t="shared" si="36"/>
        <v>94440.050752346942</v>
      </c>
      <c r="N70" s="33">
        <f>N69*$O$34</f>
        <v>100833.27344748031</v>
      </c>
    </row>
    <row r="71" spans="3:14" ht="13.5" thickBot="1">
      <c r="C71" s="14" t="s">
        <v>74</v>
      </c>
      <c r="E71" s="11">
        <f>E67-E70</f>
        <v>659665.5</v>
      </c>
      <c r="F71" s="11">
        <f t="shared" ref="F71:M71" si="37">F67-F70</f>
        <v>712180.23499999999</v>
      </c>
      <c r="G71" s="11">
        <f t="shared" si="37"/>
        <v>757813.09955000016</v>
      </c>
      <c r="H71" s="11">
        <f t="shared" si="37"/>
        <v>805776.42191150028</v>
      </c>
      <c r="I71" s="11">
        <f t="shared" si="37"/>
        <v>856188.18941259489</v>
      </c>
      <c r="J71" s="11">
        <f t="shared" si="37"/>
        <v>909172.33268091083</v>
      </c>
      <c r="K71" s="11">
        <f t="shared" si="37"/>
        <v>964859.02412657253</v>
      </c>
      <c r="L71" s="11">
        <f t="shared" si="37"/>
        <v>1023384.9913888653</v>
      </c>
      <c r="M71" s="11">
        <f t="shared" si="37"/>
        <v>1084893.8464959525</v>
      </c>
      <c r="N71" s="11">
        <f>N67-N70</f>
        <v>1149536.4315245233</v>
      </c>
    </row>
    <row r="72" spans="3:14" ht="13.5" thickTop="1"/>
    <row r="73" spans="3:14" ht="12.75">
      <c r="C73" s="32" t="s">
        <v>75</v>
      </c>
    </row>
    <row r="74" spans="3:14" ht="15">
      <c r="C74" s="34" t="str">
        <f>C39</f>
        <v>Minimum Cash Inventory</v>
      </c>
      <c r="D74" s="29">
        <f>-(E39-D39)</f>
        <v>-500000</v>
      </c>
      <c r="E74" s="29">
        <f t="shared" ref="E74:N74" si="38">-(F39-E39)</f>
        <v>0</v>
      </c>
      <c r="F74" s="29">
        <f t="shared" si="38"/>
        <v>0</v>
      </c>
      <c r="G74" s="29">
        <f t="shared" si="38"/>
        <v>0</v>
      </c>
      <c r="H74" s="29">
        <f t="shared" si="38"/>
        <v>0</v>
      </c>
      <c r="I74" s="29">
        <f t="shared" si="38"/>
        <v>0</v>
      </c>
      <c r="J74" s="29">
        <f t="shared" si="38"/>
        <v>0</v>
      </c>
      <c r="K74" s="29">
        <f t="shared" si="38"/>
        <v>0</v>
      </c>
      <c r="L74" s="29">
        <f t="shared" si="38"/>
        <v>0</v>
      </c>
      <c r="M74" s="29">
        <f t="shared" si="38"/>
        <v>0</v>
      </c>
      <c r="N74" s="29">
        <f t="shared" si="38"/>
        <v>500000</v>
      </c>
    </row>
    <row r="75" spans="3:14" ht="15">
      <c r="C75" s="34" t="str">
        <f>C40</f>
        <v>Cash Above Minimum</v>
      </c>
      <c r="D75" s="29">
        <f>-(E40-D40)</f>
        <v>-164051.82347844966</v>
      </c>
      <c r="E75" s="29">
        <f t="shared" ref="D75:N77" si="39">-(F40-E40)</f>
        <v>-560575.90472464683</v>
      </c>
      <c r="F75" s="29">
        <f t="shared" si="39"/>
        <v>-604238.49924517726</v>
      </c>
      <c r="G75" s="29">
        <f t="shared" si="39"/>
        <v>-650145.63150166371</v>
      </c>
      <c r="H75" s="29">
        <f t="shared" si="39"/>
        <v>-698411.49303151341</v>
      </c>
      <c r="I75" s="29">
        <f t="shared" si="39"/>
        <v>-729156.04877524357</v>
      </c>
      <c r="J75" s="29">
        <f t="shared" si="39"/>
        <v>-782505.32785675116</v>
      </c>
      <c r="K75" s="29">
        <f t="shared" si="39"/>
        <v>-838591.72897409834</v>
      </c>
      <c r="L75" s="29">
        <f t="shared" si="39"/>
        <v>-897554.34113323782</v>
      </c>
      <c r="M75" s="29">
        <f t="shared" si="39"/>
        <v>-959539.28049455211</v>
      </c>
      <c r="N75" s="29">
        <f>-(O40-N40)</f>
        <v>6884770.0792153338</v>
      </c>
    </row>
    <row r="76" spans="3:14" ht="15">
      <c r="C76" s="34" t="str">
        <f>C41</f>
        <v>Accounts Recievable</v>
      </c>
      <c r="D76" s="29">
        <f t="shared" si="39"/>
        <v>-328767.12328767125</v>
      </c>
      <c r="E76" s="29">
        <f t="shared" si="39"/>
        <v>-16438.356164383586</v>
      </c>
      <c r="F76" s="29">
        <f t="shared" si="39"/>
        <v>-17260.273972602736</v>
      </c>
      <c r="G76" s="29">
        <f t="shared" si="39"/>
        <v>-18123.287671232829</v>
      </c>
      <c r="H76" s="29">
        <f t="shared" si="39"/>
        <v>-19029.452054794529</v>
      </c>
      <c r="I76" s="29">
        <f t="shared" si="39"/>
        <v>-19980.924657534226</v>
      </c>
      <c r="J76" s="29">
        <f t="shared" si="39"/>
        <v>-20979.970890410943</v>
      </c>
      <c r="K76" s="29">
        <f t="shared" si="39"/>
        <v>-22028.969434931525</v>
      </c>
      <c r="L76" s="29">
        <f t="shared" si="39"/>
        <v>-23130.417906678107</v>
      </c>
      <c r="M76" s="29">
        <f t="shared" si="39"/>
        <v>-24286.93880201201</v>
      </c>
      <c r="N76" s="29">
        <f t="shared" si="39"/>
        <v>510025.71484225173</v>
      </c>
    </row>
    <row r="77" spans="3:14" ht="15">
      <c r="C77" s="34" t="str">
        <f>C42</f>
        <v>Inventory</v>
      </c>
      <c r="D77" s="29">
        <f t="shared" si="39"/>
        <v>-750000</v>
      </c>
      <c r="E77" s="29">
        <f t="shared" si="39"/>
        <v>-29625.000000000116</v>
      </c>
      <c r="F77" s="29">
        <f t="shared" si="39"/>
        <v>-30795.187499999884</v>
      </c>
      <c r="G77" s="29">
        <f t="shared" si="39"/>
        <v>-32011.597406249843</v>
      </c>
      <c r="H77" s="29">
        <f t="shared" si="39"/>
        <v>-33276.055503797135</v>
      </c>
      <c r="I77" s="29">
        <f t="shared" si="39"/>
        <v>-34590.459696196718</v>
      </c>
      <c r="J77" s="29">
        <f t="shared" si="39"/>
        <v>-35956.782854196499</v>
      </c>
      <c r="K77" s="29">
        <f t="shared" si="39"/>
        <v>-37377.075776937534</v>
      </c>
      <c r="L77" s="29">
        <f t="shared" si="39"/>
        <v>-38853.470270126476</v>
      </c>
      <c r="M77" s="29">
        <f t="shared" si="39"/>
        <v>-40388.18234579626</v>
      </c>
      <c r="N77" s="29">
        <f t="shared" si="39"/>
        <v>1062873.8113533005</v>
      </c>
    </row>
    <row r="78" spans="3:14" ht="15">
      <c r="C78" s="34" t="str">
        <f>C52</f>
        <v>Accounts Payable</v>
      </c>
      <c r="D78" s="29">
        <f>(E52-D52)</f>
        <v>93150.684931506854</v>
      </c>
      <c r="E78" s="29">
        <f t="shared" ref="E78:N78" si="40">(F52-E52)</f>
        <v>4657.5342465753492</v>
      </c>
      <c r="F78" s="29">
        <f t="shared" si="40"/>
        <v>4890.4109589040891</v>
      </c>
      <c r="G78" s="29">
        <f t="shared" si="40"/>
        <v>5134.9315068493161</v>
      </c>
      <c r="H78" s="29">
        <f t="shared" si="40"/>
        <v>5391.6780821918073</v>
      </c>
      <c r="I78" s="29">
        <f t="shared" si="40"/>
        <v>5661.2619863013679</v>
      </c>
      <c r="J78" s="29">
        <f t="shared" si="40"/>
        <v>5944.3250856164232</v>
      </c>
      <c r="K78" s="29">
        <f t="shared" si="40"/>
        <v>6241.5413398972742</v>
      </c>
      <c r="L78" s="29">
        <f t="shared" si="40"/>
        <v>6553.618406892143</v>
      </c>
      <c r="M78" s="29">
        <f t="shared" si="40"/>
        <v>6881.2993272367166</v>
      </c>
      <c r="N78" s="29">
        <f t="shared" si="40"/>
        <v>-144507.28587197134</v>
      </c>
    </row>
    <row r="79" spans="3:14" ht="15">
      <c r="C79" s="34"/>
    </row>
    <row r="80" spans="3:14" ht="12.75">
      <c r="C80" s="32" t="s">
        <v>76</v>
      </c>
    </row>
    <row r="81" spans="3:17" ht="12.75">
      <c r="C81" s="14" t="str">
        <f>C44</f>
        <v>Land</v>
      </c>
      <c r="D81" s="29">
        <f>-(E44-D44)</f>
        <v>-1500000</v>
      </c>
      <c r="E81" s="29">
        <f t="shared" ref="E81:N81" si="41">-(F44-E44)</f>
        <v>0</v>
      </c>
      <c r="F81" s="29">
        <f t="shared" si="41"/>
        <v>0</v>
      </c>
      <c r="G81" s="29">
        <f t="shared" si="41"/>
        <v>0</v>
      </c>
      <c r="H81" s="29">
        <f t="shared" si="41"/>
        <v>0</v>
      </c>
      <c r="I81" s="29">
        <f t="shared" si="41"/>
        <v>0</v>
      </c>
      <c r="J81" s="29">
        <f t="shared" si="41"/>
        <v>0</v>
      </c>
      <c r="K81" s="29">
        <f t="shared" si="41"/>
        <v>0</v>
      </c>
      <c r="L81" s="29">
        <f t="shared" si="41"/>
        <v>0</v>
      </c>
      <c r="M81" s="29">
        <f t="shared" si="41"/>
        <v>0</v>
      </c>
      <c r="N81" s="29">
        <f t="shared" si="41"/>
        <v>1500000</v>
      </c>
      <c r="O81" s="35">
        <v>6.5000000000000002E-2</v>
      </c>
    </row>
    <row r="82" spans="3:17" ht="12.75">
      <c r="C82" s="14" t="s">
        <v>77</v>
      </c>
      <c r="N82" s="29">
        <f>N81*O81</f>
        <v>97500</v>
      </c>
      <c r="O82" s="14" t="s">
        <v>90</v>
      </c>
      <c r="P82" s="29">
        <f>N44</f>
        <v>1500000</v>
      </c>
    </row>
    <row r="83" spans="3:17" ht="12.75">
      <c r="C83" s="14" t="s">
        <v>78</v>
      </c>
      <c r="N83" s="36">
        <f>IF(P83&lt;0,0,P83*-$O$34)</f>
        <v>-8775</v>
      </c>
      <c r="O83" s="14" t="s">
        <v>91</v>
      </c>
      <c r="P83" s="29">
        <f>SUM(N81:N82)-P82</f>
        <v>97500</v>
      </c>
    </row>
    <row r="84" spans="3:17" ht="12.75">
      <c r="Q84" s="33"/>
    </row>
    <row r="85" spans="3:17" ht="12.75">
      <c r="C85" s="14" t="s">
        <v>92</v>
      </c>
      <c r="D85" s="29">
        <f>-(E45-D45)</f>
        <v>-3300000</v>
      </c>
      <c r="E85" s="29">
        <f t="shared" ref="E85:N85" si="42">-(F45-E45)</f>
        <v>0</v>
      </c>
      <c r="F85" s="29">
        <f t="shared" si="42"/>
        <v>0</v>
      </c>
      <c r="G85" s="29">
        <f t="shared" si="42"/>
        <v>0</v>
      </c>
      <c r="H85" s="29">
        <f t="shared" si="42"/>
        <v>0</v>
      </c>
      <c r="I85" s="29">
        <f t="shared" si="42"/>
        <v>0</v>
      </c>
      <c r="J85" s="29">
        <f t="shared" si="42"/>
        <v>0</v>
      </c>
      <c r="K85" s="29">
        <f t="shared" si="42"/>
        <v>0</v>
      </c>
      <c r="L85" s="29">
        <f t="shared" si="42"/>
        <v>0</v>
      </c>
      <c r="M85" s="29">
        <f t="shared" si="42"/>
        <v>0</v>
      </c>
      <c r="N85" s="29">
        <f t="shared" si="42"/>
        <v>3300000</v>
      </c>
      <c r="O85" s="31">
        <v>-0.05</v>
      </c>
      <c r="Q85" s="33"/>
    </row>
    <row r="86" spans="3:17" ht="12.75">
      <c r="C86" s="14" t="s">
        <v>77</v>
      </c>
      <c r="N86" s="29">
        <f>N85*O85</f>
        <v>-165000</v>
      </c>
      <c r="O86" s="14" t="s">
        <v>90</v>
      </c>
      <c r="P86" s="29">
        <f>N45-N48</f>
        <v>2200000</v>
      </c>
      <c r="Q86" s="33"/>
    </row>
    <row r="87" spans="3:17" ht="12.75">
      <c r="C87" s="14" t="s">
        <v>78</v>
      </c>
      <c r="N87" s="36">
        <f>IF(P87&lt;0,0,P87*-$O$34)</f>
        <v>-84150</v>
      </c>
      <c r="O87" s="14" t="s">
        <v>91</v>
      </c>
      <c r="P87" s="29">
        <f>SUM(N85:N86)-P86</f>
        <v>935000</v>
      </c>
    </row>
    <row r="89" spans="3:17" ht="12.75">
      <c r="C89" s="14" t="s">
        <v>43</v>
      </c>
      <c r="D89" s="29">
        <f>-(E46-D46)</f>
        <v>-100000</v>
      </c>
      <c r="E89" s="29">
        <f t="shared" ref="E89:N89" si="43">-(F46-E46)</f>
        <v>0</v>
      </c>
      <c r="F89" s="29">
        <f t="shared" si="43"/>
        <v>0</v>
      </c>
      <c r="G89" s="29">
        <f t="shared" si="43"/>
        <v>0</v>
      </c>
      <c r="H89" s="29">
        <f t="shared" si="43"/>
        <v>0</v>
      </c>
      <c r="I89" s="29">
        <f t="shared" si="43"/>
        <v>0</v>
      </c>
      <c r="J89" s="29">
        <f t="shared" si="43"/>
        <v>0</v>
      </c>
      <c r="K89" s="29">
        <f t="shared" si="43"/>
        <v>0</v>
      </c>
      <c r="L89" s="29">
        <f t="shared" si="43"/>
        <v>0</v>
      </c>
      <c r="M89" s="29">
        <f t="shared" si="43"/>
        <v>0</v>
      </c>
      <c r="N89" s="29">
        <f t="shared" si="43"/>
        <v>99999.8</v>
      </c>
      <c r="O89" s="31">
        <v>-0.4</v>
      </c>
    </row>
    <row r="90" spans="3:17" ht="12.75">
      <c r="C90" s="14" t="s">
        <v>77</v>
      </c>
      <c r="N90" s="29">
        <f>N89*O89</f>
        <v>-39999.920000000006</v>
      </c>
      <c r="O90" s="14" t="s">
        <v>90</v>
      </c>
      <c r="P90" s="29">
        <f>N46-N47</f>
        <v>0</v>
      </c>
    </row>
    <row r="91" spans="3:17" ht="12.75">
      <c r="C91" s="14" t="s">
        <v>78</v>
      </c>
      <c r="N91" s="36">
        <f>IF(P91&lt;0,0,P91*-$O$34)</f>
        <v>-5399.9892</v>
      </c>
      <c r="O91" s="14" t="s">
        <v>91</v>
      </c>
      <c r="P91" s="29">
        <f>SUM(N89:N90)-P90</f>
        <v>59999.88</v>
      </c>
    </row>
    <row r="94" spans="3:17" ht="12.75">
      <c r="C94" s="32" t="s">
        <v>97</v>
      </c>
      <c r="D94" s="39">
        <f>SUM(D71:D93)</f>
        <v>-6549668.261834614</v>
      </c>
      <c r="E94" s="39">
        <f>SUM(E71:E93)</f>
        <v>57683.773357544822</v>
      </c>
      <c r="F94" s="39">
        <f>SUM(F71:F93)</f>
        <v>64776.6852411242</v>
      </c>
      <c r="G94" s="39">
        <f t="shared" ref="G94:L94" si="44">SUM(G71:G93)</f>
        <v>62667.514477703095</v>
      </c>
      <c r="H94" s="39">
        <f t="shared" si="44"/>
        <v>60451.09940358701</v>
      </c>
      <c r="I94" s="39">
        <f t="shared" si="44"/>
        <v>78122.01826992174</v>
      </c>
      <c r="J94" s="39">
        <f t="shared" si="44"/>
        <v>75674.576165168648</v>
      </c>
      <c r="K94" s="39">
        <f t="shared" si="44"/>
        <v>73102.79128050241</v>
      </c>
      <c r="L94" s="39">
        <f t="shared" si="44"/>
        <v>70400.380485715024</v>
      </c>
      <c r="M94" s="39">
        <f>SUM(M71:M93)</f>
        <v>67560.744180828799</v>
      </c>
      <c r="N94" s="39">
        <f>SUM(N71:N93)</f>
        <v>14656873.641863439</v>
      </c>
    </row>
    <row r="95" spans="3:17" ht="12.75">
      <c r="C95" s="32" t="s">
        <v>98</v>
      </c>
      <c r="D95" s="28">
        <f>IRR(D94:N94)</f>
        <v>9.0729845044624557E-2</v>
      </c>
    </row>
    <row r="96" spans="3:17" ht="12.75">
      <c r="C96" s="32" t="s">
        <v>79</v>
      </c>
      <c r="D96" s="28">
        <f>AA59</f>
        <v>9.0109600000000012E-2</v>
      </c>
    </row>
    <row r="97" spans="3:14" ht="12.75">
      <c r="C97" s="32" t="s">
        <v>67</v>
      </c>
      <c r="D97" s="39">
        <f>-PV($D$96,D66,,D94)</f>
        <v>-6549668.261834614</v>
      </c>
      <c r="E97" s="39">
        <f t="shared" ref="E97:N97" si="45">-PV($D$96,E66,,E94)</f>
        <v>52915.572303504923</v>
      </c>
      <c r="F97" s="39">
        <f t="shared" si="45"/>
        <v>54510.277379668601</v>
      </c>
      <c r="G97" s="39">
        <f t="shared" si="45"/>
        <v>48376.22519391001</v>
      </c>
      <c r="H97" s="39">
        <f t="shared" si="45"/>
        <v>42807.862856121625</v>
      </c>
      <c r="I97" s="39">
        <f t="shared" si="45"/>
        <v>50748.432612320794</v>
      </c>
      <c r="J97" s="39">
        <f t="shared" si="45"/>
        <v>45095.064426388984</v>
      </c>
      <c r="K97" s="39">
        <f t="shared" si="45"/>
        <v>39961.594641363488</v>
      </c>
      <c r="L97" s="39">
        <f t="shared" si="45"/>
        <v>35303.169047157382</v>
      </c>
      <c r="M97" s="39">
        <f t="shared" si="45"/>
        <v>31078.70730666181</v>
      </c>
      <c r="N97" s="39">
        <f t="shared" si="45"/>
        <v>6184999.9610650316</v>
      </c>
    </row>
    <row r="98" spans="3:14" ht="12.75">
      <c r="C98" s="32" t="s">
        <v>99</v>
      </c>
      <c r="D98" s="36">
        <f>SUM(D97:N97)</f>
        <v>36128.604997513816</v>
      </c>
    </row>
    <row r="99" spans="3:14" ht="12.75">
      <c r="C99" s="32"/>
    </row>
  </sheetData>
  <mergeCells count="2">
    <mergeCell ref="T59:U59"/>
    <mergeCell ref="Y59:Z59"/>
  </mergeCells>
  <pageMargins left="0.75" right="0.75" top="1" bottom="1" header="0.5" footer="0.5"/>
  <pageSetup orientation="portrait" horizontalDpi="4294967292" vertic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DFN">
                <anchor moveWithCells="1" sizeWithCells="1">
                  <from>
                    <xdr:col>2</xdr:col>
                    <xdr:colOff>1857375</xdr:colOff>
                    <xdr:row>59</xdr:row>
                    <xdr:rowOff>9525</xdr:rowOff>
                  </from>
                  <to>
                    <xdr:col>3</xdr:col>
                    <xdr:colOff>409575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0]!DFN">
                <anchor moveWithCells="1" sizeWithCells="1">
                  <from>
                    <xdr:col>2</xdr:col>
                    <xdr:colOff>1828800</xdr:colOff>
                    <xdr:row>55</xdr:row>
                    <xdr:rowOff>66675</xdr:rowOff>
                  </from>
                  <to>
                    <xdr:col>3</xdr:col>
                    <xdr:colOff>447675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Button 4">
              <controlPr defaultSize="0" print="0" autoFill="0" autoPict="0" macro="[0]!DFNtwo">
                <anchor moveWithCells="1" sizeWithCells="1">
                  <from>
                    <xdr:col>2</xdr:col>
                    <xdr:colOff>1971675</xdr:colOff>
                    <xdr:row>53</xdr:row>
                    <xdr:rowOff>47625</xdr:rowOff>
                  </from>
                  <to>
                    <xdr:col>4</xdr:col>
                    <xdr:colOff>0</xdr:colOff>
                    <xdr:row>54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1"/>
  <sheetViews>
    <sheetView workbookViewId="0">
      <selection activeCell="A2" sqref="A1:XFD1048576"/>
    </sheetView>
  </sheetViews>
  <sheetFormatPr defaultColWidth="14.42578125" defaultRowHeight="15.75" customHeight="1"/>
  <sheetData>
    <row r="1" spans="1:9" ht="12.75">
      <c r="B1" t="s">
        <v>57</v>
      </c>
      <c r="C1" t="s">
        <v>58</v>
      </c>
      <c r="D1" t="s">
        <v>59</v>
      </c>
      <c r="E1" t="s">
        <v>60</v>
      </c>
      <c r="F1" t="s">
        <v>61</v>
      </c>
      <c r="H1" t="s">
        <v>62</v>
      </c>
      <c r="I1" s="1">
        <v>4.7500000000000001E-2</v>
      </c>
    </row>
    <row r="2" spans="1:9" ht="12.75">
      <c r="A2" s="9">
        <v>42005</v>
      </c>
      <c r="B2" s="3">
        <f>I6</f>
        <v>1500000</v>
      </c>
      <c r="C2" s="3">
        <f t="shared" ref="C2:C13" si="0">+E2-D2</f>
        <v>3755.8544166433448</v>
      </c>
      <c r="D2" s="3">
        <f t="shared" ref="D2:D13" si="1">B2*$I$2</f>
        <v>5937.5000000000009</v>
      </c>
      <c r="E2" s="3">
        <f t="shared" ref="E2:E13" si="2">-$I$8</f>
        <v>9693.3544166433458</v>
      </c>
      <c r="F2" s="3">
        <f t="shared" ref="F2:F13" si="3">+B2-C2</f>
        <v>1496244.1455833567</v>
      </c>
      <c r="H2" t="s">
        <v>63</v>
      </c>
      <c r="I2" s="1">
        <f>+I1/12</f>
        <v>3.9583333333333337E-3</v>
      </c>
    </row>
    <row r="3" spans="1:9" ht="12.75">
      <c r="A3" s="9">
        <v>42036</v>
      </c>
      <c r="B3" s="3">
        <f t="shared" ref="B3:B13" si="4">+F2</f>
        <v>1496244.1455833567</v>
      </c>
      <c r="C3" s="3">
        <f t="shared" si="0"/>
        <v>3770.7213403758915</v>
      </c>
      <c r="D3" s="3">
        <f t="shared" si="1"/>
        <v>5922.6330762674543</v>
      </c>
      <c r="E3" s="3">
        <f t="shared" si="2"/>
        <v>9693.3544166433458</v>
      </c>
      <c r="F3" s="3">
        <f t="shared" si="3"/>
        <v>1492473.4242429808</v>
      </c>
      <c r="H3" t="s">
        <v>64</v>
      </c>
      <c r="I3" s="4">
        <v>0</v>
      </c>
    </row>
    <row r="4" spans="1:9" ht="12.75">
      <c r="A4" s="9">
        <v>42064</v>
      </c>
      <c r="B4" s="3">
        <f t="shared" si="4"/>
        <v>1492473.4242429808</v>
      </c>
      <c r="C4" s="3">
        <f t="shared" si="0"/>
        <v>3785.6471123482133</v>
      </c>
      <c r="D4" s="3">
        <f t="shared" si="1"/>
        <v>5907.7073042951324</v>
      </c>
      <c r="E4" s="3">
        <f t="shared" si="2"/>
        <v>9693.3544166433458</v>
      </c>
      <c r="F4" s="3">
        <f t="shared" si="3"/>
        <v>1488687.7771306327</v>
      </c>
      <c r="H4" t="s">
        <v>65</v>
      </c>
      <c r="I4" s="5">
        <f>12*20</f>
        <v>240</v>
      </c>
    </row>
    <row r="5" spans="1:9" ht="12.75">
      <c r="A5" s="9">
        <v>42095</v>
      </c>
      <c r="B5" s="3">
        <f t="shared" si="4"/>
        <v>1488687.7771306327</v>
      </c>
      <c r="C5" s="3">
        <f t="shared" si="0"/>
        <v>3800.6319655012576</v>
      </c>
      <c r="D5" s="3">
        <f t="shared" si="1"/>
        <v>5892.7224511420882</v>
      </c>
      <c r="E5" s="3">
        <f t="shared" si="2"/>
        <v>9693.3544166433458</v>
      </c>
      <c r="F5" s="3">
        <f t="shared" si="3"/>
        <v>1484887.1451651314</v>
      </c>
      <c r="H5" t="s">
        <v>66</v>
      </c>
      <c r="I5">
        <v>0</v>
      </c>
    </row>
    <row r="6" spans="1:9" ht="12.75">
      <c r="A6" s="9">
        <v>42125</v>
      </c>
      <c r="B6" s="3">
        <f t="shared" si="4"/>
        <v>1484887.1451651314</v>
      </c>
      <c r="C6" s="3">
        <f t="shared" si="0"/>
        <v>3815.6761336980335</v>
      </c>
      <c r="D6" s="3">
        <f t="shared" si="1"/>
        <v>5877.6782829453123</v>
      </c>
      <c r="E6" s="3">
        <f t="shared" si="2"/>
        <v>9693.3544166433458</v>
      </c>
      <c r="F6" s="3">
        <f t="shared" si="3"/>
        <v>1481071.4690314333</v>
      </c>
      <c r="H6" t="s">
        <v>67</v>
      </c>
      <c r="I6" s="4">
        <v>1500000</v>
      </c>
    </row>
    <row r="7" spans="1:9" ht="12.75">
      <c r="A7" s="9">
        <v>42156</v>
      </c>
      <c r="B7" s="3">
        <f t="shared" si="4"/>
        <v>1481071.4690314333</v>
      </c>
      <c r="C7" s="3">
        <f t="shared" si="0"/>
        <v>3830.7798517272549</v>
      </c>
      <c r="D7" s="3">
        <f t="shared" si="1"/>
        <v>5862.5745649160908</v>
      </c>
      <c r="E7" s="3">
        <f t="shared" si="2"/>
        <v>9693.3544166433458</v>
      </c>
      <c r="F7" s="3">
        <f t="shared" si="3"/>
        <v>1477240.6891797062</v>
      </c>
    </row>
    <row r="8" spans="1:9" ht="12.75">
      <c r="A8" s="9">
        <v>42186</v>
      </c>
      <c r="B8" s="3">
        <f t="shared" si="4"/>
        <v>1477240.6891797062</v>
      </c>
      <c r="C8" s="3">
        <f t="shared" si="0"/>
        <v>3845.9433553070085</v>
      </c>
      <c r="D8" s="3">
        <f t="shared" si="1"/>
        <v>5847.4110613363373</v>
      </c>
      <c r="E8" s="3">
        <f t="shared" si="2"/>
        <v>9693.3544166433458</v>
      </c>
      <c r="F8" s="3">
        <f t="shared" si="3"/>
        <v>1473394.7458243992</v>
      </c>
      <c r="H8" t="s">
        <v>60</v>
      </c>
      <c r="I8" s="4">
        <f>PMT(I2,I4,I6,I3,I5)</f>
        <v>-9693.3544166433458</v>
      </c>
    </row>
    <row r="9" spans="1:9" ht="12.75">
      <c r="A9" s="9">
        <v>42217</v>
      </c>
      <c r="B9" s="3">
        <f t="shared" si="4"/>
        <v>1473394.7458243992</v>
      </c>
      <c r="C9" s="3">
        <f t="shared" si="0"/>
        <v>3861.1668810884321</v>
      </c>
      <c r="D9" s="3">
        <f t="shared" si="1"/>
        <v>5832.1875355549137</v>
      </c>
      <c r="E9" s="3">
        <f t="shared" si="2"/>
        <v>9693.3544166433458</v>
      </c>
      <c r="F9" s="3">
        <f t="shared" si="3"/>
        <v>1469533.5789433108</v>
      </c>
    </row>
    <row r="10" spans="1:9" ht="12.75">
      <c r="A10" s="9">
        <v>42248</v>
      </c>
      <c r="B10" s="3">
        <f t="shared" si="4"/>
        <v>1469533.5789433108</v>
      </c>
      <c r="C10" s="3">
        <f t="shared" si="0"/>
        <v>3876.450666659407</v>
      </c>
      <c r="D10" s="3">
        <f t="shared" si="1"/>
        <v>5816.9037499839387</v>
      </c>
      <c r="E10" s="3">
        <f t="shared" si="2"/>
        <v>9693.3544166433458</v>
      </c>
      <c r="F10" s="3">
        <f t="shared" si="3"/>
        <v>1465657.1282766513</v>
      </c>
    </row>
    <row r="11" spans="1:9" ht="12.75">
      <c r="A11" s="9">
        <v>42278</v>
      </c>
      <c r="B11" s="3">
        <f t="shared" si="4"/>
        <v>1465657.1282766513</v>
      </c>
      <c r="C11" s="3">
        <f t="shared" si="0"/>
        <v>3891.7949505482675</v>
      </c>
      <c r="D11" s="3">
        <f t="shared" si="1"/>
        <v>5801.5594660950783</v>
      </c>
      <c r="E11" s="3">
        <f t="shared" si="2"/>
        <v>9693.3544166433458</v>
      </c>
      <c r="F11" s="3">
        <f t="shared" si="3"/>
        <v>1461765.3333261029</v>
      </c>
    </row>
    <row r="12" spans="1:9" ht="12.75">
      <c r="A12" s="9">
        <v>42309</v>
      </c>
      <c r="B12" s="3">
        <f t="shared" si="4"/>
        <v>1461765.3333261029</v>
      </c>
      <c r="C12" s="3">
        <f t="shared" si="0"/>
        <v>3907.1999722275214</v>
      </c>
      <c r="D12" s="3">
        <f t="shared" si="1"/>
        <v>5786.1544444158244</v>
      </c>
      <c r="E12" s="3">
        <f t="shared" si="2"/>
        <v>9693.3544166433458</v>
      </c>
      <c r="F12" s="3">
        <f t="shared" si="3"/>
        <v>1457858.1333538755</v>
      </c>
    </row>
    <row r="13" spans="1:9" ht="12.75">
      <c r="A13" s="9">
        <v>42339</v>
      </c>
      <c r="B13" s="3">
        <f t="shared" si="4"/>
        <v>1457858.1333538755</v>
      </c>
      <c r="C13" s="3">
        <f t="shared" si="0"/>
        <v>3922.6659721175884</v>
      </c>
      <c r="D13" s="3">
        <f t="shared" si="1"/>
        <v>5770.6884445257574</v>
      </c>
      <c r="E13" s="3">
        <f t="shared" si="2"/>
        <v>9693.3544166433458</v>
      </c>
      <c r="F13" s="6">
        <f t="shared" si="3"/>
        <v>1453935.4673817579</v>
      </c>
    </row>
    <row r="14" spans="1:9" ht="12.75">
      <c r="A14" s="7" t="s">
        <v>68</v>
      </c>
      <c r="B14" s="7"/>
      <c r="C14" s="6">
        <f>SUM(C2:C13)</f>
        <v>46064.532618242229</v>
      </c>
      <c r="D14" s="6">
        <f>SUM(D2:D13)</f>
        <v>70255.720381477935</v>
      </c>
      <c r="E14" s="3"/>
      <c r="F14" s="3"/>
    </row>
    <row r="15" spans="1:9" ht="12.75">
      <c r="B15" s="2"/>
      <c r="C15" s="3"/>
      <c r="D15" s="3"/>
      <c r="E15" s="3"/>
      <c r="F15" s="3"/>
    </row>
    <row r="16" spans="1:9" ht="12.75">
      <c r="A16" s="9">
        <v>42370</v>
      </c>
      <c r="B16" s="3">
        <f>+F13</f>
        <v>1453935.4673817579</v>
      </c>
      <c r="C16" s="3">
        <f t="shared" ref="C16:C27" si="5">+E16-D16</f>
        <v>3938.1931915905534</v>
      </c>
      <c r="D16" s="3">
        <f t="shared" ref="D16:D27" si="6">B16*$I$2</f>
        <v>5755.1612250527924</v>
      </c>
      <c r="E16" s="3">
        <f t="shared" ref="E16:E27" si="7">-$I$8</f>
        <v>9693.3544166433458</v>
      </c>
      <c r="F16" s="3">
        <f t="shared" ref="F16:F27" si="8">+B16-C16</f>
        <v>1449997.2741901674</v>
      </c>
    </row>
    <row r="17" spans="1:6" ht="12.75">
      <c r="A17" s="9">
        <v>42401</v>
      </c>
      <c r="B17" s="3">
        <f t="shared" ref="B17:B27" si="9">+F16</f>
        <v>1449997.2741901674</v>
      </c>
      <c r="C17" s="3">
        <f t="shared" si="5"/>
        <v>3953.7818729739329</v>
      </c>
      <c r="D17" s="3">
        <f t="shared" si="6"/>
        <v>5739.5725436694129</v>
      </c>
      <c r="E17" s="3">
        <f t="shared" si="7"/>
        <v>9693.3544166433458</v>
      </c>
      <c r="F17" s="3">
        <f t="shared" si="8"/>
        <v>1446043.4923171934</v>
      </c>
    </row>
    <row r="18" spans="1:6" ht="12.75">
      <c r="A18" s="9">
        <v>42430</v>
      </c>
      <c r="B18" s="3">
        <f t="shared" si="9"/>
        <v>1446043.4923171934</v>
      </c>
      <c r="C18" s="3">
        <f t="shared" si="5"/>
        <v>3969.4322595544545</v>
      </c>
      <c r="D18" s="3">
        <f t="shared" si="6"/>
        <v>5723.9221570888913</v>
      </c>
      <c r="E18" s="3">
        <f t="shared" si="7"/>
        <v>9693.3544166433458</v>
      </c>
      <c r="F18" s="3">
        <f t="shared" si="8"/>
        <v>1442074.0600576389</v>
      </c>
    </row>
    <row r="19" spans="1:6" ht="12.75">
      <c r="A19" s="9">
        <v>42461</v>
      </c>
      <c r="B19" s="3">
        <f t="shared" si="9"/>
        <v>1442074.0600576389</v>
      </c>
      <c r="C19" s="3">
        <f t="shared" si="5"/>
        <v>3985.1445955818581</v>
      </c>
      <c r="D19" s="3">
        <f t="shared" si="6"/>
        <v>5708.2098210614877</v>
      </c>
      <c r="E19" s="3">
        <f t="shared" si="7"/>
        <v>9693.3544166433458</v>
      </c>
      <c r="F19" s="3">
        <f t="shared" si="8"/>
        <v>1438088.9154620571</v>
      </c>
    </row>
    <row r="20" spans="1:6" ht="12.75">
      <c r="A20" s="9">
        <v>42491</v>
      </c>
      <c r="B20" s="3">
        <f t="shared" si="9"/>
        <v>1438088.9154620571</v>
      </c>
      <c r="C20" s="3">
        <f t="shared" si="5"/>
        <v>4000.9191262727027</v>
      </c>
      <c r="D20" s="3">
        <f t="shared" si="6"/>
        <v>5692.4352903706431</v>
      </c>
      <c r="E20" s="3">
        <f t="shared" si="7"/>
        <v>9693.3544166433458</v>
      </c>
      <c r="F20" s="3">
        <f t="shared" si="8"/>
        <v>1434087.9963357844</v>
      </c>
    </row>
    <row r="21" spans="1:6" ht="12.75">
      <c r="A21" s="9">
        <v>42522</v>
      </c>
      <c r="B21" s="3">
        <f t="shared" si="9"/>
        <v>1434087.9963357844</v>
      </c>
      <c r="C21" s="3">
        <f t="shared" si="5"/>
        <v>4016.7560978141983</v>
      </c>
      <c r="D21" s="3">
        <f t="shared" si="6"/>
        <v>5676.5983188291475</v>
      </c>
      <c r="E21" s="3">
        <f t="shared" si="7"/>
        <v>9693.3544166433458</v>
      </c>
      <c r="F21" s="3">
        <f t="shared" si="8"/>
        <v>1430071.2402379701</v>
      </c>
    </row>
    <row r="22" spans="1:6" ht="12.75">
      <c r="A22" s="9">
        <v>42552</v>
      </c>
      <c r="B22" s="3">
        <f t="shared" si="9"/>
        <v>1430071.2402379701</v>
      </c>
      <c r="C22" s="3">
        <f t="shared" si="5"/>
        <v>4032.6557573680466</v>
      </c>
      <c r="D22" s="3">
        <f t="shared" si="6"/>
        <v>5660.6986592752992</v>
      </c>
      <c r="E22" s="3">
        <f t="shared" si="7"/>
        <v>9693.3544166433458</v>
      </c>
      <c r="F22" s="3">
        <f t="shared" si="8"/>
        <v>1426038.5844806021</v>
      </c>
    </row>
    <row r="23" spans="1:6" ht="12.75">
      <c r="A23" s="9">
        <v>42583</v>
      </c>
      <c r="B23" s="3">
        <f t="shared" si="9"/>
        <v>1426038.5844806021</v>
      </c>
      <c r="C23" s="3">
        <f t="shared" si="5"/>
        <v>4048.6183530742956</v>
      </c>
      <c r="D23" s="3">
        <f t="shared" si="6"/>
        <v>5644.7360635690502</v>
      </c>
      <c r="E23" s="3">
        <f t="shared" si="7"/>
        <v>9693.3544166433458</v>
      </c>
      <c r="F23" s="3">
        <f t="shared" si="8"/>
        <v>1421989.9661275279</v>
      </c>
    </row>
    <row r="24" spans="1:6" ht="12.75">
      <c r="A24" s="9">
        <v>42614</v>
      </c>
      <c r="B24" s="3">
        <f t="shared" si="9"/>
        <v>1421989.9661275279</v>
      </c>
      <c r="C24" s="3">
        <f t="shared" si="5"/>
        <v>4064.6441340552137</v>
      </c>
      <c r="D24" s="3">
        <f t="shared" si="6"/>
        <v>5628.710282588132</v>
      </c>
      <c r="E24" s="3">
        <f t="shared" si="7"/>
        <v>9693.3544166433458</v>
      </c>
      <c r="F24" s="3">
        <f t="shared" si="8"/>
        <v>1417925.3219934728</v>
      </c>
    </row>
    <row r="25" spans="1:6" ht="12.75">
      <c r="A25" s="9">
        <v>42644</v>
      </c>
      <c r="B25" s="3">
        <f t="shared" si="9"/>
        <v>1417925.3219934728</v>
      </c>
      <c r="C25" s="3">
        <f t="shared" si="5"/>
        <v>4080.733350419182</v>
      </c>
      <c r="D25" s="3">
        <f t="shared" si="6"/>
        <v>5612.6210662241638</v>
      </c>
      <c r="E25" s="3">
        <f t="shared" si="7"/>
        <v>9693.3544166433458</v>
      </c>
      <c r="F25" s="3">
        <f t="shared" si="8"/>
        <v>1413844.5886430535</v>
      </c>
    </row>
    <row r="26" spans="1:6" ht="12.75">
      <c r="A26" s="9">
        <v>42675</v>
      </c>
      <c r="B26" s="3">
        <f t="shared" si="9"/>
        <v>1413844.5886430535</v>
      </c>
      <c r="C26" s="3">
        <f t="shared" si="5"/>
        <v>4096.8862532645917</v>
      </c>
      <c r="D26" s="3">
        <f t="shared" si="6"/>
        <v>5596.4681633787541</v>
      </c>
      <c r="E26" s="3">
        <f t="shared" si="7"/>
        <v>9693.3544166433458</v>
      </c>
      <c r="F26" s="3">
        <f t="shared" si="8"/>
        <v>1409747.702389789</v>
      </c>
    </row>
    <row r="27" spans="1:6" ht="12.75">
      <c r="A27" s="9">
        <v>42705</v>
      </c>
      <c r="B27" s="3">
        <f t="shared" si="9"/>
        <v>1409747.702389789</v>
      </c>
      <c r="C27" s="3">
        <f t="shared" si="5"/>
        <v>4113.1030946837636</v>
      </c>
      <c r="D27" s="3">
        <f t="shared" si="6"/>
        <v>5580.2513219595821</v>
      </c>
      <c r="E27" s="3">
        <f t="shared" si="7"/>
        <v>9693.3544166433458</v>
      </c>
      <c r="F27" s="6">
        <f t="shared" si="8"/>
        <v>1405634.5992951053</v>
      </c>
    </row>
    <row r="28" spans="1:6" ht="12.75">
      <c r="A28" s="7" t="s">
        <v>68</v>
      </c>
      <c r="B28" s="7"/>
      <c r="C28" s="6">
        <f>SUM(C16:C27)</f>
        <v>48300.868086652801</v>
      </c>
      <c r="D28" s="6">
        <f>SUM(D16:D27)</f>
        <v>68019.384913067363</v>
      </c>
      <c r="E28" s="3"/>
      <c r="F28" s="3"/>
    </row>
    <row r="29" spans="1:6" ht="12.75">
      <c r="B29" s="2"/>
      <c r="C29" s="3"/>
      <c r="D29" s="3"/>
      <c r="E29" s="3"/>
      <c r="F29" s="3"/>
    </row>
    <row r="30" spans="1:6" ht="12.75">
      <c r="A30" s="9">
        <v>42736</v>
      </c>
      <c r="B30" s="3">
        <f>+F27</f>
        <v>1405634.5992951053</v>
      </c>
      <c r="C30" s="3">
        <f t="shared" ref="C30:C41" si="10">+E30-D30</f>
        <v>4129.3841277668871</v>
      </c>
      <c r="D30" s="3">
        <f t="shared" ref="D30:D41" si="11">B30*$I$2</f>
        <v>5563.9702888764587</v>
      </c>
      <c r="E30" s="3">
        <f t="shared" ref="E30:E41" si="12">-$I$8</f>
        <v>9693.3544166433458</v>
      </c>
      <c r="F30" s="3">
        <f t="shared" ref="F30:F41" si="13">+B30-C30</f>
        <v>1401505.2151673385</v>
      </c>
    </row>
    <row r="31" spans="1:6" ht="12.75">
      <c r="A31" s="9">
        <v>42767</v>
      </c>
      <c r="B31" s="3">
        <f t="shared" ref="B31:B41" si="14">+F30</f>
        <v>1401505.2151673385</v>
      </c>
      <c r="C31" s="3">
        <f t="shared" si="10"/>
        <v>4145.7296066059635</v>
      </c>
      <c r="D31" s="3">
        <f t="shared" si="11"/>
        <v>5547.6248100373823</v>
      </c>
      <c r="E31" s="3">
        <f t="shared" si="12"/>
        <v>9693.3544166433458</v>
      </c>
      <c r="F31" s="3">
        <f t="shared" si="13"/>
        <v>1397359.4855607324</v>
      </c>
    </row>
    <row r="32" spans="1:6" ht="12.75">
      <c r="A32" s="9">
        <v>42795</v>
      </c>
      <c r="B32" s="3">
        <f t="shared" si="14"/>
        <v>1397359.4855607324</v>
      </c>
      <c r="C32" s="3">
        <f t="shared" si="10"/>
        <v>4162.1397862987797</v>
      </c>
      <c r="D32" s="3">
        <f t="shared" si="11"/>
        <v>5531.2146303445661</v>
      </c>
      <c r="E32" s="3">
        <f t="shared" si="12"/>
        <v>9693.3544166433458</v>
      </c>
      <c r="F32" s="3">
        <f t="shared" si="13"/>
        <v>1393197.3457744336</v>
      </c>
    </row>
    <row r="33" spans="1:6" ht="12.75">
      <c r="A33" s="9">
        <v>42826</v>
      </c>
      <c r="B33" s="3">
        <f t="shared" si="14"/>
        <v>1393197.3457744336</v>
      </c>
      <c r="C33" s="3">
        <f t="shared" si="10"/>
        <v>4178.6149229528792</v>
      </c>
      <c r="D33" s="3">
        <f t="shared" si="11"/>
        <v>5514.7394936904666</v>
      </c>
      <c r="E33" s="3">
        <f t="shared" si="12"/>
        <v>9693.3544166433458</v>
      </c>
      <c r="F33" s="3">
        <f t="shared" si="13"/>
        <v>1389018.7308514807</v>
      </c>
    </row>
    <row r="34" spans="1:6" ht="12.75">
      <c r="A34" s="9">
        <v>42856</v>
      </c>
      <c r="B34" s="3">
        <f t="shared" si="14"/>
        <v>1389018.7308514807</v>
      </c>
      <c r="C34" s="3">
        <f t="shared" si="10"/>
        <v>4195.1552736895674</v>
      </c>
      <c r="D34" s="3">
        <f t="shared" si="11"/>
        <v>5498.1991429537784</v>
      </c>
      <c r="E34" s="3">
        <f t="shared" si="12"/>
        <v>9693.3544166433458</v>
      </c>
      <c r="F34" s="3">
        <f t="shared" si="13"/>
        <v>1384823.5755777911</v>
      </c>
    </row>
    <row r="35" spans="1:6" ht="12.75">
      <c r="A35" s="9">
        <v>42887</v>
      </c>
      <c r="B35" s="3">
        <f t="shared" si="14"/>
        <v>1384823.5755777911</v>
      </c>
      <c r="C35" s="3">
        <f t="shared" si="10"/>
        <v>4211.7610966479224</v>
      </c>
      <c r="D35" s="3">
        <f t="shared" si="11"/>
        <v>5481.5933199954234</v>
      </c>
      <c r="E35" s="3">
        <f t="shared" si="12"/>
        <v>9693.3544166433458</v>
      </c>
      <c r="F35" s="3">
        <f t="shared" si="13"/>
        <v>1380611.8144811431</v>
      </c>
    </row>
    <row r="36" spans="1:6" ht="12.75">
      <c r="A36" s="9">
        <v>42917</v>
      </c>
      <c r="B36" s="3">
        <f t="shared" si="14"/>
        <v>1380611.8144811431</v>
      </c>
      <c r="C36" s="3">
        <f t="shared" si="10"/>
        <v>4228.4326509888206</v>
      </c>
      <c r="D36" s="3">
        <f t="shared" si="11"/>
        <v>5464.9217656545252</v>
      </c>
      <c r="E36" s="3">
        <f t="shared" si="12"/>
        <v>9693.3544166433458</v>
      </c>
      <c r="F36" s="3">
        <f t="shared" si="13"/>
        <v>1376383.3818301542</v>
      </c>
    </row>
    <row r="37" spans="1:6" ht="12.75">
      <c r="A37" s="9">
        <v>42948</v>
      </c>
      <c r="B37" s="3">
        <f t="shared" si="14"/>
        <v>1376383.3818301542</v>
      </c>
      <c r="C37" s="3">
        <f t="shared" si="10"/>
        <v>4245.1701968989846</v>
      </c>
      <c r="D37" s="3">
        <f t="shared" si="11"/>
        <v>5448.1842197443611</v>
      </c>
      <c r="E37" s="3">
        <f t="shared" si="12"/>
        <v>9693.3544166433458</v>
      </c>
      <c r="F37" s="3">
        <f t="shared" si="13"/>
        <v>1372138.2116332552</v>
      </c>
    </row>
    <row r="38" spans="1:6" ht="12.75">
      <c r="A38" s="9">
        <v>42979</v>
      </c>
      <c r="B38" s="3">
        <f t="shared" si="14"/>
        <v>1372138.2116332552</v>
      </c>
      <c r="C38" s="3">
        <f t="shared" si="10"/>
        <v>4261.9739955950436</v>
      </c>
      <c r="D38" s="3">
        <f t="shared" si="11"/>
        <v>5431.3804210483022</v>
      </c>
      <c r="E38" s="3">
        <f t="shared" si="12"/>
        <v>9693.3544166433458</v>
      </c>
      <c r="F38" s="3">
        <f t="shared" si="13"/>
        <v>1367876.2376376602</v>
      </c>
    </row>
    <row r="39" spans="1:6" ht="12.75">
      <c r="A39" s="9">
        <v>43009</v>
      </c>
      <c r="B39" s="3">
        <f t="shared" si="14"/>
        <v>1367876.2376376602</v>
      </c>
      <c r="C39" s="3">
        <f t="shared" si="10"/>
        <v>4278.8443093276064</v>
      </c>
      <c r="D39" s="3">
        <f t="shared" si="11"/>
        <v>5414.5101073157393</v>
      </c>
      <c r="E39" s="3">
        <f t="shared" si="12"/>
        <v>9693.3544166433458</v>
      </c>
      <c r="F39" s="3">
        <f t="shared" si="13"/>
        <v>1363597.3933283326</v>
      </c>
    </row>
    <row r="40" spans="1:6" ht="12.75">
      <c r="A40" s="9">
        <v>43040</v>
      </c>
      <c r="B40" s="3">
        <f t="shared" si="14"/>
        <v>1363597.3933283326</v>
      </c>
      <c r="C40" s="3">
        <f t="shared" si="10"/>
        <v>4295.7814013853622</v>
      </c>
      <c r="D40" s="3">
        <f t="shared" si="11"/>
        <v>5397.5730152579836</v>
      </c>
      <c r="E40" s="3">
        <f t="shared" si="12"/>
        <v>9693.3544166433458</v>
      </c>
      <c r="F40" s="3">
        <f t="shared" si="13"/>
        <v>1359301.6119269473</v>
      </c>
    </row>
    <row r="41" spans="1:6" ht="12.75">
      <c r="A41" s="9">
        <v>43070</v>
      </c>
      <c r="B41" s="3">
        <f t="shared" si="14"/>
        <v>1359301.6119269473</v>
      </c>
      <c r="C41" s="3">
        <f t="shared" si="10"/>
        <v>4312.7855360991789</v>
      </c>
      <c r="D41" s="3">
        <f t="shared" si="11"/>
        <v>5380.5688805441669</v>
      </c>
      <c r="E41" s="3">
        <f t="shared" si="12"/>
        <v>9693.3544166433458</v>
      </c>
      <c r="F41" s="6">
        <f t="shared" si="13"/>
        <v>1354988.826390848</v>
      </c>
    </row>
    <row r="42" spans="1:6" ht="12.75">
      <c r="A42" s="7" t="s">
        <v>68</v>
      </c>
      <c r="B42" s="7"/>
      <c r="C42" s="6">
        <f>SUM(C30:C41)</f>
        <v>50645.772904256999</v>
      </c>
      <c r="D42" s="6">
        <f>SUM(D30:D41)</f>
        <v>65674.48009546315</v>
      </c>
      <c r="E42" s="3"/>
      <c r="F42" s="3"/>
    </row>
    <row r="43" spans="1:6" ht="12.75">
      <c r="B43" s="2"/>
      <c r="C43" s="3"/>
      <c r="D43" s="3"/>
      <c r="E43" s="3"/>
      <c r="F43" s="3"/>
    </row>
    <row r="44" spans="1:6" ht="12.75">
      <c r="A44" s="9">
        <v>43101</v>
      </c>
      <c r="B44" s="3">
        <f>+F41</f>
        <v>1354988.826390848</v>
      </c>
      <c r="C44" s="3">
        <f>+E44-D44</f>
        <v>4329.8569788462382</v>
      </c>
      <c r="D44" s="3">
        <f>B44*$I$2</f>
        <v>5363.4974377971075</v>
      </c>
      <c r="E44" s="3">
        <f t="shared" ref="E44:E69" si="15">-$I$8</f>
        <v>9693.3544166433458</v>
      </c>
      <c r="F44" s="3">
        <f t="shared" ref="F44:F55" si="16">+B44-C44</f>
        <v>1350658.9694120018</v>
      </c>
    </row>
    <row r="45" spans="1:6" ht="12.75">
      <c r="A45" s="9">
        <v>43132</v>
      </c>
      <c r="B45" s="3">
        <f t="shared" ref="B45:B55" si="17">+F44</f>
        <v>1350658.9694120018</v>
      </c>
      <c r="C45" s="3">
        <f t="shared" ref="C45:C55" si="18">+E45-D45</f>
        <v>4346.9959960541719</v>
      </c>
      <c r="D45" s="3">
        <f t="shared" ref="D45:D55" si="19">B45*$I$2</f>
        <v>5346.3584205891739</v>
      </c>
      <c r="E45" s="3">
        <f t="shared" si="15"/>
        <v>9693.3544166433458</v>
      </c>
      <c r="F45" s="3">
        <f t="shared" si="16"/>
        <v>1346311.9734159475</v>
      </c>
    </row>
    <row r="46" spans="1:6" ht="12.75">
      <c r="A46" s="9">
        <v>43160</v>
      </c>
      <c r="B46" s="3">
        <f t="shared" si="17"/>
        <v>1346311.9734159475</v>
      </c>
      <c r="C46" s="3">
        <f t="shared" si="18"/>
        <v>4364.2028552052197</v>
      </c>
      <c r="D46" s="3">
        <f t="shared" si="19"/>
        <v>5329.151561438126</v>
      </c>
      <c r="E46" s="3">
        <f t="shared" si="15"/>
        <v>9693.3544166433458</v>
      </c>
      <c r="F46" s="3">
        <f t="shared" si="16"/>
        <v>1341947.7705607424</v>
      </c>
    </row>
    <row r="47" spans="1:6" ht="12.75">
      <c r="A47" s="9">
        <v>43191</v>
      </c>
      <c r="B47" s="3">
        <f t="shared" si="17"/>
        <v>1341947.7705607424</v>
      </c>
      <c r="C47" s="3">
        <f t="shared" si="18"/>
        <v>4381.4778248404073</v>
      </c>
      <c r="D47" s="3">
        <f t="shared" si="19"/>
        <v>5311.8765918029385</v>
      </c>
      <c r="E47" s="3">
        <f t="shared" si="15"/>
        <v>9693.3544166433458</v>
      </c>
      <c r="F47" s="3">
        <f t="shared" si="16"/>
        <v>1337566.2927359019</v>
      </c>
    </row>
    <row r="48" spans="1:6" ht="12.75">
      <c r="A48" s="9">
        <v>43221</v>
      </c>
      <c r="B48" s="3">
        <f t="shared" si="17"/>
        <v>1337566.2927359019</v>
      </c>
      <c r="C48" s="3">
        <f t="shared" si="18"/>
        <v>4398.8211745637336</v>
      </c>
      <c r="D48" s="3">
        <f t="shared" si="19"/>
        <v>5294.5332420796121</v>
      </c>
      <c r="E48" s="3">
        <f t="shared" si="15"/>
        <v>9693.3544166433458</v>
      </c>
      <c r="F48" s="3">
        <f t="shared" si="16"/>
        <v>1333167.4715613381</v>
      </c>
    </row>
    <row r="49" spans="1:7" ht="12.75">
      <c r="A49" s="9">
        <v>43252</v>
      </c>
      <c r="B49" s="3">
        <f t="shared" si="17"/>
        <v>1333167.4715613381</v>
      </c>
      <c r="C49" s="3">
        <f t="shared" si="18"/>
        <v>4416.2331750463818</v>
      </c>
      <c r="D49" s="3">
        <f t="shared" si="19"/>
        <v>5277.121241596964</v>
      </c>
      <c r="E49" s="3">
        <f t="shared" si="15"/>
        <v>9693.3544166433458</v>
      </c>
      <c r="F49" s="3">
        <f t="shared" si="16"/>
        <v>1328751.2383862918</v>
      </c>
    </row>
    <row r="50" spans="1:7" ht="12.75">
      <c r="A50" s="9">
        <v>43282</v>
      </c>
      <c r="B50" s="3">
        <f t="shared" si="17"/>
        <v>1328751.2383862918</v>
      </c>
      <c r="C50" s="3">
        <f t="shared" si="18"/>
        <v>4433.7140980309405</v>
      </c>
      <c r="D50" s="3">
        <f t="shared" si="19"/>
        <v>5259.6403186124053</v>
      </c>
      <c r="E50" s="3">
        <f t="shared" si="15"/>
        <v>9693.3544166433458</v>
      </c>
      <c r="F50" s="3">
        <f t="shared" si="16"/>
        <v>1324317.5242882608</v>
      </c>
    </row>
    <row r="51" spans="1:7" ht="12.75">
      <c r="A51" s="9">
        <v>43313</v>
      </c>
      <c r="B51" s="3">
        <f t="shared" si="17"/>
        <v>1324317.5242882608</v>
      </c>
      <c r="C51" s="3">
        <f t="shared" si="18"/>
        <v>4451.2642163356459</v>
      </c>
      <c r="D51" s="3">
        <f t="shared" si="19"/>
        <v>5242.0902003076999</v>
      </c>
      <c r="E51" s="3">
        <f t="shared" si="15"/>
        <v>9693.3544166433458</v>
      </c>
      <c r="F51" s="3">
        <f t="shared" si="16"/>
        <v>1319866.2600719251</v>
      </c>
    </row>
    <row r="52" spans="1:7" ht="12.75">
      <c r="A52" s="9">
        <v>43344</v>
      </c>
      <c r="B52" s="3">
        <f t="shared" si="17"/>
        <v>1319866.2600719251</v>
      </c>
      <c r="C52" s="3">
        <f t="shared" si="18"/>
        <v>4468.8838038586418</v>
      </c>
      <c r="D52" s="3">
        <f t="shared" si="19"/>
        <v>5224.4706127847039</v>
      </c>
      <c r="E52" s="3">
        <f t="shared" si="15"/>
        <v>9693.3544166433458</v>
      </c>
      <c r="F52" s="3">
        <f t="shared" si="16"/>
        <v>1315397.3762680665</v>
      </c>
    </row>
    <row r="53" spans="1:7" ht="12.75">
      <c r="A53" s="9">
        <v>43374</v>
      </c>
      <c r="B53" s="3">
        <f t="shared" si="17"/>
        <v>1315397.3762680665</v>
      </c>
      <c r="C53" s="3">
        <f t="shared" si="18"/>
        <v>4486.5731355822491</v>
      </c>
      <c r="D53" s="3">
        <f t="shared" si="19"/>
        <v>5206.7812810610967</v>
      </c>
      <c r="E53" s="3">
        <f t="shared" si="15"/>
        <v>9693.3544166433458</v>
      </c>
      <c r="F53" s="3">
        <f t="shared" si="16"/>
        <v>1310910.8031324842</v>
      </c>
    </row>
    <row r="54" spans="1:7" ht="12.75">
      <c r="A54" s="9">
        <v>43405</v>
      </c>
      <c r="B54" s="3">
        <f t="shared" si="17"/>
        <v>1310910.8031324842</v>
      </c>
      <c r="C54" s="3">
        <f t="shared" si="18"/>
        <v>4504.3324875772623</v>
      </c>
      <c r="D54" s="3">
        <f t="shared" si="19"/>
        <v>5189.0219290660834</v>
      </c>
      <c r="E54" s="3">
        <f t="shared" si="15"/>
        <v>9693.3544166433458</v>
      </c>
      <c r="F54" s="3">
        <f t="shared" si="16"/>
        <v>1306406.4706449069</v>
      </c>
    </row>
    <row r="55" spans="1:7" ht="12.75">
      <c r="A55" s="9">
        <v>43435</v>
      </c>
      <c r="B55" s="3">
        <f t="shared" si="17"/>
        <v>1306406.4706449069</v>
      </c>
      <c r="C55" s="3">
        <f t="shared" si="18"/>
        <v>4522.1621370072553</v>
      </c>
      <c r="D55" s="3">
        <f t="shared" si="19"/>
        <v>5171.1922796360905</v>
      </c>
      <c r="E55" s="3">
        <f t="shared" si="15"/>
        <v>9693.3544166433458</v>
      </c>
      <c r="F55" s="6">
        <f t="shared" si="16"/>
        <v>1301884.3085078995</v>
      </c>
      <c r="G55" s="3"/>
    </row>
    <row r="56" spans="1:7" ht="12.75">
      <c r="A56" s="7" t="s">
        <v>68</v>
      </c>
      <c r="B56" s="8"/>
      <c r="C56" s="6">
        <f>SUM(C44:C55)</f>
        <v>53104.517882948145</v>
      </c>
      <c r="D56" s="6">
        <f>SUM(D44:D55)</f>
        <v>63215.735116771997</v>
      </c>
    </row>
    <row r="57" spans="1:7" ht="12.75">
      <c r="B57" s="2"/>
      <c r="C57" s="3"/>
      <c r="D57" s="3"/>
      <c r="E57" s="3"/>
      <c r="F57" s="3"/>
    </row>
    <row r="58" spans="1:7" ht="12.75">
      <c r="A58" s="9">
        <v>43466</v>
      </c>
      <c r="B58" s="3">
        <f>+F55</f>
        <v>1301884.3085078995</v>
      </c>
      <c r="C58" s="3">
        <f>+E58-D58</f>
        <v>4540.0623621329096</v>
      </c>
      <c r="D58" s="3">
        <f>B58*$I$2</f>
        <v>5153.2920545104362</v>
      </c>
      <c r="E58" s="3">
        <f>-$I$8</f>
        <v>9693.3544166433458</v>
      </c>
      <c r="F58" s="3">
        <f t="shared" ref="F58:F69" si="20">+B58-C58</f>
        <v>1297344.2461457667</v>
      </c>
    </row>
    <row r="59" spans="1:7" ht="12.75">
      <c r="A59" s="9">
        <v>43497</v>
      </c>
      <c r="B59" s="3">
        <f t="shared" ref="B59:B69" si="21">+F58</f>
        <v>1297344.2461457667</v>
      </c>
      <c r="C59" s="3">
        <f t="shared" ref="C59:C69" si="22">+E59-D59</f>
        <v>4558.0334423163522</v>
      </c>
      <c r="D59" s="3">
        <f t="shared" ref="D59:D69" si="23">B59*$I$2</f>
        <v>5135.3209743269936</v>
      </c>
      <c r="E59" s="3">
        <f t="shared" si="15"/>
        <v>9693.3544166433458</v>
      </c>
      <c r="F59" s="3">
        <f t="shared" si="20"/>
        <v>1292786.2127034504</v>
      </c>
    </row>
    <row r="60" spans="1:7" ht="12.75">
      <c r="A60" s="9">
        <v>43525</v>
      </c>
      <c r="B60" s="3">
        <f t="shared" si="21"/>
        <v>1292786.2127034504</v>
      </c>
      <c r="C60" s="3">
        <f t="shared" si="22"/>
        <v>4576.0756580255211</v>
      </c>
      <c r="D60" s="3">
        <f t="shared" si="23"/>
        <v>5117.2787586178247</v>
      </c>
      <c r="E60" s="3">
        <f t="shared" si="15"/>
        <v>9693.3544166433458</v>
      </c>
      <c r="F60" s="3">
        <f t="shared" si="20"/>
        <v>1288210.1370454249</v>
      </c>
    </row>
    <row r="61" spans="1:7" ht="12.75">
      <c r="A61" s="9">
        <v>43556</v>
      </c>
      <c r="B61" s="3">
        <f t="shared" si="21"/>
        <v>1288210.1370454249</v>
      </c>
      <c r="C61" s="3">
        <f t="shared" si="22"/>
        <v>4594.189290838538</v>
      </c>
      <c r="D61" s="3">
        <f t="shared" si="23"/>
        <v>5099.1651258048078</v>
      </c>
      <c r="E61" s="3">
        <f t="shared" si="15"/>
        <v>9693.3544166433458</v>
      </c>
      <c r="F61" s="3">
        <f t="shared" si="20"/>
        <v>1283615.9477545863</v>
      </c>
    </row>
    <row r="62" spans="1:7" ht="12.75">
      <c r="A62" s="9">
        <v>43586</v>
      </c>
      <c r="B62" s="3">
        <f t="shared" si="21"/>
        <v>1283615.9477545863</v>
      </c>
      <c r="C62" s="3">
        <f t="shared" si="22"/>
        <v>4612.3746234481077</v>
      </c>
      <c r="D62" s="3">
        <f t="shared" si="23"/>
        <v>5080.979793195238</v>
      </c>
      <c r="E62" s="3">
        <f t="shared" si="15"/>
        <v>9693.3544166433458</v>
      </c>
      <c r="F62" s="3">
        <f t="shared" si="20"/>
        <v>1279003.5731311382</v>
      </c>
    </row>
    <row r="63" spans="1:7" ht="12.75">
      <c r="A63" s="9">
        <v>43617</v>
      </c>
      <c r="B63" s="3">
        <f t="shared" si="21"/>
        <v>1279003.5731311382</v>
      </c>
      <c r="C63" s="3">
        <f t="shared" si="22"/>
        <v>4630.6319396659228</v>
      </c>
      <c r="D63" s="3">
        <f t="shared" si="23"/>
        <v>5062.722476977423</v>
      </c>
      <c r="E63" s="3">
        <f t="shared" si="15"/>
        <v>9693.3544166433458</v>
      </c>
      <c r="F63" s="3">
        <f t="shared" si="20"/>
        <v>1274372.9411914723</v>
      </c>
    </row>
    <row r="64" spans="1:7" ht="12.75">
      <c r="A64" s="9">
        <v>43647</v>
      </c>
      <c r="B64" s="3">
        <f t="shared" si="21"/>
        <v>1274372.9411914723</v>
      </c>
      <c r="C64" s="3">
        <f t="shared" si="22"/>
        <v>4648.9615244271008</v>
      </c>
      <c r="D64" s="3">
        <f t="shared" si="23"/>
        <v>5044.3928922162449</v>
      </c>
      <c r="E64" s="3">
        <f t="shared" si="15"/>
        <v>9693.3544166433458</v>
      </c>
      <c r="F64" s="3">
        <f t="shared" si="20"/>
        <v>1269723.9796670452</v>
      </c>
    </row>
    <row r="65" spans="1:6" ht="12.75">
      <c r="A65" s="9">
        <v>43678</v>
      </c>
      <c r="B65" s="3">
        <f t="shared" si="21"/>
        <v>1269723.9796670452</v>
      </c>
      <c r="C65" s="3">
        <f t="shared" si="22"/>
        <v>4667.3636637946247</v>
      </c>
      <c r="D65" s="3">
        <f t="shared" si="23"/>
        <v>5025.9907528487211</v>
      </c>
      <c r="E65" s="3">
        <f t="shared" si="15"/>
        <v>9693.3544166433458</v>
      </c>
      <c r="F65" s="3">
        <f t="shared" si="20"/>
        <v>1265056.6160032505</v>
      </c>
    </row>
    <row r="66" spans="1:6" ht="12.75">
      <c r="A66" s="9">
        <v>43709</v>
      </c>
      <c r="B66" s="3">
        <f t="shared" si="21"/>
        <v>1265056.6160032505</v>
      </c>
      <c r="C66" s="3">
        <f t="shared" si="22"/>
        <v>4685.8386449638119</v>
      </c>
      <c r="D66" s="3">
        <f t="shared" si="23"/>
        <v>5007.5157716795338</v>
      </c>
      <c r="E66" s="3">
        <f t="shared" si="15"/>
        <v>9693.3544166433458</v>
      </c>
      <c r="F66" s="3">
        <f t="shared" si="20"/>
        <v>1260370.7773582865</v>
      </c>
    </row>
    <row r="67" spans="1:6" ht="12.75">
      <c r="A67" s="9">
        <v>43739</v>
      </c>
      <c r="B67" s="3">
        <f t="shared" si="21"/>
        <v>1260370.7773582865</v>
      </c>
      <c r="C67" s="3">
        <f t="shared" si="22"/>
        <v>4704.3867562667947</v>
      </c>
      <c r="D67" s="3">
        <f t="shared" si="23"/>
        <v>4988.9676603765511</v>
      </c>
      <c r="E67" s="3">
        <f t="shared" si="15"/>
        <v>9693.3544166433458</v>
      </c>
      <c r="F67" s="3">
        <f t="shared" si="20"/>
        <v>1255666.3906020198</v>
      </c>
    </row>
    <row r="68" spans="1:6" ht="12.75">
      <c r="A68" s="9">
        <v>43770</v>
      </c>
      <c r="B68" s="3">
        <f t="shared" si="21"/>
        <v>1255666.3906020198</v>
      </c>
      <c r="C68" s="3">
        <f t="shared" si="22"/>
        <v>4723.0082871770164</v>
      </c>
      <c r="D68" s="3">
        <f t="shared" si="23"/>
        <v>4970.3461294663293</v>
      </c>
      <c r="E68" s="3">
        <f t="shared" si="15"/>
        <v>9693.3544166433458</v>
      </c>
      <c r="F68" s="3">
        <f t="shared" si="20"/>
        <v>1250943.3823148429</v>
      </c>
    </row>
    <row r="69" spans="1:6" ht="12.75">
      <c r="A69" s="9">
        <v>43800</v>
      </c>
      <c r="B69" s="3">
        <f t="shared" si="21"/>
        <v>1250943.3823148429</v>
      </c>
      <c r="C69" s="3">
        <f t="shared" si="22"/>
        <v>4741.7035283137593</v>
      </c>
      <c r="D69" s="3">
        <f t="shared" si="23"/>
        <v>4951.6508883295865</v>
      </c>
      <c r="E69" s="3">
        <f t="shared" si="15"/>
        <v>9693.3544166433458</v>
      </c>
      <c r="F69" s="6">
        <f t="shared" si="20"/>
        <v>1246201.6787865292</v>
      </c>
    </row>
    <row r="70" spans="1:6" ht="12.75">
      <c r="A70" s="7" t="s">
        <v>68</v>
      </c>
      <c r="B70" s="8"/>
      <c r="C70" s="6">
        <f>SUM(C58:C69)</f>
        <v>55682.62972137046</v>
      </c>
      <c r="D70" s="6">
        <f>SUM(D58:D69)</f>
        <v>60637.623278349696</v>
      </c>
    </row>
    <row r="71" spans="1:6" ht="12.75">
      <c r="B71" s="2"/>
      <c r="C71" s="3"/>
      <c r="D71" s="3"/>
      <c r="E71" s="3"/>
      <c r="F71" s="3"/>
    </row>
    <row r="72" spans="1:6" ht="12.75">
      <c r="A72" s="9">
        <v>43831</v>
      </c>
      <c r="B72" s="3">
        <f t="shared" ref="B72" si="24">+F69</f>
        <v>1246201.6787865292</v>
      </c>
      <c r="C72" s="3">
        <f t="shared" ref="C72:C83" si="25">+E72-D72</f>
        <v>4760.4727714466671</v>
      </c>
      <c r="D72" s="3">
        <f t="shared" ref="D72:D83" si="26">B72*$I$2</f>
        <v>4932.8816451966786</v>
      </c>
      <c r="E72" s="3">
        <f t="shared" ref="E72:E135" si="27">-$I$8</f>
        <v>9693.3544166433458</v>
      </c>
      <c r="F72" s="3">
        <f t="shared" ref="F72:F83" si="28">+B72-C72</f>
        <v>1241441.2060150825</v>
      </c>
    </row>
    <row r="73" spans="1:6" ht="12.75">
      <c r="A73" s="9">
        <v>43862</v>
      </c>
      <c r="B73" s="3">
        <f t="shared" ref="B73:B83" si="29">+F72</f>
        <v>1241441.2060150825</v>
      </c>
      <c r="C73" s="3">
        <f t="shared" si="25"/>
        <v>4779.3163095003101</v>
      </c>
      <c r="D73" s="3">
        <f t="shared" si="26"/>
        <v>4914.0381071430356</v>
      </c>
      <c r="E73" s="3">
        <f t="shared" si="27"/>
        <v>9693.3544166433458</v>
      </c>
      <c r="F73" s="3">
        <f t="shared" si="28"/>
        <v>1236661.8897055823</v>
      </c>
    </row>
    <row r="74" spans="1:6" ht="12.75">
      <c r="A74" s="9">
        <v>43891</v>
      </c>
      <c r="B74" s="3">
        <f t="shared" si="29"/>
        <v>1236661.8897055823</v>
      </c>
      <c r="C74" s="3">
        <f t="shared" si="25"/>
        <v>4798.2344365587487</v>
      </c>
      <c r="D74" s="3">
        <f t="shared" si="26"/>
        <v>4895.119980084597</v>
      </c>
      <c r="E74" s="3">
        <f t="shared" si="27"/>
        <v>9693.3544166433458</v>
      </c>
      <c r="F74" s="3">
        <f t="shared" si="28"/>
        <v>1231863.6552690235</v>
      </c>
    </row>
    <row r="75" spans="1:6" ht="12.75">
      <c r="A75" s="9">
        <v>43922</v>
      </c>
      <c r="B75" s="3">
        <f t="shared" si="29"/>
        <v>1231863.6552690235</v>
      </c>
      <c r="C75" s="3">
        <f t="shared" si="25"/>
        <v>4817.2274478701274</v>
      </c>
      <c r="D75" s="3">
        <f t="shared" si="26"/>
        <v>4876.1269687732183</v>
      </c>
      <c r="E75" s="3">
        <f t="shared" si="27"/>
        <v>9693.3544166433458</v>
      </c>
      <c r="F75" s="3">
        <f t="shared" si="28"/>
        <v>1227046.4278211533</v>
      </c>
    </row>
    <row r="76" spans="1:6" ht="12.75">
      <c r="A76" s="9">
        <v>43952</v>
      </c>
      <c r="B76" s="3">
        <f t="shared" si="29"/>
        <v>1227046.4278211533</v>
      </c>
      <c r="C76" s="3">
        <f t="shared" si="25"/>
        <v>4836.2956398512806</v>
      </c>
      <c r="D76" s="3">
        <f t="shared" si="26"/>
        <v>4857.0587767920651</v>
      </c>
      <c r="E76" s="3">
        <f t="shared" si="27"/>
        <v>9693.3544166433458</v>
      </c>
      <c r="F76" s="3">
        <f t="shared" si="28"/>
        <v>1222210.1321813019</v>
      </c>
    </row>
    <row r="77" spans="1:6" ht="12.75">
      <c r="A77" s="9">
        <v>43983</v>
      </c>
      <c r="B77" s="3">
        <f t="shared" si="29"/>
        <v>1222210.1321813019</v>
      </c>
      <c r="C77" s="3">
        <f t="shared" si="25"/>
        <v>4855.439310092358</v>
      </c>
      <c r="D77" s="3">
        <f t="shared" si="26"/>
        <v>4837.9151065509877</v>
      </c>
      <c r="E77" s="3">
        <f t="shared" si="27"/>
        <v>9693.3544166433458</v>
      </c>
      <c r="F77" s="3">
        <f t="shared" si="28"/>
        <v>1217354.6928712097</v>
      </c>
    </row>
    <row r="78" spans="1:6" ht="12.75">
      <c r="A78" s="9">
        <v>44013</v>
      </c>
      <c r="B78" s="3">
        <f t="shared" si="29"/>
        <v>1217354.6928712097</v>
      </c>
      <c r="C78" s="3">
        <f t="shared" si="25"/>
        <v>4874.6587573614734</v>
      </c>
      <c r="D78" s="3">
        <f t="shared" si="26"/>
        <v>4818.6956592818724</v>
      </c>
      <c r="E78" s="3">
        <f t="shared" si="27"/>
        <v>9693.3544166433458</v>
      </c>
      <c r="F78" s="3">
        <f t="shared" si="28"/>
        <v>1212480.0341138481</v>
      </c>
    </row>
    <row r="79" spans="1:6" ht="12.75">
      <c r="A79" s="9">
        <v>44044</v>
      </c>
      <c r="B79" s="3">
        <f t="shared" si="29"/>
        <v>1212480.0341138481</v>
      </c>
      <c r="C79" s="3">
        <f t="shared" si="25"/>
        <v>4893.9542816093635</v>
      </c>
      <c r="D79" s="3">
        <f t="shared" si="26"/>
        <v>4799.4001350339822</v>
      </c>
      <c r="E79" s="3">
        <f t="shared" si="27"/>
        <v>9693.3544166433458</v>
      </c>
      <c r="F79" s="3">
        <f t="shared" si="28"/>
        <v>1207586.0798322388</v>
      </c>
    </row>
    <row r="80" spans="1:6" ht="12.75">
      <c r="A80" s="9">
        <v>44075</v>
      </c>
      <c r="B80" s="3">
        <f t="shared" si="29"/>
        <v>1207586.0798322388</v>
      </c>
      <c r="C80" s="3">
        <f t="shared" si="25"/>
        <v>4913.3261839740662</v>
      </c>
      <c r="D80" s="3">
        <f t="shared" si="26"/>
        <v>4780.0282326692795</v>
      </c>
      <c r="E80" s="3">
        <f t="shared" si="27"/>
        <v>9693.3544166433458</v>
      </c>
      <c r="F80" s="3">
        <f t="shared" si="28"/>
        <v>1202672.7536482648</v>
      </c>
    </row>
    <row r="81" spans="1:6" ht="12.75">
      <c r="A81" s="9">
        <v>44105</v>
      </c>
      <c r="B81" s="3">
        <f t="shared" si="29"/>
        <v>1202672.7536482648</v>
      </c>
      <c r="C81" s="3">
        <f t="shared" si="25"/>
        <v>4932.7747667856302</v>
      </c>
      <c r="D81" s="3">
        <f t="shared" si="26"/>
        <v>4760.5796498577156</v>
      </c>
      <c r="E81" s="3">
        <f t="shared" si="27"/>
        <v>9693.3544166433458</v>
      </c>
      <c r="F81" s="3">
        <f t="shared" si="28"/>
        <v>1197739.9788814792</v>
      </c>
    </row>
    <row r="82" spans="1:6" ht="12.75">
      <c r="A82" s="9">
        <v>44136</v>
      </c>
      <c r="B82" s="3">
        <f t="shared" si="29"/>
        <v>1197739.9788814792</v>
      </c>
      <c r="C82" s="3">
        <f t="shared" si="25"/>
        <v>4952.3003335708236</v>
      </c>
      <c r="D82" s="3">
        <f t="shared" si="26"/>
        <v>4741.0540830725222</v>
      </c>
      <c r="E82" s="3">
        <f t="shared" si="27"/>
        <v>9693.3544166433458</v>
      </c>
      <c r="F82" s="3">
        <f t="shared" si="28"/>
        <v>1192787.6785479083</v>
      </c>
    </row>
    <row r="83" spans="1:6" ht="12.75">
      <c r="A83" s="9">
        <v>44166</v>
      </c>
      <c r="B83" s="3">
        <f t="shared" si="29"/>
        <v>1192787.6785479083</v>
      </c>
      <c r="C83" s="3">
        <f t="shared" si="25"/>
        <v>4971.9031890578754</v>
      </c>
      <c r="D83" s="3">
        <f t="shared" si="26"/>
        <v>4721.4512275854704</v>
      </c>
      <c r="E83" s="3">
        <f t="shared" si="27"/>
        <v>9693.3544166433458</v>
      </c>
      <c r="F83" s="6">
        <f t="shared" si="28"/>
        <v>1187815.7753588504</v>
      </c>
    </row>
    <row r="84" spans="1:6" ht="12.75">
      <c r="A84" s="7" t="s">
        <v>68</v>
      </c>
      <c r="B84" s="8"/>
      <c r="C84" s="6">
        <f t="shared" ref="C84:D84" si="30">SUM(C72:C83)</f>
        <v>58385.903427678728</v>
      </c>
      <c r="D84" s="6">
        <f t="shared" si="30"/>
        <v>57934.349572041436</v>
      </c>
    </row>
    <row r="85" spans="1:6" ht="12.75">
      <c r="B85" s="2"/>
      <c r="C85" s="3"/>
      <c r="D85" s="3"/>
      <c r="E85" s="3"/>
      <c r="F85" s="3"/>
    </row>
    <row r="86" spans="1:6" ht="12.75">
      <c r="A86" s="9">
        <v>44197</v>
      </c>
      <c r="B86" s="3">
        <f t="shared" ref="B86" si="31">+F83</f>
        <v>1187815.7753588504</v>
      </c>
      <c r="C86" s="3">
        <f t="shared" ref="C86:C97" si="32">+E86-D86</f>
        <v>4991.583639181229</v>
      </c>
      <c r="D86" s="3">
        <f t="shared" ref="D86:D97" si="33">B86*$I$2</f>
        <v>4701.7707774621167</v>
      </c>
      <c r="E86" s="3">
        <f t="shared" ref="E86" si="34">-$I$8</f>
        <v>9693.3544166433458</v>
      </c>
      <c r="F86" s="3">
        <f t="shared" ref="F86:F97" si="35">+B86-C86</f>
        <v>1182824.1917196692</v>
      </c>
    </row>
    <row r="87" spans="1:6" ht="12.75">
      <c r="A87" s="9">
        <v>44228</v>
      </c>
      <c r="B87" s="3">
        <f t="shared" ref="B87:B97" si="36">+F86</f>
        <v>1182824.1917196692</v>
      </c>
      <c r="C87" s="3">
        <f t="shared" si="32"/>
        <v>5011.3419910863213</v>
      </c>
      <c r="D87" s="3">
        <f t="shared" si="33"/>
        <v>4682.0124255570245</v>
      </c>
      <c r="E87" s="3">
        <f t="shared" si="27"/>
        <v>9693.3544166433458</v>
      </c>
      <c r="F87" s="3">
        <f t="shared" si="35"/>
        <v>1177812.8497285829</v>
      </c>
    </row>
    <row r="88" spans="1:6" ht="12.75">
      <c r="A88" s="9">
        <v>44256</v>
      </c>
      <c r="B88" s="3">
        <f t="shared" si="36"/>
        <v>1177812.8497285829</v>
      </c>
      <c r="C88" s="3">
        <f t="shared" si="32"/>
        <v>5031.1785531343712</v>
      </c>
      <c r="D88" s="3">
        <f t="shared" si="33"/>
        <v>4662.1758635089745</v>
      </c>
      <c r="E88" s="3">
        <f t="shared" si="27"/>
        <v>9693.3544166433458</v>
      </c>
      <c r="F88" s="3">
        <f t="shared" si="35"/>
        <v>1172781.6711754485</v>
      </c>
    </row>
    <row r="89" spans="1:6" ht="12.75">
      <c r="A89" s="9">
        <v>44287</v>
      </c>
      <c r="B89" s="3">
        <f t="shared" si="36"/>
        <v>1172781.6711754485</v>
      </c>
      <c r="C89" s="3">
        <f t="shared" si="32"/>
        <v>5051.0936349071953</v>
      </c>
      <c r="D89" s="3">
        <f t="shared" si="33"/>
        <v>4642.2607817361504</v>
      </c>
      <c r="E89" s="3">
        <f t="shared" si="27"/>
        <v>9693.3544166433458</v>
      </c>
      <c r="F89" s="3">
        <f t="shared" si="35"/>
        <v>1167730.5775405413</v>
      </c>
    </row>
    <row r="90" spans="1:6" ht="12.75">
      <c r="A90" s="9">
        <v>44317</v>
      </c>
      <c r="B90" s="3">
        <f t="shared" si="36"/>
        <v>1167730.5775405413</v>
      </c>
      <c r="C90" s="3">
        <f t="shared" si="32"/>
        <v>5071.087547212036</v>
      </c>
      <c r="D90" s="3">
        <f t="shared" si="33"/>
        <v>4622.2668694313097</v>
      </c>
      <c r="E90" s="3">
        <f t="shared" si="27"/>
        <v>9693.3544166433458</v>
      </c>
      <c r="F90" s="3">
        <f t="shared" si="35"/>
        <v>1162659.4899933292</v>
      </c>
    </row>
    <row r="91" spans="1:6" ht="12.75">
      <c r="A91" s="9">
        <v>44348</v>
      </c>
      <c r="B91" s="3">
        <f t="shared" si="36"/>
        <v>1162659.4899933292</v>
      </c>
      <c r="C91" s="3">
        <f t="shared" si="32"/>
        <v>5091.1606020864174</v>
      </c>
      <c r="D91" s="3">
        <f t="shared" si="33"/>
        <v>4602.1938145569284</v>
      </c>
      <c r="E91" s="3">
        <f t="shared" si="27"/>
        <v>9693.3544166433458</v>
      </c>
      <c r="F91" s="3">
        <f t="shared" si="35"/>
        <v>1157568.3293912427</v>
      </c>
    </row>
    <row r="92" spans="1:6" ht="12.75">
      <c r="A92" s="9">
        <v>44378</v>
      </c>
      <c r="B92" s="3">
        <f t="shared" si="36"/>
        <v>1157568.3293912427</v>
      </c>
      <c r="C92" s="3">
        <f t="shared" si="32"/>
        <v>5111.31311280301</v>
      </c>
      <c r="D92" s="3">
        <f t="shared" si="33"/>
        <v>4582.0413038403358</v>
      </c>
      <c r="E92" s="3">
        <f t="shared" si="27"/>
        <v>9693.3544166433458</v>
      </c>
      <c r="F92" s="3">
        <f t="shared" si="35"/>
        <v>1152457.0162784397</v>
      </c>
    </row>
    <row r="93" spans="1:6" ht="12.75">
      <c r="A93" s="9">
        <v>44409</v>
      </c>
      <c r="B93" s="3">
        <f t="shared" si="36"/>
        <v>1152457.0162784397</v>
      </c>
      <c r="C93" s="3">
        <f t="shared" si="32"/>
        <v>5131.5453938745213</v>
      </c>
      <c r="D93" s="3">
        <f t="shared" si="33"/>
        <v>4561.8090227688244</v>
      </c>
      <c r="E93" s="3">
        <f t="shared" si="27"/>
        <v>9693.3544166433458</v>
      </c>
      <c r="F93" s="3">
        <f t="shared" si="35"/>
        <v>1147325.470884565</v>
      </c>
    </row>
    <row r="94" spans="1:6" ht="12.75">
      <c r="A94" s="9">
        <v>44440</v>
      </c>
      <c r="B94" s="3">
        <f t="shared" si="36"/>
        <v>1147325.470884565</v>
      </c>
      <c r="C94" s="3">
        <f t="shared" si="32"/>
        <v>5151.857761058609</v>
      </c>
      <c r="D94" s="3">
        <f t="shared" si="33"/>
        <v>4541.4966555847368</v>
      </c>
      <c r="E94" s="3">
        <f t="shared" si="27"/>
        <v>9693.3544166433458</v>
      </c>
      <c r="F94" s="3">
        <f t="shared" si="35"/>
        <v>1142173.6131235063</v>
      </c>
    </row>
    <row r="95" spans="1:6" ht="12.75">
      <c r="A95" s="9">
        <v>44470</v>
      </c>
      <c r="B95" s="3">
        <f t="shared" si="36"/>
        <v>1142173.6131235063</v>
      </c>
      <c r="C95" s="3">
        <f t="shared" si="32"/>
        <v>5172.2505313627998</v>
      </c>
      <c r="D95" s="3">
        <f t="shared" si="33"/>
        <v>4521.1038852805459</v>
      </c>
      <c r="E95" s="3">
        <f t="shared" si="27"/>
        <v>9693.3544166433458</v>
      </c>
      <c r="F95" s="3">
        <f t="shared" si="35"/>
        <v>1137001.3625921435</v>
      </c>
    </row>
    <row r="96" spans="1:6" ht="12.75">
      <c r="A96" s="9">
        <v>44501</v>
      </c>
      <c r="B96" s="3">
        <f t="shared" si="36"/>
        <v>1137001.3625921435</v>
      </c>
      <c r="C96" s="3">
        <f t="shared" si="32"/>
        <v>5192.7240230494444</v>
      </c>
      <c r="D96" s="3">
        <f t="shared" si="33"/>
        <v>4500.6303935939013</v>
      </c>
      <c r="E96" s="3">
        <f t="shared" si="27"/>
        <v>9693.3544166433458</v>
      </c>
      <c r="F96" s="3">
        <f t="shared" si="35"/>
        <v>1131808.638569094</v>
      </c>
    </row>
    <row r="97" spans="1:6" ht="12.75">
      <c r="A97" s="9">
        <v>44531</v>
      </c>
      <c r="B97" s="3">
        <f t="shared" si="36"/>
        <v>1131808.638569094</v>
      </c>
      <c r="C97" s="3">
        <f t="shared" si="32"/>
        <v>5213.2785556406816</v>
      </c>
      <c r="D97" s="3">
        <f t="shared" si="33"/>
        <v>4480.0758610026642</v>
      </c>
      <c r="E97" s="3">
        <f t="shared" si="27"/>
        <v>9693.3544166433458</v>
      </c>
      <c r="F97" s="6">
        <f t="shared" si="35"/>
        <v>1126595.3600134533</v>
      </c>
    </row>
    <row r="98" spans="1:6" ht="12.75">
      <c r="A98" s="7" t="s">
        <v>68</v>
      </c>
      <c r="B98" s="8"/>
      <c r="C98" s="6">
        <f t="shared" ref="C98:D98" si="37">SUM(C86:C97)</f>
        <v>61220.415345396628</v>
      </c>
      <c r="D98" s="6">
        <f t="shared" si="37"/>
        <v>55099.837654323506</v>
      </c>
    </row>
    <row r="99" spans="1:6" ht="12.75">
      <c r="B99" s="2"/>
      <c r="C99" s="3"/>
      <c r="D99" s="3"/>
      <c r="E99" s="3"/>
      <c r="F99" s="3"/>
    </row>
    <row r="100" spans="1:6" ht="12.75">
      <c r="A100" s="9">
        <v>44562</v>
      </c>
      <c r="B100" s="3">
        <f t="shared" ref="B100" si="38">+F97</f>
        <v>1126595.3600134533</v>
      </c>
      <c r="C100" s="3">
        <f t="shared" ref="C100:C111" si="39">+E100-D100</f>
        <v>5233.9144499234262</v>
      </c>
      <c r="D100" s="3">
        <f t="shared" ref="D100:D111" si="40">B100*$I$2</f>
        <v>4459.4399667199195</v>
      </c>
      <c r="E100" s="3">
        <f t="shared" ref="E100" si="41">-$I$8</f>
        <v>9693.3544166433458</v>
      </c>
      <c r="F100" s="3">
        <f t="shared" ref="F100:F111" si="42">+B100-C100</f>
        <v>1121361.4455635299</v>
      </c>
    </row>
    <row r="101" spans="1:6" ht="12.75">
      <c r="A101" s="9">
        <v>44593</v>
      </c>
      <c r="B101" s="3">
        <f t="shared" ref="B101:B111" si="43">+F100</f>
        <v>1121361.4455635299</v>
      </c>
      <c r="C101" s="3">
        <f t="shared" si="39"/>
        <v>5254.6320279543734</v>
      </c>
      <c r="D101" s="3">
        <f t="shared" si="40"/>
        <v>4438.7223886889724</v>
      </c>
      <c r="E101" s="3">
        <f t="shared" si="27"/>
        <v>9693.3544166433458</v>
      </c>
      <c r="F101" s="3">
        <f t="shared" si="42"/>
        <v>1116106.8135355755</v>
      </c>
    </row>
    <row r="102" spans="1:6" ht="12.75">
      <c r="A102" s="9">
        <v>44621</v>
      </c>
      <c r="B102" s="3">
        <f t="shared" si="43"/>
        <v>1116106.8135355755</v>
      </c>
      <c r="C102" s="3">
        <f t="shared" si="39"/>
        <v>5275.4316130650259</v>
      </c>
      <c r="D102" s="3">
        <f t="shared" si="40"/>
        <v>4417.9228035783199</v>
      </c>
      <c r="E102" s="3">
        <f t="shared" si="27"/>
        <v>9693.3544166433458</v>
      </c>
      <c r="F102" s="3">
        <f t="shared" si="42"/>
        <v>1110831.3819225105</v>
      </c>
    </row>
    <row r="103" spans="1:6" ht="12.75">
      <c r="A103" s="9">
        <v>44652</v>
      </c>
      <c r="B103" s="3">
        <f t="shared" si="43"/>
        <v>1110831.3819225105</v>
      </c>
      <c r="C103" s="3">
        <f t="shared" si="39"/>
        <v>5296.3135298667412</v>
      </c>
      <c r="D103" s="3">
        <f t="shared" si="40"/>
        <v>4397.0408867766046</v>
      </c>
      <c r="E103" s="3">
        <f t="shared" si="27"/>
        <v>9693.3544166433458</v>
      </c>
      <c r="F103" s="3">
        <f t="shared" si="42"/>
        <v>1105535.0683926437</v>
      </c>
    </row>
    <row r="104" spans="1:6" ht="12.75">
      <c r="A104" s="9">
        <v>44682</v>
      </c>
      <c r="B104" s="3">
        <f t="shared" si="43"/>
        <v>1105535.0683926437</v>
      </c>
      <c r="C104" s="3">
        <f t="shared" si="39"/>
        <v>5317.2781042557972</v>
      </c>
      <c r="D104" s="3">
        <f t="shared" si="40"/>
        <v>4376.0763123875486</v>
      </c>
      <c r="E104" s="3">
        <f t="shared" si="27"/>
        <v>9693.3544166433458</v>
      </c>
      <c r="F104" s="3">
        <f t="shared" si="42"/>
        <v>1100217.7902883878</v>
      </c>
    </row>
    <row r="105" spans="1:6" ht="12.75">
      <c r="A105" s="9">
        <v>44713</v>
      </c>
      <c r="B105" s="3">
        <f t="shared" si="43"/>
        <v>1100217.7902883878</v>
      </c>
      <c r="C105" s="3">
        <f t="shared" si="39"/>
        <v>5338.3256634184772</v>
      </c>
      <c r="D105" s="3">
        <f t="shared" si="40"/>
        <v>4355.0287532248685</v>
      </c>
      <c r="E105" s="3">
        <f t="shared" si="27"/>
        <v>9693.3544166433458</v>
      </c>
      <c r="F105" s="3">
        <f t="shared" si="42"/>
        <v>1094879.4646249693</v>
      </c>
    </row>
    <row r="106" spans="1:6" ht="12.75">
      <c r="A106" s="9">
        <v>44743</v>
      </c>
      <c r="B106" s="3">
        <f t="shared" si="43"/>
        <v>1094879.4646249693</v>
      </c>
      <c r="C106" s="3">
        <f t="shared" si="39"/>
        <v>5359.4565358361751</v>
      </c>
      <c r="D106" s="3">
        <f t="shared" si="40"/>
        <v>4333.8978808071706</v>
      </c>
      <c r="E106" s="3">
        <f t="shared" si="27"/>
        <v>9693.3544166433458</v>
      </c>
      <c r="F106" s="3">
        <f t="shared" si="42"/>
        <v>1089520.0080891331</v>
      </c>
    </row>
    <row r="107" spans="1:6" ht="12.75">
      <c r="A107" s="9">
        <v>44774</v>
      </c>
      <c r="B107" s="3">
        <f t="shared" si="43"/>
        <v>1089520.0080891331</v>
      </c>
      <c r="C107" s="3">
        <f t="shared" si="39"/>
        <v>5380.6710512905274</v>
      </c>
      <c r="D107" s="3">
        <f t="shared" si="40"/>
        <v>4312.6833653528183</v>
      </c>
      <c r="E107" s="3">
        <f t="shared" si="27"/>
        <v>9693.3544166433458</v>
      </c>
      <c r="F107" s="3">
        <f t="shared" si="42"/>
        <v>1084139.3370378425</v>
      </c>
    </row>
    <row r="108" spans="1:6" ht="12.75">
      <c r="A108" s="9">
        <v>44805</v>
      </c>
      <c r="B108" s="3">
        <f t="shared" si="43"/>
        <v>1084139.3370378425</v>
      </c>
      <c r="C108" s="3">
        <f t="shared" si="39"/>
        <v>5401.969540868552</v>
      </c>
      <c r="D108" s="3">
        <f t="shared" si="40"/>
        <v>4291.3848757747937</v>
      </c>
      <c r="E108" s="3">
        <f t="shared" si="27"/>
        <v>9693.3544166433458</v>
      </c>
      <c r="F108" s="3">
        <f t="shared" si="42"/>
        <v>1078737.3674969738</v>
      </c>
    </row>
    <row r="109" spans="1:6" ht="12.75">
      <c r="A109" s="9">
        <v>44835</v>
      </c>
      <c r="B109" s="3">
        <f t="shared" si="43"/>
        <v>1078737.3674969738</v>
      </c>
      <c r="C109" s="3">
        <f t="shared" si="39"/>
        <v>5423.3523369678242</v>
      </c>
      <c r="D109" s="3">
        <f t="shared" si="40"/>
        <v>4270.0020796755216</v>
      </c>
      <c r="E109" s="3">
        <f t="shared" si="27"/>
        <v>9693.3544166433458</v>
      </c>
      <c r="F109" s="3">
        <f t="shared" si="42"/>
        <v>1073314.015160006</v>
      </c>
    </row>
    <row r="110" spans="1:6" ht="12.75">
      <c r="A110" s="9">
        <v>44866</v>
      </c>
      <c r="B110" s="3">
        <f t="shared" si="43"/>
        <v>1073314.015160006</v>
      </c>
      <c r="C110" s="3">
        <f t="shared" si="39"/>
        <v>5444.819773301655</v>
      </c>
      <c r="D110" s="3">
        <f t="shared" si="40"/>
        <v>4248.5346433416908</v>
      </c>
      <c r="E110" s="3">
        <f t="shared" si="27"/>
        <v>9693.3544166433458</v>
      </c>
      <c r="F110" s="3">
        <f t="shared" si="42"/>
        <v>1067869.1953867043</v>
      </c>
    </row>
    <row r="111" spans="1:6" ht="12.75">
      <c r="A111" s="9">
        <v>44896</v>
      </c>
      <c r="B111" s="3">
        <f t="shared" si="43"/>
        <v>1067869.1953867043</v>
      </c>
      <c r="C111" s="3">
        <f t="shared" si="39"/>
        <v>5466.3721849043077</v>
      </c>
      <c r="D111" s="3">
        <f t="shared" si="40"/>
        <v>4226.9822317390381</v>
      </c>
      <c r="E111" s="3">
        <f t="shared" si="27"/>
        <v>9693.3544166433458</v>
      </c>
      <c r="F111" s="6">
        <f t="shared" si="42"/>
        <v>1062402.8232018</v>
      </c>
    </row>
    <row r="112" spans="1:6" ht="12.75">
      <c r="A112" s="7" t="s">
        <v>68</v>
      </c>
      <c r="B112" s="8"/>
      <c r="C112" s="6">
        <f t="shared" ref="C112:D112" si="44">SUM(C100:C111)</f>
        <v>64192.536811652877</v>
      </c>
      <c r="D112" s="6">
        <f t="shared" si="44"/>
        <v>52127.716188067257</v>
      </c>
    </row>
    <row r="113" spans="1:6" ht="12.75">
      <c r="B113" s="2"/>
      <c r="C113" s="3"/>
      <c r="D113" s="3"/>
      <c r="E113" s="3"/>
      <c r="F113" s="3"/>
    </row>
    <row r="114" spans="1:6" ht="12.75">
      <c r="A114" s="9">
        <v>44927</v>
      </c>
      <c r="B114" s="3">
        <f t="shared" ref="B114" si="45">+F111</f>
        <v>1062402.8232018</v>
      </c>
      <c r="C114" s="3">
        <f t="shared" ref="C114:C125" si="46">+E114-D114</f>
        <v>5488.0099081362205</v>
      </c>
      <c r="D114" s="3">
        <f t="shared" ref="D114:D125" si="47">B114*$I$2</f>
        <v>4205.3445085071253</v>
      </c>
      <c r="E114" s="3">
        <f t="shared" ref="E114" si="48">-$I$8</f>
        <v>9693.3544166433458</v>
      </c>
      <c r="F114" s="3">
        <f t="shared" ref="F114:F125" si="49">+B114-C114</f>
        <v>1056914.8132936638</v>
      </c>
    </row>
    <row r="115" spans="1:6" ht="12.75">
      <c r="A115" s="9">
        <v>44958</v>
      </c>
      <c r="B115" s="3">
        <f t="shared" ref="B115:B125" si="50">+F114</f>
        <v>1056914.8132936638</v>
      </c>
      <c r="C115" s="3">
        <f t="shared" si="46"/>
        <v>5509.73328068926</v>
      </c>
      <c r="D115" s="3">
        <f t="shared" si="47"/>
        <v>4183.6211359540857</v>
      </c>
      <c r="E115" s="3">
        <f t="shared" si="27"/>
        <v>9693.3544166433458</v>
      </c>
      <c r="F115" s="3">
        <f t="shared" si="49"/>
        <v>1051405.0800129746</v>
      </c>
    </row>
    <row r="116" spans="1:6" ht="12.75">
      <c r="A116" s="9">
        <v>44986</v>
      </c>
      <c r="B116" s="3">
        <f t="shared" si="50"/>
        <v>1051405.0800129746</v>
      </c>
      <c r="C116" s="3">
        <f t="shared" si="46"/>
        <v>5531.5426415919874</v>
      </c>
      <c r="D116" s="3">
        <f t="shared" si="47"/>
        <v>4161.8117750513584</v>
      </c>
      <c r="E116" s="3">
        <f t="shared" si="27"/>
        <v>9693.3544166433458</v>
      </c>
      <c r="F116" s="3">
        <f t="shared" si="49"/>
        <v>1045873.5373713826</v>
      </c>
    </row>
    <row r="117" spans="1:6" ht="12.75">
      <c r="A117" s="9">
        <v>45017</v>
      </c>
      <c r="B117" s="3">
        <f t="shared" si="50"/>
        <v>1045873.5373713826</v>
      </c>
      <c r="C117" s="3">
        <f t="shared" si="46"/>
        <v>5553.4383312149557</v>
      </c>
      <c r="D117" s="3">
        <f t="shared" si="47"/>
        <v>4139.91608542839</v>
      </c>
      <c r="E117" s="3">
        <f t="shared" si="27"/>
        <v>9693.3544166433458</v>
      </c>
      <c r="F117" s="3">
        <f t="shared" si="49"/>
        <v>1040320.0990401676</v>
      </c>
    </row>
    <row r="118" spans="1:6" ht="12.75">
      <c r="A118" s="9">
        <v>45047</v>
      </c>
      <c r="B118" s="3">
        <f t="shared" si="50"/>
        <v>1040320.0990401676</v>
      </c>
      <c r="C118" s="3">
        <f t="shared" si="46"/>
        <v>5575.4206912760155</v>
      </c>
      <c r="D118" s="3">
        <f t="shared" si="47"/>
        <v>4117.9337253673302</v>
      </c>
      <c r="E118" s="3">
        <f t="shared" si="27"/>
        <v>9693.3544166433458</v>
      </c>
      <c r="F118" s="3">
        <f t="shared" si="49"/>
        <v>1034744.6783488917</v>
      </c>
    </row>
    <row r="119" spans="1:6" ht="12.75">
      <c r="A119" s="9">
        <v>45078</v>
      </c>
      <c r="B119" s="3">
        <f t="shared" si="50"/>
        <v>1034744.6783488917</v>
      </c>
      <c r="C119" s="3">
        <f t="shared" si="46"/>
        <v>5597.4900648456496</v>
      </c>
      <c r="D119" s="3">
        <f t="shared" si="47"/>
        <v>4095.8643517976966</v>
      </c>
      <c r="E119" s="3">
        <f t="shared" si="27"/>
        <v>9693.3544166433458</v>
      </c>
      <c r="F119" s="3">
        <f t="shared" si="49"/>
        <v>1029147.188284046</v>
      </c>
    </row>
    <row r="120" spans="1:6" ht="12.75">
      <c r="A120" s="9">
        <v>45108</v>
      </c>
      <c r="B120" s="3">
        <f t="shared" si="50"/>
        <v>1029147.188284046</v>
      </c>
      <c r="C120" s="3">
        <f t="shared" si="46"/>
        <v>5619.6467963523301</v>
      </c>
      <c r="D120" s="3">
        <f t="shared" si="47"/>
        <v>4073.7076202910157</v>
      </c>
      <c r="E120" s="3">
        <f t="shared" si="27"/>
        <v>9693.3544166433458</v>
      </c>
      <c r="F120" s="3">
        <f t="shared" si="49"/>
        <v>1023527.5414876937</v>
      </c>
    </row>
    <row r="121" spans="1:6" ht="12.75">
      <c r="A121" s="9">
        <v>45139</v>
      </c>
      <c r="B121" s="3">
        <f t="shared" si="50"/>
        <v>1023527.5414876937</v>
      </c>
      <c r="C121" s="3">
        <f t="shared" si="46"/>
        <v>5641.8912315878915</v>
      </c>
      <c r="D121" s="3">
        <f t="shared" si="47"/>
        <v>4051.4631850554542</v>
      </c>
      <c r="E121" s="3">
        <f t="shared" si="27"/>
        <v>9693.3544166433458</v>
      </c>
      <c r="F121" s="3">
        <f t="shared" si="49"/>
        <v>1017885.6502561058</v>
      </c>
    </row>
    <row r="122" spans="1:6" ht="12.75">
      <c r="A122" s="9">
        <v>45170</v>
      </c>
      <c r="B122" s="3">
        <f t="shared" si="50"/>
        <v>1017885.6502561058</v>
      </c>
      <c r="C122" s="3">
        <f t="shared" si="46"/>
        <v>5664.2237177129264</v>
      </c>
      <c r="D122" s="3">
        <f t="shared" si="47"/>
        <v>4029.1306989304194</v>
      </c>
      <c r="E122" s="3">
        <f t="shared" si="27"/>
        <v>9693.3544166433458</v>
      </c>
      <c r="F122" s="3">
        <f t="shared" si="49"/>
        <v>1012221.4265383929</v>
      </c>
    </row>
    <row r="123" spans="1:6" ht="12.75">
      <c r="A123" s="9">
        <v>45200</v>
      </c>
      <c r="B123" s="3">
        <f t="shared" si="50"/>
        <v>1012221.4265383929</v>
      </c>
      <c r="C123" s="3">
        <f t="shared" si="46"/>
        <v>5686.6446032622071</v>
      </c>
      <c r="D123" s="3">
        <f t="shared" si="47"/>
        <v>4006.7098133811387</v>
      </c>
      <c r="E123" s="3">
        <f t="shared" si="27"/>
        <v>9693.3544166433458</v>
      </c>
      <c r="F123" s="3">
        <f t="shared" si="49"/>
        <v>1006534.7819351307</v>
      </c>
    </row>
    <row r="124" spans="1:6" ht="12.75">
      <c r="A124" s="9">
        <v>45231</v>
      </c>
      <c r="B124" s="3">
        <f t="shared" si="50"/>
        <v>1006534.7819351307</v>
      </c>
      <c r="C124" s="3">
        <f t="shared" si="46"/>
        <v>5709.1542381501204</v>
      </c>
      <c r="D124" s="3">
        <f t="shared" si="47"/>
        <v>3984.2001784932258</v>
      </c>
      <c r="E124" s="3">
        <f t="shared" si="27"/>
        <v>9693.3544166433458</v>
      </c>
      <c r="F124" s="3">
        <f t="shared" si="49"/>
        <v>1000825.6276969806</v>
      </c>
    </row>
    <row r="125" spans="1:6" ht="12.75">
      <c r="A125" s="9">
        <v>45261</v>
      </c>
      <c r="B125" s="3">
        <f t="shared" si="50"/>
        <v>1000825.6276969806</v>
      </c>
      <c r="C125" s="3">
        <f t="shared" si="46"/>
        <v>5731.7529736761308</v>
      </c>
      <c r="D125" s="3">
        <f t="shared" si="47"/>
        <v>3961.601442967215</v>
      </c>
      <c r="E125" s="3">
        <f t="shared" si="27"/>
        <v>9693.3544166433458</v>
      </c>
      <c r="F125" s="6">
        <f t="shared" si="49"/>
        <v>995093.87472330453</v>
      </c>
    </row>
    <row r="126" spans="1:6" ht="12.75">
      <c r="A126" s="7" t="s">
        <v>68</v>
      </c>
      <c r="B126" s="8"/>
      <c r="C126" s="6">
        <f t="shared" ref="C126:D126" si="51">SUM(C114:C125)</f>
        <v>67308.948478495688</v>
      </c>
      <c r="D126" s="6">
        <f t="shared" si="51"/>
        <v>49011.304521224454</v>
      </c>
    </row>
    <row r="127" spans="1:6" ht="12.75">
      <c r="B127" s="2"/>
      <c r="C127" s="3"/>
      <c r="D127" s="3"/>
      <c r="E127" s="3"/>
      <c r="F127" s="3"/>
    </row>
    <row r="128" spans="1:6" ht="12.75">
      <c r="A128" s="9">
        <v>45292</v>
      </c>
      <c r="B128" s="3">
        <f t="shared" ref="B128" si="52">+F125</f>
        <v>995093.87472330453</v>
      </c>
      <c r="C128" s="3">
        <f t="shared" ref="C128:C139" si="53">+E128-D128</f>
        <v>5754.4411625302655</v>
      </c>
      <c r="D128" s="3">
        <f t="shared" ref="D128:D139" si="54">B128*$I$2</f>
        <v>3938.9132541130807</v>
      </c>
      <c r="E128" s="3">
        <f t="shared" ref="E128" si="55">-$I$8</f>
        <v>9693.3544166433458</v>
      </c>
      <c r="F128" s="3">
        <f t="shared" ref="F128:F139" si="56">+B128-C128</f>
        <v>989339.43356077431</v>
      </c>
    </row>
    <row r="129" spans="1:6" ht="12.75">
      <c r="A129" s="9">
        <v>45323</v>
      </c>
      <c r="B129" s="3">
        <f t="shared" ref="B129:B139" si="57">+F128</f>
        <v>989339.43356077431</v>
      </c>
      <c r="C129" s="3">
        <f t="shared" si="53"/>
        <v>5777.2191587986144</v>
      </c>
      <c r="D129" s="3">
        <f t="shared" si="54"/>
        <v>3916.1352578447318</v>
      </c>
      <c r="E129" s="3">
        <f t="shared" si="27"/>
        <v>9693.3544166433458</v>
      </c>
      <c r="F129" s="3">
        <f t="shared" si="56"/>
        <v>983562.21440197574</v>
      </c>
    </row>
    <row r="130" spans="1:6" ht="12.75">
      <c r="A130" s="9">
        <v>45352</v>
      </c>
      <c r="B130" s="3">
        <f t="shared" si="57"/>
        <v>983562.21440197574</v>
      </c>
      <c r="C130" s="3">
        <f t="shared" si="53"/>
        <v>5800.0873179688588</v>
      </c>
      <c r="D130" s="3">
        <f t="shared" si="54"/>
        <v>3893.2670986744874</v>
      </c>
      <c r="E130" s="3">
        <f t="shared" si="27"/>
        <v>9693.3544166433458</v>
      </c>
      <c r="F130" s="3">
        <f t="shared" si="56"/>
        <v>977762.1270840069</v>
      </c>
    </row>
    <row r="131" spans="1:6" ht="12.75">
      <c r="A131" s="9">
        <v>45383</v>
      </c>
      <c r="B131" s="3">
        <f t="shared" si="57"/>
        <v>977762.1270840069</v>
      </c>
      <c r="C131" s="3">
        <f t="shared" si="53"/>
        <v>5823.045996935818</v>
      </c>
      <c r="D131" s="3">
        <f t="shared" si="54"/>
        <v>3870.3084197075277</v>
      </c>
      <c r="E131" s="3">
        <f t="shared" si="27"/>
        <v>9693.3544166433458</v>
      </c>
      <c r="F131" s="3">
        <f t="shared" si="56"/>
        <v>971939.0810870711</v>
      </c>
    </row>
    <row r="132" spans="1:6" ht="12.75">
      <c r="A132" s="9">
        <v>45413</v>
      </c>
      <c r="B132" s="3">
        <f t="shared" si="57"/>
        <v>971939.0810870711</v>
      </c>
      <c r="C132" s="3">
        <f t="shared" si="53"/>
        <v>5846.0955540070227</v>
      </c>
      <c r="D132" s="3">
        <f t="shared" si="54"/>
        <v>3847.2588626363236</v>
      </c>
      <c r="E132" s="3">
        <f t="shared" si="27"/>
        <v>9693.3544166433458</v>
      </c>
      <c r="F132" s="3">
        <f t="shared" si="56"/>
        <v>966092.98553306411</v>
      </c>
    </row>
    <row r="133" spans="1:6" ht="12.75">
      <c r="A133" s="9">
        <v>45444</v>
      </c>
      <c r="B133" s="3">
        <f t="shared" si="57"/>
        <v>966092.98553306411</v>
      </c>
      <c r="C133" s="3">
        <f t="shared" si="53"/>
        <v>5869.2363489083</v>
      </c>
      <c r="D133" s="3">
        <f t="shared" si="54"/>
        <v>3824.1180677350458</v>
      </c>
      <c r="E133" s="3">
        <f t="shared" si="27"/>
        <v>9693.3544166433458</v>
      </c>
      <c r="F133" s="3">
        <f t="shared" si="56"/>
        <v>960223.74918415584</v>
      </c>
    </row>
    <row r="134" spans="1:6" ht="12.75">
      <c r="A134" s="9">
        <v>45474</v>
      </c>
      <c r="B134" s="3">
        <f t="shared" si="57"/>
        <v>960223.74918415584</v>
      </c>
      <c r="C134" s="3">
        <f t="shared" si="53"/>
        <v>5892.468742789395</v>
      </c>
      <c r="D134" s="3">
        <f t="shared" si="54"/>
        <v>3800.8856738539507</v>
      </c>
      <c r="E134" s="3">
        <f t="shared" si="27"/>
        <v>9693.3544166433458</v>
      </c>
      <c r="F134" s="3">
        <f t="shared" si="56"/>
        <v>954331.28044136649</v>
      </c>
    </row>
    <row r="135" spans="1:6" ht="12.75">
      <c r="A135" s="9">
        <v>45505</v>
      </c>
      <c r="B135" s="3">
        <f t="shared" si="57"/>
        <v>954331.28044136649</v>
      </c>
      <c r="C135" s="3">
        <f t="shared" si="53"/>
        <v>5915.7930982296029</v>
      </c>
      <c r="D135" s="3">
        <f t="shared" si="54"/>
        <v>3777.5613184137428</v>
      </c>
      <c r="E135" s="3">
        <f t="shared" si="27"/>
        <v>9693.3544166433458</v>
      </c>
      <c r="F135" s="3">
        <f t="shared" si="56"/>
        <v>948415.48734313692</v>
      </c>
    </row>
    <row r="136" spans="1:6" ht="12.75">
      <c r="A136" s="9">
        <v>45536</v>
      </c>
      <c r="B136" s="3">
        <f t="shared" si="57"/>
        <v>948415.48734313692</v>
      </c>
      <c r="C136" s="3">
        <f t="shared" si="53"/>
        <v>5939.2097792434288</v>
      </c>
      <c r="D136" s="3">
        <f t="shared" si="54"/>
        <v>3754.1446373999174</v>
      </c>
      <c r="E136" s="3">
        <f t="shared" ref="E136:E139" si="58">-$I$8</f>
        <v>9693.3544166433458</v>
      </c>
      <c r="F136" s="3">
        <f t="shared" si="56"/>
        <v>942476.27756389347</v>
      </c>
    </row>
    <row r="137" spans="1:6" ht="12.75">
      <c r="A137" s="9">
        <v>45566</v>
      </c>
      <c r="B137" s="3">
        <f t="shared" si="57"/>
        <v>942476.27756389347</v>
      </c>
      <c r="C137" s="3">
        <f t="shared" si="53"/>
        <v>5962.7191512862673</v>
      </c>
      <c r="D137" s="3">
        <f t="shared" si="54"/>
        <v>3730.6352653570784</v>
      </c>
      <c r="E137" s="3">
        <f t="shared" si="58"/>
        <v>9693.3544166433458</v>
      </c>
      <c r="F137" s="3">
        <f t="shared" si="56"/>
        <v>936513.55841260718</v>
      </c>
    </row>
    <row r="138" spans="1:6" ht="12.75">
      <c r="A138" s="9">
        <v>45597</v>
      </c>
      <c r="B138" s="3">
        <f t="shared" si="57"/>
        <v>936513.55841260718</v>
      </c>
      <c r="C138" s="3">
        <f t="shared" si="53"/>
        <v>5986.3215812601084</v>
      </c>
      <c r="D138" s="3">
        <f t="shared" si="54"/>
        <v>3707.0328353832369</v>
      </c>
      <c r="E138" s="3">
        <f t="shared" si="58"/>
        <v>9693.3544166433458</v>
      </c>
      <c r="F138" s="3">
        <f t="shared" si="56"/>
        <v>930527.23683134711</v>
      </c>
    </row>
    <row r="139" spans="1:6" ht="12.75">
      <c r="A139" s="9">
        <v>45627</v>
      </c>
      <c r="B139" s="3">
        <f t="shared" si="57"/>
        <v>930527.23683134711</v>
      </c>
      <c r="C139" s="3">
        <f t="shared" si="53"/>
        <v>6010.0174375192637</v>
      </c>
      <c r="D139" s="3">
        <f t="shared" si="54"/>
        <v>3683.3369791240825</v>
      </c>
      <c r="E139" s="3">
        <f t="shared" si="58"/>
        <v>9693.3544166433458</v>
      </c>
      <c r="F139" s="6">
        <f t="shared" si="56"/>
        <v>924517.21939382784</v>
      </c>
    </row>
    <row r="140" spans="1:6" ht="12.75">
      <c r="A140" s="7" t="s">
        <v>68</v>
      </c>
      <c r="B140" s="8"/>
      <c r="C140" s="6">
        <f t="shared" ref="C140:D140" si="59">SUM(C128:C139)</f>
        <v>70576.65532947694</v>
      </c>
      <c r="D140" s="6">
        <f t="shared" si="59"/>
        <v>45743.597670243209</v>
      </c>
    </row>
    <row r="141" spans="1:6" ht="12.75">
      <c r="B141" s="2"/>
      <c r="C141" s="3"/>
      <c r="D141" s="3"/>
      <c r="E141" s="3"/>
      <c r="F141" s="3"/>
    </row>
    <row r="142" spans="1:6" ht="12.75">
      <c r="A142" s="9">
        <v>45658</v>
      </c>
      <c r="B142" s="3">
        <f t="shared" ref="B142" si="60">+F139</f>
        <v>924517.21939382784</v>
      </c>
      <c r="C142" s="3">
        <f t="shared" ref="C142:C153" si="61">+E142-D142</f>
        <v>6033.8070898761107</v>
      </c>
      <c r="D142" s="3">
        <f t="shared" ref="D142:D153" si="62">B142*$I$2</f>
        <v>3659.5473267672355</v>
      </c>
      <c r="E142" s="3">
        <f t="shared" ref="E142:E205" si="63">-$I$8</f>
        <v>9693.3544166433458</v>
      </c>
      <c r="F142" s="3">
        <f t="shared" ref="F142:F153" si="64">+B142-C142</f>
        <v>918483.41230395169</v>
      </c>
    </row>
    <row r="143" spans="1:6" ht="12.75">
      <c r="A143" s="9">
        <v>45689</v>
      </c>
      <c r="B143" s="3">
        <f t="shared" ref="B143:B153" si="65">+F142</f>
        <v>918483.41230395169</v>
      </c>
      <c r="C143" s="3">
        <f t="shared" si="61"/>
        <v>6057.6909096068703</v>
      </c>
      <c r="D143" s="3">
        <f t="shared" si="62"/>
        <v>3635.6635070364759</v>
      </c>
      <c r="E143" s="3">
        <f t="shared" si="63"/>
        <v>9693.3544166433458</v>
      </c>
      <c r="F143" s="3">
        <f t="shared" si="64"/>
        <v>912425.72139434482</v>
      </c>
    </row>
    <row r="144" spans="1:6" ht="12.75">
      <c r="A144" s="9">
        <v>45717</v>
      </c>
      <c r="B144" s="3">
        <f t="shared" si="65"/>
        <v>912425.72139434482</v>
      </c>
      <c r="C144" s="3">
        <f t="shared" si="61"/>
        <v>6081.6692694573976</v>
      </c>
      <c r="D144" s="3">
        <f t="shared" si="62"/>
        <v>3611.6851471859486</v>
      </c>
      <c r="E144" s="3">
        <f t="shared" si="63"/>
        <v>9693.3544166433458</v>
      </c>
      <c r="F144" s="3">
        <f t="shared" si="64"/>
        <v>906344.05212488747</v>
      </c>
    </row>
    <row r="145" spans="1:6" ht="12.75">
      <c r="A145" s="9">
        <v>45748</v>
      </c>
      <c r="B145" s="3">
        <f t="shared" si="65"/>
        <v>906344.05212488747</v>
      </c>
      <c r="C145" s="3">
        <f t="shared" si="61"/>
        <v>6105.7425436489993</v>
      </c>
      <c r="D145" s="3">
        <f t="shared" si="62"/>
        <v>3587.6118729943464</v>
      </c>
      <c r="E145" s="3">
        <f t="shared" si="63"/>
        <v>9693.3544166433458</v>
      </c>
      <c r="F145" s="3">
        <f t="shared" si="64"/>
        <v>900238.30958123843</v>
      </c>
    </row>
    <row r="146" spans="1:6" ht="12.75">
      <c r="A146" s="9">
        <v>45778</v>
      </c>
      <c r="B146" s="3">
        <f t="shared" si="65"/>
        <v>900238.30958123843</v>
      </c>
      <c r="C146" s="3">
        <f t="shared" si="61"/>
        <v>6129.9111078842761</v>
      </c>
      <c r="D146" s="3">
        <f t="shared" si="62"/>
        <v>3563.4433087590692</v>
      </c>
      <c r="E146" s="3">
        <f t="shared" si="63"/>
        <v>9693.3544166433458</v>
      </c>
      <c r="F146" s="3">
        <f t="shared" si="64"/>
        <v>894108.39847335417</v>
      </c>
    </row>
    <row r="147" spans="1:6" ht="12.75">
      <c r="A147" s="9">
        <v>45809</v>
      </c>
      <c r="B147" s="3">
        <f t="shared" si="65"/>
        <v>894108.39847335417</v>
      </c>
      <c r="C147" s="3">
        <f t="shared" si="61"/>
        <v>6154.1753393529852</v>
      </c>
      <c r="D147" s="3">
        <f t="shared" si="62"/>
        <v>3539.1790772903605</v>
      </c>
      <c r="E147" s="3">
        <f t="shared" si="63"/>
        <v>9693.3544166433458</v>
      </c>
      <c r="F147" s="3">
        <f t="shared" si="64"/>
        <v>887954.22313400113</v>
      </c>
    </row>
    <row r="148" spans="1:6" ht="12.75">
      <c r="A148" s="9">
        <v>45839</v>
      </c>
      <c r="B148" s="3">
        <f t="shared" si="65"/>
        <v>887954.22313400113</v>
      </c>
      <c r="C148" s="3">
        <f t="shared" si="61"/>
        <v>6178.5356167379241</v>
      </c>
      <c r="D148" s="3">
        <f t="shared" si="62"/>
        <v>3514.8187999054217</v>
      </c>
      <c r="E148" s="3">
        <f t="shared" si="63"/>
        <v>9693.3544166433458</v>
      </c>
      <c r="F148" s="3">
        <f t="shared" si="64"/>
        <v>881775.68751726323</v>
      </c>
    </row>
    <row r="149" spans="1:6" ht="12.75">
      <c r="A149" s="9">
        <v>45870</v>
      </c>
      <c r="B149" s="3">
        <f t="shared" si="65"/>
        <v>881775.68751726323</v>
      </c>
      <c r="C149" s="3">
        <f t="shared" si="61"/>
        <v>6202.9923202208447</v>
      </c>
      <c r="D149" s="3">
        <f t="shared" si="62"/>
        <v>3490.3620964225006</v>
      </c>
      <c r="E149" s="3">
        <f t="shared" si="63"/>
        <v>9693.3544166433458</v>
      </c>
      <c r="F149" s="3">
        <f t="shared" si="64"/>
        <v>875572.69519704243</v>
      </c>
    </row>
    <row r="150" spans="1:6" ht="12.75">
      <c r="A150" s="9">
        <v>45901</v>
      </c>
      <c r="B150" s="3">
        <f t="shared" si="65"/>
        <v>875572.69519704243</v>
      </c>
      <c r="C150" s="3">
        <f t="shared" si="61"/>
        <v>6227.5458314883854</v>
      </c>
      <c r="D150" s="3">
        <f t="shared" si="62"/>
        <v>3465.8085851549599</v>
      </c>
      <c r="E150" s="3">
        <f t="shared" si="63"/>
        <v>9693.3544166433458</v>
      </c>
      <c r="F150" s="3">
        <f t="shared" si="64"/>
        <v>869345.1493655541</v>
      </c>
    </row>
    <row r="151" spans="1:6" ht="12.75">
      <c r="A151" s="9">
        <v>45931</v>
      </c>
      <c r="B151" s="3">
        <f t="shared" si="65"/>
        <v>869345.1493655541</v>
      </c>
      <c r="C151" s="3">
        <f t="shared" si="61"/>
        <v>6252.196533738027</v>
      </c>
      <c r="D151" s="3">
        <f t="shared" si="62"/>
        <v>3441.1578829053187</v>
      </c>
      <c r="E151" s="3">
        <f t="shared" si="63"/>
        <v>9693.3544166433458</v>
      </c>
      <c r="F151" s="3">
        <f t="shared" si="64"/>
        <v>863092.95283181604</v>
      </c>
    </row>
    <row r="152" spans="1:6" ht="12.75">
      <c r="A152" s="9">
        <v>45962</v>
      </c>
      <c r="B152" s="3">
        <f t="shared" si="65"/>
        <v>863092.95283181604</v>
      </c>
      <c r="C152" s="3">
        <f t="shared" si="61"/>
        <v>6276.944811684074</v>
      </c>
      <c r="D152" s="3">
        <f t="shared" si="62"/>
        <v>3416.4096049592722</v>
      </c>
      <c r="E152" s="3">
        <f t="shared" si="63"/>
        <v>9693.3544166433458</v>
      </c>
      <c r="F152" s="3">
        <f t="shared" si="64"/>
        <v>856816.00802013197</v>
      </c>
    </row>
    <row r="153" spans="1:6" ht="12.75">
      <c r="A153" s="9">
        <v>45992</v>
      </c>
      <c r="B153" s="3">
        <f t="shared" si="65"/>
        <v>856816.00802013197</v>
      </c>
      <c r="C153" s="3">
        <f t="shared" si="61"/>
        <v>6301.7910515636559</v>
      </c>
      <c r="D153" s="3">
        <f t="shared" si="62"/>
        <v>3391.5633650796894</v>
      </c>
      <c r="E153" s="3">
        <f t="shared" si="63"/>
        <v>9693.3544166433458</v>
      </c>
      <c r="F153" s="6">
        <f t="shared" si="64"/>
        <v>850514.21696856827</v>
      </c>
    </row>
    <row r="154" spans="1:6" ht="12.75">
      <c r="A154" s="7" t="s">
        <v>68</v>
      </c>
      <c r="B154" s="8"/>
      <c r="C154" s="6">
        <f t="shared" ref="C154:D154" si="66">SUM(C142:C153)</f>
        <v>74003.002425259561</v>
      </c>
      <c r="D154" s="6">
        <f t="shared" si="66"/>
        <v>42317.250574460595</v>
      </c>
    </row>
    <row r="155" spans="1:6" ht="12.75">
      <c r="B155" s="2"/>
      <c r="C155" s="3"/>
      <c r="D155" s="3"/>
      <c r="E155" s="3"/>
      <c r="F155" s="3"/>
    </row>
    <row r="156" spans="1:6" ht="12.75">
      <c r="A156" s="9">
        <v>46023</v>
      </c>
      <c r="B156" s="3">
        <f t="shared" ref="B156" si="67">+F153</f>
        <v>850514.21696856827</v>
      </c>
      <c r="C156" s="3">
        <f t="shared" ref="C156:C167" si="68">+E156-D156</f>
        <v>6326.7356411427627</v>
      </c>
      <c r="D156" s="3">
        <f t="shared" ref="D156:D167" si="69">B156*$I$2</f>
        <v>3366.6187755005831</v>
      </c>
      <c r="E156" s="3">
        <f t="shared" si="63"/>
        <v>9693.3544166433458</v>
      </c>
      <c r="F156" s="3">
        <f t="shared" ref="F156:F167" si="70">+B156-C156</f>
        <v>844187.48132742546</v>
      </c>
    </row>
    <row r="157" spans="1:6" ht="12.75">
      <c r="A157" s="9">
        <v>46054</v>
      </c>
      <c r="B157" s="3">
        <f t="shared" ref="B157:B167" si="71">+F156</f>
        <v>844187.48132742546</v>
      </c>
      <c r="C157" s="3">
        <f t="shared" si="68"/>
        <v>6351.778969722287</v>
      </c>
      <c r="D157" s="3">
        <f t="shared" si="69"/>
        <v>3341.5754469210592</v>
      </c>
      <c r="E157" s="3">
        <f t="shared" si="63"/>
        <v>9693.3544166433458</v>
      </c>
      <c r="F157" s="3">
        <f t="shared" si="70"/>
        <v>837835.70235770312</v>
      </c>
    </row>
    <row r="158" spans="1:6" ht="12.75">
      <c r="A158" s="9">
        <v>46082</v>
      </c>
      <c r="B158" s="3">
        <f t="shared" si="71"/>
        <v>837835.70235770312</v>
      </c>
      <c r="C158" s="3">
        <f t="shared" si="68"/>
        <v>6376.9214281441036</v>
      </c>
      <c r="D158" s="3">
        <f t="shared" si="69"/>
        <v>3316.4329884992417</v>
      </c>
      <c r="E158" s="3">
        <f t="shared" si="63"/>
        <v>9693.3544166433458</v>
      </c>
      <c r="F158" s="3">
        <f t="shared" si="70"/>
        <v>831458.78092955903</v>
      </c>
    </row>
    <row r="159" spans="1:6" ht="12.75">
      <c r="A159" s="9">
        <v>46113</v>
      </c>
      <c r="B159" s="3">
        <f t="shared" si="71"/>
        <v>831458.78092955903</v>
      </c>
      <c r="C159" s="3">
        <f t="shared" si="68"/>
        <v>6402.1634087971743</v>
      </c>
      <c r="D159" s="3">
        <f t="shared" si="69"/>
        <v>3291.1910078461715</v>
      </c>
      <c r="E159" s="3">
        <f t="shared" si="63"/>
        <v>9693.3544166433458</v>
      </c>
      <c r="F159" s="3">
        <f t="shared" si="70"/>
        <v>825056.61752076191</v>
      </c>
    </row>
    <row r="160" spans="1:6" ht="12.75">
      <c r="A160" s="9">
        <v>46143</v>
      </c>
      <c r="B160" s="3">
        <f t="shared" si="71"/>
        <v>825056.61752076191</v>
      </c>
      <c r="C160" s="3">
        <f t="shared" si="68"/>
        <v>6427.5053056236629</v>
      </c>
      <c r="D160" s="3">
        <f t="shared" si="69"/>
        <v>3265.8491110196828</v>
      </c>
      <c r="E160" s="3">
        <f t="shared" si="63"/>
        <v>9693.3544166433458</v>
      </c>
      <c r="F160" s="3">
        <f t="shared" si="70"/>
        <v>818629.11221513827</v>
      </c>
    </row>
    <row r="161" spans="1:6" ht="12.75">
      <c r="A161" s="9">
        <v>46174</v>
      </c>
      <c r="B161" s="3">
        <f t="shared" si="71"/>
        <v>818629.11221513827</v>
      </c>
      <c r="C161" s="3">
        <f t="shared" si="68"/>
        <v>6452.9475141250896</v>
      </c>
      <c r="D161" s="3">
        <f t="shared" si="69"/>
        <v>3240.4069025182557</v>
      </c>
      <c r="E161" s="3">
        <f t="shared" si="63"/>
        <v>9693.3544166433458</v>
      </c>
      <c r="F161" s="3">
        <f t="shared" si="70"/>
        <v>812176.16470101313</v>
      </c>
    </row>
    <row r="162" spans="1:6" ht="12.75">
      <c r="A162" s="9">
        <v>46204</v>
      </c>
      <c r="B162" s="3">
        <f t="shared" si="71"/>
        <v>812176.16470101313</v>
      </c>
      <c r="C162" s="3">
        <f t="shared" si="68"/>
        <v>6478.490431368502</v>
      </c>
      <c r="D162" s="3">
        <f t="shared" si="69"/>
        <v>3214.8639852748438</v>
      </c>
      <c r="E162" s="3">
        <f t="shared" si="63"/>
        <v>9693.3544166433458</v>
      </c>
      <c r="F162" s="3">
        <f t="shared" si="70"/>
        <v>805697.67426964466</v>
      </c>
    </row>
    <row r="163" spans="1:6" ht="12.75">
      <c r="A163" s="9">
        <v>46235</v>
      </c>
      <c r="B163" s="3">
        <f t="shared" si="71"/>
        <v>805697.67426964466</v>
      </c>
      <c r="C163" s="3">
        <f t="shared" si="68"/>
        <v>6504.1344559926692</v>
      </c>
      <c r="D163" s="3">
        <f t="shared" si="69"/>
        <v>3189.219960650677</v>
      </c>
      <c r="E163" s="3">
        <f t="shared" si="63"/>
        <v>9693.3544166433458</v>
      </c>
      <c r="F163" s="3">
        <f t="shared" si="70"/>
        <v>799193.53981365194</v>
      </c>
    </row>
    <row r="164" spans="1:6" ht="12.75">
      <c r="A164" s="9">
        <v>46266</v>
      </c>
      <c r="B164" s="3">
        <f t="shared" si="71"/>
        <v>799193.53981365194</v>
      </c>
      <c r="C164" s="3">
        <f t="shared" si="68"/>
        <v>6529.8799882143066</v>
      </c>
      <c r="D164" s="3">
        <f t="shared" si="69"/>
        <v>3163.4744284290391</v>
      </c>
      <c r="E164" s="3">
        <f t="shared" si="63"/>
        <v>9693.3544166433458</v>
      </c>
      <c r="F164" s="3">
        <f t="shared" si="70"/>
        <v>792663.65982543759</v>
      </c>
    </row>
    <row r="165" spans="1:6" ht="12.75">
      <c r="A165" s="9">
        <v>46296</v>
      </c>
      <c r="B165" s="3">
        <f t="shared" si="71"/>
        <v>792663.65982543759</v>
      </c>
      <c r="C165" s="3">
        <f t="shared" si="68"/>
        <v>6555.7274298343218</v>
      </c>
      <c r="D165" s="3">
        <f t="shared" si="69"/>
        <v>3137.6269868090239</v>
      </c>
      <c r="E165" s="3">
        <f t="shared" si="63"/>
        <v>9693.3544166433458</v>
      </c>
      <c r="F165" s="3">
        <f t="shared" si="70"/>
        <v>786107.93239560327</v>
      </c>
    </row>
    <row r="166" spans="1:6" ht="12.75">
      <c r="A166" s="9">
        <v>46327</v>
      </c>
      <c r="B166" s="3">
        <f t="shared" si="71"/>
        <v>786107.93239560327</v>
      </c>
      <c r="C166" s="3">
        <f t="shared" si="68"/>
        <v>6581.677184244083</v>
      </c>
      <c r="D166" s="3">
        <f t="shared" si="69"/>
        <v>3111.6772323992632</v>
      </c>
      <c r="E166" s="3">
        <f t="shared" si="63"/>
        <v>9693.3544166433458</v>
      </c>
      <c r="F166" s="3">
        <f t="shared" si="70"/>
        <v>779526.25521135924</v>
      </c>
    </row>
    <row r="167" spans="1:6" ht="12.75">
      <c r="A167" s="9">
        <v>46357</v>
      </c>
      <c r="B167" s="3">
        <f t="shared" si="71"/>
        <v>779526.25521135924</v>
      </c>
      <c r="C167" s="3">
        <f t="shared" si="68"/>
        <v>6607.7296564317148</v>
      </c>
      <c r="D167" s="3">
        <f t="shared" si="69"/>
        <v>3085.6247602116305</v>
      </c>
      <c r="E167" s="3">
        <f t="shared" si="63"/>
        <v>9693.3544166433458</v>
      </c>
      <c r="F167" s="6">
        <f t="shared" si="70"/>
        <v>772918.52555492753</v>
      </c>
    </row>
    <row r="168" spans="1:6" ht="12.75">
      <c r="A168" s="7" t="s">
        <v>68</v>
      </c>
      <c r="B168" s="8"/>
      <c r="C168" s="6">
        <f t="shared" ref="C168:D168" si="72">SUM(C156:C167)</f>
        <v>77595.691413640685</v>
      </c>
      <c r="D168" s="6">
        <f t="shared" si="72"/>
        <v>38724.561586079471</v>
      </c>
    </row>
    <row r="169" spans="1:6" ht="12.75">
      <c r="B169" s="2"/>
      <c r="C169" s="3"/>
      <c r="D169" s="3"/>
      <c r="E169" s="3"/>
      <c r="F169" s="3"/>
    </row>
    <row r="170" spans="1:6" ht="12.75">
      <c r="A170" s="9">
        <v>46388</v>
      </c>
      <c r="B170" s="3">
        <f t="shared" ref="B170" si="73">+F167</f>
        <v>772918.52555492753</v>
      </c>
      <c r="C170" s="3">
        <f t="shared" ref="C170:C181" si="74">+E170-D170</f>
        <v>6633.8852529884243</v>
      </c>
      <c r="D170" s="3">
        <f t="shared" ref="D170:D181" si="75">B170*$I$2</f>
        <v>3059.4691636549219</v>
      </c>
      <c r="E170" s="3">
        <f t="shared" si="63"/>
        <v>9693.3544166433458</v>
      </c>
      <c r="F170" s="3">
        <f t="shared" ref="F170:F181" si="76">+B170-C170</f>
        <v>766284.6403019391</v>
      </c>
    </row>
    <row r="171" spans="1:6" ht="12.75">
      <c r="A171" s="9">
        <v>46419</v>
      </c>
      <c r="B171" s="3">
        <f t="shared" ref="B171:B181" si="77">+F170</f>
        <v>766284.6403019391</v>
      </c>
      <c r="C171" s="3">
        <f t="shared" si="74"/>
        <v>6660.1443821148368</v>
      </c>
      <c r="D171" s="3">
        <f t="shared" si="75"/>
        <v>3033.2100345285094</v>
      </c>
      <c r="E171" s="3">
        <f t="shared" si="63"/>
        <v>9693.3544166433458</v>
      </c>
      <c r="F171" s="3">
        <f t="shared" si="76"/>
        <v>759624.49591982423</v>
      </c>
    </row>
    <row r="172" spans="1:6" ht="12.75">
      <c r="A172" s="9">
        <v>46447</v>
      </c>
      <c r="B172" s="3">
        <f t="shared" si="77"/>
        <v>759624.49591982423</v>
      </c>
      <c r="C172" s="3">
        <f t="shared" si="74"/>
        <v>6686.5074536273751</v>
      </c>
      <c r="D172" s="3">
        <f t="shared" si="75"/>
        <v>3006.8469630159711</v>
      </c>
      <c r="E172" s="3">
        <f t="shared" si="63"/>
        <v>9693.3544166433458</v>
      </c>
      <c r="F172" s="3">
        <f t="shared" si="76"/>
        <v>752937.98846619681</v>
      </c>
    </row>
    <row r="173" spans="1:6" ht="12.75">
      <c r="A173" s="9">
        <v>46478</v>
      </c>
      <c r="B173" s="3">
        <f t="shared" si="77"/>
        <v>752937.98846619681</v>
      </c>
      <c r="C173" s="3">
        <f t="shared" si="74"/>
        <v>6712.9748789646492</v>
      </c>
      <c r="D173" s="3">
        <f t="shared" si="75"/>
        <v>2980.3795376786961</v>
      </c>
      <c r="E173" s="3">
        <f t="shared" si="63"/>
        <v>9693.3544166433458</v>
      </c>
      <c r="F173" s="3">
        <f t="shared" si="76"/>
        <v>746225.01358723221</v>
      </c>
    </row>
    <row r="174" spans="1:6" ht="12.75">
      <c r="A174" s="9">
        <v>46508</v>
      </c>
      <c r="B174" s="3">
        <f t="shared" si="77"/>
        <v>746225.01358723221</v>
      </c>
      <c r="C174" s="3">
        <f t="shared" si="74"/>
        <v>6739.5470711938851</v>
      </c>
      <c r="D174" s="3">
        <f t="shared" si="75"/>
        <v>2953.8073454494611</v>
      </c>
      <c r="E174" s="3">
        <f t="shared" si="63"/>
        <v>9693.3544166433458</v>
      </c>
      <c r="F174" s="3">
        <f t="shared" si="76"/>
        <v>739485.46651603829</v>
      </c>
    </row>
    <row r="175" spans="1:6" ht="12.75">
      <c r="A175" s="9">
        <v>46539</v>
      </c>
      <c r="B175" s="3">
        <f t="shared" si="77"/>
        <v>739485.46651603829</v>
      </c>
      <c r="C175" s="3">
        <f t="shared" si="74"/>
        <v>6766.2244450173603</v>
      </c>
      <c r="D175" s="3">
        <f t="shared" si="75"/>
        <v>2927.129971625985</v>
      </c>
      <c r="E175" s="3">
        <f t="shared" si="63"/>
        <v>9693.3544166433458</v>
      </c>
      <c r="F175" s="3">
        <f t="shared" si="76"/>
        <v>732719.24207102088</v>
      </c>
    </row>
    <row r="176" spans="1:6" ht="12.75">
      <c r="A176" s="9">
        <v>46569</v>
      </c>
      <c r="B176" s="3">
        <f t="shared" si="77"/>
        <v>732719.24207102088</v>
      </c>
      <c r="C176" s="3">
        <f t="shared" si="74"/>
        <v>6793.007416778888</v>
      </c>
      <c r="D176" s="3">
        <f t="shared" si="75"/>
        <v>2900.3469998644578</v>
      </c>
      <c r="E176" s="3">
        <f t="shared" si="63"/>
        <v>9693.3544166433458</v>
      </c>
      <c r="F176" s="3">
        <f t="shared" si="76"/>
        <v>725926.23465424194</v>
      </c>
    </row>
    <row r="177" spans="1:6" ht="12.75">
      <c r="A177" s="9">
        <v>46600</v>
      </c>
      <c r="B177" s="3">
        <f t="shared" si="77"/>
        <v>725926.23465424194</v>
      </c>
      <c r="C177" s="3">
        <f t="shared" si="74"/>
        <v>6819.8964044703043</v>
      </c>
      <c r="D177" s="3">
        <f t="shared" si="75"/>
        <v>2873.4580121730414</v>
      </c>
      <c r="E177" s="3">
        <f t="shared" si="63"/>
        <v>9693.3544166433458</v>
      </c>
      <c r="F177" s="3">
        <f t="shared" si="76"/>
        <v>719106.33824977162</v>
      </c>
    </row>
    <row r="178" spans="1:6" ht="12.75">
      <c r="A178" s="9">
        <v>46631</v>
      </c>
      <c r="B178" s="3">
        <f t="shared" si="77"/>
        <v>719106.33824977162</v>
      </c>
      <c r="C178" s="3">
        <f t="shared" si="74"/>
        <v>6846.8918277379998</v>
      </c>
      <c r="D178" s="3">
        <f t="shared" si="75"/>
        <v>2846.4625889053464</v>
      </c>
      <c r="E178" s="3">
        <f t="shared" si="63"/>
        <v>9693.3544166433458</v>
      </c>
      <c r="F178" s="3">
        <f t="shared" si="76"/>
        <v>712259.44642203359</v>
      </c>
    </row>
    <row r="179" spans="1:6" ht="12.75">
      <c r="A179" s="9">
        <v>46661</v>
      </c>
      <c r="B179" s="3">
        <f t="shared" si="77"/>
        <v>712259.44642203359</v>
      </c>
      <c r="C179" s="3">
        <f t="shared" si="74"/>
        <v>6873.9941078894626</v>
      </c>
      <c r="D179" s="3">
        <f t="shared" si="75"/>
        <v>2819.3603087538831</v>
      </c>
      <c r="E179" s="3">
        <f t="shared" si="63"/>
        <v>9693.3544166433458</v>
      </c>
      <c r="F179" s="3">
        <f t="shared" si="76"/>
        <v>705385.45231414412</v>
      </c>
    </row>
    <row r="180" spans="1:6" ht="12.75">
      <c r="A180" s="9">
        <v>46692</v>
      </c>
      <c r="B180" s="3">
        <f t="shared" si="77"/>
        <v>705385.45231414412</v>
      </c>
      <c r="C180" s="3">
        <f t="shared" si="74"/>
        <v>6901.2036678998584</v>
      </c>
      <c r="D180" s="3">
        <f t="shared" si="75"/>
        <v>2792.1507487434874</v>
      </c>
      <c r="E180" s="3">
        <f t="shared" si="63"/>
        <v>9693.3544166433458</v>
      </c>
      <c r="F180" s="3">
        <f t="shared" si="76"/>
        <v>698484.24864624429</v>
      </c>
    </row>
    <row r="181" spans="1:6" ht="12.75">
      <c r="A181" s="9">
        <v>46722</v>
      </c>
      <c r="B181" s="3">
        <f t="shared" si="77"/>
        <v>698484.24864624429</v>
      </c>
      <c r="C181" s="3">
        <f t="shared" si="74"/>
        <v>6928.5209324186289</v>
      </c>
      <c r="D181" s="3">
        <f t="shared" si="75"/>
        <v>2764.8334842247173</v>
      </c>
      <c r="E181" s="3">
        <f t="shared" si="63"/>
        <v>9693.3544166433458</v>
      </c>
      <c r="F181" s="6">
        <f t="shared" si="76"/>
        <v>691555.72771382565</v>
      </c>
    </row>
    <row r="182" spans="1:6" ht="12.75">
      <c r="A182" s="7" t="s">
        <v>68</v>
      </c>
      <c r="B182" s="8"/>
      <c r="C182" s="6">
        <f t="shared" ref="C182:D182" si="78">SUM(C170:C181)</f>
        <v>81362.797841101667</v>
      </c>
      <c r="D182" s="6">
        <f t="shared" si="78"/>
        <v>34957.455158618483</v>
      </c>
    </row>
    <row r="183" spans="1:6" ht="12.75">
      <c r="B183" s="2"/>
      <c r="C183" s="3"/>
      <c r="D183" s="3"/>
      <c r="E183" s="3"/>
      <c r="F183" s="3"/>
    </row>
    <row r="184" spans="1:6" ht="12.75">
      <c r="A184" s="9">
        <v>46753</v>
      </c>
      <c r="B184" s="3">
        <f t="shared" ref="B184" si="79">+F181</f>
        <v>691555.72771382565</v>
      </c>
      <c r="C184" s="3">
        <f t="shared" ref="C184:C195" si="80">+E184-D184</f>
        <v>6955.9463277761188</v>
      </c>
      <c r="D184" s="3">
        <f t="shared" ref="D184:D195" si="81">B184*$I$2</f>
        <v>2737.4080888672265</v>
      </c>
      <c r="E184" s="3">
        <f t="shared" si="63"/>
        <v>9693.3544166433458</v>
      </c>
      <c r="F184" s="3">
        <f t="shared" ref="F184:F195" si="82">+B184-C184</f>
        <v>684599.78138604958</v>
      </c>
    </row>
    <row r="185" spans="1:6" ht="12.75">
      <c r="A185" s="9">
        <v>46784</v>
      </c>
      <c r="B185" s="3">
        <f t="shared" ref="B185:B195" si="83">+F184</f>
        <v>684599.78138604958</v>
      </c>
      <c r="C185" s="3">
        <f t="shared" si="80"/>
        <v>6983.4802819902325</v>
      </c>
      <c r="D185" s="3">
        <f t="shared" si="81"/>
        <v>2709.8741346531133</v>
      </c>
      <c r="E185" s="3">
        <f t="shared" si="63"/>
        <v>9693.3544166433458</v>
      </c>
      <c r="F185" s="3">
        <f t="shared" si="82"/>
        <v>677616.30110405933</v>
      </c>
    </row>
    <row r="186" spans="1:6" ht="12.75">
      <c r="A186" s="9">
        <v>46813</v>
      </c>
      <c r="B186" s="3">
        <f t="shared" si="83"/>
        <v>677616.30110405933</v>
      </c>
      <c r="C186" s="3">
        <f t="shared" si="80"/>
        <v>7011.1232247731114</v>
      </c>
      <c r="D186" s="3">
        <f t="shared" si="81"/>
        <v>2682.2311918702349</v>
      </c>
      <c r="E186" s="3">
        <f t="shared" si="63"/>
        <v>9693.3544166433458</v>
      </c>
      <c r="F186" s="3">
        <f t="shared" si="82"/>
        <v>670605.17787928623</v>
      </c>
    </row>
    <row r="187" spans="1:6" ht="12.75">
      <c r="A187" s="9">
        <v>46844</v>
      </c>
      <c r="B187" s="3">
        <f t="shared" si="83"/>
        <v>670605.17787928623</v>
      </c>
      <c r="C187" s="3">
        <f t="shared" si="80"/>
        <v>7038.8755875378374</v>
      </c>
      <c r="D187" s="3">
        <f t="shared" si="81"/>
        <v>2654.4788291055083</v>
      </c>
      <c r="E187" s="3">
        <f t="shared" si="63"/>
        <v>9693.3544166433458</v>
      </c>
      <c r="F187" s="3">
        <f t="shared" si="82"/>
        <v>663566.30229174835</v>
      </c>
    </row>
    <row r="188" spans="1:6" ht="12.75">
      <c r="A188" s="9">
        <v>46874</v>
      </c>
      <c r="B188" s="3">
        <f t="shared" si="83"/>
        <v>663566.30229174835</v>
      </c>
      <c r="C188" s="3">
        <f t="shared" si="80"/>
        <v>7066.7378034051744</v>
      </c>
      <c r="D188" s="3">
        <f t="shared" si="81"/>
        <v>2626.6166132381709</v>
      </c>
      <c r="E188" s="3">
        <f t="shared" si="63"/>
        <v>9693.3544166433458</v>
      </c>
      <c r="F188" s="3">
        <f t="shared" si="82"/>
        <v>656499.5644883432</v>
      </c>
    </row>
    <row r="189" spans="1:6" ht="12.75">
      <c r="A189" s="9">
        <v>46905</v>
      </c>
      <c r="B189" s="3">
        <f t="shared" si="83"/>
        <v>656499.5644883432</v>
      </c>
      <c r="C189" s="3">
        <f t="shared" si="80"/>
        <v>7094.71030721032</v>
      </c>
      <c r="D189" s="3">
        <f t="shared" si="81"/>
        <v>2598.6441094330253</v>
      </c>
      <c r="E189" s="3">
        <f t="shared" si="63"/>
        <v>9693.3544166433458</v>
      </c>
      <c r="F189" s="3">
        <f t="shared" si="82"/>
        <v>649404.85418113286</v>
      </c>
    </row>
    <row r="190" spans="1:6" ht="12.75">
      <c r="A190" s="9">
        <v>46935</v>
      </c>
      <c r="B190" s="3">
        <f t="shared" si="83"/>
        <v>649404.85418113286</v>
      </c>
      <c r="C190" s="3">
        <f t="shared" si="80"/>
        <v>7122.7935355096943</v>
      </c>
      <c r="D190" s="3">
        <f t="shared" si="81"/>
        <v>2570.560881133651</v>
      </c>
      <c r="E190" s="3">
        <f t="shared" si="63"/>
        <v>9693.3544166433458</v>
      </c>
      <c r="F190" s="3">
        <f t="shared" si="82"/>
        <v>642282.06064562313</v>
      </c>
    </row>
    <row r="191" spans="1:6" ht="12.75">
      <c r="A191" s="9">
        <v>46966</v>
      </c>
      <c r="B191" s="3">
        <f t="shared" si="83"/>
        <v>642282.06064562313</v>
      </c>
      <c r="C191" s="3">
        <f t="shared" si="80"/>
        <v>7150.9879265877535</v>
      </c>
      <c r="D191" s="3">
        <f t="shared" si="81"/>
        <v>2542.3664900555918</v>
      </c>
      <c r="E191" s="3">
        <f t="shared" si="63"/>
        <v>9693.3544166433458</v>
      </c>
      <c r="F191" s="3">
        <f t="shared" si="82"/>
        <v>635131.07271903544</v>
      </c>
    </row>
    <row r="192" spans="1:6" ht="12.75">
      <c r="A192" s="9">
        <v>46997</v>
      </c>
      <c r="B192" s="3">
        <f t="shared" si="83"/>
        <v>635131.07271903544</v>
      </c>
      <c r="C192" s="3">
        <f t="shared" si="80"/>
        <v>7179.2939204638296</v>
      </c>
      <c r="D192" s="3">
        <f t="shared" si="81"/>
        <v>2514.0604961795157</v>
      </c>
      <c r="E192" s="3">
        <f t="shared" si="63"/>
        <v>9693.3544166433458</v>
      </c>
      <c r="F192" s="3">
        <f t="shared" si="82"/>
        <v>627951.77879857155</v>
      </c>
    </row>
    <row r="193" spans="1:6" ht="12.75">
      <c r="A193" s="9">
        <v>47027</v>
      </c>
      <c r="B193" s="3">
        <f t="shared" si="83"/>
        <v>627951.77879857155</v>
      </c>
      <c r="C193" s="3">
        <f t="shared" si="80"/>
        <v>7207.7119588989999</v>
      </c>
      <c r="D193" s="3">
        <f t="shared" si="81"/>
        <v>2485.6424577443458</v>
      </c>
      <c r="E193" s="3">
        <f t="shared" si="63"/>
        <v>9693.3544166433458</v>
      </c>
      <c r="F193" s="3">
        <f t="shared" si="82"/>
        <v>620744.06683967251</v>
      </c>
    </row>
    <row r="194" spans="1:6" ht="12.75">
      <c r="A194" s="9">
        <v>47058</v>
      </c>
      <c r="B194" s="3">
        <f t="shared" si="83"/>
        <v>620744.06683967251</v>
      </c>
      <c r="C194" s="3">
        <f t="shared" si="80"/>
        <v>7236.242485402975</v>
      </c>
      <c r="D194" s="3">
        <f t="shared" si="81"/>
        <v>2457.1119312403707</v>
      </c>
      <c r="E194" s="3">
        <f t="shared" si="63"/>
        <v>9693.3544166433458</v>
      </c>
      <c r="F194" s="3">
        <f t="shared" si="82"/>
        <v>613507.82435426954</v>
      </c>
    </row>
    <row r="195" spans="1:6" ht="12.75">
      <c r="A195" s="9">
        <v>47088</v>
      </c>
      <c r="B195" s="3">
        <f t="shared" si="83"/>
        <v>613507.82435426954</v>
      </c>
      <c r="C195" s="3">
        <f t="shared" si="80"/>
        <v>7264.8859452410288</v>
      </c>
      <c r="D195" s="3">
        <f t="shared" si="81"/>
        <v>2428.4684714023169</v>
      </c>
      <c r="E195" s="3">
        <f t="shared" si="63"/>
        <v>9693.3544166433458</v>
      </c>
      <c r="F195" s="6">
        <f t="shared" si="82"/>
        <v>606242.93840902846</v>
      </c>
    </row>
    <row r="196" spans="1:6" ht="12.75">
      <c r="A196" s="7" t="s">
        <v>68</v>
      </c>
      <c r="B196" s="8"/>
      <c r="C196" s="6">
        <f t="shared" ref="C196:D196" si="84">SUM(C184:C195)</f>
        <v>85312.789304797072</v>
      </c>
      <c r="D196" s="6">
        <f t="shared" si="84"/>
        <v>31007.463694923073</v>
      </c>
    </row>
    <row r="197" spans="1:6" ht="12.75">
      <c r="B197" s="2"/>
      <c r="C197" s="3"/>
      <c r="D197" s="3"/>
      <c r="E197" s="3"/>
      <c r="F197" s="3"/>
    </row>
    <row r="198" spans="1:6" ht="12.75">
      <c r="A198" s="9">
        <v>47119</v>
      </c>
      <c r="B198" s="3">
        <f t="shared" ref="B198" si="85">+F195</f>
        <v>606242.93840902846</v>
      </c>
      <c r="C198" s="3">
        <f t="shared" ref="C198:C209" si="86">+E198-D198</f>
        <v>7293.6427854409412</v>
      </c>
      <c r="D198" s="3">
        <f t="shared" ref="D198:D209" si="87">B198*$I$2</f>
        <v>2399.7116312024045</v>
      </c>
      <c r="E198" s="3">
        <f t="shared" si="63"/>
        <v>9693.3544166433458</v>
      </c>
      <c r="F198" s="3">
        <f t="shared" ref="F198:F209" si="88">+B198-C198</f>
        <v>598949.29562358756</v>
      </c>
    </row>
    <row r="199" spans="1:6" ht="12.75">
      <c r="A199" s="9">
        <v>47150</v>
      </c>
      <c r="B199" s="3">
        <f t="shared" ref="B199:B209" si="89">+F198</f>
        <v>598949.29562358756</v>
      </c>
      <c r="C199" s="3">
        <f t="shared" si="86"/>
        <v>7322.5134547999787</v>
      </c>
      <c r="D199" s="3">
        <f t="shared" si="87"/>
        <v>2370.8409618433675</v>
      </c>
      <c r="E199" s="3">
        <f t="shared" si="63"/>
        <v>9693.3544166433458</v>
      </c>
      <c r="F199" s="3">
        <f t="shared" si="88"/>
        <v>591626.78216878755</v>
      </c>
    </row>
    <row r="200" spans="1:6" ht="12.75">
      <c r="A200" s="9">
        <v>47178</v>
      </c>
      <c r="B200" s="3">
        <f t="shared" si="89"/>
        <v>591626.78216878755</v>
      </c>
      <c r="C200" s="3">
        <f t="shared" si="86"/>
        <v>7351.4984038918947</v>
      </c>
      <c r="D200" s="3">
        <f t="shared" si="87"/>
        <v>2341.8560127514511</v>
      </c>
      <c r="E200" s="3">
        <f t="shared" si="63"/>
        <v>9693.3544166433458</v>
      </c>
      <c r="F200" s="3">
        <f t="shared" si="88"/>
        <v>584275.28376489563</v>
      </c>
    </row>
    <row r="201" spans="1:6" ht="12.75">
      <c r="A201" s="9">
        <v>47209</v>
      </c>
      <c r="B201" s="3">
        <f t="shared" si="89"/>
        <v>584275.28376489563</v>
      </c>
      <c r="C201" s="3">
        <f t="shared" si="86"/>
        <v>7380.598085073967</v>
      </c>
      <c r="D201" s="3">
        <f t="shared" si="87"/>
        <v>2312.7563315693787</v>
      </c>
      <c r="E201" s="3">
        <f t="shared" si="63"/>
        <v>9693.3544166433458</v>
      </c>
      <c r="F201" s="3">
        <f t="shared" si="88"/>
        <v>576894.68567982165</v>
      </c>
    </row>
    <row r="202" spans="1:6" ht="12.75">
      <c r="A202" s="9">
        <v>47239</v>
      </c>
      <c r="B202" s="3">
        <f t="shared" si="89"/>
        <v>576894.68567982165</v>
      </c>
      <c r="C202" s="3">
        <f t="shared" si="86"/>
        <v>7409.8129524940514</v>
      </c>
      <c r="D202" s="3">
        <f t="shared" si="87"/>
        <v>2283.5414641492944</v>
      </c>
      <c r="E202" s="3">
        <f t="shared" si="63"/>
        <v>9693.3544166433458</v>
      </c>
      <c r="F202" s="3">
        <f t="shared" si="88"/>
        <v>569484.87272732763</v>
      </c>
    </row>
    <row r="203" spans="1:6" ht="12.75">
      <c r="A203" s="9">
        <v>47270</v>
      </c>
      <c r="B203" s="3">
        <f t="shared" si="89"/>
        <v>569484.87272732763</v>
      </c>
      <c r="C203" s="3">
        <f t="shared" si="86"/>
        <v>7439.1434620976743</v>
      </c>
      <c r="D203" s="3">
        <f t="shared" si="87"/>
        <v>2254.2109545456719</v>
      </c>
      <c r="E203" s="3">
        <f t="shared" si="63"/>
        <v>9693.3544166433458</v>
      </c>
      <c r="F203" s="3">
        <f t="shared" si="88"/>
        <v>562045.72926523001</v>
      </c>
    </row>
    <row r="204" spans="1:6" ht="12.75">
      <c r="A204" s="9">
        <v>47300</v>
      </c>
      <c r="B204" s="3">
        <f t="shared" si="89"/>
        <v>562045.72926523001</v>
      </c>
      <c r="C204" s="3">
        <f t="shared" si="86"/>
        <v>7468.5900716351434</v>
      </c>
      <c r="D204" s="3">
        <f t="shared" si="87"/>
        <v>2224.7643450082023</v>
      </c>
      <c r="E204" s="3">
        <f t="shared" si="63"/>
        <v>9693.3544166433458</v>
      </c>
      <c r="F204" s="3">
        <f t="shared" si="88"/>
        <v>554577.13919359492</v>
      </c>
    </row>
    <row r="205" spans="1:6" ht="12.75">
      <c r="A205" s="9">
        <v>47331</v>
      </c>
      <c r="B205" s="3">
        <f t="shared" si="89"/>
        <v>554577.13919359492</v>
      </c>
      <c r="C205" s="3">
        <f t="shared" si="86"/>
        <v>7498.1532406686983</v>
      </c>
      <c r="D205" s="3">
        <f t="shared" si="87"/>
        <v>2195.201175974647</v>
      </c>
      <c r="E205" s="3">
        <f t="shared" si="63"/>
        <v>9693.3544166433458</v>
      </c>
      <c r="F205" s="3">
        <f t="shared" si="88"/>
        <v>547078.98595292622</v>
      </c>
    </row>
    <row r="206" spans="1:6" ht="12.75">
      <c r="A206" s="9">
        <v>47362</v>
      </c>
      <c r="B206" s="3">
        <f t="shared" si="89"/>
        <v>547078.98595292622</v>
      </c>
      <c r="C206" s="3">
        <f t="shared" si="86"/>
        <v>7527.8334305796798</v>
      </c>
      <c r="D206" s="3">
        <f t="shared" si="87"/>
        <v>2165.5209860636664</v>
      </c>
      <c r="E206" s="3">
        <f t="shared" ref="E206:E265" si="90">-$I$8</f>
        <v>9693.3544166433458</v>
      </c>
      <c r="F206" s="3">
        <f t="shared" si="88"/>
        <v>539551.15252234659</v>
      </c>
    </row>
    <row r="207" spans="1:6" ht="12.75">
      <c r="A207" s="9">
        <v>47392</v>
      </c>
      <c r="B207" s="3">
        <f t="shared" si="89"/>
        <v>539551.15252234659</v>
      </c>
      <c r="C207" s="3">
        <f t="shared" si="86"/>
        <v>7557.6311045757238</v>
      </c>
      <c r="D207" s="3">
        <f t="shared" si="87"/>
        <v>2135.7233120676219</v>
      </c>
      <c r="E207" s="3">
        <f t="shared" si="90"/>
        <v>9693.3544166433458</v>
      </c>
      <c r="F207" s="3">
        <f t="shared" si="88"/>
        <v>531993.52141777088</v>
      </c>
    </row>
    <row r="208" spans="1:6" ht="12.75">
      <c r="A208" s="9">
        <v>47423</v>
      </c>
      <c r="B208" s="3">
        <f t="shared" si="89"/>
        <v>531993.52141777088</v>
      </c>
      <c r="C208" s="3">
        <f t="shared" si="86"/>
        <v>7587.5467276980025</v>
      </c>
      <c r="D208" s="3">
        <f t="shared" si="87"/>
        <v>2105.8076889453432</v>
      </c>
      <c r="E208" s="3">
        <f t="shared" si="90"/>
        <v>9693.3544166433458</v>
      </c>
      <c r="F208" s="3">
        <f t="shared" si="88"/>
        <v>524405.97469007294</v>
      </c>
    </row>
    <row r="209" spans="1:6" ht="12.75">
      <c r="A209" s="9">
        <v>47453</v>
      </c>
      <c r="B209" s="3">
        <f t="shared" si="89"/>
        <v>524405.97469007294</v>
      </c>
      <c r="C209" s="3">
        <f t="shared" si="86"/>
        <v>7617.5807668284733</v>
      </c>
      <c r="D209" s="3">
        <f t="shared" si="87"/>
        <v>2075.7736498148724</v>
      </c>
      <c r="E209" s="3">
        <f t="shared" si="90"/>
        <v>9693.3544166433458</v>
      </c>
      <c r="F209" s="6">
        <f t="shared" si="88"/>
        <v>516788.39392324444</v>
      </c>
    </row>
    <row r="210" spans="1:6" ht="12.75">
      <c r="A210" s="7" t="s">
        <v>68</v>
      </c>
      <c r="B210" s="8"/>
      <c r="C210" s="6">
        <f t="shared" ref="C210:D210" si="91">SUM(C198:C209)</f>
        <v>89454.544485784223</v>
      </c>
      <c r="D210" s="6">
        <f t="shared" si="91"/>
        <v>26865.708513935919</v>
      </c>
    </row>
    <row r="211" spans="1:6" ht="12.75">
      <c r="B211" s="2"/>
      <c r="C211" s="3"/>
      <c r="D211" s="3"/>
      <c r="E211" s="3"/>
      <c r="F211" s="3"/>
    </row>
    <row r="212" spans="1:6" ht="12.75">
      <c r="A212" s="9">
        <v>47484</v>
      </c>
      <c r="B212" s="3">
        <f t="shared" ref="B212" si="92">+F209</f>
        <v>516788.39392324444</v>
      </c>
      <c r="C212" s="3">
        <f t="shared" ref="C212:C223" si="93">+E212-D212</f>
        <v>7647.7336906971695</v>
      </c>
      <c r="D212" s="3">
        <f t="shared" ref="D212:D223" si="94">B212*$I$2</f>
        <v>2045.620725946176</v>
      </c>
      <c r="E212" s="3">
        <f t="shared" ref="E212:E275" si="95">-$I$8</f>
        <v>9693.3544166433458</v>
      </c>
      <c r="F212" s="3">
        <f t="shared" ref="F212:F223" si="96">+B212-C212</f>
        <v>509140.66023254726</v>
      </c>
    </row>
    <row r="213" spans="1:6" ht="12.75">
      <c r="A213" s="9">
        <v>47515</v>
      </c>
      <c r="B213" s="3">
        <f t="shared" ref="B213:B223" si="97">+F212</f>
        <v>509140.66023254726</v>
      </c>
      <c r="C213" s="3">
        <f t="shared" si="93"/>
        <v>7678.0059698895129</v>
      </c>
      <c r="D213" s="3">
        <f t="shared" si="94"/>
        <v>2015.3484467538331</v>
      </c>
      <c r="E213" s="3">
        <f t="shared" si="95"/>
        <v>9693.3544166433458</v>
      </c>
      <c r="F213" s="3">
        <f t="shared" si="96"/>
        <v>501462.65426265774</v>
      </c>
    </row>
    <row r="214" spans="1:6" ht="12.75">
      <c r="A214" s="9">
        <v>47543</v>
      </c>
      <c r="B214" s="3">
        <f t="shared" si="97"/>
        <v>501462.65426265774</v>
      </c>
      <c r="C214" s="3">
        <f t="shared" si="93"/>
        <v>7708.3980768536585</v>
      </c>
      <c r="D214" s="3">
        <f t="shared" si="94"/>
        <v>1984.956339789687</v>
      </c>
      <c r="E214" s="3">
        <f t="shared" si="95"/>
        <v>9693.3544166433458</v>
      </c>
      <c r="F214" s="3">
        <f t="shared" si="96"/>
        <v>493754.25618580409</v>
      </c>
    </row>
    <row r="215" spans="1:6" ht="12.75">
      <c r="A215" s="9">
        <v>47574</v>
      </c>
      <c r="B215" s="3">
        <f t="shared" si="97"/>
        <v>493754.25618580409</v>
      </c>
      <c r="C215" s="3">
        <f t="shared" si="93"/>
        <v>7738.9104859078707</v>
      </c>
      <c r="D215" s="3">
        <f t="shared" si="94"/>
        <v>1954.4439307354746</v>
      </c>
      <c r="E215" s="3">
        <f t="shared" si="95"/>
        <v>9693.3544166433458</v>
      </c>
      <c r="F215" s="3">
        <f t="shared" si="96"/>
        <v>486015.34569989622</v>
      </c>
    </row>
    <row r="216" spans="1:6" ht="12.75">
      <c r="A216" s="9">
        <v>47604</v>
      </c>
      <c r="B216" s="3">
        <f t="shared" si="97"/>
        <v>486015.34569989622</v>
      </c>
      <c r="C216" s="3">
        <f t="shared" si="93"/>
        <v>7769.5436732479229</v>
      </c>
      <c r="D216" s="3">
        <f t="shared" si="94"/>
        <v>1923.8107433954226</v>
      </c>
      <c r="E216" s="3">
        <f t="shared" si="95"/>
        <v>9693.3544166433458</v>
      </c>
      <c r="F216" s="3">
        <f t="shared" si="96"/>
        <v>478245.80202664831</v>
      </c>
    </row>
    <row r="217" spans="1:6" ht="12.75">
      <c r="A217" s="9">
        <v>47635</v>
      </c>
      <c r="B217" s="3">
        <f t="shared" si="97"/>
        <v>478245.80202664831</v>
      </c>
      <c r="C217" s="3">
        <f t="shared" si="93"/>
        <v>7800.2981169545292</v>
      </c>
      <c r="D217" s="3">
        <f t="shared" si="94"/>
        <v>1893.0562996888164</v>
      </c>
      <c r="E217" s="3">
        <f t="shared" si="95"/>
        <v>9693.3544166433458</v>
      </c>
      <c r="F217" s="3">
        <f t="shared" si="96"/>
        <v>470445.5039096938</v>
      </c>
    </row>
    <row r="218" spans="1:6" ht="12.75">
      <c r="A218" s="9">
        <v>47665</v>
      </c>
      <c r="B218" s="3">
        <f t="shared" si="97"/>
        <v>470445.5039096938</v>
      </c>
      <c r="C218" s="3">
        <f t="shared" si="93"/>
        <v>7831.1742970008072</v>
      </c>
      <c r="D218" s="3">
        <f t="shared" si="94"/>
        <v>1862.1801196425381</v>
      </c>
      <c r="E218" s="3">
        <f t="shared" si="95"/>
        <v>9693.3544166433458</v>
      </c>
      <c r="F218" s="3">
        <f t="shared" si="96"/>
        <v>462614.32961269299</v>
      </c>
    </row>
    <row r="219" spans="1:6" ht="12.75">
      <c r="A219" s="9">
        <v>47696</v>
      </c>
      <c r="B219" s="3">
        <f t="shared" si="97"/>
        <v>462614.32961269299</v>
      </c>
      <c r="C219" s="3">
        <f t="shared" si="93"/>
        <v>7862.1726952597692</v>
      </c>
      <c r="D219" s="3">
        <f t="shared" si="94"/>
        <v>1831.1817213835766</v>
      </c>
      <c r="E219" s="3">
        <f t="shared" si="95"/>
        <v>9693.3544166433458</v>
      </c>
      <c r="F219" s="3">
        <f t="shared" si="96"/>
        <v>454752.1569174332</v>
      </c>
    </row>
    <row r="220" spans="1:6" ht="12.75">
      <c r="A220" s="9">
        <v>47727</v>
      </c>
      <c r="B220" s="3">
        <f t="shared" si="97"/>
        <v>454752.1569174332</v>
      </c>
      <c r="C220" s="3">
        <f t="shared" si="93"/>
        <v>7893.2937955118396</v>
      </c>
      <c r="D220" s="3">
        <f t="shared" si="94"/>
        <v>1800.0606211315067</v>
      </c>
      <c r="E220" s="3">
        <f t="shared" si="90"/>
        <v>9693.3544166433458</v>
      </c>
      <c r="F220" s="3">
        <f t="shared" si="96"/>
        <v>446858.86312192137</v>
      </c>
    </row>
    <row r="221" spans="1:6" ht="12.75">
      <c r="A221" s="9">
        <v>47757</v>
      </c>
      <c r="B221" s="3">
        <f t="shared" si="97"/>
        <v>446858.86312192137</v>
      </c>
      <c r="C221" s="3">
        <f t="shared" si="93"/>
        <v>7924.5380834524067</v>
      </c>
      <c r="D221" s="3">
        <f t="shared" si="94"/>
        <v>1768.8163331909388</v>
      </c>
      <c r="E221" s="3">
        <f t="shared" si="90"/>
        <v>9693.3544166433458</v>
      </c>
      <c r="F221" s="3">
        <f t="shared" si="96"/>
        <v>438934.32503846899</v>
      </c>
    </row>
    <row r="222" spans="1:6" ht="12.75">
      <c r="A222" s="9">
        <v>47788</v>
      </c>
      <c r="B222" s="3">
        <f t="shared" si="97"/>
        <v>438934.32503846899</v>
      </c>
      <c r="C222" s="3">
        <f t="shared" si="93"/>
        <v>7955.906046699406</v>
      </c>
      <c r="D222" s="3">
        <f t="shared" si="94"/>
        <v>1737.44836994394</v>
      </c>
      <c r="E222" s="3">
        <f t="shared" si="90"/>
        <v>9693.3544166433458</v>
      </c>
      <c r="F222" s="3">
        <f t="shared" si="96"/>
        <v>430978.41899176961</v>
      </c>
    </row>
    <row r="223" spans="1:6" ht="12.75">
      <c r="A223" s="9">
        <v>47818</v>
      </c>
      <c r="B223" s="3">
        <f t="shared" si="97"/>
        <v>430978.41899176961</v>
      </c>
      <c r="C223" s="3">
        <f t="shared" si="93"/>
        <v>7987.3981748009246</v>
      </c>
      <c r="D223" s="3">
        <f t="shared" si="94"/>
        <v>1705.9562418424216</v>
      </c>
      <c r="E223" s="3">
        <f t="shared" si="90"/>
        <v>9693.3544166433458</v>
      </c>
      <c r="F223" s="6">
        <f t="shared" si="96"/>
        <v>422991.0208169687</v>
      </c>
    </row>
    <row r="224" spans="1:6" ht="12.75">
      <c r="A224" s="7" t="s">
        <v>68</v>
      </c>
      <c r="B224" s="8"/>
      <c r="C224" s="6">
        <f t="shared" ref="C224:D224" si="98">SUM(C212:C223)</f>
        <v>93797.373106275816</v>
      </c>
      <c r="D224" s="6">
        <f t="shared" si="98"/>
        <v>22522.879893444333</v>
      </c>
    </row>
    <row r="225" spans="1:6" ht="12.75">
      <c r="B225" s="2"/>
      <c r="C225" s="3"/>
      <c r="D225" s="3"/>
      <c r="E225" s="3"/>
      <c r="F225" s="3"/>
    </row>
    <row r="226" spans="1:6" ht="12.75">
      <c r="A226" s="9">
        <v>47849</v>
      </c>
      <c r="B226" s="3">
        <f t="shared" ref="B226" si="99">+F223</f>
        <v>422991.0208169687</v>
      </c>
      <c r="C226" s="3">
        <f t="shared" ref="C226:C237" si="100">+E226-D226</f>
        <v>8019.0149592428443</v>
      </c>
      <c r="D226" s="3">
        <f t="shared" ref="D226:D237" si="101">B226*$I$2</f>
        <v>1674.3394574005013</v>
      </c>
      <c r="E226" s="3">
        <f t="shared" si="95"/>
        <v>9693.3544166433458</v>
      </c>
      <c r="F226" s="3">
        <f t="shared" ref="F226:F237" si="102">+B226-C226</f>
        <v>414972.00585772586</v>
      </c>
    </row>
    <row r="227" spans="1:6" ht="12.75">
      <c r="A227" s="9">
        <v>47880</v>
      </c>
      <c r="B227" s="3">
        <f t="shared" ref="B227:B237" si="103">+F226</f>
        <v>414972.00585772586</v>
      </c>
      <c r="C227" s="3">
        <f t="shared" si="100"/>
        <v>8050.7568934565143</v>
      </c>
      <c r="D227" s="3">
        <f t="shared" si="101"/>
        <v>1642.5975231868317</v>
      </c>
      <c r="E227" s="3">
        <f t="shared" si="95"/>
        <v>9693.3544166433458</v>
      </c>
      <c r="F227" s="3">
        <f t="shared" si="102"/>
        <v>406921.24896426935</v>
      </c>
    </row>
    <row r="228" spans="1:6" ht="12.75">
      <c r="A228" s="9">
        <v>47908</v>
      </c>
      <c r="B228" s="3">
        <f t="shared" si="103"/>
        <v>406921.24896426935</v>
      </c>
      <c r="C228" s="3">
        <f t="shared" si="100"/>
        <v>8082.6244728264464</v>
      </c>
      <c r="D228" s="3">
        <f t="shared" si="101"/>
        <v>1610.7299438168998</v>
      </c>
      <c r="E228" s="3">
        <f t="shared" si="95"/>
        <v>9693.3544166433458</v>
      </c>
      <c r="F228" s="3">
        <f t="shared" si="102"/>
        <v>398838.62449144293</v>
      </c>
    </row>
    <row r="229" spans="1:6" ht="12.75">
      <c r="A229" s="9">
        <v>47939</v>
      </c>
      <c r="B229" s="3">
        <f t="shared" si="103"/>
        <v>398838.62449144293</v>
      </c>
      <c r="C229" s="3">
        <f t="shared" si="100"/>
        <v>8114.6181946980505</v>
      </c>
      <c r="D229" s="3">
        <f t="shared" si="101"/>
        <v>1578.736221945295</v>
      </c>
      <c r="E229" s="3">
        <f t="shared" si="95"/>
        <v>9693.3544166433458</v>
      </c>
      <c r="F229" s="3">
        <f t="shared" si="102"/>
        <v>390724.00629674486</v>
      </c>
    </row>
    <row r="230" spans="1:6" ht="12.75">
      <c r="A230" s="9">
        <v>47969</v>
      </c>
      <c r="B230" s="3">
        <f t="shared" si="103"/>
        <v>390724.00629674486</v>
      </c>
      <c r="C230" s="3">
        <f t="shared" si="100"/>
        <v>8146.7385583853975</v>
      </c>
      <c r="D230" s="3">
        <f t="shared" si="101"/>
        <v>1546.6158582579485</v>
      </c>
      <c r="E230" s="3">
        <f t="shared" si="95"/>
        <v>9693.3544166433458</v>
      </c>
      <c r="F230" s="3">
        <f t="shared" si="102"/>
        <v>382577.26773835946</v>
      </c>
    </row>
    <row r="231" spans="1:6" ht="12.75">
      <c r="A231" s="9">
        <v>48000</v>
      </c>
      <c r="B231" s="3">
        <f t="shared" si="103"/>
        <v>382577.26773835946</v>
      </c>
      <c r="C231" s="3">
        <f t="shared" si="100"/>
        <v>8178.9860651790059</v>
      </c>
      <c r="D231" s="3">
        <f t="shared" si="101"/>
        <v>1514.3683514643396</v>
      </c>
      <c r="E231" s="3">
        <f t="shared" si="95"/>
        <v>9693.3544166433458</v>
      </c>
      <c r="F231" s="3">
        <f t="shared" si="102"/>
        <v>374398.28167318046</v>
      </c>
    </row>
    <row r="232" spans="1:6" ht="12.75">
      <c r="A232" s="9">
        <v>48030</v>
      </c>
      <c r="B232" s="3">
        <f t="shared" si="103"/>
        <v>374398.28167318046</v>
      </c>
      <c r="C232" s="3">
        <f t="shared" si="100"/>
        <v>8211.3612183536734</v>
      </c>
      <c r="D232" s="3">
        <f t="shared" si="101"/>
        <v>1481.9931982896728</v>
      </c>
      <c r="E232" s="3">
        <f t="shared" si="95"/>
        <v>9693.3544166433458</v>
      </c>
      <c r="F232" s="3">
        <f t="shared" si="102"/>
        <v>366186.92045482679</v>
      </c>
    </row>
    <row r="233" spans="1:6" ht="12.75">
      <c r="A233" s="9">
        <v>48061</v>
      </c>
      <c r="B233" s="3">
        <f t="shared" si="103"/>
        <v>366186.92045482679</v>
      </c>
      <c r="C233" s="3">
        <f t="shared" si="100"/>
        <v>8243.8645231763221</v>
      </c>
      <c r="D233" s="3">
        <f t="shared" si="101"/>
        <v>1449.4898934670227</v>
      </c>
      <c r="E233" s="3">
        <f t="shared" si="95"/>
        <v>9693.3544166433458</v>
      </c>
      <c r="F233" s="3">
        <f t="shared" si="102"/>
        <v>357943.05593165045</v>
      </c>
    </row>
    <row r="234" spans="1:6" ht="12.75">
      <c r="A234" s="9">
        <v>48092</v>
      </c>
      <c r="B234" s="3">
        <f t="shared" si="103"/>
        <v>357943.05593165045</v>
      </c>
      <c r="C234" s="3">
        <f t="shared" si="100"/>
        <v>8276.4964869138967</v>
      </c>
      <c r="D234" s="3">
        <f t="shared" si="101"/>
        <v>1416.8579297294498</v>
      </c>
      <c r="E234" s="3">
        <f t="shared" si="90"/>
        <v>9693.3544166433458</v>
      </c>
      <c r="F234" s="3">
        <f t="shared" si="102"/>
        <v>349666.55944473657</v>
      </c>
    </row>
    <row r="235" spans="1:6" ht="12.75">
      <c r="A235" s="9">
        <v>48122</v>
      </c>
      <c r="B235" s="3">
        <f t="shared" si="103"/>
        <v>349666.55944473657</v>
      </c>
      <c r="C235" s="3">
        <f t="shared" si="100"/>
        <v>8309.257618841264</v>
      </c>
      <c r="D235" s="3">
        <f t="shared" si="101"/>
        <v>1384.0967978020824</v>
      </c>
      <c r="E235" s="3">
        <f t="shared" si="90"/>
        <v>9693.3544166433458</v>
      </c>
      <c r="F235" s="3">
        <f t="shared" si="102"/>
        <v>341357.30182589532</v>
      </c>
    </row>
    <row r="236" spans="1:6" ht="12.75">
      <c r="A236" s="9">
        <v>48153</v>
      </c>
      <c r="B236" s="3">
        <f t="shared" si="103"/>
        <v>341357.30182589532</v>
      </c>
      <c r="C236" s="3">
        <f t="shared" si="100"/>
        <v>8342.1484302491772</v>
      </c>
      <c r="D236" s="3">
        <f t="shared" si="101"/>
        <v>1351.205986394169</v>
      </c>
      <c r="E236" s="3">
        <f t="shared" si="90"/>
        <v>9693.3544166433458</v>
      </c>
      <c r="F236" s="3">
        <f t="shared" si="102"/>
        <v>333015.15339564614</v>
      </c>
    </row>
    <row r="237" spans="1:6" ht="12.75">
      <c r="A237" s="9">
        <v>48183</v>
      </c>
      <c r="B237" s="3">
        <f t="shared" si="103"/>
        <v>333015.15339564614</v>
      </c>
      <c r="C237" s="3">
        <f t="shared" si="100"/>
        <v>8375.1694344522457</v>
      </c>
      <c r="D237" s="3">
        <f t="shared" si="101"/>
        <v>1318.1849821910994</v>
      </c>
      <c r="E237" s="3">
        <f t="shared" si="90"/>
        <v>9693.3544166433458</v>
      </c>
      <c r="F237" s="6">
        <f t="shared" si="102"/>
        <v>324639.98396119388</v>
      </c>
    </row>
    <row r="238" spans="1:6" ht="12.75">
      <c r="A238" s="7" t="s">
        <v>68</v>
      </c>
      <c r="B238" s="8"/>
      <c r="C238" s="6">
        <f t="shared" ref="C238:D238" si="104">SUM(C226:C237)</f>
        <v>98351.03685577483</v>
      </c>
      <c r="D238" s="6">
        <f t="shared" si="104"/>
        <v>17969.216143945308</v>
      </c>
    </row>
    <row r="239" spans="1:6" ht="12.75">
      <c r="B239" s="2"/>
      <c r="C239" s="3"/>
      <c r="D239" s="3"/>
      <c r="E239" s="3"/>
      <c r="F239" s="3"/>
    </row>
    <row r="240" spans="1:6" ht="12.75">
      <c r="A240" s="9">
        <v>48214</v>
      </c>
      <c r="B240" s="3">
        <f t="shared" ref="B240" si="105">+F237</f>
        <v>324639.98396119388</v>
      </c>
      <c r="C240" s="3">
        <f t="shared" ref="C240:C251" si="106">+E240-D240</f>
        <v>8408.3211467969522</v>
      </c>
      <c r="D240" s="3">
        <f t="shared" ref="D240:D251" si="107">B240*$I$2</f>
        <v>1285.0332698463926</v>
      </c>
      <c r="E240" s="3">
        <f t="shared" si="95"/>
        <v>9693.3544166433458</v>
      </c>
      <c r="F240" s="3">
        <f t="shared" ref="F240:F251" si="108">+B240-C240</f>
        <v>316231.6628143969</v>
      </c>
    </row>
    <row r="241" spans="1:6" ht="12.75">
      <c r="A241" s="9">
        <v>48245</v>
      </c>
      <c r="B241" s="3">
        <f t="shared" ref="B241:B251" si="109">+F240</f>
        <v>316231.6628143969</v>
      </c>
      <c r="C241" s="3">
        <f t="shared" si="106"/>
        <v>8441.6040846696906</v>
      </c>
      <c r="D241" s="3">
        <f t="shared" si="107"/>
        <v>1251.7503319736545</v>
      </c>
      <c r="E241" s="3">
        <f t="shared" si="95"/>
        <v>9693.3544166433458</v>
      </c>
      <c r="F241" s="3">
        <f t="shared" si="108"/>
        <v>307790.05872972723</v>
      </c>
    </row>
    <row r="242" spans="1:6" ht="12.75">
      <c r="A242" s="9">
        <v>48274</v>
      </c>
      <c r="B242" s="3">
        <f t="shared" si="109"/>
        <v>307790.05872972723</v>
      </c>
      <c r="C242" s="3">
        <f t="shared" si="106"/>
        <v>8475.0187675048419</v>
      </c>
      <c r="D242" s="3">
        <f t="shared" si="107"/>
        <v>1218.3356491385036</v>
      </c>
      <c r="E242" s="3">
        <f t="shared" si="95"/>
        <v>9693.3544166433458</v>
      </c>
      <c r="F242" s="3">
        <f t="shared" si="108"/>
        <v>299315.03996222239</v>
      </c>
    </row>
    <row r="243" spans="1:6" ht="12.75">
      <c r="A243" s="9">
        <v>48305</v>
      </c>
      <c r="B243" s="3">
        <f t="shared" si="109"/>
        <v>299315.03996222239</v>
      </c>
      <c r="C243" s="3">
        <f t="shared" si="106"/>
        <v>8508.5657167928821</v>
      </c>
      <c r="D243" s="3">
        <f t="shared" si="107"/>
        <v>1184.7886998504637</v>
      </c>
      <c r="E243" s="3">
        <f t="shared" si="95"/>
        <v>9693.3544166433458</v>
      </c>
      <c r="F243" s="3">
        <f t="shared" si="108"/>
        <v>290806.4742454295</v>
      </c>
    </row>
    <row r="244" spans="1:6" ht="12.75">
      <c r="A244" s="9">
        <v>48335</v>
      </c>
      <c r="B244" s="3">
        <f t="shared" si="109"/>
        <v>290806.4742454295</v>
      </c>
      <c r="C244" s="3">
        <f t="shared" si="106"/>
        <v>8542.2454560885199</v>
      </c>
      <c r="D244" s="3">
        <f t="shared" si="107"/>
        <v>1151.1089605548252</v>
      </c>
      <c r="E244" s="3">
        <f t="shared" si="95"/>
        <v>9693.3544166433458</v>
      </c>
      <c r="F244" s="3">
        <f t="shared" si="108"/>
        <v>282264.228789341</v>
      </c>
    </row>
    <row r="245" spans="1:6" ht="12.75">
      <c r="A245" s="9">
        <v>48366</v>
      </c>
      <c r="B245" s="3">
        <f t="shared" si="109"/>
        <v>282264.228789341</v>
      </c>
      <c r="C245" s="3">
        <f t="shared" si="106"/>
        <v>8576.0585110188713</v>
      </c>
      <c r="D245" s="3">
        <f t="shared" si="107"/>
        <v>1117.2959056244749</v>
      </c>
      <c r="E245" s="3">
        <f t="shared" si="95"/>
        <v>9693.3544166433458</v>
      </c>
      <c r="F245" s="3">
        <f t="shared" si="108"/>
        <v>273688.17027832213</v>
      </c>
    </row>
    <row r="246" spans="1:6" ht="12.75">
      <c r="A246" s="9">
        <v>48396</v>
      </c>
      <c r="B246" s="3">
        <f t="shared" si="109"/>
        <v>273688.17027832213</v>
      </c>
      <c r="C246" s="3">
        <f t="shared" si="106"/>
        <v>8610.0054092916544</v>
      </c>
      <c r="D246" s="3">
        <f t="shared" si="107"/>
        <v>1083.3490073516919</v>
      </c>
      <c r="E246" s="3">
        <f t="shared" si="95"/>
        <v>9693.3544166433458</v>
      </c>
      <c r="F246" s="3">
        <f t="shared" si="108"/>
        <v>265078.16486903047</v>
      </c>
    </row>
    <row r="247" spans="1:6" ht="12.75">
      <c r="A247" s="9">
        <v>48427</v>
      </c>
      <c r="B247" s="3">
        <f t="shared" si="109"/>
        <v>265078.16486903047</v>
      </c>
      <c r="C247" s="3">
        <f t="shared" si="106"/>
        <v>8644.0866807034326</v>
      </c>
      <c r="D247" s="3">
        <f t="shared" si="107"/>
        <v>1049.2677359399124</v>
      </c>
      <c r="E247" s="3">
        <f t="shared" si="95"/>
        <v>9693.3544166433458</v>
      </c>
      <c r="F247" s="3">
        <f t="shared" si="108"/>
        <v>256434.07818832702</v>
      </c>
    </row>
    <row r="248" spans="1:6" ht="12.75">
      <c r="A248" s="9">
        <v>48458</v>
      </c>
      <c r="B248" s="3">
        <f t="shared" si="109"/>
        <v>256434.07818832702</v>
      </c>
      <c r="C248" s="3">
        <f t="shared" si="106"/>
        <v>8678.3028571478844</v>
      </c>
      <c r="D248" s="3">
        <f t="shared" si="107"/>
        <v>1015.0515594954612</v>
      </c>
      <c r="E248" s="3">
        <f t="shared" si="90"/>
        <v>9693.3544166433458</v>
      </c>
      <c r="F248" s="3">
        <f t="shared" si="108"/>
        <v>247755.77533117915</v>
      </c>
    </row>
    <row r="249" spans="1:6" ht="12.75">
      <c r="A249" s="9">
        <v>48488</v>
      </c>
      <c r="B249" s="3">
        <f t="shared" si="109"/>
        <v>247755.77533117915</v>
      </c>
      <c r="C249" s="3">
        <f t="shared" si="106"/>
        <v>8712.6544726240954</v>
      </c>
      <c r="D249" s="3">
        <f t="shared" si="107"/>
        <v>980.69994401925089</v>
      </c>
      <c r="E249" s="3">
        <f t="shared" si="90"/>
        <v>9693.3544166433458</v>
      </c>
      <c r="F249" s="3">
        <f t="shared" si="108"/>
        <v>239043.12085855505</v>
      </c>
    </row>
    <row r="250" spans="1:6" ht="12.75">
      <c r="A250" s="9">
        <v>48519</v>
      </c>
      <c r="B250" s="3">
        <f t="shared" si="109"/>
        <v>239043.12085855505</v>
      </c>
      <c r="C250" s="3">
        <f t="shared" si="106"/>
        <v>8747.142063244899</v>
      </c>
      <c r="D250" s="3">
        <f t="shared" si="107"/>
        <v>946.21235339844714</v>
      </c>
      <c r="E250" s="3">
        <f t="shared" si="90"/>
        <v>9693.3544166433458</v>
      </c>
      <c r="F250" s="3">
        <f t="shared" si="108"/>
        <v>230295.97879531016</v>
      </c>
    </row>
    <row r="251" spans="1:6" ht="12.75">
      <c r="A251" s="9">
        <v>48549</v>
      </c>
      <c r="B251" s="3">
        <f t="shared" si="109"/>
        <v>230295.97879531016</v>
      </c>
      <c r="C251" s="3">
        <f t="shared" si="106"/>
        <v>8781.7661672452432</v>
      </c>
      <c r="D251" s="3">
        <f t="shared" si="107"/>
        <v>911.58824939810279</v>
      </c>
      <c r="E251" s="3">
        <f t="shared" si="90"/>
        <v>9693.3544166433458</v>
      </c>
      <c r="F251" s="6">
        <f t="shared" si="108"/>
        <v>221514.21262806491</v>
      </c>
    </row>
    <row r="252" spans="1:6" ht="12.75">
      <c r="A252" s="7" t="s">
        <v>68</v>
      </c>
      <c r="B252" s="8"/>
      <c r="C252" s="6">
        <f t="shared" ref="C252:D252" si="110">SUM(C240:C251)</f>
        <v>103125.77133312896</v>
      </c>
      <c r="D252" s="6">
        <f t="shared" si="110"/>
        <v>13194.48166659118</v>
      </c>
    </row>
    <row r="253" spans="1:6" ht="12.75">
      <c r="B253" s="2"/>
      <c r="C253" s="3"/>
      <c r="D253" s="3"/>
      <c r="E253" s="3"/>
      <c r="F253" s="3"/>
    </row>
    <row r="254" spans="1:6" ht="12.75">
      <c r="A254" s="9">
        <v>48580</v>
      </c>
      <c r="B254" s="3">
        <f t="shared" ref="B254" si="111">+F251</f>
        <v>221514.21262806491</v>
      </c>
      <c r="C254" s="3">
        <f t="shared" ref="C254:C265" si="112">+E254-D254</f>
        <v>8816.5273249905895</v>
      </c>
      <c r="D254" s="3">
        <f t="shared" ref="D254:D265" si="113">B254*$I$2</f>
        <v>876.82709165275696</v>
      </c>
      <c r="E254" s="3">
        <f t="shared" si="95"/>
        <v>9693.3544166433458</v>
      </c>
      <c r="F254" s="3">
        <f t="shared" ref="F254:F265" si="114">+B254-C254</f>
        <v>212697.68530307431</v>
      </c>
    </row>
    <row r="255" spans="1:6" ht="12.75">
      <c r="A255" s="9">
        <v>48611</v>
      </c>
      <c r="B255" s="3">
        <f t="shared" ref="B255:B265" si="115">+F254</f>
        <v>212697.68530307431</v>
      </c>
      <c r="C255" s="3">
        <f t="shared" si="112"/>
        <v>8851.4260789853433</v>
      </c>
      <c r="D255" s="3">
        <f t="shared" si="113"/>
        <v>841.92833765800253</v>
      </c>
      <c r="E255" s="3">
        <f t="shared" si="95"/>
        <v>9693.3544166433458</v>
      </c>
      <c r="F255" s="3">
        <f t="shared" si="114"/>
        <v>203846.25922408898</v>
      </c>
    </row>
    <row r="256" spans="1:6" ht="12.75">
      <c r="A256" s="9">
        <v>48639</v>
      </c>
      <c r="B256" s="3">
        <f t="shared" si="115"/>
        <v>203846.25922408898</v>
      </c>
      <c r="C256" s="3">
        <f t="shared" si="112"/>
        <v>8886.4629738813273</v>
      </c>
      <c r="D256" s="3">
        <f t="shared" si="113"/>
        <v>806.89144276201898</v>
      </c>
      <c r="E256" s="3">
        <f t="shared" si="95"/>
        <v>9693.3544166433458</v>
      </c>
      <c r="F256" s="3">
        <f t="shared" si="114"/>
        <v>194959.79625020764</v>
      </c>
    </row>
    <row r="257" spans="1:6" ht="12.75">
      <c r="A257" s="9">
        <v>48670</v>
      </c>
      <c r="B257" s="3">
        <f t="shared" si="115"/>
        <v>194959.79625020764</v>
      </c>
      <c r="C257" s="3">
        <f t="shared" si="112"/>
        <v>8921.638556486274</v>
      </c>
      <c r="D257" s="3">
        <f t="shared" si="113"/>
        <v>771.71586015707203</v>
      </c>
      <c r="E257" s="3">
        <f t="shared" si="95"/>
        <v>9693.3544166433458</v>
      </c>
      <c r="F257" s="3">
        <f t="shared" si="114"/>
        <v>186038.15769372135</v>
      </c>
    </row>
    <row r="258" spans="1:6" ht="12.75">
      <c r="A258" s="9">
        <v>48700</v>
      </c>
      <c r="B258" s="3">
        <f t="shared" si="115"/>
        <v>186038.15769372135</v>
      </c>
      <c r="C258" s="3">
        <f t="shared" si="112"/>
        <v>8956.9533757723657</v>
      </c>
      <c r="D258" s="3">
        <f t="shared" si="113"/>
        <v>736.40104087098041</v>
      </c>
      <c r="E258" s="3">
        <f t="shared" si="95"/>
        <v>9693.3544166433458</v>
      </c>
      <c r="F258" s="3">
        <f t="shared" si="114"/>
        <v>177081.20431794898</v>
      </c>
    </row>
    <row r="259" spans="1:6" ht="12.75">
      <c r="A259" s="9">
        <v>48731</v>
      </c>
      <c r="B259" s="3">
        <f t="shared" si="115"/>
        <v>177081.20431794898</v>
      </c>
      <c r="C259" s="3">
        <f t="shared" si="112"/>
        <v>8992.4079828847971</v>
      </c>
      <c r="D259" s="3">
        <f t="shared" si="113"/>
        <v>700.9464337585481</v>
      </c>
      <c r="E259" s="3">
        <f t="shared" si="95"/>
        <v>9693.3544166433458</v>
      </c>
      <c r="F259" s="3">
        <f t="shared" si="114"/>
        <v>168088.79633506419</v>
      </c>
    </row>
    <row r="260" spans="1:6" ht="12.75">
      <c r="A260" s="9">
        <v>48761</v>
      </c>
      <c r="B260" s="3">
        <f t="shared" si="115"/>
        <v>168088.79633506419</v>
      </c>
      <c r="C260" s="3">
        <f t="shared" si="112"/>
        <v>9028.002931150384</v>
      </c>
      <c r="D260" s="3">
        <f t="shared" si="113"/>
        <v>665.35148549296252</v>
      </c>
      <c r="E260" s="3">
        <f t="shared" si="95"/>
        <v>9693.3544166433458</v>
      </c>
      <c r="F260" s="3">
        <f t="shared" si="114"/>
        <v>159060.79340391382</v>
      </c>
    </row>
    <row r="261" spans="1:6" ht="12.75">
      <c r="A261" s="9">
        <v>48792</v>
      </c>
      <c r="B261" s="3">
        <f t="shared" si="115"/>
        <v>159060.79340391382</v>
      </c>
      <c r="C261" s="3">
        <f t="shared" si="112"/>
        <v>9063.7387760861875</v>
      </c>
      <c r="D261" s="3">
        <f t="shared" si="113"/>
        <v>629.61564055715894</v>
      </c>
      <c r="E261" s="3">
        <f t="shared" si="95"/>
        <v>9693.3544166433458</v>
      </c>
      <c r="F261" s="3">
        <f t="shared" si="114"/>
        <v>149997.05462782763</v>
      </c>
    </row>
    <row r="262" spans="1:6" ht="12.75">
      <c r="A262" s="9">
        <v>48823</v>
      </c>
      <c r="B262" s="3">
        <f t="shared" si="115"/>
        <v>149997.05462782763</v>
      </c>
      <c r="C262" s="3">
        <f t="shared" si="112"/>
        <v>9099.6160754081939</v>
      </c>
      <c r="D262" s="3">
        <f t="shared" si="113"/>
        <v>593.7383412351511</v>
      </c>
      <c r="E262" s="3">
        <f t="shared" si="90"/>
        <v>9693.3544166433458</v>
      </c>
      <c r="F262" s="3">
        <f t="shared" si="114"/>
        <v>140897.43855241942</v>
      </c>
    </row>
    <row r="263" spans="1:6" ht="12.75">
      <c r="A263" s="9">
        <v>48853</v>
      </c>
      <c r="B263" s="3">
        <f t="shared" si="115"/>
        <v>140897.43855241942</v>
      </c>
      <c r="C263" s="3">
        <f t="shared" si="112"/>
        <v>9135.6353890400187</v>
      </c>
      <c r="D263" s="3">
        <f t="shared" si="113"/>
        <v>557.71902760332694</v>
      </c>
      <c r="E263" s="3">
        <f t="shared" si="90"/>
        <v>9693.3544166433458</v>
      </c>
      <c r="F263" s="3">
        <f t="shared" si="114"/>
        <v>131761.8031633794</v>
      </c>
    </row>
    <row r="264" spans="1:6" ht="12.75">
      <c r="A264" s="9">
        <v>48884</v>
      </c>
      <c r="B264" s="3">
        <f t="shared" si="115"/>
        <v>131761.8031633794</v>
      </c>
      <c r="C264" s="3">
        <f t="shared" si="112"/>
        <v>9171.7972791216362</v>
      </c>
      <c r="D264" s="3">
        <f t="shared" si="113"/>
        <v>521.55713752171016</v>
      </c>
      <c r="E264" s="3">
        <f t="shared" si="90"/>
        <v>9693.3544166433458</v>
      </c>
      <c r="F264" s="3">
        <f t="shared" si="114"/>
        <v>122590.00588425777</v>
      </c>
    </row>
    <row r="265" spans="1:6" ht="12.75">
      <c r="A265" s="9">
        <v>48914</v>
      </c>
      <c r="B265" s="3">
        <f t="shared" si="115"/>
        <v>122590.00588425777</v>
      </c>
      <c r="C265" s="3">
        <f t="shared" si="112"/>
        <v>9208.1023100181592</v>
      </c>
      <c r="D265" s="3">
        <f t="shared" si="113"/>
        <v>485.25210662518703</v>
      </c>
      <c r="E265" s="3">
        <f t="shared" si="90"/>
        <v>9693.3544166433458</v>
      </c>
      <c r="F265" s="6">
        <f t="shared" si="114"/>
        <v>113381.90357423961</v>
      </c>
    </row>
    <row r="266" spans="1:6" ht="12.75">
      <c r="A266" s="7" t="s">
        <v>68</v>
      </c>
      <c r="B266" s="8"/>
      <c r="C266" s="6">
        <f t="shared" ref="C266:D266" si="116">SUM(C254:C265)</f>
        <v>108132.30905382527</v>
      </c>
      <c r="D266" s="6">
        <f t="shared" si="116"/>
        <v>8187.9439458948764</v>
      </c>
    </row>
    <row r="267" spans="1:6" ht="12.75">
      <c r="B267" s="2"/>
      <c r="C267" s="3"/>
      <c r="D267" s="3"/>
      <c r="E267" s="3"/>
      <c r="F267" s="3"/>
    </row>
    <row r="268" spans="1:6" ht="12.75">
      <c r="A268" s="9">
        <v>48945</v>
      </c>
      <c r="B268" s="3">
        <f t="shared" ref="B268" si="117">+F265</f>
        <v>113381.90357423961</v>
      </c>
      <c r="C268" s="3">
        <f t="shared" ref="C268:C279" si="118">+E268-D268</f>
        <v>9244.5510483286471</v>
      </c>
      <c r="D268" s="3">
        <f t="shared" ref="D268:D279" si="119">B268*$I$2</f>
        <v>448.8033683146985</v>
      </c>
      <c r="E268" s="3">
        <f t="shared" si="95"/>
        <v>9693.3544166433458</v>
      </c>
      <c r="F268" s="3">
        <f t="shared" ref="F268:F279" si="120">+B268-C268</f>
        <v>104137.35252591096</v>
      </c>
    </row>
    <row r="269" spans="1:6" ht="12.75">
      <c r="A269" s="9">
        <v>48976</v>
      </c>
      <c r="B269" s="3">
        <f t="shared" ref="B269:B279" si="121">+F268</f>
        <v>104137.35252591096</v>
      </c>
      <c r="C269" s="3">
        <f t="shared" si="118"/>
        <v>9281.1440628949476</v>
      </c>
      <c r="D269" s="3">
        <f t="shared" si="119"/>
        <v>412.21035374839761</v>
      </c>
      <c r="E269" s="3">
        <f t="shared" si="95"/>
        <v>9693.3544166433458</v>
      </c>
      <c r="F269" s="3">
        <f t="shared" si="120"/>
        <v>94856.20846301601</v>
      </c>
    </row>
    <row r="270" spans="1:6" ht="12.75">
      <c r="A270" s="9">
        <v>49004</v>
      </c>
      <c r="B270" s="3">
        <f t="shared" si="121"/>
        <v>94856.20846301601</v>
      </c>
      <c r="C270" s="3">
        <f t="shared" si="118"/>
        <v>9317.8819248105738</v>
      </c>
      <c r="D270" s="3">
        <f t="shared" si="119"/>
        <v>375.47249183277171</v>
      </c>
      <c r="E270" s="3">
        <f t="shared" si="95"/>
        <v>9693.3544166433458</v>
      </c>
      <c r="F270" s="3">
        <f t="shared" si="120"/>
        <v>85538.326538205438</v>
      </c>
    </row>
    <row r="271" spans="1:6" ht="12.75">
      <c r="A271" s="9">
        <v>49035</v>
      </c>
      <c r="B271" s="3">
        <f t="shared" si="121"/>
        <v>85538.326538205438</v>
      </c>
      <c r="C271" s="3">
        <f t="shared" si="118"/>
        <v>9354.7652074296166</v>
      </c>
      <c r="D271" s="3">
        <f t="shared" si="119"/>
        <v>338.58920921372987</v>
      </c>
      <c r="E271" s="3">
        <f t="shared" si="95"/>
        <v>9693.3544166433458</v>
      </c>
      <c r="F271" s="3">
        <f t="shared" si="120"/>
        <v>76183.561330775818</v>
      </c>
    </row>
    <row r="272" spans="1:6" ht="12.75">
      <c r="A272" s="9">
        <v>49065</v>
      </c>
      <c r="B272" s="3">
        <f t="shared" si="121"/>
        <v>76183.561330775818</v>
      </c>
      <c r="C272" s="3">
        <f t="shared" si="118"/>
        <v>9391.7944863756911</v>
      </c>
      <c r="D272" s="3">
        <f t="shared" si="119"/>
        <v>301.55993026765429</v>
      </c>
      <c r="E272" s="3">
        <f t="shared" si="95"/>
        <v>9693.3544166433458</v>
      </c>
      <c r="F272" s="3">
        <f t="shared" si="120"/>
        <v>66791.766844400132</v>
      </c>
    </row>
    <row r="273" spans="1:6" ht="12.75">
      <c r="A273" s="9">
        <v>49096</v>
      </c>
      <c r="B273" s="3">
        <f t="shared" si="121"/>
        <v>66791.766844400132</v>
      </c>
      <c r="C273" s="3">
        <f t="shared" si="118"/>
        <v>9428.9703395509277</v>
      </c>
      <c r="D273" s="3">
        <f t="shared" si="119"/>
        <v>264.38407709241721</v>
      </c>
      <c r="E273" s="3">
        <f t="shared" si="95"/>
        <v>9693.3544166433458</v>
      </c>
      <c r="F273" s="3">
        <f t="shared" si="120"/>
        <v>57362.796504849204</v>
      </c>
    </row>
    <row r="274" spans="1:6" ht="12.75">
      <c r="A274" s="9">
        <v>49126</v>
      </c>
      <c r="B274" s="3">
        <f t="shared" si="121"/>
        <v>57362.796504849204</v>
      </c>
      <c r="C274" s="3">
        <f t="shared" si="118"/>
        <v>9466.2933471449851</v>
      </c>
      <c r="D274" s="3">
        <f t="shared" si="119"/>
        <v>227.06106949836146</v>
      </c>
      <c r="E274" s="3">
        <f t="shared" si="95"/>
        <v>9693.3544166433458</v>
      </c>
      <c r="F274" s="3">
        <f t="shared" si="120"/>
        <v>47896.503157704217</v>
      </c>
    </row>
    <row r="275" spans="1:6" ht="12.75">
      <c r="A275" s="9">
        <v>49157</v>
      </c>
      <c r="B275" s="3">
        <f t="shared" si="121"/>
        <v>47896.503157704217</v>
      </c>
      <c r="C275" s="3">
        <f t="shared" si="118"/>
        <v>9503.7640916440996</v>
      </c>
      <c r="D275" s="3">
        <f t="shared" si="119"/>
        <v>189.59032499924587</v>
      </c>
      <c r="E275" s="3">
        <f t="shared" si="95"/>
        <v>9693.3544166433458</v>
      </c>
      <c r="F275" s="3">
        <f t="shared" si="120"/>
        <v>38392.739066060116</v>
      </c>
    </row>
    <row r="276" spans="1:6" ht="12.75">
      <c r="A276" s="9">
        <v>49188</v>
      </c>
      <c r="B276" s="3">
        <f t="shared" si="121"/>
        <v>38392.739066060116</v>
      </c>
      <c r="C276" s="3">
        <f t="shared" si="118"/>
        <v>9541.3831578401914</v>
      </c>
      <c r="D276" s="3">
        <f t="shared" si="119"/>
        <v>151.97125880315463</v>
      </c>
      <c r="E276" s="3">
        <f t="shared" ref="E276:E279" si="122">-$I$8</f>
        <v>9693.3544166433458</v>
      </c>
      <c r="F276" s="3">
        <f t="shared" si="120"/>
        <v>28851.355908219924</v>
      </c>
    </row>
    <row r="277" spans="1:6" ht="12.75">
      <c r="A277" s="9">
        <v>49218</v>
      </c>
      <c r="B277" s="3">
        <f t="shared" si="121"/>
        <v>28851.355908219924</v>
      </c>
      <c r="C277" s="3">
        <f t="shared" si="118"/>
        <v>9579.1511328399756</v>
      </c>
      <c r="D277" s="3">
        <f t="shared" si="119"/>
        <v>114.20328380337054</v>
      </c>
      <c r="E277" s="3">
        <f t="shared" si="122"/>
        <v>9693.3544166433458</v>
      </c>
      <c r="F277" s="3">
        <f t="shared" si="120"/>
        <v>19272.204775379949</v>
      </c>
    </row>
    <row r="278" spans="1:6" ht="12.75">
      <c r="A278" s="9">
        <v>49249</v>
      </c>
      <c r="B278" s="3">
        <f t="shared" si="121"/>
        <v>19272.204775379949</v>
      </c>
      <c r="C278" s="3">
        <f t="shared" si="118"/>
        <v>9617.0686060741336</v>
      </c>
      <c r="D278" s="3">
        <f t="shared" si="119"/>
        <v>76.285810569212302</v>
      </c>
      <c r="E278" s="3">
        <f t="shared" si="122"/>
        <v>9693.3544166433458</v>
      </c>
      <c r="F278" s="3">
        <f t="shared" si="120"/>
        <v>9655.1361693058152</v>
      </c>
    </row>
    <row r="279" spans="1:6" ht="12.75">
      <c r="A279" s="9">
        <v>49279</v>
      </c>
      <c r="B279" s="3">
        <f t="shared" si="121"/>
        <v>9655.1361693058152</v>
      </c>
      <c r="C279" s="3">
        <f t="shared" si="118"/>
        <v>9655.1361693065101</v>
      </c>
      <c r="D279" s="3">
        <f t="shared" si="119"/>
        <v>38.218247336835525</v>
      </c>
      <c r="E279" s="3">
        <f t="shared" si="122"/>
        <v>9693.3544166433458</v>
      </c>
      <c r="F279" s="6">
        <f t="shared" si="120"/>
        <v>-6.9485395215451717E-10</v>
      </c>
    </row>
    <row r="280" spans="1:6" ht="12.75">
      <c r="A280" s="7" t="s">
        <v>68</v>
      </c>
      <c r="B280" s="8"/>
      <c r="C280" s="6">
        <f t="shared" ref="C280:D280" si="123">SUM(C268:C279)</f>
        <v>113381.90357424031</v>
      </c>
      <c r="D280" s="6">
        <f t="shared" si="123"/>
        <v>2938.3494254798497</v>
      </c>
    </row>
    <row r="281" spans="1:6" ht="12.75">
      <c r="B281" s="2"/>
      <c r="C281" s="3"/>
      <c r="D281" s="3"/>
      <c r="E281" s="3"/>
      <c r="F281" s="3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AN107"/>
  <sheetViews>
    <sheetView zoomScale="85" zoomScaleNormal="85" zoomScalePageLayoutView="85" workbookViewId="0">
      <selection activeCell="E30" sqref="E30"/>
    </sheetView>
  </sheetViews>
  <sheetFormatPr defaultColWidth="14.42578125" defaultRowHeight="15.75" customHeight="1"/>
  <cols>
    <col min="1" max="2" width="0.42578125" style="14" customWidth="1"/>
    <col min="3" max="3" width="35.7109375" style="14" customWidth="1"/>
    <col min="4" max="4" width="13.42578125" style="14" bestFit="1" customWidth="1"/>
    <col min="5" max="7" width="14.42578125" style="14"/>
    <col min="8" max="8" width="14.42578125" style="14" customWidth="1"/>
    <col min="9" max="10" width="14.42578125" style="14"/>
    <col min="11" max="11" width="7" style="14" bestFit="1" customWidth="1"/>
    <col min="12" max="13" width="14.42578125" style="14"/>
    <col min="14" max="14" width="16.28515625" style="14" customWidth="1"/>
    <col min="15" max="26" width="14.42578125" style="14"/>
    <col min="27" max="27" width="14.7109375" style="14" customWidth="1"/>
    <col min="28" max="28" width="14.42578125" style="14"/>
    <col min="29" max="29" width="11.42578125" style="14" bestFit="1" customWidth="1"/>
    <col min="30" max="30" width="18.42578125" style="14" bestFit="1" customWidth="1"/>
    <col min="31" max="31" width="6.42578125" style="14" bestFit="1" customWidth="1"/>
    <col min="32" max="32" width="9.85546875" style="14" bestFit="1" customWidth="1"/>
    <col min="33" max="33" width="10.85546875" style="14" bestFit="1" customWidth="1"/>
    <col min="34" max="34" width="14.42578125" style="14"/>
    <col min="35" max="35" width="15.42578125" style="14" bestFit="1" customWidth="1"/>
    <col min="36" max="36" width="7.7109375" style="14" bestFit="1" customWidth="1"/>
    <col min="37" max="37" width="9.85546875" style="14" bestFit="1" customWidth="1"/>
    <col min="38" max="38" width="16.28515625" style="14" bestFit="1" customWidth="1"/>
    <col min="39" max="39" width="14.28515625" style="14" bestFit="1" customWidth="1"/>
    <col min="40" max="16384" width="14.42578125" style="14"/>
  </cols>
  <sheetData>
    <row r="1" spans="3:34" ht="15.75" customHeight="1">
      <c r="C1" s="48" t="s">
        <v>0</v>
      </c>
      <c r="D1" s="12"/>
      <c r="E1" s="13">
        <v>2015</v>
      </c>
      <c r="F1" s="13">
        <v>2016</v>
      </c>
      <c r="G1" s="13">
        <v>2017</v>
      </c>
      <c r="H1" s="13">
        <v>2018</v>
      </c>
      <c r="I1" s="13">
        <v>2019</v>
      </c>
      <c r="J1" s="13">
        <v>2020</v>
      </c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11"/>
      <c r="AA1" s="111"/>
      <c r="AB1" s="111"/>
      <c r="AC1" s="105"/>
      <c r="AD1" s="105"/>
      <c r="AE1" s="105"/>
      <c r="AF1" s="105"/>
      <c r="AG1" s="13"/>
    </row>
    <row r="2" spans="3:34" ht="15.75" customHeight="1">
      <c r="C2" s="13"/>
      <c r="D2" s="13"/>
      <c r="E2" s="13"/>
      <c r="Z2" s="133"/>
      <c r="AA2" s="118"/>
      <c r="AB2" s="118"/>
      <c r="AC2" s="105"/>
      <c r="AD2" s="105"/>
      <c r="AE2" s="105"/>
      <c r="AF2" s="105"/>
    </row>
    <row r="3" spans="3:34" ht="15.75" customHeight="1">
      <c r="C3" s="13" t="s">
        <v>1</v>
      </c>
      <c r="D3" s="13"/>
      <c r="E3" s="15">
        <v>25000</v>
      </c>
      <c r="F3" s="16">
        <f>E3+(E3*$AG$3)</f>
        <v>22500</v>
      </c>
      <c r="G3" s="16">
        <f>F3+(F3*$AG$3)</f>
        <v>20250</v>
      </c>
      <c r="H3" s="16">
        <f>G3+(G3*$AG$3)</f>
        <v>18225</v>
      </c>
      <c r="I3" s="16">
        <f>H3+(H3*$AG$3)</f>
        <v>16402.5</v>
      </c>
      <c r="J3" s="16">
        <f>I3+(I3*$AG$3)</f>
        <v>14762.25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33"/>
      <c r="AA3" s="130"/>
      <c r="AB3" s="118"/>
      <c r="AC3" s="105"/>
      <c r="AD3" s="105"/>
      <c r="AE3" s="105"/>
      <c r="AF3" s="105"/>
      <c r="AG3" s="17">
        <v>-0.1</v>
      </c>
      <c r="AH3" s="13" t="s">
        <v>2</v>
      </c>
    </row>
    <row r="4" spans="3:34" ht="15.75" customHeight="1">
      <c r="C4" s="13" t="s">
        <v>3</v>
      </c>
      <c r="D4" s="13"/>
      <c r="E4" s="15">
        <v>160</v>
      </c>
      <c r="F4" s="15">
        <v>160</v>
      </c>
      <c r="G4" s="15">
        <v>160</v>
      </c>
      <c r="H4" s="15">
        <v>160</v>
      </c>
      <c r="I4" s="15">
        <v>160</v>
      </c>
      <c r="J4" s="15">
        <v>160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33"/>
      <c r="AA4" s="118"/>
      <c r="AB4" s="118"/>
      <c r="AC4" s="105"/>
      <c r="AD4" s="105"/>
      <c r="AE4" s="105"/>
      <c r="AF4" s="105"/>
    </row>
    <row r="5" spans="3:34" ht="15.75" customHeight="1">
      <c r="C5" s="13" t="s">
        <v>4</v>
      </c>
      <c r="D5" s="13"/>
      <c r="E5" s="18">
        <v>12.95</v>
      </c>
      <c r="F5" s="18">
        <v>12.95</v>
      </c>
      <c r="G5" s="18">
        <v>12.95</v>
      </c>
      <c r="H5" s="18">
        <v>12.95</v>
      </c>
      <c r="I5" s="18">
        <v>12.95</v>
      </c>
      <c r="J5" s="18">
        <v>12.95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33"/>
      <c r="AA5" s="118"/>
      <c r="AB5" s="118"/>
      <c r="AC5" s="105"/>
      <c r="AD5" s="105"/>
      <c r="AE5" s="105"/>
      <c r="AF5" s="105"/>
    </row>
    <row r="6" spans="3:34" ht="15.75" customHeight="1">
      <c r="C6" s="13" t="s">
        <v>5</v>
      </c>
      <c r="D6" s="13"/>
      <c r="E6" s="13">
        <v>4</v>
      </c>
      <c r="F6" s="13">
        <v>4</v>
      </c>
      <c r="G6" s="13">
        <v>4</v>
      </c>
      <c r="H6" s="13">
        <v>4</v>
      </c>
      <c r="I6" s="13">
        <v>4</v>
      </c>
      <c r="J6" s="13">
        <v>4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0"/>
      <c r="AA6" s="130"/>
      <c r="AB6" s="130"/>
      <c r="AC6" s="105"/>
      <c r="AD6" s="105"/>
      <c r="AE6" s="105"/>
      <c r="AF6" s="105"/>
    </row>
    <row r="7" spans="3:34" ht="15.75" customHeight="1">
      <c r="C7" s="13" t="s">
        <v>6</v>
      </c>
      <c r="D7" s="13"/>
      <c r="E7" s="13">
        <v>30</v>
      </c>
      <c r="F7" s="13">
        <v>30</v>
      </c>
      <c r="G7" s="13">
        <v>30</v>
      </c>
      <c r="H7" s="13">
        <v>30</v>
      </c>
      <c r="I7" s="13">
        <v>30</v>
      </c>
      <c r="J7" s="13">
        <v>30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3"/>
      <c r="AA7" s="118"/>
      <c r="AB7" s="130"/>
      <c r="AC7" s="105"/>
      <c r="AD7" s="105"/>
      <c r="AE7" s="105"/>
      <c r="AF7" s="105"/>
    </row>
    <row r="8" spans="3:34" ht="15.75" customHeight="1">
      <c r="C8" s="13" t="s">
        <v>7</v>
      </c>
      <c r="D8" s="13"/>
      <c r="E8" s="19">
        <v>25</v>
      </c>
      <c r="F8" s="19">
        <v>25</v>
      </c>
      <c r="G8" s="19">
        <v>25</v>
      </c>
      <c r="H8" s="19">
        <v>25</v>
      </c>
      <c r="I8" s="19">
        <v>25</v>
      </c>
      <c r="J8" s="19">
        <v>25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33"/>
      <c r="AA8" s="118"/>
      <c r="AB8" s="130"/>
      <c r="AC8" s="105"/>
      <c r="AD8" s="105"/>
      <c r="AE8" s="105"/>
      <c r="AF8" s="105"/>
    </row>
    <row r="9" spans="3:34" ht="15.75" customHeight="1">
      <c r="C9" s="13" t="s">
        <v>8</v>
      </c>
      <c r="D9" s="13"/>
      <c r="E9" s="16">
        <f>E42/(E14/365)</f>
        <v>273.75</v>
      </c>
      <c r="F9" s="16">
        <f>E9*(1+$AG$9)</f>
        <v>271.01249999999999</v>
      </c>
      <c r="G9" s="16">
        <f>F9*(1+$AG$9)</f>
        <v>268.30237499999998</v>
      </c>
      <c r="H9" s="16">
        <f>G9*(1+$AG$9)</f>
        <v>265.61935124999997</v>
      </c>
      <c r="I9" s="16">
        <f>H9*(1+$AG$9)</f>
        <v>262.96315773749996</v>
      </c>
      <c r="J9" s="16">
        <f>I9*(1+$AG$9)</f>
        <v>260.33352616012496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33"/>
      <c r="AA9" s="118"/>
      <c r="AB9" s="118"/>
      <c r="AC9" s="105"/>
      <c r="AD9" s="105"/>
      <c r="AE9" s="105"/>
      <c r="AF9" s="105"/>
      <c r="AG9" s="17">
        <v>-0.01</v>
      </c>
      <c r="AH9" s="13" t="s">
        <v>9</v>
      </c>
    </row>
    <row r="10" spans="3:34" ht="15.75" customHeight="1" thickBot="1">
      <c r="E10" s="20"/>
      <c r="Z10" s="130"/>
      <c r="AA10" s="131"/>
      <c r="AB10" s="130"/>
      <c r="AC10" s="105"/>
      <c r="AD10" s="105"/>
      <c r="AE10" s="105"/>
      <c r="AF10" s="105"/>
    </row>
    <row r="11" spans="3:34" ht="15.75" customHeight="1" thickBot="1">
      <c r="C11" s="42" t="s">
        <v>100</v>
      </c>
      <c r="D11" s="43"/>
      <c r="E11" s="44"/>
      <c r="F11" s="44"/>
      <c r="G11" s="44"/>
      <c r="H11" s="44"/>
      <c r="I11" s="44"/>
      <c r="J11" s="45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30"/>
      <c r="AA11" s="131"/>
      <c r="AB11" s="130"/>
      <c r="AC11" s="105"/>
      <c r="AD11" s="105"/>
      <c r="AE11" s="105"/>
      <c r="AF11" s="105"/>
    </row>
    <row r="12" spans="3:34" ht="15.75" customHeight="1">
      <c r="C12" s="13" t="s">
        <v>10</v>
      </c>
      <c r="D12" s="13"/>
      <c r="E12" s="21">
        <f t="shared" ref="E12:J12" si="0">E3*E4</f>
        <v>4000000</v>
      </c>
      <c r="F12" s="21">
        <f t="shared" si="0"/>
        <v>3600000</v>
      </c>
      <c r="G12" s="21">
        <f t="shared" si="0"/>
        <v>3240000</v>
      </c>
      <c r="H12" s="21">
        <f t="shared" si="0"/>
        <v>2916000</v>
      </c>
      <c r="I12" s="21">
        <f t="shared" si="0"/>
        <v>2624400</v>
      </c>
      <c r="J12" s="21">
        <f t="shared" si="0"/>
        <v>2361960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130"/>
      <c r="AA12" s="131"/>
      <c r="AB12" s="130"/>
      <c r="AC12" s="105"/>
      <c r="AD12" s="105"/>
      <c r="AE12" s="105"/>
      <c r="AF12" s="105"/>
    </row>
    <row r="13" spans="3:34" ht="15.75" customHeight="1"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130"/>
      <c r="AA13" s="132"/>
      <c r="AB13" s="130"/>
      <c r="AC13" s="105"/>
      <c r="AD13" s="105"/>
      <c r="AE13" s="105"/>
      <c r="AF13" s="105"/>
    </row>
    <row r="14" spans="3:34" ht="15.75" customHeight="1">
      <c r="C14" s="13" t="s">
        <v>11</v>
      </c>
      <c r="D14" s="13"/>
      <c r="E14" s="22">
        <f t="shared" ref="E14:J14" si="1">E12*$AG$14</f>
        <v>1000000</v>
      </c>
      <c r="F14" s="22">
        <f t="shared" si="1"/>
        <v>900000</v>
      </c>
      <c r="G14" s="22">
        <f t="shared" si="1"/>
        <v>810000</v>
      </c>
      <c r="H14" s="22">
        <f t="shared" si="1"/>
        <v>729000</v>
      </c>
      <c r="I14" s="22">
        <f t="shared" si="1"/>
        <v>656100</v>
      </c>
      <c r="J14" s="22">
        <f t="shared" si="1"/>
        <v>590490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133"/>
      <c r="AA14" s="118"/>
      <c r="AB14" s="130"/>
      <c r="AC14" s="105"/>
      <c r="AD14" s="105"/>
      <c r="AE14" s="105"/>
      <c r="AF14" s="105"/>
      <c r="AG14" s="17">
        <v>0.25</v>
      </c>
      <c r="AH14" s="13" t="s">
        <v>12</v>
      </c>
    </row>
    <row r="15" spans="3:34" ht="15.75" customHeight="1"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130"/>
      <c r="AA15" s="130"/>
      <c r="AB15" s="130"/>
      <c r="AC15" s="105"/>
      <c r="AD15" s="105"/>
      <c r="AE15" s="105"/>
      <c r="AF15" s="105"/>
      <c r="AG15" s="17"/>
      <c r="AH15" s="13"/>
    </row>
    <row r="16" spans="3:34" ht="15.75" customHeight="1">
      <c r="C16" s="12" t="s">
        <v>13</v>
      </c>
      <c r="D16" s="1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133"/>
      <c r="AA16" s="118"/>
      <c r="AB16" s="118"/>
      <c r="AC16" s="105"/>
      <c r="AD16" s="105"/>
      <c r="AE16" s="105"/>
      <c r="AF16" s="105"/>
    </row>
    <row r="17" spans="3:37" ht="15.75" customHeight="1">
      <c r="C17" s="13" t="s">
        <v>14</v>
      </c>
      <c r="D17" s="13"/>
      <c r="E17" s="21">
        <f t="shared" ref="E17" si="2">E6*$AG$17</f>
        <v>120000</v>
      </c>
      <c r="F17" s="21">
        <f>E17+(E17*$K$17)</f>
        <v>123000</v>
      </c>
      <c r="G17" s="21">
        <f t="shared" ref="G17:J17" si="3">F17+(F17*$K$17)</f>
        <v>126075</v>
      </c>
      <c r="H17" s="21">
        <f t="shared" si="3"/>
        <v>129226.875</v>
      </c>
      <c r="I17" s="21">
        <f t="shared" si="3"/>
        <v>132457.546875</v>
      </c>
      <c r="J17" s="21">
        <f t="shared" si="3"/>
        <v>135768.98554687499</v>
      </c>
      <c r="K17" s="186">
        <f>2.5%</f>
        <v>2.5000000000000001E-2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133"/>
      <c r="AA17" s="118"/>
      <c r="AB17" s="130"/>
      <c r="AC17" s="105"/>
      <c r="AD17" s="105"/>
      <c r="AE17" s="105"/>
      <c r="AF17" s="105"/>
      <c r="AG17" s="13">
        <v>30000</v>
      </c>
      <c r="AH17" s="13" t="s">
        <v>15</v>
      </c>
    </row>
    <row r="18" spans="3:37" ht="15.75" customHeight="1">
      <c r="C18" s="23" t="s">
        <v>89</v>
      </c>
      <c r="D18" s="13"/>
      <c r="E18" s="21">
        <f>AG18</f>
        <v>75000</v>
      </c>
      <c r="F18" s="21">
        <f t="shared" ref="F18:J18" si="4">E18+(E18*$K$17)</f>
        <v>76875</v>
      </c>
      <c r="G18" s="21">
        <f t="shared" si="4"/>
        <v>78796.875</v>
      </c>
      <c r="H18" s="21">
        <f t="shared" si="4"/>
        <v>80766.796875</v>
      </c>
      <c r="I18" s="21">
        <f t="shared" si="4"/>
        <v>82785.966796875</v>
      </c>
      <c r="J18" s="21">
        <f t="shared" si="4"/>
        <v>84855.615966796875</v>
      </c>
      <c r="K18" s="186">
        <f>K17</f>
        <v>2.5000000000000001E-2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134"/>
      <c r="AA18" s="118"/>
      <c r="AB18" s="118"/>
      <c r="AC18" s="105"/>
      <c r="AD18" s="105"/>
      <c r="AE18" s="105"/>
      <c r="AF18" s="105"/>
      <c r="AG18" s="13">
        <v>75000</v>
      </c>
      <c r="AH18" s="23" t="s">
        <v>88</v>
      </c>
    </row>
    <row r="19" spans="3:37" ht="15.75" customHeight="1">
      <c r="C19" s="13" t="s">
        <v>16</v>
      </c>
      <c r="D19" s="13"/>
      <c r="E19" s="22">
        <f>43200</f>
        <v>43200</v>
      </c>
      <c r="F19" s="21">
        <f t="shared" ref="F19:I19" si="5">E19+(E19*$K$17)</f>
        <v>44280</v>
      </c>
      <c r="G19" s="21">
        <f t="shared" si="5"/>
        <v>45387</v>
      </c>
      <c r="H19" s="21">
        <f t="shared" si="5"/>
        <v>46521.675000000003</v>
      </c>
      <c r="I19" s="21">
        <f t="shared" si="5"/>
        <v>47684.716875000006</v>
      </c>
      <c r="J19" s="21">
        <f>I19+(I19*$K$17)</f>
        <v>48876.834796875002</v>
      </c>
      <c r="K19" s="187">
        <f>K18</f>
        <v>2.5000000000000001E-2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134"/>
      <c r="AA19" s="118"/>
      <c r="AB19" s="112"/>
      <c r="AC19" s="105"/>
      <c r="AD19" s="105"/>
      <c r="AE19" s="105"/>
      <c r="AF19" s="105"/>
      <c r="AG19" s="13"/>
      <c r="AH19" s="13" t="s">
        <v>17</v>
      </c>
      <c r="AI19" s="13"/>
    </row>
    <row r="20" spans="3:37" ht="15.75" customHeight="1">
      <c r="C20" s="13" t="s">
        <v>18</v>
      </c>
      <c r="D20" s="13"/>
      <c r="E20" s="21">
        <v>1200000</v>
      </c>
      <c r="F20" s="22">
        <f>F12*$AG$20</f>
        <v>1080000</v>
      </c>
      <c r="G20" s="22">
        <f>G12*$AG$20</f>
        <v>972000</v>
      </c>
      <c r="H20" s="22">
        <f>H12*$AG$20</f>
        <v>874800</v>
      </c>
      <c r="I20" s="22">
        <f>I12*$AG$20</f>
        <v>787320</v>
      </c>
      <c r="J20" s="22">
        <f>J12*$AG$20</f>
        <v>708588</v>
      </c>
      <c r="K20" s="187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134"/>
      <c r="AA20" s="118"/>
      <c r="AB20" s="130"/>
      <c r="AC20" s="105"/>
      <c r="AD20" s="105"/>
      <c r="AE20" s="105"/>
      <c r="AF20" s="105"/>
      <c r="AG20" s="24">
        <f>E20/E12</f>
        <v>0.3</v>
      </c>
      <c r="AH20" s="13" t="s">
        <v>19</v>
      </c>
    </row>
    <row r="21" spans="3:37" ht="15.75" customHeight="1">
      <c r="C21" s="13" t="s">
        <v>20</v>
      </c>
      <c r="D21" s="13"/>
      <c r="E21" s="22">
        <f t="shared" ref="E21:J21" si="6">E5*E3</f>
        <v>323750</v>
      </c>
      <c r="F21" s="22">
        <f t="shared" si="6"/>
        <v>291375</v>
      </c>
      <c r="G21" s="22">
        <f t="shared" si="6"/>
        <v>262237.5</v>
      </c>
      <c r="H21" s="22">
        <f t="shared" si="6"/>
        <v>236013.75</v>
      </c>
      <c r="I21" s="22">
        <f t="shared" si="6"/>
        <v>212412.375</v>
      </c>
      <c r="J21" s="22">
        <f t="shared" si="6"/>
        <v>191171.13749999998</v>
      </c>
      <c r="K21" s="187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134"/>
      <c r="AA21" s="118"/>
      <c r="AB21" s="118"/>
      <c r="AC21" s="105"/>
      <c r="AD21" s="105"/>
      <c r="AE21" s="105"/>
      <c r="AF21" s="105"/>
    </row>
    <row r="22" spans="3:37" ht="15.75" customHeight="1">
      <c r="C22" s="13" t="s">
        <v>21</v>
      </c>
      <c r="D22" s="13"/>
      <c r="E22" s="21">
        <v>3600</v>
      </c>
      <c r="F22" s="21">
        <f>E22+(E22*$K$17)</f>
        <v>3690</v>
      </c>
      <c r="G22" s="21">
        <f t="shared" ref="G22:J22" si="7">F22+(F22*$K$17)</f>
        <v>3782.25</v>
      </c>
      <c r="H22" s="21">
        <f t="shared" si="7"/>
        <v>3876.8062500000001</v>
      </c>
      <c r="I22" s="21">
        <f t="shared" si="7"/>
        <v>3973.7264062500003</v>
      </c>
      <c r="J22" s="21">
        <f t="shared" si="7"/>
        <v>4073.0695664062505</v>
      </c>
      <c r="K22" s="187">
        <f>K19</f>
        <v>2.5000000000000001E-2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106"/>
      <c r="AA22" s="107"/>
      <c r="AB22" s="105"/>
      <c r="AC22" s="105"/>
      <c r="AD22" s="105"/>
      <c r="AE22" s="105"/>
      <c r="AF22" s="105"/>
      <c r="AK22" s="13"/>
    </row>
    <row r="23" spans="3:37" ht="15.75" customHeight="1">
      <c r="C23" s="13" t="s">
        <v>22</v>
      </c>
      <c r="D23" s="13"/>
      <c r="E23" s="21">
        <v>120000</v>
      </c>
      <c r="F23" s="22">
        <f>F12*$AG$23</f>
        <v>99000</v>
      </c>
      <c r="G23" s="22">
        <f>G12*$AG$23</f>
        <v>89100</v>
      </c>
      <c r="H23" s="22">
        <f>H12*$AG$23</f>
        <v>80190</v>
      </c>
      <c r="I23" s="22">
        <f>I12*$AG$23</f>
        <v>72171</v>
      </c>
      <c r="J23" s="22">
        <f>J12*$AG$23</f>
        <v>64953.9</v>
      </c>
      <c r="K23" s="187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106"/>
      <c r="AA23" s="107"/>
      <c r="AB23" s="105"/>
      <c r="AC23" s="105"/>
      <c r="AD23" s="105"/>
      <c r="AE23" s="105"/>
      <c r="AF23" s="105"/>
      <c r="AG23" s="25">
        <v>2.75E-2</v>
      </c>
      <c r="AH23" s="13" t="s">
        <v>23</v>
      </c>
    </row>
    <row r="24" spans="3:37" ht="15.75" customHeight="1">
      <c r="C24" s="13" t="s">
        <v>24</v>
      </c>
      <c r="D24" s="13"/>
      <c r="E24" s="21">
        <v>4000</v>
      </c>
      <c r="F24" s="21">
        <f t="shared" ref="F24:J24" si="8">E24+(E24*$K$17)</f>
        <v>4100</v>
      </c>
      <c r="G24" s="21">
        <f t="shared" si="8"/>
        <v>4202.5</v>
      </c>
      <c r="H24" s="21">
        <f t="shared" si="8"/>
        <v>4307.5625</v>
      </c>
      <c r="I24" s="21">
        <f t="shared" si="8"/>
        <v>4415.2515624999996</v>
      </c>
      <c r="J24" s="21">
        <f t="shared" si="8"/>
        <v>4525.6328515625</v>
      </c>
      <c r="K24" s="186">
        <f>K19</f>
        <v>2.5000000000000001E-2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105"/>
      <c r="AA24" s="111"/>
      <c r="AB24" s="111"/>
      <c r="AC24" s="111"/>
      <c r="AD24" s="111"/>
      <c r="AE24" s="111"/>
      <c r="AF24" s="111"/>
      <c r="AG24" s="13"/>
      <c r="AH24" s="13" t="s">
        <v>25</v>
      </c>
      <c r="AI24" s="13">
        <v>4.95</v>
      </c>
      <c r="AJ24" s="13" t="s">
        <v>26</v>
      </c>
    </row>
    <row r="25" spans="3:37" ht="15.75" customHeight="1">
      <c r="C25" s="13" t="s">
        <v>27</v>
      </c>
      <c r="D25" s="13"/>
      <c r="E25" s="22">
        <f t="shared" ref="E25" si="9">12*$AG$25</f>
        <v>2400</v>
      </c>
      <c r="F25" s="21">
        <f t="shared" ref="F25:J25" si="10">E25+(E25*$K$17)</f>
        <v>2460</v>
      </c>
      <c r="G25" s="21">
        <f t="shared" si="10"/>
        <v>2521.5</v>
      </c>
      <c r="H25" s="21">
        <f t="shared" si="10"/>
        <v>2584.5374999999999</v>
      </c>
      <c r="I25" s="21">
        <f t="shared" si="10"/>
        <v>2649.1509375000001</v>
      </c>
      <c r="J25" s="21">
        <f t="shared" si="10"/>
        <v>2715.3797109375</v>
      </c>
      <c r="K25" s="187">
        <f>K24</f>
        <v>2.5000000000000001E-2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107"/>
      <c r="AA25" s="112"/>
      <c r="AB25" s="113"/>
      <c r="AC25" s="114"/>
      <c r="AD25" s="115"/>
      <c r="AE25" s="113"/>
      <c r="AF25" s="116"/>
      <c r="AG25" s="13">
        <v>200</v>
      </c>
      <c r="AH25" s="13" t="s">
        <v>28</v>
      </c>
    </row>
    <row r="26" spans="3:37" ht="15.75" customHeight="1">
      <c r="C26" s="13" t="s">
        <v>29</v>
      </c>
      <c r="D26" s="13"/>
      <c r="E26" s="21">
        <v>36000</v>
      </c>
      <c r="F26" s="21">
        <f t="shared" ref="F26:J26" si="11">E26+(E26*$K$17)</f>
        <v>36900</v>
      </c>
      <c r="G26" s="21">
        <f t="shared" si="11"/>
        <v>37822.5</v>
      </c>
      <c r="H26" s="21">
        <f t="shared" si="11"/>
        <v>38768.0625</v>
      </c>
      <c r="I26" s="21">
        <f t="shared" si="11"/>
        <v>39737.264062499999</v>
      </c>
      <c r="J26" s="21">
        <f t="shared" si="11"/>
        <v>40730.695664062499</v>
      </c>
      <c r="K26" s="186">
        <f>K25</f>
        <v>2.5000000000000001E-2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108"/>
      <c r="AA26" s="112"/>
      <c r="AB26" s="110"/>
      <c r="AC26" s="114"/>
      <c r="AD26" s="115"/>
      <c r="AE26" s="113"/>
      <c r="AF26" s="116"/>
    </row>
    <row r="27" spans="3:37" ht="15.75" customHeight="1"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107"/>
      <c r="AA27" s="117"/>
      <c r="AB27" s="118"/>
      <c r="AC27" s="109"/>
      <c r="AD27" s="105"/>
      <c r="AE27" s="105"/>
      <c r="AF27" s="109"/>
    </row>
    <row r="28" spans="3:37" ht="15.75" customHeight="1">
      <c r="C28" s="23" t="s">
        <v>93</v>
      </c>
      <c r="D28" s="13"/>
      <c r="E28" s="22">
        <f>E45*$Z$47</f>
        <v>110000</v>
      </c>
      <c r="F28" s="22">
        <f t="shared" ref="F28:J28" si="12">F45*$Z$47</f>
        <v>110000</v>
      </c>
      <c r="G28" s="22">
        <f t="shared" si="12"/>
        <v>110000</v>
      </c>
      <c r="H28" s="22">
        <f t="shared" si="12"/>
        <v>110000</v>
      </c>
      <c r="I28" s="22">
        <f t="shared" si="12"/>
        <v>110000</v>
      </c>
      <c r="J28" s="22">
        <f t="shared" si="12"/>
        <v>110000</v>
      </c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3:37" ht="15.75" customHeight="1">
      <c r="C29" s="23" t="s">
        <v>94</v>
      </c>
      <c r="E29" s="22">
        <f>E46*$K$29</f>
        <v>20000</v>
      </c>
      <c r="F29" s="22">
        <f t="shared" ref="F29:I29" si="13">F46*$K$29</f>
        <v>20000</v>
      </c>
      <c r="G29" s="22">
        <f t="shared" si="13"/>
        <v>20000</v>
      </c>
      <c r="H29" s="22">
        <f t="shared" si="13"/>
        <v>20000</v>
      </c>
      <c r="I29" s="22">
        <f t="shared" si="13"/>
        <v>20000</v>
      </c>
      <c r="J29" s="22">
        <f>J46*$K$29</f>
        <v>20000</v>
      </c>
      <c r="K29" s="190">
        <f>1/5</f>
        <v>0.2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3:37" ht="15.75" customHeight="1">
      <c r="C30" s="23" t="s">
        <v>56</v>
      </c>
      <c r="D30" s="23"/>
      <c r="E30" s="22">
        <f>'Mortgage Loan Bankruptcy'!D14</f>
        <v>70255.720381477935</v>
      </c>
      <c r="F30" s="22">
        <f>'Mortgage Loan Bankruptcy'!$D28</f>
        <v>68019.384913067363</v>
      </c>
      <c r="G30" s="22">
        <f>'Mortgage Loan Bankruptcy'!D42</f>
        <v>65674.48009546315</v>
      </c>
      <c r="H30" s="22">
        <f>'Mortgage Loan Bankruptcy'!D56</f>
        <v>63215.735116771997</v>
      </c>
      <c r="I30" s="22">
        <f>'Mortgage Loan Bankruptcy'!D70</f>
        <v>60637.623278349696</v>
      </c>
      <c r="J30" s="22">
        <f>'Mortgage Loan Bankruptcy'!D84</f>
        <v>57934.349572041436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8">
        <v>4.7500000000000001E-2</v>
      </c>
      <c r="AA30" s="78" t="s">
        <v>111</v>
      </c>
    </row>
    <row r="31" spans="3:37" ht="15.75" customHeight="1">
      <c r="C31" s="13" t="s">
        <v>30</v>
      </c>
      <c r="D31" s="13"/>
      <c r="E31" s="22">
        <f t="shared" ref="E31:J31" si="14">$Z$54*E54</f>
        <v>470352.05309531419</v>
      </c>
      <c r="F31" s="22">
        <f t="shared" si="14"/>
        <v>543405.22807350662</v>
      </c>
      <c r="G31" s="22">
        <f t="shared" si="14"/>
        <v>632540.89780461183</v>
      </c>
      <c r="H31" s="22">
        <f t="shared" si="14"/>
        <v>738765.85611533769</v>
      </c>
      <c r="I31" s="22">
        <f t="shared" si="14"/>
        <v>863236.04946660891</v>
      </c>
      <c r="J31" s="22">
        <f t="shared" si="14"/>
        <v>1007262.908380377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31">
        <v>0.1</v>
      </c>
      <c r="AA31" s="78" t="s">
        <v>112</v>
      </c>
    </row>
    <row r="32" spans="3:37" ht="15.75" customHeight="1"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3:40" ht="15.75" customHeight="1">
      <c r="C33" s="13" t="s">
        <v>31</v>
      </c>
      <c r="D33" s="13"/>
      <c r="E33" s="22">
        <f>(E12-(SUM(E14:E26)))-E28-E30-E31-E29</f>
        <v>401442.22652320785</v>
      </c>
      <c r="F33" s="22">
        <f t="shared" ref="F33:J33" si="15">(F12-(SUM(F14:F26)))-F28-F30-F31-F29</f>
        <v>196895.38701342605</v>
      </c>
      <c r="G33" s="22">
        <f t="shared" si="15"/>
        <v>-20140.502900074935</v>
      </c>
      <c r="H33" s="22">
        <f t="shared" si="15"/>
        <v>-242037.65685710998</v>
      </c>
      <c r="I33" s="22">
        <f t="shared" si="15"/>
        <v>-471180.67126058339</v>
      </c>
      <c r="J33" s="22">
        <f t="shared" si="15"/>
        <v>-709986.50955593376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3:40" ht="15.75" customHeight="1">
      <c r="C34" s="13" t="s">
        <v>32</v>
      </c>
      <c r="D34" s="13"/>
      <c r="E34" s="22">
        <f t="shared" ref="E34:J34" si="16">E33*$Z$34</f>
        <v>100360.55663080196</v>
      </c>
      <c r="F34" s="22">
        <f t="shared" si="16"/>
        <v>49223.846753356513</v>
      </c>
      <c r="G34" s="22">
        <f t="shared" si="16"/>
        <v>-5035.1257250187336</v>
      </c>
      <c r="H34" s="22">
        <f t="shared" si="16"/>
        <v>-60509.414214277494</v>
      </c>
      <c r="I34" s="22">
        <f t="shared" si="16"/>
        <v>-117795.16781514585</v>
      </c>
      <c r="J34" s="22">
        <f t="shared" si="16"/>
        <v>-177496.62738898344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17">
        <v>0.25</v>
      </c>
      <c r="AA34" s="13" t="s">
        <v>33</v>
      </c>
    </row>
    <row r="35" spans="3:40" ht="15.75" customHeight="1">
      <c r="C35" s="13" t="s">
        <v>34</v>
      </c>
      <c r="D35" s="13"/>
      <c r="E35" s="22">
        <f>E33-E34</f>
        <v>301081.66989240586</v>
      </c>
      <c r="F35" s="22">
        <f t="shared" ref="F35:J35" si="17">F33-F34</f>
        <v>147671.54026006954</v>
      </c>
      <c r="G35" s="22">
        <f t="shared" si="17"/>
        <v>-15105.377175056201</v>
      </c>
      <c r="H35" s="22">
        <f t="shared" si="17"/>
        <v>-181528.24264283248</v>
      </c>
      <c r="I35" s="22">
        <f t="shared" si="17"/>
        <v>-353385.50344543753</v>
      </c>
      <c r="J35" s="22">
        <f t="shared" si="17"/>
        <v>-532489.88216695026</v>
      </c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3:40" ht="15.75" customHeight="1" thickBot="1"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3:40" ht="15.75" customHeight="1" thickBot="1">
      <c r="C37" s="42" t="s">
        <v>35</v>
      </c>
      <c r="D37" s="46"/>
      <c r="E37" s="47"/>
      <c r="F37" s="47"/>
      <c r="G37" s="47"/>
      <c r="H37" s="47"/>
      <c r="I37" s="47"/>
      <c r="J37" s="181"/>
      <c r="K37" s="22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3:40" ht="15.75" customHeight="1" thickBot="1">
      <c r="C38" s="12" t="s">
        <v>36</v>
      </c>
      <c r="D38" s="12"/>
      <c r="E38" s="21"/>
      <c r="F38" s="21"/>
      <c r="G38" s="21"/>
      <c r="H38" s="21"/>
      <c r="I38" s="21"/>
      <c r="J38" s="21"/>
      <c r="K38" s="21"/>
      <c r="L38" s="80" t="s">
        <v>12</v>
      </c>
      <c r="M38" s="81" t="s">
        <v>113</v>
      </c>
      <c r="N38" s="82" t="s">
        <v>114</v>
      </c>
      <c r="O38" s="105"/>
      <c r="P38" s="105"/>
      <c r="Q38" s="50"/>
      <c r="R38" s="50"/>
      <c r="S38" s="50"/>
      <c r="T38" s="50"/>
      <c r="U38" s="21"/>
      <c r="V38" s="21"/>
      <c r="W38" s="21"/>
      <c r="X38" s="21"/>
      <c r="Y38" s="21"/>
    </row>
    <row r="39" spans="3:40" ht="15.75" customHeight="1">
      <c r="C39" s="13" t="s">
        <v>37</v>
      </c>
      <c r="D39" s="13"/>
      <c r="E39" s="21">
        <v>500000</v>
      </c>
      <c r="F39" s="21">
        <v>500000</v>
      </c>
      <c r="G39" s="21">
        <v>500000</v>
      </c>
      <c r="H39" s="21">
        <v>500000</v>
      </c>
      <c r="I39" s="21">
        <v>500000</v>
      </c>
      <c r="J39" s="21">
        <v>500000</v>
      </c>
      <c r="K39" s="21"/>
      <c r="L39" s="83">
        <f>100%</f>
        <v>1</v>
      </c>
      <c r="M39" s="84"/>
      <c r="N39" s="135">
        <f>J39*L39</f>
        <v>500000</v>
      </c>
      <c r="O39" s="105"/>
      <c r="P39" s="105"/>
      <c r="Q39" s="50"/>
      <c r="R39" s="105"/>
      <c r="S39" s="105"/>
      <c r="T39" s="105"/>
      <c r="U39" s="21"/>
      <c r="V39" s="21"/>
      <c r="W39" s="21"/>
      <c r="X39" s="21"/>
      <c r="Y39" s="21"/>
    </row>
    <row r="40" spans="3:40" ht="15.75" customHeight="1">
      <c r="C40" s="13" t="s">
        <v>38</v>
      </c>
      <c r="D40" s="13"/>
      <c r="E40" s="21">
        <v>678263.6956245671</v>
      </c>
      <c r="F40" s="21">
        <v>1745943.5148401812</v>
      </c>
      <c r="G40" s="21">
        <v>2797812.9696061667</v>
      </c>
      <c r="H40" s="21">
        <v>3841411.7557184664</v>
      </c>
      <c r="I40" s="21">
        <v>4883845.2252963604</v>
      </c>
      <c r="J40" s="21">
        <v>5911837.2998785377</v>
      </c>
      <c r="K40" s="21"/>
      <c r="L40" s="86">
        <v>1</v>
      </c>
      <c r="M40" s="87"/>
      <c r="N40" s="135">
        <f>J40*L40</f>
        <v>5911837.2998785377</v>
      </c>
      <c r="O40" s="105"/>
      <c r="P40" s="105"/>
      <c r="Q40" s="50"/>
      <c r="R40" s="105"/>
      <c r="S40" s="105"/>
      <c r="T40" s="105"/>
      <c r="U40" s="21"/>
      <c r="V40" s="21"/>
      <c r="W40" s="21"/>
      <c r="X40" s="21"/>
      <c r="Y40" s="21"/>
    </row>
    <row r="41" spans="3:40" ht="15.75" customHeight="1">
      <c r="C41" s="13" t="s">
        <v>39</v>
      </c>
      <c r="D41" s="13"/>
      <c r="E41" s="26">
        <f t="shared" ref="E41:J41" si="18">E12/365*E7</f>
        <v>328767.12328767125</v>
      </c>
      <c r="F41" s="22">
        <f t="shared" si="18"/>
        <v>295890.41095890407</v>
      </c>
      <c r="G41" s="22">
        <f t="shared" si="18"/>
        <v>266301.36986301374</v>
      </c>
      <c r="H41" s="22">
        <f t="shared" si="18"/>
        <v>239671.23287671234</v>
      </c>
      <c r="I41" s="22">
        <f t="shared" si="18"/>
        <v>215704.10958904109</v>
      </c>
      <c r="J41" s="22">
        <f t="shared" si="18"/>
        <v>194133.69863013699</v>
      </c>
      <c r="K41" s="22"/>
      <c r="L41" s="86">
        <v>0.7</v>
      </c>
      <c r="M41" s="89"/>
      <c r="N41" s="135">
        <f>J41*L41</f>
        <v>135893.5890410959</v>
      </c>
      <c r="O41" s="105"/>
      <c r="P41" s="105"/>
      <c r="Q41" s="50"/>
      <c r="R41" s="105"/>
      <c r="S41" s="105"/>
      <c r="T41" s="105"/>
      <c r="U41" s="22"/>
      <c r="V41" s="22"/>
      <c r="W41" s="22"/>
      <c r="X41" s="22"/>
      <c r="Y41" s="22"/>
    </row>
    <row r="42" spans="3:40" ht="15.75" customHeight="1">
      <c r="C42" s="13" t="s">
        <v>40</v>
      </c>
      <c r="D42" s="13"/>
      <c r="E42" s="21">
        <v>750000</v>
      </c>
      <c r="F42" s="22">
        <f t="shared" ref="F42:J42" si="19">F14/365*F9</f>
        <v>668250</v>
      </c>
      <c r="G42" s="22">
        <f t="shared" si="19"/>
        <v>595410.75</v>
      </c>
      <c r="H42" s="22">
        <f t="shared" si="19"/>
        <v>530510.97824999993</v>
      </c>
      <c r="I42" s="22">
        <f t="shared" si="19"/>
        <v>472685.28162074991</v>
      </c>
      <c r="J42" s="22">
        <f t="shared" si="19"/>
        <v>421162.5859240882</v>
      </c>
      <c r="K42" s="22"/>
      <c r="L42" s="86">
        <v>0.7</v>
      </c>
      <c r="M42" s="89"/>
      <c r="N42" s="135">
        <f>J42*L42</f>
        <v>294813.81014686171</v>
      </c>
      <c r="O42" s="105"/>
      <c r="P42" s="105"/>
      <c r="Q42" s="50"/>
      <c r="R42" s="105"/>
      <c r="S42" s="105"/>
      <c r="T42" s="105"/>
      <c r="U42" s="22"/>
      <c r="V42" s="22"/>
      <c r="W42" s="22"/>
      <c r="X42" s="22"/>
      <c r="Y42" s="22"/>
    </row>
    <row r="43" spans="3:40" ht="15.75" customHeight="1">
      <c r="E43" s="22"/>
      <c r="F43" s="22"/>
      <c r="G43" s="22"/>
      <c r="H43" s="22"/>
      <c r="I43" s="22"/>
      <c r="J43" s="22"/>
      <c r="K43" s="22"/>
      <c r="L43" s="90"/>
      <c r="M43" s="87"/>
      <c r="N43" s="91"/>
      <c r="O43" s="105"/>
      <c r="P43" s="105"/>
      <c r="Q43" s="50"/>
      <c r="R43" s="105"/>
      <c r="S43" s="105"/>
      <c r="T43" s="105"/>
      <c r="U43" s="22"/>
      <c r="V43" s="22"/>
      <c r="W43" s="22"/>
      <c r="X43" s="22"/>
      <c r="Y43" s="22"/>
    </row>
    <row r="44" spans="3:40" ht="15.75" customHeight="1">
      <c r="C44" s="13" t="s">
        <v>41</v>
      </c>
      <c r="D44" s="13"/>
      <c r="E44" s="21">
        <v>1500000</v>
      </c>
      <c r="F44" s="22">
        <f>E44</f>
        <v>1500000</v>
      </c>
      <c r="G44" s="22">
        <f t="shared" ref="G44:J44" si="20">F44</f>
        <v>1500000</v>
      </c>
      <c r="H44" s="22">
        <f t="shared" si="20"/>
        <v>1500000</v>
      </c>
      <c r="I44" s="22">
        <f t="shared" si="20"/>
        <v>1500000</v>
      </c>
      <c r="J44" s="22">
        <f t="shared" si="20"/>
        <v>1500000</v>
      </c>
      <c r="K44" s="22"/>
      <c r="L44" s="86">
        <v>0.8</v>
      </c>
      <c r="M44" s="89">
        <f>L44*J44</f>
        <v>1200000</v>
      </c>
      <c r="N44" s="91"/>
      <c r="O44" s="105"/>
      <c r="P44" s="105"/>
      <c r="Q44" s="50"/>
      <c r="R44" s="105"/>
      <c r="S44" s="105"/>
      <c r="T44" s="105"/>
      <c r="U44" s="22"/>
      <c r="V44" s="22"/>
      <c r="W44" s="22"/>
      <c r="X44" s="22"/>
      <c r="Y44" s="22"/>
    </row>
    <row r="45" spans="3:40" ht="15.75" customHeight="1">
      <c r="C45" s="13" t="s">
        <v>42</v>
      </c>
      <c r="D45" s="13"/>
      <c r="E45" s="21">
        <v>3300000</v>
      </c>
      <c r="F45" s="21">
        <v>3300000</v>
      </c>
      <c r="G45" s="21">
        <v>3300000</v>
      </c>
      <c r="H45" s="21">
        <v>3300000</v>
      </c>
      <c r="I45" s="21">
        <v>3300000</v>
      </c>
      <c r="J45" s="21">
        <v>3300000</v>
      </c>
      <c r="K45" s="21"/>
      <c r="L45" s="86">
        <v>0.8</v>
      </c>
      <c r="M45" s="89">
        <f>L45*J45</f>
        <v>2640000</v>
      </c>
      <c r="N45" s="91"/>
      <c r="O45" s="105"/>
      <c r="P45" s="105"/>
      <c r="Q45" s="50"/>
      <c r="R45" s="105"/>
      <c r="S45" s="105"/>
      <c r="T45" s="105"/>
      <c r="U45" s="21"/>
      <c r="V45" s="21"/>
      <c r="W45" s="21"/>
      <c r="X45" s="21"/>
      <c r="Y45" s="21"/>
    </row>
    <row r="46" spans="3:40" ht="15.75" customHeight="1" thickBot="1">
      <c r="C46" s="13" t="s">
        <v>43</v>
      </c>
      <c r="D46" s="13"/>
      <c r="E46" s="21">
        <v>100000</v>
      </c>
      <c r="F46" s="21">
        <v>100000</v>
      </c>
      <c r="G46" s="21">
        <v>100000</v>
      </c>
      <c r="H46" s="21">
        <v>100000</v>
      </c>
      <c r="I46" s="21">
        <v>100000</v>
      </c>
      <c r="J46" s="21">
        <v>100000</v>
      </c>
      <c r="K46" s="21"/>
      <c r="L46" s="86">
        <v>0.7</v>
      </c>
      <c r="M46" s="89"/>
      <c r="N46" s="135">
        <f>J46*L46</f>
        <v>70000</v>
      </c>
      <c r="O46" s="105"/>
      <c r="P46" s="105"/>
      <c r="Q46" s="50"/>
      <c r="R46" s="105"/>
      <c r="S46" s="105"/>
      <c r="T46" s="105"/>
      <c r="U46" s="21"/>
      <c r="V46" s="21"/>
      <c r="W46" s="21"/>
      <c r="X46" s="21"/>
      <c r="Y46" s="21"/>
      <c r="AB46" s="49"/>
      <c r="AC46" s="50"/>
      <c r="AD46" s="50"/>
      <c r="AE46" s="50"/>
      <c r="AF46" s="50"/>
      <c r="AG46" s="50"/>
      <c r="AH46" s="50"/>
      <c r="AI46" s="50"/>
      <c r="AJ46" s="50"/>
      <c r="AK46" s="50"/>
      <c r="AL46" s="50" t="s">
        <v>86</v>
      </c>
      <c r="AM46" s="51"/>
      <c r="AN46" s="50"/>
    </row>
    <row r="47" spans="3:40" ht="15.75" customHeight="1">
      <c r="C47" s="23" t="s">
        <v>95</v>
      </c>
      <c r="D47" s="13"/>
      <c r="E47" s="22">
        <f>E29</f>
        <v>20000</v>
      </c>
      <c r="F47" s="22">
        <f>F29+E47</f>
        <v>40000</v>
      </c>
      <c r="G47" s="22">
        <f t="shared" ref="G47:I47" si="21">G29+F47</f>
        <v>60000</v>
      </c>
      <c r="H47" s="22">
        <f t="shared" si="21"/>
        <v>80000</v>
      </c>
      <c r="I47" s="22">
        <f t="shared" si="21"/>
        <v>100000</v>
      </c>
      <c r="J47" s="22">
        <f>I47</f>
        <v>100000</v>
      </c>
      <c r="K47" s="22"/>
      <c r="L47" s="90"/>
      <c r="M47" s="92"/>
      <c r="N47" s="91"/>
      <c r="O47" s="105"/>
      <c r="P47" s="105"/>
      <c r="Q47" s="50"/>
      <c r="R47" s="105"/>
      <c r="S47" s="105"/>
      <c r="T47" s="105"/>
      <c r="U47" s="22"/>
      <c r="V47" s="22"/>
      <c r="W47" s="22"/>
      <c r="X47" s="22"/>
      <c r="Y47" s="22"/>
      <c r="Z47" s="27">
        <f>1/30</f>
        <v>3.3333333333333333E-2</v>
      </c>
      <c r="AA47" s="13" t="s">
        <v>44</v>
      </c>
      <c r="AB47" s="50"/>
      <c r="AC47" s="50"/>
      <c r="AD47" s="52" t="s">
        <v>83</v>
      </c>
      <c r="AE47" s="53">
        <v>0.7</v>
      </c>
      <c r="AF47" s="50"/>
      <c r="AG47" s="50"/>
      <c r="AH47" s="50"/>
      <c r="AI47" s="50" t="s">
        <v>101</v>
      </c>
      <c r="AJ47" s="54">
        <v>0.99</v>
      </c>
      <c r="AK47" s="55"/>
      <c r="AL47" s="50" t="s">
        <v>102</v>
      </c>
      <c r="AM47" s="191">
        <f>AJ48</f>
        <v>3.2174999999999998</v>
      </c>
      <c r="AN47" s="56"/>
    </row>
    <row r="48" spans="3:40" ht="15.75" customHeight="1" thickBot="1">
      <c r="C48" s="23" t="s">
        <v>96</v>
      </c>
      <c r="E48" s="22">
        <f>E28</f>
        <v>110000</v>
      </c>
      <c r="F48" s="22">
        <f>E48+F28</f>
        <v>220000</v>
      </c>
      <c r="G48" s="22">
        <f t="shared" ref="G48:J48" si="22">F48+G28</f>
        <v>330000</v>
      </c>
      <c r="H48" s="22">
        <f t="shared" si="22"/>
        <v>440000</v>
      </c>
      <c r="I48" s="22">
        <f t="shared" si="22"/>
        <v>550000</v>
      </c>
      <c r="J48" s="22">
        <f t="shared" si="22"/>
        <v>660000</v>
      </c>
      <c r="K48" s="22"/>
      <c r="L48" s="90"/>
      <c r="M48" s="92"/>
      <c r="N48" s="91"/>
      <c r="O48" s="105"/>
      <c r="P48" s="105"/>
      <c r="Q48" s="50"/>
      <c r="R48" s="105"/>
      <c r="S48" s="105"/>
      <c r="T48" s="105"/>
      <c r="U48" s="22"/>
      <c r="V48" s="22"/>
      <c r="W48" s="22"/>
      <c r="X48" s="22"/>
      <c r="Y48" s="22"/>
      <c r="AB48" s="50"/>
      <c r="AC48" s="50"/>
      <c r="AD48" s="57" t="s">
        <v>103</v>
      </c>
      <c r="AE48" s="58">
        <v>2.5000000000000001E-2</v>
      </c>
      <c r="AF48" s="50"/>
      <c r="AG48" s="50"/>
      <c r="AH48" s="50"/>
      <c r="AI48" s="50" t="s">
        <v>87</v>
      </c>
      <c r="AJ48" s="59">
        <f>AJ47*(1+(1-AE52)*(AI56/AI58))</f>
        <v>3.2174999999999998</v>
      </c>
      <c r="AK48" s="55"/>
      <c r="AL48" s="50" t="s">
        <v>84</v>
      </c>
      <c r="AM48" s="60">
        <f>AE48</f>
        <v>2.5000000000000001E-2</v>
      </c>
      <c r="AN48" s="61"/>
    </row>
    <row r="49" spans="3:40" ht="15.75" customHeight="1" thickBot="1">
      <c r="C49" s="13" t="s">
        <v>45</v>
      </c>
      <c r="D49" s="13"/>
      <c r="E49" s="22">
        <f>SUM(E39:E46)-E47-E48</f>
        <v>7027030.8189122379</v>
      </c>
      <c r="F49" s="22">
        <f t="shared" ref="F49:J49" si="23">SUM(F39:F46)-F47-F48</f>
        <v>7850083.9257990848</v>
      </c>
      <c r="G49" s="22">
        <f t="shared" si="23"/>
        <v>8669525.0894691795</v>
      </c>
      <c r="H49" s="22">
        <f t="shared" si="23"/>
        <v>9491593.9668451771</v>
      </c>
      <c r="I49" s="22">
        <f t="shared" si="23"/>
        <v>10322234.616506152</v>
      </c>
      <c r="J49" s="22">
        <f t="shared" si="23"/>
        <v>11167133.584432762</v>
      </c>
      <c r="K49" s="22"/>
      <c r="L49" s="90"/>
      <c r="M49" s="92"/>
      <c r="N49" s="91"/>
      <c r="O49" s="105"/>
      <c r="P49" s="105"/>
      <c r="Q49" s="50"/>
      <c r="R49" s="105"/>
      <c r="S49" s="105"/>
      <c r="T49" s="105"/>
      <c r="U49" s="22"/>
      <c r="V49" s="22"/>
      <c r="W49" s="22"/>
      <c r="X49" s="22"/>
      <c r="Y49" s="22"/>
      <c r="AB49" s="50"/>
      <c r="AC49" s="50"/>
      <c r="AD49" s="62" t="s">
        <v>85</v>
      </c>
      <c r="AE49" s="63">
        <v>0.08</v>
      </c>
      <c r="AF49" s="50"/>
      <c r="AG49" s="50"/>
      <c r="AH49" s="50"/>
      <c r="AI49" s="50"/>
      <c r="AJ49" s="50"/>
      <c r="AK49" s="50"/>
      <c r="AL49" s="50" t="s">
        <v>85</v>
      </c>
      <c r="AM49" s="60">
        <f>AE49</f>
        <v>0.08</v>
      </c>
      <c r="AN49" s="61"/>
    </row>
    <row r="50" spans="3:40" ht="15.75" customHeight="1">
      <c r="E50" s="22"/>
      <c r="F50" s="22"/>
      <c r="G50" s="22"/>
      <c r="H50" s="22"/>
      <c r="I50" s="22"/>
      <c r="J50" s="22"/>
      <c r="K50" s="22"/>
      <c r="L50" s="90"/>
      <c r="M50" s="93"/>
      <c r="N50" s="91"/>
      <c r="O50" s="105"/>
      <c r="P50" s="105"/>
      <c r="Q50" s="50"/>
      <c r="R50" s="105"/>
      <c r="S50" s="105"/>
      <c r="T50" s="105"/>
      <c r="U50" s="22"/>
      <c r="V50" s="22"/>
      <c r="W50" s="22"/>
      <c r="X50" s="22"/>
      <c r="Y50" s="22"/>
      <c r="AB50" s="50"/>
      <c r="AC50" s="50"/>
      <c r="AD50" s="51" t="s">
        <v>104</v>
      </c>
      <c r="AE50" s="64">
        <f>AE48+AE47*(AE49-AE48)</f>
        <v>6.3500000000000001E-2</v>
      </c>
      <c r="AF50" s="50"/>
      <c r="AG50" s="50"/>
      <c r="AH50" s="50"/>
      <c r="AI50" s="50"/>
      <c r="AJ50" s="50"/>
      <c r="AK50" s="50"/>
      <c r="AL50" s="50" t="s">
        <v>104</v>
      </c>
      <c r="AM50" s="65">
        <f>AM48+AM47*(AM49-AM48)</f>
        <v>0.20196249999999999</v>
      </c>
      <c r="AN50" s="66"/>
    </row>
    <row r="51" spans="3:40" ht="15.75" customHeight="1">
      <c r="C51" s="12" t="s">
        <v>46</v>
      </c>
      <c r="D51" s="12"/>
      <c r="E51" s="22"/>
      <c r="F51" s="22"/>
      <c r="G51" s="22"/>
      <c r="H51" s="22"/>
      <c r="I51" s="22"/>
      <c r="J51" s="22"/>
      <c r="K51" s="22"/>
      <c r="L51" s="86"/>
      <c r="M51" s="89"/>
      <c r="N51" s="91"/>
      <c r="O51" s="105"/>
      <c r="P51" s="105"/>
      <c r="Q51" s="50"/>
      <c r="R51" s="105"/>
      <c r="S51" s="105"/>
      <c r="T51" s="105"/>
      <c r="U51" s="22"/>
      <c r="V51" s="22"/>
      <c r="W51" s="22"/>
      <c r="X51" s="22"/>
      <c r="Y51" s="22"/>
      <c r="AB51" s="49"/>
      <c r="AC51" s="50"/>
      <c r="AD51" s="51"/>
      <c r="AE51" s="50"/>
      <c r="AF51" s="50"/>
      <c r="AG51" s="50"/>
      <c r="AH51" s="50"/>
      <c r="AI51" s="50"/>
      <c r="AJ51" s="50"/>
      <c r="AK51" s="50"/>
      <c r="AL51" s="50"/>
      <c r="AM51" s="50"/>
      <c r="AN51" s="50"/>
    </row>
    <row r="52" spans="3:40" ht="15.75" customHeight="1">
      <c r="C52" s="13" t="s">
        <v>47</v>
      </c>
      <c r="D52" s="13"/>
      <c r="E52" s="22">
        <f t="shared" ref="E52:J52" si="24">E14/365*E8</f>
        <v>68493.150684931505</v>
      </c>
      <c r="F52" s="22">
        <f t="shared" si="24"/>
        <v>61643.835616438359</v>
      </c>
      <c r="G52" s="22">
        <f t="shared" si="24"/>
        <v>55479.452054794521</v>
      </c>
      <c r="H52" s="22">
        <f t="shared" si="24"/>
        <v>49931.506849315068</v>
      </c>
      <c r="I52" s="22">
        <f t="shared" si="24"/>
        <v>44938.356164383564</v>
      </c>
      <c r="J52" s="22">
        <f t="shared" si="24"/>
        <v>40444.520547945205</v>
      </c>
      <c r="K52" s="22"/>
      <c r="L52" s="86">
        <v>-1</v>
      </c>
      <c r="M52" s="87"/>
      <c r="N52" s="135">
        <f>J52*L52</f>
        <v>-40444.520547945205</v>
      </c>
      <c r="O52" s="105"/>
      <c r="P52" s="105"/>
      <c r="Q52" s="50"/>
      <c r="R52" s="105"/>
      <c r="S52" s="105"/>
      <c r="T52" s="105"/>
      <c r="U52" s="22"/>
      <c r="V52" s="22"/>
      <c r="W52" s="22"/>
      <c r="X52" s="22"/>
      <c r="Y52" s="22"/>
      <c r="AB52" s="49"/>
      <c r="AC52" s="67"/>
      <c r="AD52" s="51" t="s">
        <v>33</v>
      </c>
      <c r="AE52" s="61">
        <f>Z34</f>
        <v>0.25</v>
      </c>
      <c r="AF52" s="50"/>
      <c r="AG52" s="50"/>
      <c r="AH52" s="50"/>
      <c r="AI52" s="50" t="s">
        <v>105</v>
      </c>
      <c r="AJ52" s="68"/>
      <c r="AK52" s="68"/>
      <c r="AL52" s="68"/>
      <c r="AM52" s="68"/>
      <c r="AN52" s="50"/>
    </row>
    <row r="53" spans="3:40" ht="15.75" customHeight="1">
      <c r="E53" s="22"/>
      <c r="F53" s="22"/>
      <c r="G53" s="22"/>
      <c r="H53" s="22"/>
      <c r="I53" s="22"/>
      <c r="J53" s="22"/>
      <c r="K53" s="22"/>
      <c r="L53" s="86"/>
      <c r="M53" s="89"/>
      <c r="N53" s="88"/>
      <c r="O53" s="105"/>
      <c r="P53" s="105"/>
      <c r="Q53" s="50"/>
      <c r="R53" s="105"/>
      <c r="S53" s="105"/>
      <c r="T53" s="105"/>
      <c r="U53" s="22"/>
      <c r="V53" s="22"/>
      <c r="W53" s="22"/>
      <c r="X53" s="22"/>
      <c r="Y53" s="22"/>
      <c r="AB53" s="49"/>
      <c r="AC53" s="68" t="s">
        <v>106</v>
      </c>
      <c r="AD53" s="68" t="s">
        <v>81</v>
      </c>
      <c r="AE53" s="68" t="s">
        <v>107</v>
      </c>
      <c r="AF53" s="68" t="s">
        <v>82</v>
      </c>
      <c r="AG53" s="68" t="s">
        <v>108</v>
      </c>
      <c r="AH53" s="68"/>
      <c r="AI53" s="68" t="s">
        <v>81</v>
      </c>
      <c r="AJ53" s="68" t="s">
        <v>107</v>
      </c>
      <c r="AK53" s="68" t="s">
        <v>82</v>
      </c>
      <c r="AL53" s="68" t="s">
        <v>108</v>
      </c>
      <c r="AM53" s="68"/>
      <c r="AN53" s="50"/>
    </row>
    <row r="54" spans="3:40" ht="15.75" customHeight="1" thickBot="1">
      <c r="C54" s="13" t="s">
        <v>48</v>
      </c>
      <c r="D54" s="13"/>
      <c r="E54" s="21">
        <v>4703520.5309531419</v>
      </c>
      <c r="F54" s="21">
        <v>5434052.2807350662</v>
      </c>
      <c r="G54" s="21">
        <v>6325408.9780461174</v>
      </c>
      <c r="H54" s="21">
        <v>7387658.5611533765</v>
      </c>
      <c r="I54" s="21">
        <v>8632360.4946660884</v>
      </c>
      <c r="J54" s="21">
        <v>10072629.083803769</v>
      </c>
      <c r="K54" s="21"/>
      <c r="L54" s="86"/>
      <c r="M54" s="94"/>
      <c r="N54" s="95"/>
      <c r="O54" s="105"/>
      <c r="P54" s="105"/>
      <c r="Q54" s="50"/>
      <c r="R54" s="105"/>
      <c r="S54" s="105"/>
      <c r="T54" s="105"/>
      <c r="U54" s="21"/>
      <c r="V54" s="21"/>
      <c r="W54" s="21"/>
      <c r="X54" s="21"/>
      <c r="Y54" s="21"/>
      <c r="Z54" s="25">
        <v>0.1</v>
      </c>
      <c r="AA54" s="13" t="s">
        <v>49</v>
      </c>
      <c r="AB54" s="49"/>
      <c r="AC54" s="69">
        <f>AVERAGE(E54:J54)</f>
        <v>7092604.9882262601</v>
      </c>
      <c r="AD54" s="70">
        <f>AC54/$AC$60</f>
        <v>0.78506259474981532</v>
      </c>
      <c r="AE54" s="70">
        <f>Z31</f>
        <v>0.1</v>
      </c>
      <c r="AF54" s="71">
        <f>AE54*(1-AE52)</f>
        <v>7.5000000000000011E-2</v>
      </c>
      <c r="AG54" s="72">
        <f>AF54*AD54</f>
        <v>5.8879694606236155E-2</v>
      </c>
      <c r="AH54" s="72"/>
      <c r="AI54" s="72">
        <v>0</v>
      </c>
      <c r="AJ54" s="73">
        <f>AE54</f>
        <v>0.1</v>
      </c>
      <c r="AK54" s="72">
        <f>AF54</f>
        <v>7.5000000000000011E-2</v>
      </c>
      <c r="AL54" s="188">
        <f>AI54*AK54</f>
        <v>0</v>
      </c>
      <c r="AM54" s="72"/>
      <c r="AN54" s="74"/>
    </row>
    <row r="55" spans="3:40" ht="15.75" customHeight="1" thickBot="1">
      <c r="C55" s="14" t="s">
        <v>55</v>
      </c>
      <c r="E55" s="22">
        <f>'Mortgage Loan Bankruptcy'!F13</f>
        <v>1453935.4673817579</v>
      </c>
      <c r="F55" s="22">
        <f>'Mortgage Loan Bankruptcy'!F27</f>
        <v>1405634.5992951053</v>
      </c>
      <c r="G55" s="22">
        <f>'Mortgage Loan Bankruptcy'!F41</f>
        <v>1354988.826390848</v>
      </c>
      <c r="H55" s="22">
        <f>'Mortgage Loan Bankruptcy'!F55</f>
        <v>1301884.3085078995</v>
      </c>
      <c r="I55" s="22">
        <f>'Mortgage Loan Bankruptcy'!F69</f>
        <v>1246201.6787865292</v>
      </c>
      <c r="J55" s="22">
        <f>'Mortgage Loan Bankruptcy'!F83</f>
        <v>1187815.7753588504</v>
      </c>
      <c r="K55" s="22"/>
      <c r="L55" s="96" t="s">
        <v>115</v>
      </c>
      <c r="M55" s="120">
        <f>SUM(M39:M54)</f>
        <v>3840000</v>
      </c>
      <c r="N55" s="85">
        <f>SUM(N39:N54)</f>
        <v>6872100.1785185505</v>
      </c>
      <c r="O55" s="105"/>
      <c r="P55" s="105"/>
      <c r="Q55" s="50"/>
      <c r="R55" s="105"/>
      <c r="S55" s="105"/>
      <c r="T55" s="105"/>
      <c r="U55" s="22"/>
      <c r="V55" s="22"/>
      <c r="W55" s="22"/>
      <c r="X55" s="22"/>
      <c r="Y55" s="22"/>
      <c r="AB55" s="49"/>
      <c r="AC55" s="69">
        <f>AVERAGE(E55:J55)</f>
        <v>1325076.7759534984</v>
      </c>
      <c r="AD55" s="70">
        <f>AC55/$AC$60</f>
        <v>0.14666941324092073</v>
      </c>
      <c r="AE55" s="70">
        <f>Z30</f>
        <v>4.7500000000000001E-2</v>
      </c>
      <c r="AF55" s="70">
        <f>AE55*(1-AE52)</f>
        <v>3.5625000000000004E-2</v>
      </c>
      <c r="AG55" s="72">
        <f>AF55*AD55</f>
        <v>5.2250978467078017E-3</v>
      </c>
      <c r="AH55" s="72"/>
      <c r="AI55" s="72">
        <v>0.75</v>
      </c>
      <c r="AJ55" s="73">
        <f t="shared" ref="AJ55:AK55" si="25">AE55</f>
        <v>4.7500000000000001E-2</v>
      </c>
      <c r="AK55" s="72">
        <f t="shared" si="25"/>
        <v>3.5625000000000004E-2</v>
      </c>
      <c r="AL55" s="72">
        <f>AI55*AK55</f>
        <v>2.6718750000000003E-2</v>
      </c>
      <c r="AM55" s="72"/>
      <c r="AN55" s="74"/>
    </row>
    <row r="56" spans="3:40" ht="15.75" customHeight="1" thickBot="1">
      <c r="C56" s="12" t="s">
        <v>50</v>
      </c>
      <c r="D56" s="12"/>
      <c r="E56" s="22"/>
      <c r="F56" s="22"/>
      <c r="G56" s="22"/>
      <c r="H56" s="22"/>
      <c r="I56" s="22"/>
      <c r="J56" s="22"/>
      <c r="K56" s="22"/>
      <c r="L56" s="96" t="s">
        <v>116</v>
      </c>
      <c r="M56" s="121"/>
      <c r="N56" s="122">
        <f>IF(M55&lt;J55,0,M55-J55)</f>
        <v>2652184.2246411499</v>
      </c>
      <c r="O56" s="105"/>
      <c r="P56" s="105"/>
      <c r="Q56" s="50"/>
      <c r="R56" s="105"/>
      <c r="S56" s="105"/>
      <c r="T56" s="105"/>
      <c r="U56" s="22"/>
      <c r="V56" s="22"/>
      <c r="W56" s="22"/>
      <c r="X56" s="22"/>
      <c r="Y56" s="22"/>
      <c r="AB56" s="49"/>
      <c r="AC56" s="69"/>
      <c r="AD56" s="75">
        <f>SUM(AD54:AD55)</f>
        <v>0.93173200799073608</v>
      </c>
      <c r="AE56" s="74"/>
      <c r="AF56" s="74"/>
      <c r="AG56" s="72"/>
      <c r="AH56" s="72"/>
      <c r="AI56" s="76">
        <f>AI54+AI55</f>
        <v>0.75</v>
      </c>
      <c r="AJ56" s="73"/>
      <c r="AK56" s="72"/>
      <c r="AL56" s="72"/>
      <c r="AM56" s="72"/>
      <c r="AN56" s="74"/>
    </row>
    <row r="57" spans="3:40" ht="15.75" customHeight="1" thickBot="1">
      <c r="C57" s="13" t="s">
        <v>51</v>
      </c>
      <c r="D57" s="13"/>
      <c r="E57" s="21">
        <v>500000</v>
      </c>
      <c r="F57" s="21">
        <f>E57</f>
        <v>500000</v>
      </c>
      <c r="G57" s="21">
        <f t="shared" ref="G57:J57" si="26">F57</f>
        <v>500000</v>
      </c>
      <c r="H57" s="21">
        <f t="shared" si="26"/>
        <v>500000</v>
      </c>
      <c r="I57" s="21">
        <f t="shared" si="26"/>
        <v>500000</v>
      </c>
      <c r="J57" s="21">
        <f t="shared" si="26"/>
        <v>500000</v>
      </c>
      <c r="K57" s="21"/>
      <c r="L57" s="96" t="s">
        <v>117</v>
      </c>
      <c r="M57" s="121"/>
      <c r="N57" s="189">
        <v>-2000</v>
      </c>
      <c r="O57" s="105"/>
      <c r="P57" s="105"/>
      <c r="Q57" s="50"/>
      <c r="R57" s="105"/>
      <c r="S57" s="105"/>
      <c r="T57" s="105"/>
      <c r="U57" s="21"/>
      <c r="V57" s="21"/>
      <c r="W57" s="21"/>
      <c r="X57" s="21"/>
      <c r="Y57" s="21"/>
      <c r="AB57" s="49"/>
      <c r="AC57" s="69">
        <f>AVERAGE(E57:J57)</f>
        <v>500000</v>
      </c>
      <c r="AD57" s="70">
        <f>(AC57+AC58)/AC60</f>
        <v>6.8267992009264006E-2</v>
      </c>
      <c r="AE57" s="71">
        <f>AE50</f>
        <v>6.3500000000000001E-2</v>
      </c>
      <c r="AF57" s="71">
        <f>AE57</f>
        <v>6.3500000000000001E-2</v>
      </c>
      <c r="AG57" s="72">
        <f>AF57*AD57</f>
        <v>4.3350174925882645E-3</v>
      </c>
      <c r="AH57" s="72"/>
      <c r="AI57" s="72">
        <v>0.25</v>
      </c>
      <c r="AJ57" s="73">
        <f>AM50</f>
        <v>0.20196249999999999</v>
      </c>
      <c r="AK57" s="72">
        <f>AM50</f>
        <v>0.20196249999999999</v>
      </c>
      <c r="AL57" s="72">
        <f>AI57*AK57</f>
        <v>5.0490624999999997E-2</v>
      </c>
      <c r="AM57" s="72"/>
      <c r="AN57" s="74"/>
    </row>
    <row r="58" spans="3:40" ht="15.75" customHeight="1" thickBot="1">
      <c r="C58" s="13" t="s">
        <v>52</v>
      </c>
      <c r="D58" s="13"/>
      <c r="E58" s="22">
        <f>E35+Z58</f>
        <v>301081.66989240586</v>
      </c>
      <c r="F58" s="22">
        <f>E58+F35</f>
        <v>448753.2101524754</v>
      </c>
      <c r="G58" s="22">
        <f>F58+G35</f>
        <v>433647.8329774192</v>
      </c>
      <c r="H58" s="22">
        <f>G58+H35</f>
        <v>252119.59033458671</v>
      </c>
      <c r="I58" s="22">
        <f>H58+I35</f>
        <v>-101265.91311085082</v>
      </c>
      <c r="J58" s="22">
        <f>I58+J35</f>
        <v>-633755.79527780111</v>
      </c>
      <c r="K58" s="22"/>
      <c r="L58" s="96" t="s">
        <v>115</v>
      </c>
      <c r="M58" s="123"/>
      <c r="N58" s="97">
        <f>SUM(N55:N57)</f>
        <v>9522284.4031597003</v>
      </c>
      <c r="O58" s="105"/>
      <c r="P58" s="105"/>
      <c r="Q58" s="50"/>
      <c r="R58" s="105"/>
      <c r="S58" s="105"/>
      <c r="T58" s="105"/>
      <c r="U58" s="22"/>
      <c r="V58" s="22"/>
      <c r="W58" s="22"/>
      <c r="X58" s="22"/>
      <c r="Y58" s="22"/>
      <c r="Z58" s="30">
        <v>0</v>
      </c>
      <c r="AA58" s="23" t="s">
        <v>80</v>
      </c>
      <c r="AB58" s="49"/>
      <c r="AC58" s="69">
        <f>AVERAGE(E58:J58)</f>
        <v>116763.43249470589</v>
      </c>
      <c r="AD58" s="75">
        <f>AD57</f>
        <v>6.8267992009264006E-2</v>
      </c>
      <c r="AE58" s="74"/>
      <c r="AF58" s="74"/>
      <c r="AG58" s="77"/>
      <c r="AH58" s="77"/>
      <c r="AI58" s="76">
        <f>AI57</f>
        <v>0.25</v>
      </c>
      <c r="AJ58" s="73"/>
      <c r="AK58" s="74"/>
      <c r="AL58" s="74"/>
      <c r="AM58" s="74"/>
      <c r="AN58" s="74"/>
    </row>
    <row r="59" spans="3:40" ht="15.75" customHeight="1">
      <c r="E59" s="22"/>
      <c r="F59" s="22"/>
      <c r="G59" s="22"/>
      <c r="H59" s="22"/>
      <c r="I59" s="22"/>
      <c r="J59" s="22"/>
      <c r="K59" s="22"/>
      <c r="L59" s="106"/>
      <c r="M59" s="107"/>
      <c r="N59" s="105"/>
      <c r="O59" s="105"/>
      <c r="P59" s="105"/>
      <c r="Q59" s="50"/>
      <c r="R59" s="105"/>
      <c r="S59" s="105"/>
      <c r="T59" s="105"/>
      <c r="U59" s="22"/>
      <c r="V59" s="22"/>
      <c r="W59" s="22"/>
      <c r="X59" s="22"/>
      <c r="Y59" s="22"/>
      <c r="AB59" s="49"/>
      <c r="AC59" s="74"/>
      <c r="AD59" s="72"/>
      <c r="AE59" s="211" t="s">
        <v>109</v>
      </c>
      <c r="AF59" s="211"/>
      <c r="AG59" s="71">
        <f>SUM(AG54:AG57)</f>
        <v>6.8439809945532212E-2</v>
      </c>
      <c r="AH59" s="72"/>
      <c r="AI59" s="74"/>
      <c r="AJ59" s="212" t="s">
        <v>110</v>
      </c>
      <c r="AK59" s="212"/>
      <c r="AL59" s="64">
        <f>SUM(AL54:AL57)</f>
        <v>7.7209374999999997E-2</v>
      </c>
      <c r="AM59" s="72"/>
      <c r="AN59" s="74"/>
    </row>
    <row r="60" spans="3:40" ht="15.75" customHeight="1" thickBot="1">
      <c r="C60" s="13" t="s">
        <v>53</v>
      </c>
      <c r="D60" s="13"/>
      <c r="E60" s="22">
        <f t="shared" ref="E60:J60" si="27">SUM(E52:E59)</f>
        <v>7027030.818912237</v>
      </c>
      <c r="F60" s="22">
        <f t="shared" si="27"/>
        <v>7850083.9257990848</v>
      </c>
      <c r="G60" s="22">
        <f t="shared" si="27"/>
        <v>8669525.0894691795</v>
      </c>
      <c r="H60" s="22">
        <f t="shared" si="27"/>
        <v>9491593.9668451771</v>
      </c>
      <c r="I60" s="22">
        <f t="shared" si="27"/>
        <v>10322234.61650615</v>
      </c>
      <c r="J60" s="22">
        <f t="shared" si="27"/>
        <v>11167133.584432764</v>
      </c>
      <c r="K60" s="22"/>
      <c r="L60" s="106"/>
      <c r="M60" s="107"/>
      <c r="N60" s="105"/>
      <c r="O60" s="105"/>
      <c r="P60" s="105"/>
      <c r="Q60" s="50"/>
      <c r="R60" s="105"/>
      <c r="S60" s="105"/>
      <c r="T60" s="105"/>
      <c r="U60" s="22"/>
      <c r="V60" s="22"/>
      <c r="W60" s="22"/>
      <c r="X60" s="22"/>
      <c r="Y60" s="22"/>
      <c r="AB60" s="49"/>
      <c r="AC60" s="69">
        <f>SUM(AC54:AC59)</f>
        <v>9034445.1966744643</v>
      </c>
      <c r="AD60" s="72">
        <f>AD56+AD58</f>
        <v>1</v>
      </c>
      <c r="AE60" s="74"/>
      <c r="AF60" s="74"/>
      <c r="AG60" s="72"/>
      <c r="AH60" s="72"/>
      <c r="AI60" s="79">
        <f>AI56+AI58</f>
        <v>1</v>
      </c>
      <c r="AJ60" s="74"/>
      <c r="AK60" s="74"/>
      <c r="AL60" s="74"/>
      <c r="AM60" s="74"/>
      <c r="AN60" s="74"/>
    </row>
    <row r="61" spans="3:40" ht="15.75" customHeight="1" thickBot="1">
      <c r="L61" s="105"/>
      <c r="M61" s="80" t="s">
        <v>113</v>
      </c>
      <c r="N61" s="81" t="s">
        <v>118</v>
      </c>
      <c r="O61" s="98" t="s">
        <v>81</v>
      </c>
      <c r="P61" s="81" t="s">
        <v>119</v>
      </c>
      <c r="Q61" s="98" t="s">
        <v>120</v>
      </c>
      <c r="R61" s="81" t="s">
        <v>121</v>
      </c>
      <c r="S61" s="111"/>
      <c r="T61" s="111"/>
    </row>
    <row r="62" spans="3:40" ht="15.75" customHeight="1">
      <c r="C62" s="40" t="s">
        <v>54</v>
      </c>
      <c r="D62" s="40"/>
      <c r="E62" s="41">
        <f>E49-E60</f>
        <v>0</v>
      </c>
      <c r="F62" s="41">
        <f t="shared" ref="F62:J62" si="28">F49-F60</f>
        <v>0</v>
      </c>
      <c r="G62" s="41">
        <f t="shared" si="28"/>
        <v>0</v>
      </c>
      <c r="H62" s="41">
        <f t="shared" si="28"/>
        <v>0</v>
      </c>
      <c r="I62" s="41">
        <f t="shared" si="28"/>
        <v>0</v>
      </c>
      <c r="J62" s="41">
        <f t="shared" si="28"/>
        <v>0</v>
      </c>
      <c r="K62" s="41"/>
      <c r="L62" s="107"/>
      <c r="M62" s="99">
        <f>IF(J55&lt;M55,J55,M55)</f>
        <v>1187815.7753588504</v>
      </c>
      <c r="N62" s="101">
        <f>IF(J55&lt;M62,0,J55-M62)</f>
        <v>0</v>
      </c>
      <c r="O62" s="124">
        <f>N62/N64</f>
        <v>0</v>
      </c>
      <c r="P62" s="100">
        <f>N58*O62</f>
        <v>0</v>
      </c>
      <c r="Q62" s="101">
        <f>P62+M62</f>
        <v>1187815.7753588504</v>
      </c>
      <c r="R62" s="125">
        <f>Q62/J55</f>
        <v>1</v>
      </c>
      <c r="S62" s="116"/>
      <c r="T62" s="116"/>
      <c r="U62" s="41"/>
      <c r="V62" s="41"/>
      <c r="W62" s="41"/>
      <c r="X62" s="41"/>
      <c r="Y62" s="41"/>
    </row>
    <row r="63" spans="3:40" ht="15" customHeight="1" thickBot="1">
      <c r="C63" s="10"/>
      <c r="D63" s="10"/>
      <c r="E63" s="10"/>
      <c r="F63" s="10"/>
      <c r="G63" s="10"/>
      <c r="H63" s="10"/>
      <c r="I63" s="10"/>
      <c r="J63" s="10"/>
      <c r="L63" s="108"/>
      <c r="M63" s="126">
        <v>0</v>
      </c>
      <c r="N63" s="127">
        <f>J54-M63</f>
        <v>10072629.083803769</v>
      </c>
      <c r="O63" s="128">
        <f>N63/N64</f>
        <v>1</v>
      </c>
      <c r="P63" s="102">
        <f>N58*O63</f>
        <v>9522284.4031597003</v>
      </c>
      <c r="Q63" s="103">
        <f>P63+M63</f>
        <v>9522284.4031597003</v>
      </c>
      <c r="R63" s="129">
        <f>Q63/J54</f>
        <v>0.94536236010824692</v>
      </c>
      <c r="S63" s="116"/>
      <c r="T63" s="116"/>
    </row>
    <row r="64" spans="3:40" ht="21.75" customHeight="1" thickBot="1">
      <c r="L64" s="107"/>
      <c r="M64" s="104" t="s">
        <v>120</v>
      </c>
      <c r="N64" s="97">
        <f>SUM(N62:N63)</f>
        <v>10072629.083803769</v>
      </c>
      <c r="O64" s="109"/>
      <c r="P64" s="105"/>
      <c r="Q64" s="50"/>
      <c r="R64" s="109"/>
      <c r="S64" s="109"/>
      <c r="T64" s="109"/>
    </row>
    <row r="65" spans="3:27" ht="15.75" customHeight="1">
      <c r="L65" s="107"/>
      <c r="O65" s="109"/>
      <c r="P65" s="105"/>
      <c r="Q65" s="50"/>
      <c r="R65" s="109"/>
      <c r="S65" s="109"/>
      <c r="T65" s="109"/>
    </row>
    <row r="66" spans="3:27" ht="15.75" customHeight="1">
      <c r="C66" s="32" t="s">
        <v>69</v>
      </c>
      <c r="D66" s="14">
        <v>0</v>
      </c>
      <c r="E66" s="14">
        <v>1</v>
      </c>
      <c r="F66" s="14">
        <v>2</v>
      </c>
      <c r="G66" s="14">
        <v>3</v>
      </c>
      <c r="H66" s="14">
        <v>4</v>
      </c>
      <c r="I66" s="14">
        <v>5</v>
      </c>
      <c r="J66" s="14">
        <v>6</v>
      </c>
    </row>
    <row r="67" spans="3:27" ht="15.75" customHeight="1">
      <c r="C67" s="14" t="s">
        <v>70</v>
      </c>
      <c r="E67" s="29">
        <f t="shared" ref="E67:J67" si="29">E12-E14-SUM(E17:E26)</f>
        <v>1072050</v>
      </c>
      <c r="F67" s="29">
        <f t="shared" si="29"/>
        <v>938320</v>
      </c>
      <c r="G67" s="29">
        <f t="shared" si="29"/>
        <v>808074.875</v>
      </c>
      <c r="H67" s="29">
        <f t="shared" si="29"/>
        <v>689943.93437499995</v>
      </c>
      <c r="I67" s="29">
        <f t="shared" si="29"/>
        <v>582693.00148437521</v>
      </c>
      <c r="J67" s="29">
        <f t="shared" si="29"/>
        <v>485210.74839648465</v>
      </c>
      <c r="K67" s="29"/>
      <c r="L67" s="136" t="s">
        <v>122</v>
      </c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4" t="s">
        <v>139</v>
      </c>
      <c r="Z67" s="119"/>
      <c r="AA67" s="119"/>
    </row>
    <row r="68" spans="3:27" ht="15.75" customHeight="1">
      <c r="C68" s="14" t="s">
        <v>71</v>
      </c>
      <c r="E68" s="29">
        <f>E28+E29</f>
        <v>130000</v>
      </c>
      <c r="F68" s="29">
        <f t="shared" ref="F68:J68" si="30">F28+F29</f>
        <v>130000</v>
      </c>
      <c r="G68" s="29">
        <f t="shared" si="30"/>
        <v>130000</v>
      </c>
      <c r="H68" s="29">
        <f t="shared" si="30"/>
        <v>130000</v>
      </c>
      <c r="I68" s="29">
        <f t="shared" si="30"/>
        <v>130000</v>
      </c>
      <c r="J68" s="29">
        <f t="shared" si="30"/>
        <v>130000</v>
      </c>
      <c r="K68" s="29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 t="s">
        <v>106</v>
      </c>
      <c r="W68" s="105" t="s">
        <v>140</v>
      </c>
      <c r="X68" s="105" t="s">
        <v>141</v>
      </c>
      <c r="Y68" s="105" t="s">
        <v>142</v>
      </c>
      <c r="Z68" s="105" t="s">
        <v>143</v>
      </c>
      <c r="AA68" s="50"/>
    </row>
    <row r="69" spans="3:27" ht="15.75" customHeight="1">
      <c r="C69" s="14" t="s">
        <v>72</v>
      </c>
      <c r="E69" s="29">
        <f>E67-E68</f>
        <v>942050</v>
      </c>
      <c r="F69" s="29">
        <f t="shared" ref="F69:J69" si="31">F67-F68</f>
        <v>808320</v>
      </c>
      <c r="G69" s="29">
        <f t="shared" si="31"/>
        <v>678074.875</v>
      </c>
      <c r="H69" s="29">
        <f t="shared" si="31"/>
        <v>559943.93437499995</v>
      </c>
      <c r="I69" s="29">
        <f t="shared" si="31"/>
        <v>452693.00148437521</v>
      </c>
      <c r="J69" s="29">
        <f t="shared" si="31"/>
        <v>355210.74839648465</v>
      </c>
      <c r="K69" s="29"/>
      <c r="L69" s="136" t="s">
        <v>137</v>
      </c>
      <c r="M69" s="105"/>
      <c r="N69" s="105"/>
      <c r="O69" s="105"/>
      <c r="P69" s="105"/>
      <c r="Q69" s="105"/>
      <c r="R69" s="105"/>
      <c r="S69" s="105"/>
      <c r="T69" s="105"/>
      <c r="U69" s="105"/>
      <c r="V69" s="138">
        <f>AVERAGE(O70:T70)</f>
        <v>3.3220424246029157</v>
      </c>
      <c r="W69" s="175" t="s">
        <v>130</v>
      </c>
      <c r="X69" s="139">
        <f>$D$15</f>
        <v>0</v>
      </c>
      <c r="Y69" s="140">
        <f>IF(W69="B",$U$89,IF(W69="BB",$T$89,IF(W69="BBB",$S$89,IF(W69="A",$R$89,IF(W69="AA",$Q$89,IF(W69="AAA",$P$8,0))))))</f>
        <v>1.7500000000000002E-2</v>
      </c>
      <c r="Z69" s="139">
        <f>X69+Y69</f>
        <v>1.7500000000000002E-2</v>
      </c>
      <c r="AA69" s="140">
        <f>IF(Y69="B",$J$100,IF(Y69="BB",$I$100,IF(Y69="BBB",$H$100,IF(Y69="A",$G$100,IF(Y69="AA",$F$100,IF(Y69="AAA",S92,0))))))</f>
        <v>0</v>
      </c>
    </row>
    <row r="70" spans="3:27" ht="15.75" customHeight="1">
      <c r="C70" s="14" t="s">
        <v>73</v>
      </c>
      <c r="E70" s="33">
        <f t="shared" ref="E70:J70" si="32">E69*$Z$34</f>
        <v>235512.5</v>
      </c>
      <c r="F70" s="33">
        <f t="shared" si="32"/>
        <v>202080</v>
      </c>
      <c r="G70" s="33">
        <f t="shared" si="32"/>
        <v>169518.71875</v>
      </c>
      <c r="H70" s="33">
        <f t="shared" si="32"/>
        <v>139985.98359374999</v>
      </c>
      <c r="I70" s="33">
        <f t="shared" si="32"/>
        <v>113173.2503710938</v>
      </c>
      <c r="J70" s="33">
        <f t="shared" si="32"/>
        <v>88802.687099121162</v>
      </c>
      <c r="K70" s="33"/>
      <c r="L70" s="105"/>
      <c r="M70" s="105" t="s">
        <v>123</v>
      </c>
      <c r="N70" s="105"/>
      <c r="O70" s="137">
        <f>(E12+E14-E17-E19-E18-E20-E21-E22-E23-E24-E25-E26)/(E30+E31)</f>
        <v>5.6825856946947519</v>
      </c>
      <c r="P70" s="137">
        <f t="shared" ref="P70:T70" si="33">(F12+F14-F17-F19-F18-F20-F21-F22-F23-F24-F25-F26)/(F30+F31)</f>
        <v>4.4785897424448793</v>
      </c>
      <c r="Q70" s="137">
        <f t="shared" si="33"/>
        <v>3.4775442533256462</v>
      </c>
      <c r="R70" s="137">
        <f t="shared" si="33"/>
        <v>2.6782958086045916</v>
      </c>
      <c r="S70" s="137">
        <f t="shared" si="33"/>
        <v>2.0510304139898059</v>
      </c>
      <c r="T70" s="137">
        <f t="shared" si="33"/>
        <v>1.5642086345578188</v>
      </c>
      <c r="U70" s="105"/>
      <c r="V70" s="138">
        <f>AVERAGE(O71:T71)</f>
        <v>0.92470659502561769</v>
      </c>
      <c r="W70" s="176" t="s">
        <v>132</v>
      </c>
      <c r="X70" s="109">
        <f>$D$15</f>
        <v>0</v>
      </c>
      <c r="Y70" s="140">
        <f>IF(W70="B",$U$89,IF(W70="BB",$T$89,IF(W70="BBB",$S$89,IF(W70="A",$R$89,IF(W70="AA",$Q$89,IF(W70="AAA",$P$8,0))))))</f>
        <v>2.2499999999999999E-2</v>
      </c>
      <c r="Z70" s="109">
        <f>X70+Y70</f>
        <v>2.2499999999999999E-2</v>
      </c>
      <c r="AA70" s="50"/>
    </row>
    <row r="71" spans="3:27" ht="15.75" customHeight="1" thickBot="1">
      <c r="C71" s="14" t="s">
        <v>74</v>
      </c>
      <c r="E71" s="11">
        <f>E67-E70</f>
        <v>836537.5</v>
      </c>
      <c r="F71" s="11">
        <f t="shared" ref="F71:J71" si="34">F67-F70</f>
        <v>736240</v>
      </c>
      <c r="G71" s="11">
        <f t="shared" si="34"/>
        <v>638556.15625</v>
      </c>
      <c r="H71" s="11">
        <f t="shared" si="34"/>
        <v>549957.95078124991</v>
      </c>
      <c r="I71" s="11">
        <f t="shared" si="34"/>
        <v>469519.75111328141</v>
      </c>
      <c r="J71" s="11">
        <f t="shared" si="34"/>
        <v>396408.06129736349</v>
      </c>
      <c r="K71" s="183" t="s">
        <v>146</v>
      </c>
      <c r="L71" s="105"/>
      <c r="M71" s="105" t="s">
        <v>125</v>
      </c>
      <c r="N71" s="105"/>
      <c r="O71" s="178">
        <f>(E54+E55)/SUM(E54:E58)</f>
        <v>0.88487787117253869</v>
      </c>
      <c r="P71" s="178">
        <f t="shared" ref="P71:S71" si="35">(F54+F55)/SUM(F54:F58)</f>
        <v>0.87818443755529663</v>
      </c>
      <c r="Q71" s="178">
        <f t="shared" si="35"/>
        <v>0.89161331710129343</v>
      </c>
      <c r="R71" s="178">
        <f t="shared" si="35"/>
        <v>0.92034034329004</v>
      </c>
      <c r="S71" s="178">
        <f t="shared" si="35"/>
        <v>0.96120243332599131</v>
      </c>
      <c r="T71" s="178">
        <f>(J54+J55)/SUM(J54:J58)</f>
        <v>1.0120211677085458</v>
      </c>
      <c r="U71" s="105"/>
      <c r="V71" s="141"/>
      <c r="W71" s="105"/>
      <c r="X71" s="139"/>
      <c r="Y71" s="139"/>
      <c r="Z71" s="139"/>
      <c r="AA71" s="50"/>
    </row>
    <row r="72" spans="3:27" ht="15.75" customHeight="1" thickTop="1">
      <c r="L72" s="105"/>
      <c r="M72" s="105"/>
      <c r="N72" s="105"/>
      <c r="O72" s="141"/>
      <c r="P72" s="141"/>
      <c r="Q72" s="141"/>
      <c r="R72" s="141"/>
      <c r="S72" s="141"/>
      <c r="T72" s="141"/>
      <c r="U72" s="105"/>
      <c r="V72" s="50"/>
      <c r="X72" s="142"/>
      <c r="Y72" s="143" t="s">
        <v>106</v>
      </c>
      <c r="Z72" s="144">
        <f>AVERAGE(Z69:Z70)</f>
        <v>0.02</v>
      </c>
      <c r="AA72" s="50"/>
    </row>
    <row r="73" spans="3:27" ht="15.75" customHeight="1">
      <c r="C73" s="32" t="s">
        <v>75</v>
      </c>
      <c r="L73" s="136" t="s">
        <v>138</v>
      </c>
      <c r="M73" s="105"/>
      <c r="N73" s="105"/>
      <c r="O73" s="141"/>
      <c r="P73" s="141"/>
      <c r="Q73" s="141"/>
      <c r="R73" s="141"/>
      <c r="S73" s="141"/>
      <c r="T73" s="141"/>
      <c r="U73" s="105"/>
      <c r="V73" s="105"/>
      <c r="W73" s="105"/>
      <c r="X73" s="105"/>
      <c r="Z73" s="119"/>
      <c r="AA73" s="50"/>
    </row>
    <row r="74" spans="3:27" ht="15.75" customHeight="1">
      <c r="C74" s="34" t="str">
        <f>C39</f>
        <v>Minimum Cash Inventory</v>
      </c>
      <c r="D74" s="29">
        <f t="shared" ref="D74:I77" si="36">-(E39-D39)</f>
        <v>-500000</v>
      </c>
      <c r="E74" s="29">
        <f t="shared" si="36"/>
        <v>0</v>
      </c>
      <c r="F74" s="29">
        <f t="shared" si="36"/>
        <v>0</v>
      </c>
      <c r="G74" s="29">
        <f t="shared" si="36"/>
        <v>0</v>
      </c>
      <c r="H74" s="29">
        <f t="shared" si="36"/>
        <v>0</v>
      </c>
      <c r="I74" s="29">
        <f t="shared" si="36"/>
        <v>0</v>
      </c>
      <c r="J74" s="29">
        <f t="shared" ref="J74" si="37">-(K39-J39)</f>
        <v>500000</v>
      </c>
      <c r="K74" s="29"/>
      <c r="L74" s="50"/>
      <c r="M74" s="105" t="s">
        <v>123</v>
      </c>
      <c r="N74" s="105"/>
      <c r="O74" s="137">
        <v>7.1624016338089591</v>
      </c>
      <c r="P74" s="137">
        <v>5.6677878619781632</v>
      </c>
      <c r="Q74" s="137">
        <v>4.4262309279047294</v>
      </c>
      <c r="R74" s="137">
        <v>3.4327424470809671</v>
      </c>
      <c r="S74" s="137">
        <v>2.6510947300001035</v>
      </c>
      <c r="T74" s="137">
        <v>2.0427474312905121</v>
      </c>
      <c r="U74" s="50"/>
      <c r="V74" s="105"/>
      <c r="W74" s="105"/>
      <c r="X74" s="105"/>
      <c r="Z74" s="119"/>
      <c r="AA74" s="50"/>
    </row>
    <row r="75" spans="3:27" ht="15.75" customHeight="1">
      <c r="C75" s="34" t="str">
        <f>C40</f>
        <v>Cash Above Minimum</v>
      </c>
      <c r="D75" s="29">
        <f t="shared" si="36"/>
        <v>-678263.6956245671</v>
      </c>
      <c r="E75" s="29">
        <f t="shared" si="36"/>
        <v>-1067679.8192156141</v>
      </c>
      <c r="F75" s="29">
        <f t="shared" si="36"/>
        <v>-1051869.4547659855</v>
      </c>
      <c r="G75" s="29">
        <f t="shared" si="36"/>
        <v>-1043598.7861122997</v>
      </c>
      <c r="H75" s="29">
        <f t="shared" si="36"/>
        <v>-1042433.4695778941</v>
      </c>
      <c r="I75" s="29">
        <f t="shared" si="36"/>
        <v>-1027992.0745821772</v>
      </c>
      <c r="J75" s="29">
        <f t="shared" ref="J75" si="38">-(K40-J40)</f>
        <v>5911837.2998785377</v>
      </c>
      <c r="K75" s="29"/>
      <c r="L75" s="50"/>
      <c r="M75" s="105" t="s">
        <v>125</v>
      </c>
      <c r="N75" s="105"/>
      <c r="O75" s="178">
        <v>0.96647615647329332</v>
      </c>
      <c r="P75" s="178">
        <v>1.0240939675706944</v>
      </c>
      <c r="Q75" s="178">
        <v>1.090707622223247</v>
      </c>
      <c r="R75" s="178">
        <v>1.1646976802993987</v>
      </c>
      <c r="S75" s="178">
        <v>1.2445632285924511</v>
      </c>
      <c r="T75" s="178">
        <v>1.3289826405898242</v>
      </c>
      <c r="U75" s="50"/>
      <c r="V75" s="105"/>
      <c r="W75" s="105"/>
      <c r="X75" s="105"/>
      <c r="Y75" s="14" t="s">
        <v>144</v>
      </c>
      <c r="Z75" s="119"/>
      <c r="AA75" s="50"/>
    </row>
    <row r="76" spans="3:27" ht="15.75" customHeight="1">
      <c r="C76" s="34" t="str">
        <f>C41</f>
        <v>Accounts Recievable</v>
      </c>
      <c r="D76" s="29">
        <f t="shared" si="36"/>
        <v>-328767.12328767125</v>
      </c>
      <c r="E76" s="29">
        <f t="shared" si="36"/>
        <v>32876.712328767171</v>
      </c>
      <c r="F76" s="29">
        <f t="shared" si="36"/>
        <v>29589.041095890338</v>
      </c>
      <c r="G76" s="29">
        <f t="shared" si="36"/>
        <v>26630.136986301397</v>
      </c>
      <c r="H76" s="29">
        <f t="shared" si="36"/>
        <v>23967.123287671246</v>
      </c>
      <c r="I76" s="29">
        <f t="shared" si="36"/>
        <v>21570.410958904104</v>
      </c>
      <c r="J76" s="29">
        <f>-(K41-J41)</f>
        <v>194133.69863013699</v>
      </c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105" t="s">
        <v>106</v>
      </c>
      <c r="W76" s="105" t="s">
        <v>140</v>
      </c>
      <c r="X76" s="105" t="s">
        <v>141</v>
      </c>
      <c r="Y76" s="105" t="s">
        <v>145</v>
      </c>
      <c r="Z76" s="105" t="s">
        <v>143</v>
      </c>
      <c r="AA76" s="50"/>
    </row>
    <row r="77" spans="3:27" ht="15.75" customHeight="1">
      <c r="C77" s="34" t="str">
        <f>C42</f>
        <v>Inventory</v>
      </c>
      <c r="D77" s="29">
        <f t="shared" si="36"/>
        <v>-750000</v>
      </c>
      <c r="E77" s="29">
        <f t="shared" si="36"/>
        <v>81750</v>
      </c>
      <c r="F77" s="29">
        <f t="shared" si="36"/>
        <v>72839.25</v>
      </c>
      <c r="G77" s="29">
        <f t="shared" si="36"/>
        <v>64899.771750000073</v>
      </c>
      <c r="H77" s="29">
        <f t="shared" si="36"/>
        <v>57825.696629250015</v>
      </c>
      <c r="I77" s="29">
        <f t="shared" si="36"/>
        <v>51522.695696661714</v>
      </c>
      <c r="J77" s="29">
        <f>-(K42-J42)</f>
        <v>421162.5859240882</v>
      </c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138">
        <f>AVERAGE(O74:T74)</f>
        <v>4.2305008386772389</v>
      </c>
      <c r="W77" s="175" t="s">
        <v>131</v>
      </c>
      <c r="X77" s="139">
        <f>$D$15</f>
        <v>0</v>
      </c>
      <c r="Y77" s="140">
        <f>IF(W77="B",$U$90,IF(W77="BB",$T$90,IF(W77="BBB",$S$90,IF(W77="A",$R$90,IF(W77="AA",$Q$90,IF(W77="AAA",$P$90,0))))))</f>
        <v>4.2500000000000003E-2</v>
      </c>
      <c r="Z77" s="139">
        <f>X77+Y77</f>
        <v>4.2500000000000003E-2</v>
      </c>
      <c r="AA77" s="140">
        <f>IF(Y77="B",$J$100,IF(Y77="BB",$I$100,IF(Y77="BBB",$H$100,IF(Y77="A",$G$100,IF(Y77="AA",$F$100,IF(Y77="AAA",S100,0))))))</f>
        <v>0</v>
      </c>
    </row>
    <row r="78" spans="3:27" ht="15.75" customHeight="1">
      <c r="C78" s="34" t="str">
        <f>C52</f>
        <v>Accounts Payable</v>
      </c>
      <c r="D78" s="29">
        <f t="shared" ref="D78:J78" si="39">(E52-D52)</f>
        <v>68493.150684931505</v>
      </c>
      <c r="E78" s="29">
        <f t="shared" si="39"/>
        <v>-6849.3150684931461</v>
      </c>
      <c r="F78" s="29">
        <f t="shared" si="39"/>
        <v>-6164.3835616438373</v>
      </c>
      <c r="G78" s="29">
        <f t="shared" si="39"/>
        <v>-5547.9452054794529</v>
      </c>
      <c r="H78" s="29">
        <f t="shared" si="39"/>
        <v>-4993.1506849315047</v>
      </c>
      <c r="I78" s="29">
        <f t="shared" si="39"/>
        <v>-4493.8356164383586</v>
      </c>
      <c r="J78" s="29">
        <f t="shared" si="39"/>
        <v>-40444.520547945205</v>
      </c>
      <c r="K78" s="29"/>
      <c r="L78" s="136" t="s">
        <v>127</v>
      </c>
      <c r="N78" s="119"/>
      <c r="O78" s="119"/>
      <c r="P78" s="119"/>
      <c r="V78" s="138">
        <f>AVERAGE(O75:T75)</f>
        <v>1.136586882624818</v>
      </c>
      <c r="W78" s="179" t="s">
        <v>129</v>
      </c>
      <c r="X78" s="109">
        <f>$D$15</f>
        <v>0</v>
      </c>
      <c r="Y78" s="140">
        <f>IF(W78="B",$U$90,IF(W78="BB",$T$90,IF(W78="BBB",$S$90,IF(W78="A",$R$90,IF(W78="AA",$Q$90,IF(W78="AAA",$P$90,0))))))</f>
        <v>0.03</v>
      </c>
      <c r="Z78" s="109">
        <f>X78+Y78</f>
        <v>0.03</v>
      </c>
      <c r="AA78" s="50"/>
    </row>
    <row r="79" spans="3:27" ht="15.75" customHeight="1">
      <c r="C79" s="34"/>
      <c r="L79" s="50"/>
      <c r="M79" s="50"/>
      <c r="N79" s="50"/>
      <c r="O79" s="50"/>
      <c r="P79" s="50"/>
      <c r="Q79" s="50"/>
      <c r="R79" s="50"/>
      <c r="S79" s="50"/>
      <c r="T79" s="50"/>
      <c r="V79" s="141"/>
      <c r="W79" s="105"/>
      <c r="X79" s="139"/>
      <c r="Y79" s="139"/>
      <c r="Z79" s="139"/>
      <c r="AA79" s="50"/>
    </row>
    <row r="80" spans="3:27" ht="15.75" customHeight="1">
      <c r="C80" s="32" t="s">
        <v>76</v>
      </c>
      <c r="L80" s="50"/>
      <c r="M80" s="145" t="s">
        <v>128</v>
      </c>
      <c r="N80" s="146"/>
      <c r="O80" s="147"/>
      <c r="P80" s="147"/>
      <c r="Q80" s="147"/>
      <c r="R80" s="147"/>
      <c r="S80" s="147"/>
      <c r="T80" s="147"/>
      <c r="U80" s="148"/>
      <c r="V80" s="50"/>
      <c r="X80" s="142"/>
      <c r="Y80" s="143" t="s">
        <v>106</v>
      </c>
      <c r="Z80" s="144">
        <f>AVERAGE(Z77:Z78)</f>
        <v>3.6250000000000004E-2</v>
      </c>
      <c r="AA80" s="177"/>
    </row>
    <row r="81" spans="3:26" ht="15.75" customHeight="1">
      <c r="C81" s="14" t="str">
        <f>C44</f>
        <v>Land</v>
      </c>
      <c r="D81" s="29">
        <f t="shared" ref="D81:J81" si="40">-(E44-D44)</f>
        <v>-1500000</v>
      </c>
      <c r="E81" s="29">
        <f t="shared" si="40"/>
        <v>0</v>
      </c>
      <c r="F81" s="29">
        <f t="shared" si="40"/>
        <v>0</v>
      </c>
      <c r="G81" s="29">
        <f t="shared" si="40"/>
        <v>0</v>
      </c>
      <c r="H81" s="29">
        <f t="shared" si="40"/>
        <v>0</v>
      </c>
      <c r="I81" s="29">
        <f t="shared" si="40"/>
        <v>0</v>
      </c>
      <c r="J81" s="29">
        <f t="shared" si="40"/>
        <v>1500000</v>
      </c>
      <c r="K81" s="29"/>
      <c r="L81" s="50"/>
      <c r="M81" s="149"/>
      <c r="N81" s="150"/>
      <c r="O81" s="119"/>
      <c r="P81" s="119"/>
      <c r="Q81" s="119"/>
      <c r="R81" s="119"/>
      <c r="S81" s="119"/>
      <c r="T81" s="119"/>
      <c r="U81" s="151"/>
      <c r="V81" s="29"/>
      <c r="W81" s="29"/>
      <c r="X81" s="35">
        <v>6.5000000000000002E-2</v>
      </c>
    </row>
    <row r="82" spans="3:26" ht="15.75" customHeight="1">
      <c r="C82" s="14" t="s">
        <v>77</v>
      </c>
      <c r="J82" s="180">
        <f>J81*X81</f>
        <v>97500</v>
      </c>
      <c r="L82" s="50"/>
      <c r="M82" s="152"/>
      <c r="N82" s="119"/>
      <c r="O82" s="119"/>
      <c r="P82" s="153" t="s">
        <v>129</v>
      </c>
      <c r="Q82" s="154" t="s">
        <v>126</v>
      </c>
      <c r="R82" s="154" t="s">
        <v>124</v>
      </c>
      <c r="S82" s="153" t="s">
        <v>130</v>
      </c>
      <c r="T82" s="153" t="s">
        <v>131</v>
      </c>
      <c r="U82" s="155" t="s">
        <v>132</v>
      </c>
      <c r="V82" s="29"/>
      <c r="W82" s="29"/>
      <c r="X82" s="14" t="s">
        <v>90</v>
      </c>
      <c r="Y82" s="29">
        <f>J44</f>
        <v>1500000</v>
      </c>
    </row>
    <row r="83" spans="3:26" ht="15.75" customHeight="1">
      <c r="C83" s="14" t="s">
        <v>78</v>
      </c>
      <c r="L83" s="50"/>
      <c r="M83" s="152" t="s">
        <v>133</v>
      </c>
      <c r="N83" s="119"/>
      <c r="O83" s="119"/>
      <c r="P83" s="156">
        <v>20</v>
      </c>
      <c r="Q83" s="156">
        <v>15</v>
      </c>
      <c r="R83" s="156">
        <v>10</v>
      </c>
      <c r="S83" s="156">
        <v>5</v>
      </c>
      <c r="T83" s="156">
        <v>4</v>
      </c>
      <c r="U83" s="157">
        <v>2</v>
      </c>
      <c r="V83" s="36"/>
      <c r="W83" s="36"/>
      <c r="X83" s="14" t="s">
        <v>91</v>
      </c>
      <c r="Y83" s="29">
        <f>SUM(J81:J82)-Y82</f>
        <v>97500</v>
      </c>
    </row>
    <row r="84" spans="3:26" ht="15.75" customHeight="1">
      <c r="L84" s="50"/>
      <c r="M84" s="152" t="s">
        <v>134</v>
      </c>
      <c r="N84" s="119"/>
      <c r="O84" s="119"/>
      <c r="P84" s="158">
        <v>0.25</v>
      </c>
      <c r="Q84" s="158">
        <v>0.35</v>
      </c>
      <c r="R84" s="158">
        <v>0.45</v>
      </c>
      <c r="S84" s="158">
        <v>0.5</v>
      </c>
      <c r="T84" s="158">
        <v>0.6</v>
      </c>
      <c r="U84" s="159">
        <v>0.75</v>
      </c>
      <c r="Z84" s="33"/>
    </row>
    <row r="85" spans="3:26" ht="15.75" customHeight="1">
      <c r="C85" s="14" t="s">
        <v>92</v>
      </c>
      <c r="D85" s="29">
        <f t="shared" ref="D85:J85" si="41">-(E45-D45)</f>
        <v>-3300000</v>
      </c>
      <c r="E85" s="29">
        <f t="shared" si="41"/>
        <v>0</v>
      </c>
      <c r="F85" s="29">
        <f t="shared" si="41"/>
        <v>0</v>
      </c>
      <c r="G85" s="29">
        <f t="shared" si="41"/>
        <v>0</v>
      </c>
      <c r="H85" s="29">
        <f t="shared" si="41"/>
        <v>0</v>
      </c>
      <c r="I85" s="29">
        <f t="shared" si="41"/>
        <v>0</v>
      </c>
      <c r="J85" s="29">
        <f t="shared" si="41"/>
        <v>3300000</v>
      </c>
      <c r="K85" s="29"/>
      <c r="L85" s="50"/>
      <c r="M85" s="160"/>
      <c r="N85" s="161"/>
      <c r="O85" s="162"/>
      <c r="P85" s="161"/>
      <c r="Q85" s="161"/>
      <c r="R85" s="161"/>
      <c r="S85" s="161"/>
      <c r="T85" s="161"/>
      <c r="U85" s="163"/>
      <c r="V85" s="29"/>
      <c r="W85" s="29"/>
      <c r="X85" s="31">
        <v>-0.05</v>
      </c>
      <c r="Z85" s="33"/>
    </row>
    <row r="86" spans="3:26" ht="15.75" customHeight="1">
      <c r="C86" s="14" t="s">
        <v>77</v>
      </c>
      <c r="J86" s="180">
        <f>J85*X85</f>
        <v>-165000</v>
      </c>
      <c r="L86" s="50"/>
      <c r="M86" s="145" t="s">
        <v>135</v>
      </c>
      <c r="N86" s="164"/>
      <c r="O86" s="165"/>
      <c r="P86" s="165"/>
      <c r="Q86" s="165"/>
      <c r="R86" s="165"/>
      <c r="S86" s="165"/>
      <c r="T86" s="166"/>
      <c r="U86" s="148"/>
      <c r="V86" s="29"/>
      <c r="W86" s="29"/>
      <c r="X86" s="14" t="s">
        <v>90</v>
      </c>
      <c r="Y86" s="29">
        <f>J45-J49</f>
        <v>-7867133.5844327621</v>
      </c>
      <c r="Z86" s="33"/>
    </row>
    <row r="87" spans="3:26" ht="15.75" customHeight="1">
      <c r="C87" s="14" t="s">
        <v>78</v>
      </c>
      <c r="L87" s="50"/>
      <c r="M87" s="149"/>
      <c r="N87" s="153"/>
      <c r="O87" s="154"/>
      <c r="P87" s="154"/>
      <c r="Q87" s="154"/>
      <c r="R87" s="154"/>
      <c r="S87" s="154"/>
      <c r="T87" s="105"/>
      <c r="U87" s="151"/>
      <c r="V87" s="36"/>
      <c r="W87" s="36"/>
      <c r="X87" s="14" t="s">
        <v>91</v>
      </c>
      <c r="Y87" s="29">
        <f>SUM(J85:J86)-Y86</f>
        <v>11002133.584432762</v>
      </c>
    </row>
    <row r="88" spans="3:26" ht="15.75" customHeight="1">
      <c r="L88" s="50"/>
      <c r="M88" s="167"/>
      <c r="N88" s="119"/>
      <c r="O88" s="119"/>
      <c r="P88" s="153" t="s">
        <v>129</v>
      </c>
      <c r="Q88" s="154" t="s">
        <v>126</v>
      </c>
      <c r="R88" s="154" t="s">
        <v>124</v>
      </c>
      <c r="S88" s="153" t="s">
        <v>130</v>
      </c>
      <c r="T88" s="153" t="s">
        <v>131</v>
      </c>
      <c r="U88" s="155" t="s">
        <v>132</v>
      </c>
    </row>
    <row r="89" spans="3:26" ht="15.75" customHeight="1">
      <c r="C89" s="14" t="s">
        <v>43</v>
      </c>
      <c r="D89" s="29">
        <f t="shared" ref="D89:J89" si="42">-(E46-D46)</f>
        <v>-100000</v>
      </c>
      <c r="E89" s="29">
        <f t="shared" si="42"/>
        <v>0</v>
      </c>
      <c r="F89" s="29">
        <f t="shared" si="42"/>
        <v>0</v>
      </c>
      <c r="G89" s="29">
        <f t="shared" si="42"/>
        <v>0</v>
      </c>
      <c r="H89" s="29">
        <f t="shared" si="42"/>
        <v>0</v>
      </c>
      <c r="I89" s="29">
        <f t="shared" si="42"/>
        <v>0</v>
      </c>
      <c r="J89" s="29">
        <f t="shared" si="42"/>
        <v>100000</v>
      </c>
      <c r="K89" s="29"/>
      <c r="L89" s="50"/>
      <c r="M89" s="152" t="s">
        <v>111</v>
      </c>
      <c r="N89" s="119"/>
      <c r="O89" s="119"/>
      <c r="P89" s="168">
        <v>0.01</v>
      </c>
      <c r="Q89" s="169">
        <v>1.2500000000000001E-2</v>
      </c>
      <c r="R89" s="169">
        <v>1.4999999999999999E-2</v>
      </c>
      <c r="S89" s="169">
        <v>1.7500000000000002E-2</v>
      </c>
      <c r="T89" s="169">
        <v>0.02</v>
      </c>
      <c r="U89" s="170">
        <v>2.2499999999999999E-2</v>
      </c>
      <c r="V89" s="29"/>
      <c r="W89" s="29"/>
      <c r="X89" s="31">
        <v>-0.4</v>
      </c>
    </row>
    <row r="90" spans="3:26" ht="15.75" customHeight="1">
      <c r="C90" s="14" t="s">
        <v>77</v>
      </c>
      <c r="J90" s="180">
        <f>J89*X89</f>
        <v>-40000</v>
      </c>
      <c r="L90" s="50"/>
      <c r="M90" s="152" t="s">
        <v>136</v>
      </c>
      <c r="N90" s="119"/>
      <c r="O90" s="119"/>
      <c r="P90" s="168">
        <v>0.03</v>
      </c>
      <c r="Q90" s="169">
        <v>3.2500000000000001E-2</v>
      </c>
      <c r="R90" s="169">
        <v>3.7499999999999999E-2</v>
      </c>
      <c r="S90" s="169">
        <v>0.04</v>
      </c>
      <c r="T90" s="169">
        <v>4.2500000000000003E-2</v>
      </c>
      <c r="U90" s="170">
        <v>4.4999999999999998E-2</v>
      </c>
      <c r="V90" s="29"/>
      <c r="W90" s="29"/>
      <c r="X90" s="14" t="s">
        <v>90</v>
      </c>
      <c r="Y90" s="29">
        <f>J47-J48</f>
        <v>-560000</v>
      </c>
    </row>
    <row r="91" spans="3:26" ht="15.75" customHeight="1">
      <c r="C91" s="14" t="s">
        <v>78</v>
      </c>
      <c r="L91" s="50"/>
      <c r="M91" s="171"/>
      <c r="N91" s="172"/>
      <c r="O91" s="162"/>
      <c r="P91" s="162"/>
      <c r="Q91" s="162"/>
      <c r="R91" s="162"/>
      <c r="S91" s="162"/>
      <c r="T91" s="173"/>
      <c r="U91" s="174"/>
      <c r="V91" s="36"/>
      <c r="W91" s="36"/>
      <c r="X91" s="14" t="s">
        <v>91</v>
      </c>
      <c r="Y91" s="29">
        <f>SUM(J89:J90)-Y90</f>
        <v>620000</v>
      </c>
    </row>
    <row r="92" spans="3:26" ht="15.75" customHeight="1">
      <c r="L92" s="50"/>
      <c r="M92" s="50"/>
      <c r="N92" s="50"/>
      <c r="O92" s="50"/>
      <c r="P92" s="50"/>
      <c r="Q92" s="50"/>
      <c r="R92" s="50"/>
      <c r="S92" s="50"/>
      <c r="T92" s="50"/>
    </row>
    <row r="94" spans="3:26" ht="15.75" customHeight="1">
      <c r="C94" s="32" t="s">
        <v>97</v>
      </c>
      <c r="D94" s="37">
        <f>SUM(D71:D93)</f>
        <v>-7088537.6682273075</v>
      </c>
      <c r="E94" s="38">
        <f>SUM(E71:E93)</f>
        <v>-123364.92195534009</v>
      </c>
      <c r="F94" s="37">
        <f t="shared" ref="F94:J94" si="43">SUM(F71:F93)</f>
        <v>-219365.54723173898</v>
      </c>
      <c r="G94" s="37">
        <f t="shared" si="43"/>
        <v>-319060.66633147764</v>
      </c>
      <c r="H94" s="37">
        <f t="shared" si="43"/>
        <v>-415675.8495646544</v>
      </c>
      <c r="I94" s="37">
        <f t="shared" si="43"/>
        <v>-489873.05242976843</v>
      </c>
      <c r="J94" s="37">
        <f t="shared" si="43"/>
        <v>12175597.125182182</v>
      </c>
      <c r="K94" s="37"/>
      <c r="L94" s="136" t="s">
        <v>147</v>
      </c>
      <c r="M94" s="105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</row>
    <row r="95" spans="3:26" ht="15.75" customHeight="1">
      <c r="C95" s="32" t="s">
        <v>98</v>
      </c>
      <c r="D95" s="28">
        <f>IRR(D94:J94)</f>
        <v>6.5041395432925642E-2</v>
      </c>
      <c r="J95" s="180"/>
      <c r="L95" s="105" t="s">
        <v>148</v>
      </c>
      <c r="M95" s="105" t="s">
        <v>149</v>
      </c>
      <c r="O95" s="192">
        <f>-(E55-D55)</f>
        <v>-1453935.4673817579</v>
      </c>
      <c r="P95" s="184">
        <f t="shared" ref="P95:T95" si="44">-(F55-E55)</f>
        <v>48300.868086652597</v>
      </c>
      <c r="Q95" s="184">
        <f t="shared" si="44"/>
        <v>50645.77290425729</v>
      </c>
      <c r="R95" s="184">
        <f t="shared" si="44"/>
        <v>53104.517882948508</v>
      </c>
      <c r="S95" s="184">
        <f t="shared" si="44"/>
        <v>55682.629721370293</v>
      </c>
      <c r="T95" s="184">
        <f t="shared" si="44"/>
        <v>58385.903427678859</v>
      </c>
      <c r="U95" s="184"/>
    </row>
    <row r="96" spans="3:26" ht="15.75" customHeight="1">
      <c r="C96" s="32" t="s">
        <v>79</v>
      </c>
      <c r="D96" s="28">
        <f>AL59</f>
        <v>7.7209374999999997E-2</v>
      </c>
      <c r="L96" s="105" t="s">
        <v>150</v>
      </c>
      <c r="M96" s="105" t="s">
        <v>151</v>
      </c>
      <c r="U96" s="185">
        <f>Q62</f>
        <v>1187815.7753588504</v>
      </c>
      <c r="V96" s="185"/>
    </row>
    <row r="97" spans="3:25" ht="15.75" customHeight="1">
      <c r="C97" s="32" t="s">
        <v>67</v>
      </c>
      <c r="D97" s="39">
        <f>-PV($D$96,D66,,D94)</f>
        <v>-7088537.6682273075</v>
      </c>
      <c r="E97" s="39">
        <f t="shared" ref="E97:J97" si="45">-PV($D$96,E66,,E94)</f>
        <v>-114522.69616140325</v>
      </c>
      <c r="F97" s="39">
        <f t="shared" si="45"/>
        <v>-189046.2952876536</v>
      </c>
      <c r="G97" s="39">
        <f t="shared" si="45"/>
        <v>-255254.19867664948</v>
      </c>
      <c r="H97" s="39">
        <f t="shared" si="45"/>
        <v>-308712.55727282184</v>
      </c>
      <c r="I97" s="39">
        <f t="shared" si="45"/>
        <v>-337740.33334191731</v>
      </c>
      <c r="J97" s="39">
        <f t="shared" si="45"/>
        <v>7792728.0904078726</v>
      </c>
      <c r="K97" s="39"/>
      <c r="L97" s="105" t="s">
        <v>150</v>
      </c>
      <c r="M97" s="105" t="s">
        <v>152</v>
      </c>
      <c r="N97" s="39"/>
      <c r="O97" s="39">
        <v>0</v>
      </c>
      <c r="P97" s="39">
        <f>E30</f>
        <v>70255.720381477935</v>
      </c>
      <c r="Q97" s="39">
        <f t="shared" ref="Q97:T97" si="46">F30</f>
        <v>68019.384913067363</v>
      </c>
      <c r="R97" s="39">
        <f t="shared" si="46"/>
        <v>65674.48009546315</v>
      </c>
      <c r="S97" s="39">
        <f t="shared" si="46"/>
        <v>63215.735116771997</v>
      </c>
      <c r="T97" s="39">
        <f t="shared" si="46"/>
        <v>60637.623278349696</v>
      </c>
      <c r="U97" s="39">
        <f>J30</f>
        <v>57934.349572041436</v>
      </c>
      <c r="V97" s="39"/>
      <c r="W97" s="39"/>
      <c r="X97" s="39"/>
      <c r="Y97" s="39"/>
    </row>
    <row r="98" spans="3:25" ht="15.75" customHeight="1">
      <c r="C98" s="32" t="s">
        <v>99</v>
      </c>
      <c r="D98" s="36">
        <f>SUM(D97:J97)</f>
        <v>-501085.65855988022</v>
      </c>
      <c r="L98" s="105"/>
      <c r="M98" s="105" t="s">
        <v>120</v>
      </c>
      <c r="O98" s="185">
        <f>SUM(O95:O97)</f>
        <v>-1453935.4673817579</v>
      </c>
      <c r="P98" s="185">
        <f t="shared" ref="P98:T98" si="47">SUM(P95:P97)</f>
        <v>118556.58846813053</v>
      </c>
      <c r="Q98" s="185">
        <f t="shared" si="47"/>
        <v>118665.15781732465</v>
      </c>
      <c r="R98" s="185">
        <f t="shared" si="47"/>
        <v>118778.99797841166</v>
      </c>
      <c r="S98" s="185">
        <f t="shared" si="47"/>
        <v>118898.3648381423</v>
      </c>
      <c r="T98" s="185">
        <f t="shared" si="47"/>
        <v>119023.52670602856</v>
      </c>
      <c r="U98" s="185">
        <f>SUM(U95:U97)</f>
        <v>1245750.1249308919</v>
      </c>
      <c r="V98" s="185"/>
    </row>
    <row r="99" spans="3:25" ht="15.75" customHeight="1">
      <c r="C99" s="32"/>
      <c r="L99" s="105"/>
      <c r="M99" s="136" t="s">
        <v>98</v>
      </c>
      <c r="N99" s="35">
        <f>IRR(O98:U98)</f>
        <v>4.8505402699350331E-2</v>
      </c>
    </row>
    <row r="102" spans="3:25" ht="15.75" customHeight="1">
      <c r="L102" s="136" t="s">
        <v>153</v>
      </c>
      <c r="M102" s="105"/>
    </row>
    <row r="103" spans="3:25" ht="15.75" customHeight="1">
      <c r="L103" s="105" t="s">
        <v>148</v>
      </c>
      <c r="M103" s="105" t="s">
        <v>149</v>
      </c>
      <c r="O103" s="29">
        <f t="shared" ref="O103:U103" si="48">-(E54-D54)</f>
        <v>-4703520.5309531419</v>
      </c>
      <c r="P103" s="29">
        <f t="shared" si="48"/>
        <v>-730531.7497819243</v>
      </c>
      <c r="Q103" s="29">
        <f t="shared" si="48"/>
        <v>-891356.69731105119</v>
      </c>
      <c r="R103" s="29">
        <f t="shared" si="48"/>
        <v>-1062249.5831072591</v>
      </c>
      <c r="S103" s="29">
        <f t="shared" si="48"/>
        <v>-1244701.9335127119</v>
      </c>
      <c r="T103" s="29">
        <f t="shared" si="48"/>
        <v>-1440268.5891376808</v>
      </c>
      <c r="U103" s="29">
        <f t="shared" si="48"/>
        <v>10072629.083803769</v>
      </c>
    </row>
    <row r="104" spans="3:25" ht="15.75" customHeight="1">
      <c r="L104" s="105" t="s">
        <v>150</v>
      </c>
      <c r="M104" s="105" t="s">
        <v>151</v>
      </c>
      <c r="U104" s="185">
        <f>Q63</f>
        <v>9522284.4031597003</v>
      </c>
      <c r="V104" s="185"/>
    </row>
    <row r="105" spans="3:25" ht="15.75" customHeight="1">
      <c r="L105" s="105" t="s">
        <v>150</v>
      </c>
      <c r="M105" s="105" t="s">
        <v>152</v>
      </c>
      <c r="O105" s="14">
        <v>0</v>
      </c>
      <c r="P105" s="29">
        <f t="shared" ref="P105:U105" si="49">E31</f>
        <v>470352.05309531419</v>
      </c>
      <c r="Q105" s="29">
        <f t="shared" si="49"/>
        <v>543405.22807350662</v>
      </c>
      <c r="R105" s="29">
        <f t="shared" si="49"/>
        <v>632540.89780461183</v>
      </c>
      <c r="S105" s="29">
        <f t="shared" si="49"/>
        <v>738765.85611533769</v>
      </c>
      <c r="T105" s="29">
        <f t="shared" si="49"/>
        <v>863236.04946660891</v>
      </c>
      <c r="U105" s="29">
        <f t="shared" si="49"/>
        <v>1007262.908380377</v>
      </c>
      <c r="V105" s="29"/>
    </row>
    <row r="106" spans="3:25" ht="15.75" customHeight="1">
      <c r="L106" s="105"/>
      <c r="M106" s="105" t="s">
        <v>120</v>
      </c>
      <c r="O106" s="29">
        <f t="shared" ref="O106:U106" si="50">SUM(O103:O105)</f>
        <v>-4703520.5309531419</v>
      </c>
      <c r="P106" s="29">
        <f t="shared" si="50"/>
        <v>-260179.69668661011</v>
      </c>
      <c r="Q106" s="29">
        <f t="shared" si="50"/>
        <v>-347951.46923754457</v>
      </c>
      <c r="R106" s="29">
        <f t="shared" si="50"/>
        <v>-429708.6853026473</v>
      </c>
      <c r="S106" s="29">
        <f t="shared" si="50"/>
        <v>-505936.0773973742</v>
      </c>
      <c r="T106" s="29">
        <f t="shared" si="50"/>
        <v>-577032.53967107192</v>
      </c>
      <c r="U106" s="29">
        <f t="shared" si="50"/>
        <v>20602176.395343848</v>
      </c>
      <c r="V106" s="29"/>
    </row>
    <row r="107" spans="3:25" ht="15.75" customHeight="1">
      <c r="L107" s="105"/>
      <c r="M107" s="136" t="s">
        <v>98</v>
      </c>
      <c r="N107" s="35">
        <f>IRR(O106:U106)</f>
        <v>0.23569203889652357</v>
      </c>
      <c r="P107" s="29"/>
      <c r="Q107" s="29"/>
    </row>
  </sheetData>
  <mergeCells count="2">
    <mergeCell ref="AE59:AF59"/>
    <mergeCell ref="AJ59:AK59"/>
  </mergeCells>
  <pageMargins left="0.75" right="0.75" top="1" bottom="1" header="0.5" footer="0.5"/>
  <pageSetup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Button 2">
              <controlPr defaultSize="0" print="0" autoFill="0" autoPict="0" macro="[0]!DFN">
                <anchor moveWithCells="1" sizeWithCells="1">
                  <from>
                    <xdr:col>2</xdr:col>
                    <xdr:colOff>1133475</xdr:colOff>
                    <xdr:row>60</xdr:row>
                    <xdr:rowOff>161925</xdr:rowOff>
                  </from>
                  <to>
                    <xdr:col>3</xdr:col>
                    <xdr:colOff>809625</xdr:colOff>
                    <xdr:row>61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1"/>
  <sheetViews>
    <sheetView workbookViewId="0">
      <selection activeCell="C29" sqref="C29"/>
    </sheetView>
  </sheetViews>
  <sheetFormatPr defaultColWidth="14.42578125" defaultRowHeight="15.75" customHeight="1"/>
  <sheetData>
    <row r="1" spans="1:9" ht="15.75" customHeight="1">
      <c r="B1" t="s">
        <v>57</v>
      </c>
      <c r="C1" t="s">
        <v>58</v>
      </c>
      <c r="D1" t="s">
        <v>59</v>
      </c>
      <c r="E1" t="s">
        <v>60</v>
      </c>
      <c r="F1" t="s">
        <v>61</v>
      </c>
      <c r="H1" t="s">
        <v>62</v>
      </c>
      <c r="I1" s="1">
        <v>4.7500000000000001E-2</v>
      </c>
    </row>
    <row r="2" spans="1:9" ht="15.75" customHeight="1">
      <c r="A2" s="9">
        <v>42005</v>
      </c>
      <c r="B2" s="3">
        <f>I6</f>
        <v>1500000</v>
      </c>
      <c r="C2" s="3">
        <f t="shared" ref="C2:C13" si="0">+E2-D2</f>
        <v>3755.8544166433448</v>
      </c>
      <c r="D2" s="3">
        <f t="shared" ref="D2:D13" si="1">B2*$I$2</f>
        <v>5937.5000000000009</v>
      </c>
      <c r="E2" s="3">
        <f t="shared" ref="E2:E13" si="2">-$I$8</f>
        <v>9693.3544166433458</v>
      </c>
      <c r="F2" s="3">
        <f t="shared" ref="F2:F13" si="3">+B2-C2</f>
        <v>1496244.1455833567</v>
      </c>
      <c r="H2" t="s">
        <v>63</v>
      </c>
      <c r="I2" s="1">
        <f>+I1/12</f>
        <v>3.9583333333333337E-3</v>
      </c>
    </row>
    <row r="3" spans="1:9" ht="15.75" customHeight="1">
      <c r="A3" s="9">
        <v>42036</v>
      </c>
      <c r="B3" s="3">
        <f t="shared" ref="B3:B13" si="4">+F2</f>
        <v>1496244.1455833567</v>
      </c>
      <c r="C3" s="3">
        <f t="shared" si="0"/>
        <v>3770.7213403758915</v>
      </c>
      <c r="D3" s="3">
        <f t="shared" si="1"/>
        <v>5922.6330762674543</v>
      </c>
      <c r="E3" s="3">
        <f t="shared" si="2"/>
        <v>9693.3544166433458</v>
      </c>
      <c r="F3" s="3">
        <f t="shared" si="3"/>
        <v>1492473.4242429808</v>
      </c>
      <c r="H3" t="s">
        <v>64</v>
      </c>
      <c r="I3" s="4">
        <v>0</v>
      </c>
    </row>
    <row r="4" spans="1:9" ht="15.75" customHeight="1">
      <c r="A4" s="9">
        <v>42064</v>
      </c>
      <c r="B4" s="3">
        <f t="shared" si="4"/>
        <v>1492473.4242429808</v>
      </c>
      <c r="C4" s="3">
        <f t="shared" si="0"/>
        <v>3785.6471123482133</v>
      </c>
      <c r="D4" s="3">
        <f t="shared" si="1"/>
        <v>5907.7073042951324</v>
      </c>
      <c r="E4" s="3">
        <f t="shared" si="2"/>
        <v>9693.3544166433458</v>
      </c>
      <c r="F4" s="3">
        <f t="shared" si="3"/>
        <v>1488687.7771306327</v>
      </c>
      <c r="H4" t="s">
        <v>65</v>
      </c>
      <c r="I4" s="5">
        <f>12*20</f>
        <v>240</v>
      </c>
    </row>
    <row r="5" spans="1:9" ht="15.75" customHeight="1">
      <c r="A5" s="9">
        <v>42095</v>
      </c>
      <c r="B5" s="3">
        <f t="shared" si="4"/>
        <v>1488687.7771306327</v>
      </c>
      <c r="C5" s="3">
        <f t="shared" si="0"/>
        <v>3800.6319655012576</v>
      </c>
      <c r="D5" s="3">
        <f t="shared" si="1"/>
        <v>5892.7224511420882</v>
      </c>
      <c r="E5" s="3">
        <f t="shared" si="2"/>
        <v>9693.3544166433458</v>
      </c>
      <c r="F5" s="3">
        <f t="shared" si="3"/>
        <v>1484887.1451651314</v>
      </c>
      <c r="H5" t="s">
        <v>66</v>
      </c>
      <c r="I5">
        <v>0</v>
      </c>
    </row>
    <row r="6" spans="1:9" ht="15.75" customHeight="1">
      <c r="A6" s="9">
        <v>42125</v>
      </c>
      <c r="B6" s="3">
        <f t="shared" si="4"/>
        <v>1484887.1451651314</v>
      </c>
      <c r="C6" s="3">
        <f t="shared" si="0"/>
        <v>3815.6761336980335</v>
      </c>
      <c r="D6" s="3">
        <f t="shared" si="1"/>
        <v>5877.6782829453123</v>
      </c>
      <c r="E6" s="3">
        <f t="shared" si="2"/>
        <v>9693.3544166433458</v>
      </c>
      <c r="F6" s="3">
        <f t="shared" si="3"/>
        <v>1481071.4690314333</v>
      </c>
      <c r="H6" t="s">
        <v>67</v>
      </c>
      <c r="I6" s="4">
        <v>1500000</v>
      </c>
    </row>
    <row r="7" spans="1:9" ht="15.75" customHeight="1">
      <c r="A7" s="9">
        <v>42156</v>
      </c>
      <c r="B7" s="3">
        <f t="shared" si="4"/>
        <v>1481071.4690314333</v>
      </c>
      <c r="C7" s="3">
        <f t="shared" si="0"/>
        <v>3830.7798517272549</v>
      </c>
      <c r="D7" s="3">
        <f t="shared" si="1"/>
        <v>5862.5745649160908</v>
      </c>
      <c r="E7" s="3">
        <f t="shared" si="2"/>
        <v>9693.3544166433458</v>
      </c>
      <c r="F7" s="3">
        <f t="shared" si="3"/>
        <v>1477240.6891797062</v>
      </c>
    </row>
    <row r="8" spans="1:9" ht="15.75" customHeight="1">
      <c r="A8" s="9">
        <v>42186</v>
      </c>
      <c r="B8" s="3">
        <f t="shared" si="4"/>
        <v>1477240.6891797062</v>
      </c>
      <c r="C8" s="3">
        <f t="shared" si="0"/>
        <v>3845.9433553070085</v>
      </c>
      <c r="D8" s="3">
        <f t="shared" si="1"/>
        <v>5847.4110613363373</v>
      </c>
      <c r="E8" s="3">
        <f t="shared" si="2"/>
        <v>9693.3544166433458</v>
      </c>
      <c r="F8" s="3">
        <f t="shared" si="3"/>
        <v>1473394.7458243992</v>
      </c>
      <c r="H8" t="s">
        <v>60</v>
      </c>
      <c r="I8" s="4">
        <f>PMT(I2,I4,I6,I3,I5)</f>
        <v>-9693.3544166433458</v>
      </c>
    </row>
    <row r="9" spans="1:9" ht="15.75" customHeight="1">
      <c r="A9" s="9">
        <v>42217</v>
      </c>
      <c r="B9" s="3">
        <f t="shared" si="4"/>
        <v>1473394.7458243992</v>
      </c>
      <c r="C9" s="3">
        <f t="shared" si="0"/>
        <v>3861.1668810884321</v>
      </c>
      <c r="D9" s="3">
        <f t="shared" si="1"/>
        <v>5832.1875355549137</v>
      </c>
      <c r="E9" s="3">
        <f t="shared" si="2"/>
        <v>9693.3544166433458</v>
      </c>
      <c r="F9" s="3">
        <f t="shared" si="3"/>
        <v>1469533.5789433108</v>
      </c>
    </row>
    <row r="10" spans="1:9" ht="15.75" customHeight="1">
      <c r="A10" s="9">
        <v>42248</v>
      </c>
      <c r="B10" s="3">
        <f t="shared" si="4"/>
        <v>1469533.5789433108</v>
      </c>
      <c r="C10" s="3">
        <f t="shared" si="0"/>
        <v>3876.450666659407</v>
      </c>
      <c r="D10" s="3">
        <f t="shared" si="1"/>
        <v>5816.9037499839387</v>
      </c>
      <c r="E10" s="3">
        <f t="shared" si="2"/>
        <v>9693.3544166433458</v>
      </c>
      <c r="F10" s="3">
        <f t="shared" si="3"/>
        <v>1465657.1282766513</v>
      </c>
    </row>
    <row r="11" spans="1:9" ht="15.75" customHeight="1">
      <c r="A11" s="9">
        <v>42278</v>
      </c>
      <c r="B11" s="3">
        <f t="shared" si="4"/>
        <v>1465657.1282766513</v>
      </c>
      <c r="C11" s="3">
        <f t="shared" si="0"/>
        <v>3891.7949505482675</v>
      </c>
      <c r="D11" s="3">
        <f t="shared" si="1"/>
        <v>5801.5594660950783</v>
      </c>
      <c r="E11" s="3">
        <f t="shared" si="2"/>
        <v>9693.3544166433458</v>
      </c>
      <c r="F11" s="3">
        <f t="shared" si="3"/>
        <v>1461765.3333261029</v>
      </c>
    </row>
    <row r="12" spans="1:9" ht="15.75" customHeight="1">
      <c r="A12" s="9">
        <v>42309</v>
      </c>
      <c r="B12" s="3">
        <f t="shared" si="4"/>
        <v>1461765.3333261029</v>
      </c>
      <c r="C12" s="3">
        <f t="shared" si="0"/>
        <v>3907.1999722275214</v>
      </c>
      <c r="D12" s="3">
        <f t="shared" si="1"/>
        <v>5786.1544444158244</v>
      </c>
      <c r="E12" s="3">
        <f t="shared" si="2"/>
        <v>9693.3544166433458</v>
      </c>
      <c r="F12" s="3">
        <f t="shared" si="3"/>
        <v>1457858.1333538755</v>
      </c>
    </row>
    <row r="13" spans="1:9" ht="15.75" customHeight="1">
      <c r="A13" s="9">
        <v>42339</v>
      </c>
      <c r="B13" s="3">
        <f t="shared" si="4"/>
        <v>1457858.1333538755</v>
      </c>
      <c r="C13" s="3">
        <f t="shared" si="0"/>
        <v>3922.6659721175884</v>
      </c>
      <c r="D13" s="3">
        <f t="shared" si="1"/>
        <v>5770.6884445257574</v>
      </c>
      <c r="E13" s="3">
        <f t="shared" si="2"/>
        <v>9693.3544166433458</v>
      </c>
      <c r="F13" s="6">
        <f t="shared" si="3"/>
        <v>1453935.4673817579</v>
      </c>
    </row>
    <row r="14" spans="1:9" ht="15.75" customHeight="1">
      <c r="A14" s="7" t="s">
        <v>68</v>
      </c>
      <c r="B14" s="7"/>
      <c r="C14" s="6">
        <f>SUM(C2:C13)</f>
        <v>46064.532618242229</v>
      </c>
      <c r="D14" s="6">
        <f>SUM(D2:D13)</f>
        <v>70255.720381477935</v>
      </c>
      <c r="E14" s="3"/>
      <c r="F14" s="3"/>
    </row>
    <row r="15" spans="1:9" ht="15.75" customHeight="1">
      <c r="B15" s="2"/>
      <c r="C15" s="3"/>
      <c r="D15" s="3"/>
      <c r="E15" s="3"/>
      <c r="F15" s="3"/>
    </row>
    <row r="16" spans="1:9" ht="15.75" customHeight="1">
      <c r="A16" s="9">
        <v>42370</v>
      </c>
      <c r="B16" s="3">
        <f>+F13</f>
        <v>1453935.4673817579</v>
      </c>
      <c r="C16" s="3">
        <f t="shared" ref="C16:C27" si="5">+E16-D16</f>
        <v>3938.1931915905534</v>
      </c>
      <c r="D16" s="3">
        <f t="shared" ref="D16:D27" si="6">B16*$I$2</f>
        <v>5755.1612250527924</v>
      </c>
      <c r="E16" s="3">
        <f t="shared" ref="E16:E27" si="7">-$I$8</f>
        <v>9693.3544166433458</v>
      </c>
      <c r="F16" s="3">
        <f t="shared" ref="F16:F27" si="8">+B16-C16</f>
        <v>1449997.2741901674</v>
      </c>
    </row>
    <row r="17" spans="1:6" ht="15.75" customHeight="1">
      <c r="A17" s="9">
        <v>42401</v>
      </c>
      <c r="B17" s="3">
        <f t="shared" ref="B17:B27" si="9">+F16</f>
        <v>1449997.2741901674</v>
      </c>
      <c r="C17" s="3">
        <f t="shared" si="5"/>
        <v>3953.7818729739329</v>
      </c>
      <c r="D17" s="3">
        <f t="shared" si="6"/>
        <v>5739.5725436694129</v>
      </c>
      <c r="E17" s="3">
        <f t="shared" si="7"/>
        <v>9693.3544166433458</v>
      </c>
      <c r="F17" s="3">
        <f t="shared" si="8"/>
        <v>1446043.4923171934</v>
      </c>
    </row>
    <row r="18" spans="1:6" ht="15.75" customHeight="1">
      <c r="A18" s="9">
        <v>42430</v>
      </c>
      <c r="B18" s="3">
        <f t="shared" si="9"/>
        <v>1446043.4923171934</v>
      </c>
      <c r="C18" s="3">
        <f t="shared" si="5"/>
        <v>3969.4322595544545</v>
      </c>
      <c r="D18" s="3">
        <f t="shared" si="6"/>
        <v>5723.9221570888913</v>
      </c>
      <c r="E18" s="3">
        <f t="shared" si="7"/>
        <v>9693.3544166433458</v>
      </c>
      <c r="F18" s="3">
        <f t="shared" si="8"/>
        <v>1442074.0600576389</v>
      </c>
    </row>
    <row r="19" spans="1:6" ht="15.75" customHeight="1">
      <c r="A19" s="9">
        <v>42461</v>
      </c>
      <c r="B19" s="3">
        <f t="shared" si="9"/>
        <v>1442074.0600576389</v>
      </c>
      <c r="C19" s="3">
        <f t="shared" si="5"/>
        <v>3985.1445955818581</v>
      </c>
      <c r="D19" s="3">
        <f t="shared" si="6"/>
        <v>5708.2098210614877</v>
      </c>
      <c r="E19" s="3">
        <f t="shared" si="7"/>
        <v>9693.3544166433458</v>
      </c>
      <c r="F19" s="3">
        <f t="shared" si="8"/>
        <v>1438088.9154620571</v>
      </c>
    </row>
    <row r="20" spans="1:6" ht="15.75" customHeight="1">
      <c r="A20" s="9">
        <v>42491</v>
      </c>
      <c r="B20" s="3">
        <f t="shared" si="9"/>
        <v>1438088.9154620571</v>
      </c>
      <c r="C20" s="3">
        <f t="shared" si="5"/>
        <v>4000.9191262727027</v>
      </c>
      <c r="D20" s="3">
        <f t="shared" si="6"/>
        <v>5692.4352903706431</v>
      </c>
      <c r="E20" s="3">
        <f t="shared" si="7"/>
        <v>9693.3544166433458</v>
      </c>
      <c r="F20" s="3">
        <f t="shared" si="8"/>
        <v>1434087.9963357844</v>
      </c>
    </row>
    <row r="21" spans="1:6" ht="15.75" customHeight="1">
      <c r="A21" s="9">
        <v>42522</v>
      </c>
      <c r="B21" s="3">
        <f t="shared" si="9"/>
        <v>1434087.9963357844</v>
      </c>
      <c r="C21" s="3">
        <f t="shared" si="5"/>
        <v>4016.7560978141983</v>
      </c>
      <c r="D21" s="3">
        <f t="shared" si="6"/>
        <v>5676.5983188291475</v>
      </c>
      <c r="E21" s="3">
        <f t="shared" si="7"/>
        <v>9693.3544166433458</v>
      </c>
      <c r="F21" s="3">
        <f t="shared" si="8"/>
        <v>1430071.2402379701</v>
      </c>
    </row>
    <row r="22" spans="1:6" ht="15.75" customHeight="1">
      <c r="A22" s="9">
        <v>42552</v>
      </c>
      <c r="B22" s="3">
        <f t="shared" si="9"/>
        <v>1430071.2402379701</v>
      </c>
      <c r="C22" s="3">
        <f t="shared" si="5"/>
        <v>4032.6557573680466</v>
      </c>
      <c r="D22" s="3">
        <f t="shared" si="6"/>
        <v>5660.6986592752992</v>
      </c>
      <c r="E22" s="3">
        <f t="shared" si="7"/>
        <v>9693.3544166433458</v>
      </c>
      <c r="F22" s="3">
        <f t="shared" si="8"/>
        <v>1426038.5844806021</v>
      </c>
    </row>
    <row r="23" spans="1:6" ht="15.75" customHeight="1">
      <c r="A23" s="9">
        <v>42583</v>
      </c>
      <c r="B23" s="3">
        <f t="shared" si="9"/>
        <v>1426038.5844806021</v>
      </c>
      <c r="C23" s="3">
        <f t="shared" si="5"/>
        <v>4048.6183530742956</v>
      </c>
      <c r="D23" s="3">
        <f t="shared" si="6"/>
        <v>5644.7360635690502</v>
      </c>
      <c r="E23" s="3">
        <f t="shared" si="7"/>
        <v>9693.3544166433458</v>
      </c>
      <c r="F23" s="3">
        <f t="shared" si="8"/>
        <v>1421989.9661275279</v>
      </c>
    </row>
    <row r="24" spans="1:6" ht="15.75" customHeight="1">
      <c r="A24" s="9">
        <v>42614</v>
      </c>
      <c r="B24" s="3">
        <f t="shared" si="9"/>
        <v>1421989.9661275279</v>
      </c>
      <c r="C24" s="3">
        <f t="shared" si="5"/>
        <v>4064.6441340552137</v>
      </c>
      <c r="D24" s="3">
        <f t="shared" si="6"/>
        <v>5628.710282588132</v>
      </c>
      <c r="E24" s="3">
        <f t="shared" si="7"/>
        <v>9693.3544166433458</v>
      </c>
      <c r="F24" s="3">
        <f t="shared" si="8"/>
        <v>1417925.3219934728</v>
      </c>
    </row>
    <row r="25" spans="1:6" ht="15.75" customHeight="1">
      <c r="A25" s="9">
        <v>42644</v>
      </c>
      <c r="B25" s="3">
        <f t="shared" si="9"/>
        <v>1417925.3219934728</v>
      </c>
      <c r="C25" s="3">
        <f t="shared" si="5"/>
        <v>4080.733350419182</v>
      </c>
      <c r="D25" s="3">
        <f t="shared" si="6"/>
        <v>5612.6210662241638</v>
      </c>
      <c r="E25" s="3">
        <f t="shared" si="7"/>
        <v>9693.3544166433458</v>
      </c>
      <c r="F25" s="3">
        <f t="shared" si="8"/>
        <v>1413844.5886430535</v>
      </c>
    </row>
    <row r="26" spans="1:6" ht="15.75" customHeight="1">
      <c r="A26" s="9">
        <v>42675</v>
      </c>
      <c r="B26" s="3">
        <f t="shared" si="9"/>
        <v>1413844.5886430535</v>
      </c>
      <c r="C26" s="3">
        <f t="shared" si="5"/>
        <v>4096.8862532645917</v>
      </c>
      <c r="D26" s="3">
        <f t="shared" si="6"/>
        <v>5596.4681633787541</v>
      </c>
      <c r="E26" s="3">
        <f t="shared" si="7"/>
        <v>9693.3544166433458</v>
      </c>
      <c r="F26" s="3">
        <f t="shared" si="8"/>
        <v>1409747.702389789</v>
      </c>
    </row>
    <row r="27" spans="1:6" ht="15.75" customHeight="1">
      <c r="A27" s="9">
        <v>42705</v>
      </c>
      <c r="B27" s="3">
        <f t="shared" si="9"/>
        <v>1409747.702389789</v>
      </c>
      <c r="C27" s="3">
        <f t="shared" si="5"/>
        <v>4113.1030946837636</v>
      </c>
      <c r="D27" s="3">
        <f t="shared" si="6"/>
        <v>5580.2513219595821</v>
      </c>
      <c r="E27" s="3">
        <f t="shared" si="7"/>
        <v>9693.3544166433458</v>
      </c>
      <c r="F27" s="6">
        <f t="shared" si="8"/>
        <v>1405634.5992951053</v>
      </c>
    </row>
    <row r="28" spans="1:6" ht="15.75" customHeight="1">
      <c r="A28" s="7" t="s">
        <v>68</v>
      </c>
      <c r="B28" s="7"/>
      <c r="C28" s="6">
        <f>SUM(C16:C27)</f>
        <v>48300.868086652801</v>
      </c>
      <c r="D28" s="6">
        <f>SUM(D16:D27)</f>
        <v>68019.384913067363</v>
      </c>
      <c r="E28" s="3"/>
      <c r="F28" s="3"/>
    </row>
    <row r="29" spans="1:6" ht="15.75" customHeight="1">
      <c r="B29" s="2"/>
      <c r="C29" s="3"/>
      <c r="D29" s="3"/>
      <c r="E29" s="3"/>
      <c r="F29" s="3"/>
    </row>
    <row r="30" spans="1:6" ht="15.75" customHeight="1">
      <c r="A30" s="9">
        <v>42736</v>
      </c>
      <c r="B30" s="3">
        <f>+F27</f>
        <v>1405634.5992951053</v>
      </c>
      <c r="C30" s="3">
        <f t="shared" ref="C30:C41" si="10">+E30-D30</f>
        <v>4129.3841277668871</v>
      </c>
      <c r="D30" s="3">
        <f t="shared" ref="D30:D41" si="11">B30*$I$2</f>
        <v>5563.9702888764587</v>
      </c>
      <c r="E30" s="3">
        <f t="shared" ref="E30:E41" si="12">-$I$8</f>
        <v>9693.3544166433458</v>
      </c>
      <c r="F30" s="3">
        <f t="shared" ref="F30:F41" si="13">+B30-C30</f>
        <v>1401505.2151673385</v>
      </c>
    </row>
    <row r="31" spans="1:6" ht="15.75" customHeight="1">
      <c r="A31" s="9">
        <v>42767</v>
      </c>
      <c r="B31" s="3">
        <f t="shared" ref="B31:B41" si="14">+F30</f>
        <v>1401505.2151673385</v>
      </c>
      <c r="C31" s="3">
        <f t="shared" si="10"/>
        <v>4145.7296066059635</v>
      </c>
      <c r="D31" s="3">
        <f t="shared" si="11"/>
        <v>5547.6248100373823</v>
      </c>
      <c r="E31" s="3">
        <f t="shared" si="12"/>
        <v>9693.3544166433458</v>
      </c>
      <c r="F31" s="3">
        <f t="shared" si="13"/>
        <v>1397359.4855607324</v>
      </c>
    </row>
    <row r="32" spans="1:6" ht="15.75" customHeight="1">
      <c r="A32" s="9">
        <v>42795</v>
      </c>
      <c r="B32" s="3">
        <f t="shared" si="14"/>
        <v>1397359.4855607324</v>
      </c>
      <c r="C32" s="3">
        <f t="shared" si="10"/>
        <v>4162.1397862987797</v>
      </c>
      <c r="D32" s="3">
        <f t="shared" si="11"/>
        <v>5531.2146303445661</v>
      </c>
      <c r="E32" s="3">
        <f t="shared" si="12"/>
        <v>9693.3544166433458</v>
      </c>
      <c r="F32" s="3">
        <f t="shared" si="13"/>
        <v>1393197.3457744336</v>
      </c>
    </row>
    <row r="33" spans="1:6" ht="15.75" customHeight="1">
      <c r="A33" s="9">
        <v>42826</v>
      </c>
      <c r="B33" s="3">
        <f t="shared" si="14"/>
        <v>1393197.3457744336</v>
      </c>
      <c r="C33" s="3">
        <f t="shared" si="10"/>
        <v>4178.6149229528792</v>
      </c>
      <c r="D33" s="3">
        <f t="shared" si="11"/>
        <v>5514.7394936904666</v>
      </c>
      <c r="E33" s="3">
        <f t="shared" si="12"/>
        <v>9693.3544166433458</v>
      </c>
      <c r="F33" s="3">
        <f t="shared" si="13"/>
        <v>1389018.7308514807</v>
      </c>
    </row>
    <row r="34" spans="1:6" ht="15.75" customHeight="1">
      <c r="A34" s="9">
        <v>42856</v>
      </c>
      <c r="B34" s="3">
        <f t="shared" si="14"/>
        <v>1389018.7308514807</v>
      </c>
      <c r="C34" s="3">
        <f t="shared" si="10"/>
        <v>4195.1552736895674</v>
      </c>
      <c r="D34" s="3">
        <f t="shared" si="11"/>
        <v>5498.1991429537784</v>
      </c>
      <c r="E34" s="3">
        <f t="shared" si="12"/>
        <v>9693.3544166433458</v>
      </c>
      <c r="F34" s="3">
        <f t="shared" si="13"/>
        <v>1384823.5755777911</v>
      </c>
    </row>
    <row r="35" spans="1:6" ht="15.75" customHeight="1">
      <c r="A35" s="9">
        <v>42887</v>
      </c>
      <c r="B35" s="3">
        <f t="shared" si="14"/>
        <v>1384823.5755777911</v>
      </c>
      <c r="C35" s="3">
        <f t="shared" si="10"/>
        <v>4211.7610966479224</v>
      </c>
      <c r="D35" s="3">
        <f t="shared" si="11"/>
        <v>5481.5933199954234</v>
      </c>
      <c r="E35" s="3">
        <f t="shared" si="12"/>
        <v>9693.3544166433458</v>
      </c>
      <c r="F35" s="3">
        <f t="shared" si="13"/>
        <v>1380611.8144811431</v>
      </c>
    </row>
    <row r="36" spans="1:6" ht="15.75" customHeight="1">
      <c r="A36" s="9">
        <v>42917</v>
      </c>
      <c r="B36" s="3">
        <f t="shared" si="14"/>
        <v>1380611.8144811431</v>
      </c>
      <c r="C36" s="3">
        <f t="shared" si="10"/>
        <v>4228.4326509888206</v>
      </c>
      <c r="D36" s="3">
        <f t="shared" si="11"/>
        <v>5464.9217656545252</v>
      </c>
      <c r="E36" s="3">
        <f t="shared" si="12"/>
        <v>9693.3544166433458</v>
      </c>
      <c r="F36" s="3">
        <f t="shared" si="13"/>
        <v>1376383.3818301542</v>
      </c>
    </row>
    <row r="37" spans="1:6" ht="15.75" customHeight="1">
      <c r="A37" s="9">
        <v>42948</v>
      </c>
      <c r="B37" s="3">
        <f t="shared" si="14"/>
        <v>1376383.3818301542</v>
      </c>
      <c r="C37" s="3">
        <f t="shared" si="10"/>
        <v>4245.1701968989846</v>
      </c>
      <c r="D37" s="3">
        <f t="shared" si="11"/>
        <v>5448.1842197443611</v>
      </c>
      <c r="E37" s="3">
        <f t="shared" si="12"/>
        <v>9693.3544166433458</v>
      </c>
      <c r="F37" s="3">
        <f t="shared" si="13"/>
        <v>1372138.2116332552</v>
      </c>
    </row>
    <row r="38" spans="1:6" ht="15.75" customHeight="1">
      <c r="A38" s="9">
        <v>42979</v>
      </c>
      <c r="B38" s="3">
        <f t="shared" si="14"/>
        <v>1372138.2116332552</v>
      </c>
      <c r="C38" s="3">
        <f t="shared" si="10"/>
        <v>4261.9739955950436</v>
      </c>
      <c r="D38" s="3">
        <f t="shared" si="11"/>
        <v>5431.3804210483022</v>
      </c>
      <c r="E38" s="3">
        <f t="shared" si="12"/>
        <v>9693.3544166433458</v>
      </c>
      <c r="F38" s="3">
        <f t="shared" si="13"/>
        <v>1367876.2376376602</v>
      </c>
    </row>
    <row r="39" spans="1:6" ht="15.75" customHeight="1">
      <c r="A39" s="9">
        <v>43009</v>
      </c>
      <c r="B39" s="3">
        <f t="shared" si="14"/>
        <v>1367876.2376376602</v>
      </c>
      <c r="C39" s="3">
        <f t="shared" si="10"/>
        <v>4278.8443093276064</v>
      </c>
      <c r="D39" s="3">
        <f t="shared" si="11"/>
        <v>5414.5101073157393</v>
      </c>
      <c r="E39" s="3">
        <f t="shared" si="12"/>
        <v>9693.3544166433458</v>
      </c>
      <c r="F39" s="3">
        <f t="shared" si="13"/>
        <v>1363597.3933283326</v>
      </c>
    </row>
    <row r="40" spans="1:6" ht="15.75" customHeight="1">
      <c r="A40" s="9">
        <v>43040</v>
      </c>
      <c r="B40" s="3">
        <f t="shared" si="14"/>
        <v>1363597.3933283326</v>
      </c>
      <c r="C40" s="3">
        <f t="shared" si="10"/>
        <v>4295.7814013853622</v>
      </c>
      <c r="D40" s="3">
        <f t="shared" si="11"/>
        <v>5397.5730152579836</v>
      </c>
      <c r="E40" s="3">
        <f t="shared" si="12"/>
        <v>9693.3544166433458</v>
      </c>
      <c r="F40" s="3">
        <f t="shared" si="13"/>
        <v>1359301.6119269473</v>
      </c>
    </row>
    <row r="41" spans="1:6" ht="15.75" customHeight="1">
      <c r="A41" s="9">
        <v>43070</v>
      </c>
      <c r="B41" s="3">
        <f t="shared" si="14"/>
        <v>1359301.6119269473</v>
      </c>
      <c r="C41" s="3">
        <f t="shared" si="10"/>
        <v>4312.7855360991789</v>
      </c>
      <c r="D41" s="3">
        <f t="shared" si="11"/>
        <v>5380.5688805441669</v>
      </c>
      <c r="E41" s="3">
        <f t="shared" si="12"/>
        <v>9693.3544166433458</v>
      </c>
      <c r="F41" s="6">
        <f t="shared" si="13"/>
        <v>1354988.826390848</v>
      </c>
    </row>
    <row r="42" spans="1:6" ht="15.75" customHeight="1">
      <c r="A42" s="7" t="s">
        <v>68</v>
      </c>
      <c r="B42" s="7"/>
      <c r="C42" s="6">
        <f>SUM(C30:C41)</f>
        <v>50645.772904256999</v>
      </c>
      <c r="D42" s="6">
        <f>SUM(D30:D41)</f>
        <v>65674.48009546315</v>
      </c>
      <c r="E42" s="3"/>
      <c r="F42" s="3"/>
    </row>
    <row r="43" spans="1:6" ht="15.75" customHeight="1">
      <c r="B43" s="2"/>
      <c r="C43" s="3"/>
      <c r="D43" s="3"/>
      <c r="E43" s="3"/>
      <c r="F43" s="3"/>
    </row>
    <row r="44" spans="1:6" ht="15.75" customHeight="1">
      <c r="A44" s="9">
        <v>43101</v>
      </c>
      <c r="B44" s="3">
        <f>+F41</f>
        <v>1354988.826390848</v>
      </c>
      <c r="C44" s="3">
        <f>+E44-D44</f>
        <v>4329.8569788462382</v>
      </c>
      <c r="D44" s="3">
        <f>B44*$I$2</f>
        <v>5363.4974377971075</v>
      </c>
      <c r="E44" s="3">
        <f t="shared" ref="E44:E69" si="15">-$I$8</f>
        <v>9693.3544166433458</v>
      </c>
      <c r="F44" s="3">
        <f t="shared" ref="F44:F55" si="16">+B44-C44</f>
        <v>1350658.9694120018</v>
      </c>
    </row>
    <row r="45" spans="1:6" ht="15.75" customHeight="1">
      <c r="A45" s="9">
        <v>43132</v>
      </c>
      <c r="B45" s="3">
        <f t="shared" ref="B45:B55" si="17">+F44</f>
        <v>1350658.9694120018</v>
      </c>
      <c r="C45" s="3">
        <f t="shared" ref="C45:C55" si="18">+E45-D45</f>
        <v>4346.9959960541719</v>
      </c>
      <c r="D45" s="3">
        <f t="shared" ref="D45:D55" si="19">B45*$I$2</f>
        <v>5346.3584205891739</v>
      </c>
      <c r="E45" s="3">
        <f t="shared" si="15"/>
        <v>9693.3544166433458</v>
      </c>
      <c r="F45" s="3">
        <f t="shared" si="16"/>
        <v>1346311.9734159475</v>
      </c>
    </row>
    <row r="46" spans="1:6" ht="15.75" customHeight="1">
      <c r="A46" s="9">
        <v>43160</v>
      </c>
      <c r="B46" s="3">
        <f t="shared" si="17"/>
        <v>1346311.9734159475</v>
      </c>
      <c r="C46" s="3">
        <f t="shared" si="18"/>
        <v>4364.2028552052197</v>
      </c>
      <c r="D46" s="3">
        <f t="shared" si="19"/>
        <v>5329.151561438126</v>
      </c>
      <c r="E46" s="3">
        <f t="shared" si="15"/>
        <v>9693.3544166433458</v>
      </c>
      <c r="F46" s="3">
        <f t="shared" si="16"/>
        <v>1341947.7705607424</v>
      </c>
    </row>
    <row r="47" spans="1:6" ht="15.75" customHeight="1">
      <c r="A47" s="9">
        <v>43191</v>
      </c>
      <c r="B47" s="3">
        <f t="shared" si="17"/>
        <v>1341947.7705607424</v>
      </c>
      <c r="C47" s="3">
        <f t="shared" si="18"/>
        <v>4381.4778248404073</v>
      </c>
      <c r="D47" s="3">
        <f t="shared" si="19"/>
        <v>5311.8765918029385</v>
      </c>
      <c r="E47" s="3">
        <f t="shared" si="15"/>
        <v>9693.3544166433458</v>
      </c>
      <c r="F47" s="3">
        <f t="shared" si="16"/>
        <v>1337566.2927359019</v>
      </c>
    </row>
    <row r="48" spans="1:6" ht="15.75" customHeight="1">
      <c r="A48" s="9">
        <v>43221</v>
      </c>
      <c r="B48" s="3">
        <f t="shared" si="17"/>
        <v>1337566.2927359019</v>
      </c>
      <c r="C48" s="3">
        <f t="shared" si="18"/>
        <v>4398.8211745637336</v>
      </c>
      <c r="D48" s="3">
        <f t="shared" si="19"/>
        <v>5294.5332420796121</v>
      </c>
      <c r="E48" s="3">
        <f t="shared" si="15"/>
        <v>9693.3544166433458</v>
      </c>
      <c r="F48" s="3">
        <f t="shared" si="16"/>
        <v>1333167.4715613381</v>
      </c>
    </row>
    <row r="49" spans="1:7" ht="15.75" customHeight="1">
      <c r="A49" s="9">
        <v>43252</v>
      </c>
      <c r="B49" s="3">
        <f t="shared" si="17"/>
        <v>1333167.4715613381</v>
      </c>
      <c r="C49" s="3">
        <f t="shared" si="18"/>
        <v>4416.2331750463818</v>
      </c>
      <c r="D49" s="3">
        <f t="shared" si="19"/>
        <v>5277.121241596964</v>
      </c>
      <c r="E49" s="3">
        <f t="shared" si="15"/>
        <v>9693.3544166433458</v>
      </c>
      <c r="F49" s="3">
        <f t="shared" si="16"/>
        <v>1328751.2383862918</v>
      </c>
    </row>
    <row r="50" spans="1:7" ht="15.75" customHeight="1">
      <c r="A50" s="9">
        <v>43282</v>
      </c>
      <c r="B50" s="3">
        <f t="shared" si="17"/>
        <v>1328751.2383862918</v>
      </c>
      <c r="C50" s="3">
        <f t="shared" si="18"/>
        <v>4433.7140980309405</v>
      </c>
      <c r="D50" s="3">
        <f t="shared" si="19"/>
        <v>5259.6403186124053</v>
      </c>
      <c r="E50" s="3">
        <f t="shared" si="15"/>
        <v>9693.3544166433458</v>
      </c>
      <c r="F50" s="3">
        <f t="shared" si="16"/>
        <v>1324317.5242882608</v>
      </c>
    </row>
    <row r="51" spans="1:7" ht="15.75" customHeight="1">
      <c r="A51" s="9">
        <v>43313</v>
      </c>
      <c r="B51" s="3">
        <f t="shared" si="17"/>
        <v>1324317.5242882608</v>
      </c>
      <c r="C51" s="3">
        <f t="shared" si="18"/>
        <v>4451.2642163356459</v>
      </c>
      <c r="D51" s="3">
        <f t="shared" si="19"/>
        <v>5242.0902003076999</v>
      </c>
      <c r="E51" s="3">
        <f t="shared" si="15"/>
        <v>9693.3544166433458</v>
      </c>
      <c r="F51" s="3">
        <f t="shared" si="16"/>
        <v>1319866.2600719251</v>
      </c>
    </row>
    <row r="52" spans="1:7" ht="15.75" customHeight="1">
      <c r="A52" s="9">
        <v>43344</v>
      </c>
      <c r="B52" s="3">
        <f t="shared" si="17"/>
        <v>1319866.2600719251</v>
      </c>
      <c r="C52" s="3">
        <f t="shared" si="18"/>
        <v>4468.8838038586418</v>
      </c>
      <c r="D52" s="3">
        <f t="shared" si="19"/>
        <v>5224.4706127847039</v>
      </c>
      <c r="E52" s="3">
        <f t="shared" si="15"/>
        <v>9693.3544166433458</v>
      </c>
      <c r="F52" s="3">
        <f t="shared" si="16"/>
        <v>1315397.3762680665</v>
      </c>
    </row>
    <row r="53" spans="1:7" ht="15.75" customHeight="1">
      <c r="A53" s="9">
        <v>43374</v>
      </c>
      <c r="B53" s="3">
        <f t="shared" si="17"/>
        <v>1315397.3762680665</v>
      </c>
      <c r="C53" s="3">
        <f t="shared" si="18"/>
        <v>4486.5731355822491</v>
      </c>
      <c r="D53" s="3">
        <f t="shared" si="19"/>
        <v>5206.7812810610967</v>
      </c>
      <c r="E53" s="3">
        <f t="shared" si="15"/>
        <v>9693.3544166433458</v>
      </c>
      <c r="F53" s="3">
        <f t="shared" si="16"/>
        <v>1310910.8031324842</v>
      </c>
    </row>
    <row r="54" spans="1:7" ht="15.75" customHeight="1">
      <c r="A54" s="9">
        <v>43405</v>
      </c>
      <c r="B54" s="3">
        <f t="shared" si="17"/>
        <v>1310910.8031324842</v>
      </c>
      <c r="C54" s="3">
        <f t="shared" si="18"/>
        <v>4504.3324875772623</v>
      </c>
      <c r="D54" s="3">
        <f t="shared" si="19"/>
        <v>5189.0219290660834</v>
      </c>
      <c r="E54" s="3">
        <f t="shared" si="15"/>
        <v>9693.3544166433458</v>
      </c>
      <c r="F54" s="3">
        <f t="shared" si="16"/>
        <v>1306406.4706449069</v>
      </c>
    </row>
    <row r="55" spans="1:7" ht="15.75" customHeight="1">
      <c r="A55" s="9">
        <v>43435</v>
      </c>
      <c r="B55" s="3">
        <f t="shared" si="17"/>
        <v>1306406.4706449069</v>
      </c>
      <c r="C55" s="3">
        <f t="shared" si="18"/>
        <v>4522.1621370072553</v>
      </c>
      <c r="D55" s="3">
        <f t="shared" si="19"/>
        <v>5171.1922796360905</v>
      </c>
      <c r="E55" s="3">
        <f t="shared" si="15"/>
        <v>9693.3544166433458</v>
      </c>
      <c r="F55" s="6">
        <f t="shared" si="16"/>
        <v>1301884.3085078995</v>
      </c>
      <c r="G55" s="3"/>
    </row>
    <row r="56" spans="1:7" ht="15.75" customHeight="1">
      <c r="A56" s="7" t="s">
        <v>68</v>
      </c>
      <c r="B56" s="8"/>
      <c r="C56" s="6">
        <f>SUM(C44:C55)</f>
        <v>53104.517882948145</v>
      </c>
      <c r="D56" s="6">
        <f>SUM(D44:D55)</f>
        <v>63215.735116771997</v>
      </c>
    </row>
    <row r="57" spans="1:7" ht="15.75" customHeight="1">
      <c r="B57" s="2"/>
      <c r="C57" s="3"/>
      <c r="D57" s="3"/>
      <c r="E57" s="3"/>
      <c r="F57" s="3"/>
    </row>
    <row r="58" spans="1:7" ht="15.75" customHeight="1">
      <c r="A58" s="9">
        <v>43466</v>
      </c>
      <c r="B58" s="3">
        <f>+F55</f>
        <v>1301884.3085078995</v>
      </c>
      <c r="C58" s="3">
        <f>+E58-D58</f>
        <v>4540.0623621329096</v>
      </c>
      <c r="D58" s="3">
        <f>B58*$I$2</f>
        <v>5153.2920545104362</v>
      </c>
      <c r="E58" s="3">
        <f>-$I$8</f>
        <v>9693.3544166433458</v>
      </c>
      <c r="F58" s="3">
        <f t="shared" ref="F58:F69" si="20">+B58-C58</f>
        <v>1297344.2461457667</v>
      </c>
    </row>
    <row r="59" spans="1:7" ht="15.75" customHeight="1">
      <c r="A59" s="9">
        <v>43497</v>
      </c>
      <c r="B59" s="3">
        <f t="shared" ref="B59:B69" si="21">+F58</f>
        <v>1297344.2461457667</v>
      </c>
      <c r="C59" s="3">
        <f t="shared" ref="C59:C69" si="22">+E59-D59</f>
        <v>4558.0334423163522</v>
      </c>
      <c r="D59" s="3">
        <f t="shared" ref="D59:D69" si="23">B59*$I$2</f>
        <v>5135.3209743269936</v>
      </c>
      <c r="E59" s="3">
        <f t="shared" si="15"/>
        <v>9693.3544166433458</v>
      </c>
      <c r="F59" s="3">
        <f t="shared" si="20"/>
        <v>1292786.2127034504</v>
      </c>
    </row>
    <row r="60" spans="1:7" ht="15.75" customHeight="1">
      <c r="A60" s="9">
        <v>43525</v>
      </c>
      <c r="B60" s="3">
        <f t="shared" si="21"/>
        <v>1292786.2127034504</v>
      </c>
      <c r="C60" s="3">
        <f t="shared" si="22"/>
        <v>4576.0756580255211</v>
      </c>
      <c r="D60" s="3">
        <f t="shared" si="23"/>
        <v>5117.2787586178247</v>
      </c>
      <c r="E60" s="3">
        <f t="shared" si="15"/>
        <v>9693.3544166433458</v>
      </c>
      <c r="F60" s="3">
        <f t="shared" si="20"/>
        <v>1288210.1370454249</v>
      </c>
    </row>
    <row r="61" spans="1:7" ht="15.75" customHeight="1">
      <c r="A61" s="9">
        <v>43556</v>
      </c>
      <c r="B61" s="3">
        <f t="shared" si="21"/>
        <v>1288210.1370454249</v>
      </c>
      <c r="C61" s="3">
        <f t="shared" si="22"/>
        <v>4594.189290838538</v>
      </c>
      <c r="D61" s="3">
        <f t="shared" si="23"/>
        <v>5099.1651258048078</v>
      </c>
      <c r="E61" s="3">
        <f t="shared" si="15"/>
        <v>9693.3544166433458</v>
      </c>
      <c r="F61" s="3">
        <f t="shared" si="20"/>
        <v>1283615.9477545863</v>
      </c>
    </row>
    <row r="62" spans="1:7" ht="15.75" customHeight="1">
      <c r="A62" s="9">
        <v>43586</v>
      </c>
      <c r="B62" s="3">
        <f t="shared" si="21"/>
        <v>1283615.9477545863</v>
      </c>
      <c r="C62" s="3">
        <f t="shared" si="22"/>
        <v>4612.3746234481077</v>
      </c>
      <c r="D62" s="3">
        <f t="shared" si="23"/>
        <v>5080.979793195238</v>
      </c>
      <c r="E62" s="3">
        <f t="shared" si="15"/>
        <v>9693.3544166433458</v>
      </c>
      <c r="F62" s="3">
        <f t="shared" si="20"/>
        <v>1279003.5731311382</v>
      </c>
    </row>
    <row r="63" spans="1:7" ht="15.75" customHeight="1">
      <c r="A63" s="9">
        <v>43617</v>
      </c>
      <c r="B63" s="3">
        <f t="shared" si="21"/>
        <v>1279003.5731311382</v>
      </c>
      <c r="C63" s="3">
        <f t="shared" si="22"/>
        <v>4630.6319396659228</v>
      </c>
      <c r="D63" s="3">
        <f t="shared" si="23"/>
        <v>5062.722476977423</v>
      </c>
      <c r="E63" s="3">
        <f t="shared" si="15"/>
        <v>9693.3544166433458</v>
      </c>
      <c r="F63" s="3">
        <f t="shared" si="20"/>
        <v>1274372.9411914723</v>
      </c>
    </row>
    <row r="64" spans="1:7" ht="15.75" customHeight="1">
      <c r="A64" s="9">
        <v>43647</v>
      </c>
      <c r="B64" s="3">
        <f t="shared" si="21"/>
        <v>1274372.9411914723</v>
      </c>
      <c r="C64" s="3">
        <f t="shared" si="22"/>
        <v>4648.9615244271008</v>
      </c>
      <c r="D64" s="3">
        <f t="shared" si="23"/>
        <v>5044.3928922162449</v>
      </c>
      <c r="E64" s="3">
        <f t="shared" si="15"/>
        <v>9693.3544166433458</v>
      </c>
      <c r="F64" s="3">
        <f t="shared" si="20"/>
        <v>1269723.9796670452</v>
      </c>
    </row>
    <row r="65" spans="1:6" ht="15.75" customHeight="1">
      <c r="A65" s="9">
        <v>43678</v>
      </c>
      <c r="B65" s="3">
        <f t="shared" si="21"/>
        <v>1269723.9796670452</v>
      </c>
      <c r="C65" s="3">
        <f t="shared" si="22"/>
        <v>4667.3636637946247</v>
      </c>
      <c r="D65" s="3">
        <f t="shared" si="23"/>
        <v>5025.9907528487211</v>
      </c>
      <c r="E65" s="3">
        <f t="shared" si="15"/>
        <v>9693.3544166433458</v>
      </c>
      <c r="F65" s="3">
        <f t="shared" si="20"/>
        <v>1265056.6160032505</v>
      </c>
    </row>
    <row r="66" spans="1:6" ht="15.75" customHeight="1">
      <c r="A66" s="9">
        <v>43709</v>
      </c>
      <c r="B66" s="3">
        <f t="shared" si="21"/>
        <v>1265056.6160032505</v>
      </c>
      <c r="C66" s="3">
        <f t="shared" si="22"/>
        <v>4685.8386449638119</v>
      </c>
      <c r="D66" s="3">
        <f t="shared" si="23"/>
        <v>5007.5157716795338</v>
      </c>
      <c r="E66" s="3">
        <f t="shared" si="15"/>
        <v>9693.3544166433458</v>
      </c>
      <c r="F66" s="3">
        <f t="shared" si="20"/>
        <v>1260370.7773582865</v>
      </c>
    </row>
    <row r="67" spans="1:6" ht="15.75" customHeight="1">
      <c r="A67" s="9">
        <v>43739</v>
      </c>
      <c r="B67" s="3">
        <f t="shared" si="21"/>
        <v>1260370.7773582865</v>
      </c>
      <c r="C67" s="3">
        <f t="shared" si="22"/>
        <v>4704.3867562667947</v>
      </c>
      <c r="D67" s="3">
        <f t="shared" si="23"/>
        <v>4988.9676603765511</v>
      </c>
      <c r="E67" s="3">
        <f t="shared" si="15"/>
        <v>9693.3544166433458</v>
      </c>
      <c r="F67" s="3">
        <f t="shared" si="20"/>
        <v>1255666.3906020198</v>
      </c>
    </row>
    <row r="68" spans="1:6" ht="15.75" customHeight="1">
      <c r="A68" s="9">
        <v>43770</v>
      </c>
      <c r="B68" s="3">
        <f t="shared" si="21"/>
        <v>1255666.3906020198</v>
      </c>
      <c r="C68" s="3">
        <f t="shared" si="22"/>
        <v>4723.0082871770164</v>
      </c>
      <c r="D68" s="3">
        <f t="shared" si="23"/>
        <v>4970.3461294663293</v>
      </c>
      <c r="E68" s="3">
        <f t="shared" si="15"/>
        <v>9693.3544166433458</v>
      </c>
      <c r="F68" s="3">
        <f t="shared" si="20"/>
        <v>1250943.3823148429</v>
      </c>
    </row>
    <row r="69" spans="1:6" ht="15.75" customHeight="1">
      <c r="A69" s="9">
        <v>43800</v>
      </c>
      <c r="B69" s="3">
        <f t="shared" si="21"/>
        <v>1250943.3823148429</v>
      </c>
      <c r="C69" s="3">
        <f t="shared" si="22"/>
        <v>4741.7035283137593</v>
      </c>
      <c r="D69" s="3">
        <f t="shared" si="23"/>
        <v>4951.6508883295865</v>
      </c>
      <c r="E69" s="3">
        <f t="shared" si="15"/>
        <v>9693.3544166433458</v>
      </c>
      <c r="F69" s="6">
        <f t="shared" si="20"/>
        <v>1246201.6787865292</v>
      </c>
    </row>
    <row r="70" spans="1:6" ht="15.75" customHeight="1">
      <c r="A70" s="7" t="s">
        <v>68</v>
      </c>
      <c r="B70" s="8"/>
      <c r="C70" s="6">
        <f>SUM(C58:C69)</f>
        <v>55682.62972137046</v>
      </c>
      <c r="D70" s="6">
        <f>SUM(D58:D69)</f>
        <v>60637.623278349696</v>
      </c>
    </row>
    <row r="71" spans="1:6" ht="15.75" customHeight="1">
      <c r="B71" s="2"/>
      <c r="C71" s="3"/>
      <c r="D71" s="3"/>
      <c r="E71" s="3"/>
      <c r="F71" s="3"/>
    </row>
    <row r="72" spans="1:6" ht="15.75" customHeight="1">
      <c r="A72" s="9">
        <v>43831</v>
      </c>
      <c r="B72" s="3">
        <f t="shared" ref="B72" si="24">+F69</f>
        <v>1246201.6787865292</v>
      </c>
      <c r="C72" s="3">
        <f t="shared" ref="C72:C83" si="25">+E72-D72</f>
        <v>4760.4727714466671</v>
      </c>
      <c r="D72" s="3">
        <f t="shared" ref="D72:D83" si="26">B72*$I$2</f>
        <v>4932.8816451966786</v>
      </c>
      <c r="E72" s="3">
        <f t="shared" ref="E72:E135" si="27">-$I$8</f>
        <v>9693.3544166433458</v>
      </c>
      <c r="F72" s="3">
        <f t="shared" ref="F72:F83" si="28">+B72-C72</f>
        <v>1241441.2060150825</v>
      </c>
    </row>
    <row r="73" spans="1:6" ht="15.75" customHeight="1">
      <c r="A73" s="9">
        <v>43862</v>
      </c>
      <c r="B73" s="3">
        <f t="shared" ref="B73:B83" si="29">+F72</f>
        <v>1241441.2060150825</v>
      </c>
      <c r="C73" s="3">
        <f t="shared" si="25"/>
        <v>4779.3163095003101</v>
      </c>
      <c r="D73" s="3">
        <f t="shared" si="26"/>
        <v>4914.0381071430356</v>
      </c>
      <c r="E73" s="3">
        <f t="shared" si="27"/>
        <v>9693.3544166433458</v>
      </c>
      <c r="F73" s="3">
        <f t="shared" si="28"/>
        <v>1236661.8897055823</v>
      </c>
    </row>
    <row r="74" spans="1:6" ht="15.75" customHeight="1">
      <c r="A74" s="9">
        <v>43891</v>
      </c>
      <c r="B74" s="3">
        <f t="shared" si="29"/>
        <v>1236661.8897055823</v>
      </c>
      <c r="C74" s="3">
        <f t="shared" si="25"/>
        <v>4798.2344365587487</v>
      </c>
      <c r="D74" s="3">
        <f t="shared" si="26"/>
        <v>4895.119980084597</v>
      </c>
      <c r="E74" s="3">
        <f t="shared" si="27"/>
        <v>9693.3544166433458</v>
      </c>
      <c r="F74" s="3">
        <f t="shared" si="28"/>
        <v>1231863.6552690235</v>
      </c>
    </row>
    <row r="75" spans="1:6" ht="15.75" customHeight="1">
      <c r="A75" s="9">
        <v>43922</v>
      </c>
      <c r="B75" s="3">
        <f t="shared" si="29"/>
        <v>1231863.6552690235</v>
      </c>
      <c r="C75" s="3">
        <f t="shared" si="25"/>
        <v>4817.2274478701274</v>
      </c>
      <c r="D75" s="3">
        <f t="shared" si="26"/>
        <v>4876.1269687732183</v>
      </c>
      <c r="E75" s="3">
        <f t="shared" si="27"/>
        <v>9693.3544166433458</v>
      </c>
      <c r="F75" s="3">
        <f t="shared" si="28"/>
        <v>1227046.4278211533</v>
      </c>
    </row>
    <row r="76" spans="1:6" ht="15.75" customHeight="1">
      <c r="A76" s="9">
        <v>43952</v>
      </c>
      <c r="B76" s="3">
        <f t="shared" si="29"/>
        <v>1227046.4278211533</v>
      </c>
      <c r="C76" s="3">
        <f t="shared" si="25"/>
        <v>4836.2956398512806</v>
      </c>
      <c r="D76" s="3">
        <f t="shared" si="26"/>
        <v>4857.0587767920651</v>
      </c>
      <c r="E76" s="3">
        <f t="shared" si="27"/>
        <v>9693.3544166433458</v>
      </c>
      <c r="F76" s="3">
        <f t="shared" si="28"/>
        <v>1222210.1321813019</v>
      </c>
    </row>
    <row r="77" spans="1:6" ht="15.75" customHeight="1">
      <c r="A77" s="9">
        <v>43983</v>
      </c>
      <c r="B77" s="3">
        <f t="shared" si="29"/>
        <v>1222210.1321813019</v>
      </c>
      <c r="C77" s="3">
        <f t="shared" si="25"/>
        <v>4855.439310092358</v>
      </c>
      <c r="D77" s="3">
        <f t="shared" si="26"/>
        <v>4837.9151065509877</v>
      </c>
      <c r="E77" s="3">
        <f t="shared" si="27"/>
        <v>9693.3544166433458</v>
      </c>
      <c r="F77" s="3">
        <f t="shared" si="28"/>
        <v>1217354.6928712097</v>
      </c>
    </row>
    <row r="78" spans="1:6" ht="15.75" customHeight="1">
      <c r="A78" s="9">
        <v>44013</v>
      </c>
      <c r="B78" s="3">
        <f t="shared" si="29"/>
        <v>1217354.6928712097</v>
      </c>
      <c r="C78" s="3">
        <f t="shared" si="25"/>
        <v>4874.6587573614734</v>
      </c>
      <c r="D78" s="3">
        <f t="shared" si="26"/>
        <v>4818.6956592818724</v>
      </c>
      <c r="E78" s="3">
        <f t="shared" si="27"/>
        <v>9693.3544166433458</v>
      </c>
      <c r="F78" s="3">
        <f t="shared" si="28"/>
        <v>1212480.0341138481</v>
      </c>
    </row>
    <row r="79" spans="1:6" ht="15.75" customHeight="1">
      <c r="A79" s="9">
        <v>44044</v>
      </c>
      <c r="B79" s="3">
        <f t="shared" si="29"/>
        <v>1212480.0341138481</v>
      </c>
      <c r="C79" s="3">
        <f t="shared" si="25"/>
        <v>4893.9542816093635</v>
      </c>
      <c r="D79" s="3">
        <f t="shared" si="26"/>
        <v>4799.4001350339822</v>
      </c>
      <c r="E79" s="3">
        <f t="shared" si="27"/>
        <v>9693.3544166433458</v>
      </c>
      <c r="F79" s="3">
        <f t="shared" si="28"/>
        <v>1207586.0798322388</v>
      </c>
    </row>
    <row r="80" spans="1:6" ht="15.75" customHeight="1">
      <c r="A80" s="9">
        <v>44075</v>
      </c>
      <c r="B80" s="3">
        <f t="shared" si="29"/>
        <v>1207586.0798322388</v>
      </c>
      <c r="C80" s="3">
        <f t="shared" si="25"/>
        <v>4913.3261839740662</v>
      </c>
      <c r="D80" s="3">
        <f t="shared" si="26"/>
        <v>4780.0282326692795</v>
      </c>
      <c r="E80" s="3">
        <f t="shared" si="27"/>
        <v>9693.3544166433458</v>
      </c>
      <c r="F80" s="3">
        <f t="shared" si="28"/>
        <v>1202672.7536482648</v>
      </c>
    </row>
    <row r="81" spans="1:6" ht="15.75" customHeight="1">
      <c r="A81" s="9">
        <v>44105</v>
      </c>
      <c r="B81" s="3">
        <f t="shared" si="29"/>
        <v>1202672.7536482648</v>
      </c>
      <c r="C81" s="3">
        <f t="shared" si="25"/>
        <v>4932.7747667856302</v>
      </c>
      <c r="D81" s="3">
        <f t="shared" si="26"/>
        <v>4760.5796498577156</v>
      </c>
      <c r="E81" s="3">
        <f t="shared" si="27"/>
        <v>9693.3544166433458</v>
      </c>
      <c r="F81" s="3">
        <f t="shared" si="28"/>
        <v>1197739.9788814792</v>
      </c>
    </row>
    <row r="82" spans="1:6" ht="15.75" customHeight="1">
      <c r="A82" s="9">
        <v>44136</v>
      </c>
      <c r="B82" s="3">
        <f t="shared" si="29"/>
        <v>1197739.9788814792</v>
      </c>
      <c r="C82" s="3">
        <f t="shared" si="25"/>
        <v>4952.3003335708236</v>
      </c>
      <c r="D82" s="3">
        <f t="shared" si="26"/>
        <v>4741.0540830725222</v>
      </c>
      <c r="E82" s="3">
        <f t="shared" si="27"/>
        <v>9693.3544166433458</v>
      </c>
      <c r="F82" s="3">
        <f t="shared" si="28"/>
        <v>1192787.6785479083</v>
      </c>
    </row>
    <row r="83" spans="1:6" ht="15.75" customHeight="1">
      <c r="A83" s="9">
        <v>44166</v>
      </c>
      <c r="B83" s="3">
        <f t="shared" si="29"/>
        <v>1192787.6785479083</v>
      </c>
      <c r="C83" s="3">
        <f t="shared" si="25"/>
        <v>4971.9031890578754</v>
      </c>
      <c r="D83" s="3">
        <f t="shared" si="26"/>
        <v>4721.4512275854704</v>
      </c>
      <c r="E83" s="3">
        <f t="shared" si="27"/>
        <v>9693.3544166433458</v>
      </c>
      <c r="F83" s="6">
        <f t="shared" si="28"/>
        <v>1187815.7753588504</v>
      </c>
    </row>
    <row r="84" spans="1:6" ht="15.75" customHeight="1">
      <c r="A84" s="7" t="s">
        <v>68</v>
      </c>
      <c r="B84" s="8"/>
      <c r="C84" s="6">
        <f t="shared" ref="C84:D84" si="30">SUM(C72:C83)</f>
        <v>58385.903427678728</v>
      </c>
      <c r="D84" s="6">
        <f t="shared" si="30"/>
        <v>57934.349572041436</v>
      </c>
    </row>
    <row r="85" spans="1:6" ht="15.75" customHeight="1">
      <c r="B85" s="2"/>
      <c r="C85" s="3"/>
      <c r="D85" s="3"/>
      <c r="E85" s="3"/>
      <c r="F85" s="3"/>
    </row>
    <row r="86" spans="1:6" ht="15.75" customHeight="1">
      <c r="A86" s="9">
        <v>44197</v>
      </c>
      <c r="B86" s="3">
        <f t="shared" ref="B86" si="31">+F83</f>
        <v>1187815.7753588504</v>
      </c>
      <c r="C86" s="3">
        <f t="shared" ref="C86:C97" si="32">+E86-D86</f>
        <v>4991.583639181229</v>
      </c>
      <c r="D86" s="3">
        <f t="shared" ref="D86:D97" si="33">B86*$I$2</f>
        <v>4701.7707774621167</v>
      </c>
      <c r="E86" s="3">
        <f t="shared" ref="E86" si="34">-$I$8</f>
        <v>9693.3544166433458</v>
      </c>
      <c r="F86" s="3">
        <f t="shared" ref="F86:F97" si="35">+B86-C86</f>
        <v>1182824.1917196692</v>
      </c>
    </row>
    <row r="87" spans="1:6" ht="15.75" customHeight="1">
      <c r="A87" s="9">
        <v>44228</v>
      </c>
      <c r="B87" s="3">
        <f t="shared" ref="B87:B97" si="36">+F86</f>
        <v>1182824.1917196692</v>
      </c>
      <c r="C87" s="3">
        <f t="shared" si="32"/>
        <v>5011.3419910863213</v>
      </c>
      <c r="D87" s="3">
        <f t="shared" si="33"/>
        <v>4682.0124255570245</v>
      </c>
      <c r="E87" s="3">
        <f t="shared" si="27"/>
        <v>9693.3544166433458</v>
      </c>
      <c r="F87" s="3">
        <f t="shared" si="35"/>
        <v>1177812.8497285829</v>
      </c>
    </row>
    <row r="88" spans="1:6" ht="15.75" customHeight="1">
      <c r="A88" s="9">
        <v>44256</v>
      </c>
      <c r="B88" s="3">
        <f t="shared" si="36"/>
        <v>1177812.8497285829</v>
      </c>
      <c r="C88" s="3">
        <f t="shared" si="32"/>
        <v>5031.1785531343712</v>
      </c>
      <c r="D88" s="3">
        <f t="shared" si="33"/>
        <v>4662.1758635089745</v>
      </c>
      <c r="E88" s="3">
        <f t="shared" si="27"/>
        <v>9693.3544166433458</v>
      </c>
      <c r="F88" s="3">
        <f t="shared" si="35"/>
        <v>1172781.6711754485</v>
      </c>
    </row>
    <row r="89" spans="1:6" ht="15.75" customHeight="1">
      <c r="A89" s="9">
        <v>44287</v>
      </c>
      <c r="B89" s="3">
        <f t="shared" si="36"/>
        <v>1172781.6711754485</v>
      </c>
      <c r="C89" s="3">
        <f t="shared" si="32"/>
        <v>5051.0936349071953</v>
      </c>
      <c r="D89" s="3">
        <f t="shared" si="33"/>
        <v>4642.2607817361504</v>
      </c>
      <c r="E89" s="3">
        <f t="shared" si="27"/>
        <v>9693.3544166433458</v>
      </c>
      <c r="F89" s="3">
        <f t="shared" si="35"/>
        <v>1167730.5775405413</v>
      </c>
    </row>
    <row r="90" spans="1:6" ht="15.75" customHeight="1">
      <c r="A90" s="9">
        <v>44317</v>
      </c>
      <c r="B90" s="3">
        <f t="shared" si="36"/>
        <v>1167730.5775405413</v>
      </c>
      <c r="C90" s="3">
        <f t="shared" si="32"/>
        <v>5071.087547212036</v>
      </c>
      <c r="D90" s="3">
        <f t="shared" si="33"/>
        <v>4622.2668694313097</v>
      </c>
      <c r="E90" s="3">
        <f t="shared" si="27"/>
        <v>9693.3544166433458</v>
      </c>
      <c r="F90" s="3">
        <f t="shared" si="35"/>
        <v>1162659.4899933292</v>
      </c>
    </row>
    <row r="91" spans="1:6" ht="15.75" customHeight="1">
      <c r="A91" s="9">
        <v>44348</v>
      </c>
      <c r="B91" s="3">
        <f t="shared" si="36"/>
        <v>1162659.4899933292</v>
      </c>
      <c r="C91" s="3">
        <f t="shared" si="32"/>
        <v>5091.1606020864174</v>
      </c>
      <c r="D91" s="3">
        <f t="shared" si="33"/>
        <v>4602.1938145569284</v>
      </c>
      <c r="E91" s="3">
        <f t="shared" si="27"/>
        <v>9693.3544166433458</v>
      </c>
      <c r="F91" s="3">
        <f t="shared" si="35"/>
        <v>1157568.3293912427</v>
      </c>
    </row>
    <row r="92" spans="1:6" ht="15.75" customHeight="1">
      <c r="A92" s="9">
        <v>44378</v>
      </c>
      <c r="B92" s="3">
        <f t="shared" si="36"/>
        <v>1157568.3293912427</v>
      </c>
      <c r="C92" s="3">
        <f t="shared" si="32"/>
        <v>5111.31311280301</v>
      </c>
      <c r="D92" s="3">
        <f t="shared" si="33"/>
        <v>4582.0413038403358</v>
      </c>
      <c r="E92" s="3">
        <f t="shared" si="27"/>
        <v>9693.3544166433458</v>
      </c>
      <c r="F92" s="3">
        <f t="shared" si="35"/>
        <v>1152457.0162784397</v>
      </c>
    </row>
    <row r="93" spans="1:6" ht="15.75" customHeight="1">
      <c r="A93" s="9">
        <v>44409</v>
      </c>
      <c r="B93" s="3">
        <f t="shared" si="36"/>
        <v>1152457.0162784397</v>
      </c>
      <c r="C93" s="3">
        <f t="shared" si="32"/>
        <v>5131.5453938745213</v>
      </c>
      <c r="D93" s="3">
        <f t="shared" si="33"/>
        <v>4561.8090227688244</v>
      </c>
      <c r="E93" s="3">
        <f t="shared" si="27"/>
        <v>9693.3544166433458</v>
      </c>
      <c r="F93" s="3">
        <f t="shared" si="35"/>
        <v>1147325.470884565</v>
      </c>
    </row>
    <row r="94" spans="1:6" ht="15.75" customHeight="1">
      <c r="A94" s="9">
        <v>44440</v>
      </c>
      <c r="B94" s="3">
        <f t="shared" si="36"/>
        <v>1147325.470884565</v>
      </c>
      <c r="C94" s="3">
        <f t="shared" si="32"/>
        <v>5151.857761058609</v>
      </c>
      <c r="D94" s="3">
        <f t="shared" si="33"/>
        <v>4541.4966555847368</v>
      </c>
      <c r="E94" s="3">
        <f t="shared" si="27"/>
        <v>9693.3544166433458</v>
      </c>
      <c r="F94" s="3">
        <f t="shared" si="35"/>
        <v>1142173.6131235063</v>
      </c>
    </row>
    <row r="95" spans="1:6" ht="15.75" customHeight="1">
      <c r="A95" s="9">
        <v>44470</v>
      </c>
      <c r="B95" s="3">
        <f t="shared" si="36"/>
        <v>1142173.6131235063</v>
      </c>
      <c r="C95" s="3">
        <f t="shared" si="32"/>
        <v>5172.2505313627998</v>
      </c>
      <c r="D95" s="3">
        <f t="shared" si="33"/>
        <v>4521.1038852805459</v>
      </c>
      <c r="E95" s="3">
        <f t="shared" si="27"/>
        <v>9693.3544166433458</v>
      </c>
      <c r="F95" s="3">
        <f t="shared" si="35"/>
        <v>1137001.3625921435</v>
      </c>
    </row>
    <row r="96" spans="1:6" ht="15.75" customHeight="1">
      <c r="A96" s="9">
        <v>44501</v>
      </c>
      <c r="B96" s="3">
        <f t="shared" si="36"/>
        <v>1137001.3625921435</v>
      </c>
      <c r="C96" s="3">
        <f t="shared" si="32"/>
        <v>5192.7240230494444</v>
      </c>
      <c r="D96" s="3">
        <f t="shared" si="33"/>
        <v>4500.6303935939013</v>
      </c>
      <c r="E96" s="3">
        <f t="shared" si="27"/>
        <v>9693.3544166433458</v>
      </c>
      <c r="F96" s="3">
        <f t="shared" si="35"/>
        <v>1131808.638569094</v>
      </c>
    </row>
    <row r="97" spans="1:6" ht="15.75" customHeight="1">
      <c r="A97" s="9">
        <v>44531</v>
      </c>
      <c r="B97" s="3">
        <f t="shared" si="36"/>
        <v>1131808.638569094</v>
      </c>
      <c r="C97" s="3">
        <f t="shared" si="32"/>
        <v>5213.2785556406816</v>
      </c>
      <c r="D97" s="3">
        <f t="shared" si="33"/>
        <v>4480.0758610026642</v>
      </c>
      <c r="E97" s="3">
        <f t="shared" si="27"/>
        <v>9693.3544166433458</v>
      </c>
      <c r="F97" s="6">
        <f t="shared" si="35"/>
        <v>1126595.3600134533</v>
      </c>
    </row>
    <row r="98" spans="1:6" ht="15.75" customHeight="1">
      <c r="A98" s="7" t="s">
        <v>68</v>
      </c>
      <c r="B98" s="8"/>
      <c r="C98" s="6">
        <f t="shared" ref="C98:D98" si="37">SUM(C86:C97)</f>
        <v>61220.415345396628</v>
      </c>
      <c r="D98" s="6">
        <f t="shared" si="37"/>
        <v>55099.837654323506</v>
      </c>
    </row>
    <row r="99" spans="1:6" ht="15.75" customHeight="1">
      <c r="B99" s="2"/>
      <c r="C99" s="3"/>
      <c r="D99" s="3"/>
      <c r="E99" s="3"/>
      <c r="F99" s="3"/>
    </row>
    <row r="100" spans="1:6" ht="15.75" customHeight="1">
      <c r="A100" s="9">
        <v>44562</v>
      </c>
      <c r="B100" s="3">
        <f t="shared" ref="B100" si="38">+F97</f>
        <v>1126595.3600134533</v>
      </c>
      <c r="C100" s="3">
        <f t="shared" ref="C100:C111" si="39">+E100-D100</f>
        <v>5233.9144499234262</v>
      </c>
      <c r="D100" s="3">
        <f t="shared" ref="D100:D111" si="40">B100*$I$2</f>
        <v>4459.4399667199195</v>
      </c>
      <c r="E100" s="3">
        <f t="shared" ref="E100" si="41">-$I$8</f>
        <v>9693.3544166433458</v>
      </c>
      <c r="F100" s="3">
        <f t="shared" ref="F100:F111" si="42">+B100-C100</f>
        <v>1121361.4455635299</v>
      </c>
    </row>
    <row r="101" spans="1:6" ht="15.75" customHeight="1">
      <c r="A101" s="9">
        <v>44593</v>
      </c>
      <c r="B101" s="3">
        <f t="shared" ref="B101:B111" si="43">+F100</f>
        <v>1121361.4455635299</v>
      </c>
      <c r="C101" s="3">
        <f t="shared" si="39"/>
        <v>5254.6320279543734</v>
      </c>
      <c r="D101" s="3">
        <f t="shared" si="40"/>
        <v>4438.7223886889724</v>
      </c>
      <c r="E101" s="3">
        <f t="shared" si="27"/>
        <v>9693.3544166433458</v>
      </c>
      <c r="F101" s="3">
        <f t="shared" si="42"/>
        <v>1116106.8135355755</v>
      </c>
    </row>
    <row r="102" spans="1:6" ht="15.75" customHeight="1">
      <c r="A102" s="9">
        <v>44621</v>
      </c>
      <c r="B102" s="3">
        <f t="shared" si="43"/>
        <v>1116106.8135355755</v>
      </c>
      <c r="C102" s="3">
        <f t="shared" si="39"/>
        <v>5275.4316130650259</v>
      </c>
      <c r="D102" s="3">
        <f t="shared" si="40"/>
        <v>4417.9228035783199</v>
      </c>
      <c r="E102" s="3">
        <f t="shared" si="27"/>
        <v>9693.3544166433458</v>
      </c>
      <c r="F102" s="3">
        <f t="shared" si="42"/>
        <v>1110831.3819225105</v>
      </c>
    </row>
    <row r="103" spans="1:6" ht="15.75" customHeight="1">
      <c r="A103" s="9">
        <v>44652</v>
      </c>
      <c r="B103" s="3">
        <f t="shared" si="43"/>
        <v>1110831.3819225105</v>
      </c>
      <c r="C103" s="3">
        <f t="shared" si="39"/>
        <v>5296.3135298667412</v>
      </c>
      <c r="D103" s="3">
        <f t="shared" si="40"/>
        <v>4397.0408867766046</v>
      </c>
      <c r="E103" s="3">
        <f t="shared" si="27"/>
        <v>9693.3544166433458</v>
      </c>
      <c r="F103" s="3">
        <f t="shared" si="42"/>
        <v>1105535.0683926437</v>
      </c>
    </row>
    <row r="104" spans="1:6" ht="15.75" customHeight="1">
      <c r="A104" s="9">
        <v>44682</v>
      </c>
      <c r="B104" s="3">
        <f t="shared" si="43"/>
        <v>1105535.0683926437</v>
      </c>
      <c r="C104" s="3">
        <f t="shared" si="39"/>
        <v>5317.2781042557972</v>
      </c>
      <c r="D104" s="3">
        <f t="shared" si="40"/>
        <v>4376.0763123875486</v>
      </c>
      <c r="E104" s="3">
        <f t="shared" si="27"/>
        <v>9693.3544166433458</v>
      </c>
      <c r="F104" s="3">
        <f t="shared" si="42"/>
        <v>1100217.7902883878</v>
      </c>
    </row>
    <row r="105" spans="1:6" ht="15.75" customHeight="1">
      <c r="A105" s="9">
        <v>44713</v>
      </c>
      <c r="B105" s="3">
        <f t="shared" si="43"/>
        <v>1100217.7902883878</v>
      </c>
      <c r="C105" s="3">
        <f t="shared" si="39"/>
        <v>5338.3256634184772</v>
      </c>
      <c r="D105" s="3">
        <f t="shared" si="40"/>
        <v>4355.0287532248685</v>
      </c>
      <c r="E105" s="3">
        <f t="shared" si="27"/>
        <v>9693.3544166433458</v>
      </c>
      <c r="F105" s="3">
        <f t="shared" si="42"/>
        <v>1094879.4646249693</v>
      </c>
    </row>
    <row r="106" spans="1:6" ht="15.75" customHeight="1">
      <c r="A106" s="9">
        <v>44743</v>
      </c>
      <c r="B106" s="3">
        <f t="shared" si="43"/>
        <v>1094879.4646249693</v>
      </c>
      <c r="C106" s="3">
        <f t="shared" si="39"/>
        <v>5359.4565358361751</v>
      </c>
      <c r="D106" s="3">
        <f t="shared" si="40"/>
        <v>4333.8978808071706</v>
      </c>
      <c r="E106" s="3">
        <f t="shared" si="27"/>
        <v>9693.3544166433458</v>
      </c>
      <c r="F106" s="3">
        <f t="shared" si="42"/>
        <v>1089520.0080891331</v>
      </c>
    </row>
    <row r="107" spans="1:6" ht="15.75" customHeight="1">
      <c r="A107" s="9">
        <v>44774</v>
      </c>
      <c r="B107" s="3">
        <f t="shared" si="43"/>
        <v>1089520.0080891331</v>
      </c>
      <c r="C107" s="3">
        <f t="shared" si="39"/>
        <v>5380.6710512905274</v>
      </c>
      <c r="D107" s="3">
        <f t="shared" si="40"/>
        <v>4312.6833653528183</v>
      </c>
      <c r="E107" s="3">
        <f t="shared" si="27"/>
        <v>9693.3544166433458</v>
      </c>
      <c r="F107" s="3">
        <f t="shared" si="42"/>
        <v>1084139.3370378425</v>
      </c>
    </row>
    <row r="108" spans="1:6" ht="15.75" customHeight="1">
      <c r="A108" s="9">
        <v>44805</v>
      </c>
      <c r="B108" s="3">
        <f t="shared" si="43"/>
        <v>1084139.3370378425</v>
      </c>
      <c r="C108" s="3">
        <f t="shared" si="39"/>
        <v>5401.969540868552</v>
      </c>
      <c r="D108" s="3">
        <f t="shared" si="40"/>
        <v>4291.3848757747937</v>
      </c>
      <c r="E108" s="3">
        <f t="shared" si="27"/>
        <v>9693.3544166433458</v>
      </c>
      <c r="F108" s="3">
        <f t="shared" si="42"/>
        <v>1078737.3674969738</v>
      </c>
    </row>
    <row r="109" spans="1:6" ht="15.75" customHeight="1">
      <c r="A109" s="9">
        <v>44835</v>
      </c>
      <c r="B109" s="3">
        <f t="shared" si="43"/>
        <v>1078737.3674969738</v>
      </c>
      <c r="C109" s="3">
        <f t="shared" si="39"/>
        <v>5423.3523369678242</v>
      </c>
      <c r="D109" s="3">
        <f t="shared" si="40"/>
        <v>4270.0020796755216</v>
      </c>
      <c r="E109" s="3">
        <f t="shared" si="27"/>
        <v>9693.3544166433458</v>
      </c>
      <c r="F109" s="3">
        <f t="shared" si="42"/>
        <v>1073314.015160006</v>
      </c>
    </row>
    <row r="110" spans="1:6" ht="15.75" customHeight="1">
      <c r="A110" s="9">
        <v>44866</v>
      </c>
      <c r="B110" s="3">
        <f t="shared" si="43"/>
        <v>1073314.015160006</v>
      </c>
      <c r="C110" s="3">
        <f t="shared" si="39"/>
        <v>5444.819773301655</v>
      </c>
      <c r="D110" s="3">
        <f t="shared" si="40"/>
        <v>4248.5346433416908</v>
      </c>
      <c r="E110" s="3">
        <f t="shared" si="27"/>
        <v>9693.3544166433458</v>
      </c>
      <c r="F110" s="3">
        <f t="shared" si="42"/>
        <v>1067869.1953867043</v>
      </c>
    </row>
    <row r="111" spans="1:6" ht="15.75" customHeight="1">
      <c r="A111" s="9">
        <v>44896</v>
      </c>
      <c r="B111" s="3">
        <f t="shared" si="43"/>
        <v>1067869.1953867043</v>
      </c>
      <c r="C111" s="3">
        <f t="shared" si="39"/>
        <v>5466.3721849043077</v>
      </c>
      <c r="D111" s="3">
        <f t="shared" si="40"/>
        <v>4226.9822317390381</v>
      </c>
      <c r="E111" s="3">
        <f t="shared" si="27"/>
        <v>9693.3544166433458</v>
      </c>
      <c r="F111" s="6">
        <f t="shared" si="42"/>
        <v>1062402.8232018</v>
      </c>
    </row>
    <row r="112" spans="1:6" ht="15.75" customHeight="1">
      <c r="A112" s="7" t="s">
        <v>68</v>
      </c>
      <c r="B112" s="8"/>
      <c r="C112" s="6">
        <f t="shared" ref="C112:D112" si="44">SUM(C100:C111)</f>
        <v>64192.536811652877</v>
      </c>
      <c r="D112" s="6">
        <f t="shared" si="44"/>
        <v>52127.716188067257</v>
      </c>
    </row>
    <row r="113" spans="1:6" ht="15.75" customHeight="1">
      <c r="B113" s="2"/>
      <c r="C113" s="3"/>
      <c r="D113" s="3"/>
      <c r="E113" s="3"/>
      <c r="F113" s="3"/>
    </row>
    <row r="114" spans="1:6" ht="15.75" customHeight="1">
      <c r="A114" s="9">
        <v>44927</v>
      </c>
      <c r="B114" s="3">
        <f t="shared" ref="B114" si="45">+F111</f>
        <v>1062402.8232018</v>
      </c>
      <c r="C114" s="3">
        <f t="shared" ref="C114:C125" si="46">+E114-D114</f>
        <v>5488.0099081362205</v>
      </c>
      <c r="D114" s="3">
        <f t="shared" ref="D114:D125" si="47">B114*$I$2</f>
        <v>4205.3445085071253</v>
      </c>
      <c r="E114" s="3">
        <f t="shared" ref="E114" si="48">-$I$8</f>
        <v>9693.3544166433458</v>
      </c>
      <c r="F114" s="3">
        <f t="shared" ref="F114:F125" si="49">+B114-C114</f>
        <v>1056914.8132936638</v>
      </c>
    </row>
    <row r="115" spans="1:6" ht="15.75" customHeight="1">
      <c r="A115" s="9">
        <v>44958</v>
      </c>
      <c r="B115" s="3">
        <f t="shared" ref="B115:B125" si="50">+F114</f>
        <v>1056914.8132936638</v>
      </c>
      <c r="C115" s="3">
        <f t="shared" si="46"/>
        <v>5509.73328068926</v>
      </c>
      <c r="D115" s="3">
        <f t="shared" si="47"/>
        <v>4183.6211359540857</v>
      </c>
      <c r="E115" s="3">
        <f t="shared" si="27"/>
        <v>9693.3544166433458</v>
      </c>
      <c r="F115" s="3">
        <f t="shared" si="49"/>
        <v>1051405.0800129746</v>
      </c>
    </row>
    <row r="116" spans="1:6" ht="15.75" customHeight="1">
      <c r="A116" s="9">
        <v>44986</v>
      </c>
      <c r="B116" s="3">
        <f t="shared" si="50"/>
        <v>1051405.0800129746</v>
      </c>
      <c r="C116" s="3">
        <f t="shared" si="46"/>
        <v>5531.5426415919874</v>
      </c>
      <c r="D116" s="3">
        <f t="shared" si="47"/>
        <v>4161.8117750513584</v>
      </c>
      <c r="E116" s="3">
        <f t="shared" si="27"/>
        <v>9693.3544166433458</v>
      </c>
      <c r="F116" s="3">
        <f t="shared" si="49"/>
        <v>1045873.5373713826</v>
      </c>
    </row>
    <row r="117" spans="1:6" ht="15.75" customHeight="1">
      <c r="A117" s="9">
        <v>45017</v>
      </c>
      <c r="B117" s="3">
        <f t="shared" si="50"/>
        <v>1045873.5373713826</v>
      </c>
      <c r="C117" s="3">
        <f t="shared" si="46"/>
        <v>5553.4383312149557</v>
      </c>
      <c r="D117" s="3">
        <f t="shared" si="47"/>
        <v>4139.91608542839</v>
      </c>
      <c r="E117" s="3">
        <f t="shared" si="27"/>
        <v>9693.3544166433458</v>
      </c>
      <c r="F117" s="3">
        <f t="shared" si="49"/>
        <v>1040320.0990401676</v>
      </c>
    </row>
    <row r="118" spans="1:6" ht="15.75" customHeight="1">
      <c r="A118" s="9">
        <v>45047</v>
      </c>
      <c r="B118" s="3">
        <f t="shared" si="50"/>
        <v>1040320.0990401676</v>
      </c>
      <c r="C118" s="3">
        <f t="shared" si="46"/>
        <v>5575.4206912760155</v>
      </c>
      <c r="D118" s="3">
        <f t="shared" si="47"/>
        <v>4117.9337253673302</v>
      </c>
      <c r="E118" s="3">
        <f t="shared" si="27"/>
        <v>9693.3544166433458</v>
      </c>
      <c r="F118" s="3">
        <f t="shared" si="49"/>
        <v>1034744.6783488917</v>
      </c>
    </row>
    <row r="119" spans="1:6" ht="15.75" customHeight="1">
      <c r="A119" s="9">
        <v>45078</v>
      </c>
      <c r="B119" s="3">
        <f t="shared" si="50"/>
        <v>1034744.6783488917</v>
      </c>
      <c r="C119" s="3">
        <f t="shared" si="46"/>
        <v>5597.4900648456496</v>
      </c>
      <c r="D119" s="3">
        <f t="shared" si="47"/>
        <v>4095.8643517976966</v>
      </c>
      <c r="E119" s="3">
        <f t="shared" si="27"/>
        <v>9693.3544166433458</v>
      </c>
      <c r="F119" s="3">
        <f t="shared" si="49"/>
        <v>1029147.188284046</v>
      </c>
    </row>
    <row r="120" spans="1:6" ht="15.75" customHeight="1">
      <c r="A120" s="9">
        <v>45108</v>
      </c>
      <c r="B120" s="3">
        <f t="shared" si="50"/>
        <v>1029147.188284046</v>
      </c>
      <c r="C120" s="3">
        <f t="shared" si="46"/>
        <v>5619.6467963523301</v>
      </c>
      <c r="D120" s="3">
        <f t="shared" si="47"/>
        <v>4073.7076202910157</v>
      </c>
      <c r="E120" s="3">
        <f t="shared" si="27"/>
        <v>9693.3544166433458</v>
      </c>
      <c r="F120" s="3">
        <f t="shared" si="49"/>
        <v>1023527.5414876937</v>
      </c>
    </row>
    <row r="121" spans="1:6" ht="15.75" customHeight="1">
      <c r="A121" s="9">
        <v>45139</v>
      </c>
      <c r="B121" s="3">
        <f t="shared" si="50"/>
        <v>1023527.5414876937</v>
      </c>
      <c r="C121" s="3">
        <f t="shared" si="46"/>
        <v>5641.8912315878915</v>
      </c>
      <c r="D121" s="3">
        <f t="shared" si="47"/>
        <v>4051.4631850554542</v>
      </c>
      <c r="E121" s="3">
        <f t="shared" si="27"/>
        <v>9693.3544166433458</v>
      </c>
      <c r="F121" s="3">
        <f t="shared" si="49"/>
        <v>1017885.6502561058</v>
      </c>
    </row>
    <row r="122" spans="1:6" ht="15.75" customHeight="1">
      <c r="A122" s="9">
        <v>45170</v>
      </c>
      <c r="B122" s="3">
        <f t="shared" si="50"/>
        <v>1017885.6502561058</v>
      </c>
      <c r="C122" s="3">
        <f t="shared" si="46"/>
        <v>5664.2237177129264</v>
      </c>
      <c r="D122" s="3">
        <f t="shared" si="47"/>
        <v>4029.1306989304194</v>
      </c>
      <c r="E122" s="3">
        <f t="shared" si="27"/>
        <v>9693.3544166433458</v>
      </c>
      <c r="F122" s="3">
        <f t="shared" si="49"/>
        <v>1012221.4265383929</v>
      </c>
    </row>
    <row r="123" spans="1:6" ht="15.75" customHeight="1">
      <c r="A123" s="9">
        <v>45200</v>
      </c>
      <c r="B123" s="3">
        <f t="shared" si="50"/>
        <v>1012221.4265383929</v>
      </c>
      <c r="C123" s="3">
        <f t="shared" si="46"/>
        <v>5686.6446032622071</v>
      </c>
      <c r="D123" s="3">
        <f t="shared" si="47"/>
        <v>4006.7098133811387</v>
      </c>
      <c r="E123" s="3">
        <f t="shared" si="27"/>
        <v>9693.3544166433458</v>
      </c>
      <c r="F123" s="3">
        <f t="shared" si="49"/>
        <v>1006534.7819351307</v>
      </c>
    </row>
    <row r="124" spans="1:6" ht="15.75" customHeight="1">
      <c r="A124" s="9">
        <v>45231</v>
      </c>
      <c r="B124" s="3">
        <f t="shared" si="50"/>
        <v>1006534.7819351307</v>
      </c>
      <c r="C124" s="3">
        <f t="shared" si="46"/>
        <v>5709.1542381501204</v>
      </c>
      <c r="D124" s="3">
        <f t="shared" si="47"/>
        <v>3984.2001784932258</v>
      </c>
      <c r="E124" s="3">
        <f t="shared" si="27"/>
        <v>9693.3544166433458</v>
      </c>
      <c r="F124" s="3">
        <f t="shared" si="49"/>
        <v>1000825.6276969806</v>
      </c>
    </row>
    <row r="125" spans="1:6" ht="15.75" customHeight="1">
      <c r="A125" s="9">
        <v>45261</v>
      </c>
      <c r="B125" s="3">
        <f t="shared" si="50"/>
        <v>1000825.6276969806</v>
      </c>
      <c r="C125" s="3">
        <f t="shared" si="46"/>
        <v>5731.7529736761308</v>
      </c>
      <c r="D125" s="3">
        <f t="shared" si="47"/>
        <v>3961.601442967215</v>
      </c>
      <c r="E125" s="3">
        <f t="shared" si="27"/>
        <v>9693.3544166433458</v>
      </c>
      <c r="F125" s="6">
        <f t="shared" si="49"/>
        <v>995093.87472330453</v>
      </c>
    </row>
    <row r="126" spans="1:6" ht="15.75" customHeight="1">
      <c r="A126" s="7" t="s">
        <v>68</v>
      </c>
      <c r="B126" s="8"/>
      <c r="C126" s="6">
        <f t="shared" ref="C126:D126" si="51">SUM(C114:C125)</f>
        <v>67308.948478495688</v>
      </c>
      <c r="D126" s="6">
        <f t="shared" si="51"/>
        <v>49011.304521224454</v>
      </c>
    </row>
    <row r="127" spans="1:6" ht="15.75" customHeight="1">
      <c r="B127" s="2"/>
      <c r="C127" s="3"/>
      <c r="D127" s="3"/>
      <c r="E127" s="3"/>
      <c r="F127" s="3"/>
    </row>
    <row r="128" spans="1:6" ht="15.75" customHeight="1">
      <c r="A128" s="9">
        <v>45292</v>
      </c>
      <c r="B128" s="3">
        <f t="shared" ref="B128" si="52">+F125</f>
        <v>995093.87472330453</v>
      </c>
      <c r="C128" s="3">
        <f t="shared" ref="C128:C139" si="53">+E128-D128</f>
        <v>5754.4411625302655</v>
      </c>
      <c r="D128" s="3">
        <f t="shared" ref="D128:D139" si="54">B128*$I$2</f>
        <v>3938.9132541130807</v>
      </c>
      <c r="E128" s="3">
        <f t="shared" ref="E128" si="55">-$I$8</f>
        <v>9693.3544166433458</v>
      </c>
      <c r="F128" s="3">
        <f t="shared" ref="F128:F139" si="56">+B128-C128</f>
        <v>989339.43356077431</v>
      </c>
    </row>
    <row r="129" spans="1:6" ht="15.75" customHeight="1">
      <c r="A129" s="9">
        <v>45323</v>
      </c>
      <c r="B129" s="3">
        <f t="shared" ref="B129:B139" si="57">+F128</f>
        <v>989339.43356077431</v>
      </c>
      <c r="C129" s="3">
        <f t="shared" si="53"/>
        <v>5777.2191587986144</v>
      </c>
      <c r="D129" s="3">
        <f t="shared" si="54"/>
        <v>3916.1352578447318</v>
      </c>
      <c r="E129" s="3">
        <f t="shared" si="27"/>
        <v>9693.3544166433458</v>
      </c>
      <c r="F129" s="3">
        <f t="shared" si="56"/>
        <v>983562.21440197574</v>
      </c>
    </row>
    <row r="130" spans="1:6" ht="15.75" customHeight="1">
      <c r="A130" s="9">
        <v>45352</v>
      </c>
      <c r="B130" s="3">
        <f t="shared" si="57"/>
        <v>983562.21440197574</v>
      </c>
      <c r="C130" s="3">
        <f t="shared" si="53"/>
        <v>5800.0873179688588</v>
      </c>
      <c r="D130" s="3">
        <f t="shared" si="54"/>
        <v>3893.2670986744874</v>
      </c>
      <c r="E130" s="3">
        <f t="shared" si="27"/>
        <v>9693.3544166433458</v>
      </c>
      <c r="F130" s="3">
        <f t="shared" si="56"/>
        <v>977762.1270840069</v>
      </c>
    </row>
    <row r="131" spans="1:6" ht="15.75" customHeight="1">
      <c r="A131" s="9">
        <v>45383</v>
      </c>
      <c r="B131" s="3">
        <f t="shared" si="57"/>
        <v>977762.1270840069</v>
      </c>
      <c r="C131" s="3">
        <f t="shared" si="53"/>
        <v>5823.045996935818</v>
      </c>
      <c r="D131" s="3">
        <f t="shared" si="54"/>
        <v>3870.3084197075277</v>
      </c>
      <c r="E131" s="3">
        <f t="shared" si="27"/>
        <v>9693.3544166433458</v>
      </c>
      <c r="F131" s="3">
        <f t="shared" si="56"/>
        <v>971939.0810870711</v>
      </c>
    </row>
    <row r="132" spans="1:6" ht="15.75" customHeight="1">
      <c r="A132" s="9">
        <v>45413</v>
      </c>
      <c r="B132" s="3">
        <f t="shared" si="57"/>
        <v>971939.0810870711</v>
      </c>
      <c r="C132" s="3">
        <f t="shared" si="53"/>
        <v>5846.0955540070227</v>
      </c>
      <c r="D132" s="3">
        <f t="shared" si="54"/>
        <v>3847.2588626363236</v>
      </c>
      <c r="E132" s="3">
        <f t="shared" si="27"/>
        <v>9693.3544166433458</v>
      </c>
      <c r="F132" s="3">
        <f t="shared" si="56"/>
        <v>966092.98553306411</v>
      </c>
    </row>
    <row r="133" spans="1:6" ht="15.75" customHeight="1">
      <c r="A133" s="9">
        <v>45444</v>
      </c>
      <c r="B133" s="3">
        <f t="shared" si="57"/>
        <v>966092.98553306411</v>
      </c>
      <c r="C133" s="3">
        <f t="shared" si="53"/>
        <v>5869.2363489083</v>
      </c>
      <c r="D133" s="3">
        <f t="shared" si="54"/>
        <v>3824.1180677350458</v>
      </c>
      <c r="E133" s="3">
        <f t="shared" si="27"/>
        <v>9693.3544166433458</v>
      </c>
      <c r="F133" s="3">
        <f t="shared" si="56"/>
        <v>960223.74918415584</v>
      </c>
    </row>
    <row r="134" spans="1:6" ht="15.75" customHeight="1">
      <c r="A134" s="9">
        <v>45474</v>
      </c>
      <c r="B134" s="3">
        <f t="shared" si="57"/>
        <v>960223.74918415584</v>
      </c>
      <c r="C134" s="3">
        <f t="shared" si="53"/>
        <v>5892.468742789395</v>
      </c>
      <c r="D134" s="3">
        <f t="shared" si="54"/>
        <v>3800.8856738539507</v>
      </c>
      <c r="E134" s="3">
        <f t="shared" si="27"/>
        <v>9693.3544166433458</v>
      </c>
      <c r="F134" s="3">
        <f t="shared" si="56"/>
        <v>954331.28044136649</v>
      </c>
    </row>
    <row r="135" spans="1:6" ht="15.75" customHeight="1">
      <c r="A135" s="9">
        <v>45505</v>
      </c>
      <c r="B135" s="3">
        <f t="shared" si="57"/>
        <v>954331.28044136649</v>
      </c>
      <c r="C135" s="3">
        <f t="shared" si="53"/>
        <v>5915.7930982296029</v>
      </c>
      <c r="D135" s="3">
        <f t="shared" si="54"/>
        <v>3777.5613184137428</v>
      </c>
      <c r="E135" s="3">
        <f t="shared" si="27"/>
        <v>9693.3544166433458</v>
      </c>
      <c r="F135" s="3">
        <f t="shared" si="56"/>
        <v>948415.48734313692</v>
      </c>
    </row>
    <row r="136" spans="1:6" ht="15.75" customHeight="1">
      <c r="A136" s="9">
        <v>45536</v>
      </c>
      <c r="B136" s="3">
        <f t="shared" si="57"/>
        <v>948415.48734313692</v>
      </c>
      <c r="C136" s="3">
        <f t="shared" si="53"/>
        <v>5939.2097792434288</v>
      </c>
      <c r="D136" s="3">
        <f t="shared" si="54"/>
        <v>3754.1446373999174</v>
      </c>
      <c r="E136" s="3">
        <f t="shared" ref="E136:E139" si="58">-$I$8</f>
        <v>9693.3544166433458</v>
      </c>
      <c r="F136" s="3">
        <f t="shared" si="56"/>
        <v>942476.27756389347</v>
      </c>
    </row>
    <row r="137" spans="1:6" ht="15.75" customHeight="1">
      <c r="A137" s="9">
        <v>45566</v>
      </c>
      <c r="B137" s="3">
        <f t="shared" si="57"/>
        <v>942476.27756389347</v>
      </c>
      <c r="C137" s="3">
        <f t="shared" si="53"/>
        <v>5962.7191512862673</v>
      </c>
      <c r="D137" s="3">
        <f t="shared" si="54"/>
        <v>3730.6352653570784</v>
      </c>
      <c r="E137" s="3">
        <f t="shared" si="58"/>
        <v>9693.3544166433458</v>
      </c>
      <c r="F137" s="3">
        <f t="shared" si="56"/>
        <v>936513.55841260718</v>
      </c>
    </row>
    <row r="138" spans="1:6" ht="15.75" customHeight="1">
      <c r="A138" s="9">
        <v>45597</v>
      </c>
      <c r="B138" s="3">
        <f t="shared" si="57"/>
        <v>936513.55841260718</v>
      </c>
      <c r="C138" s="3">
        <f t="shared" si="53"/>
        <v>5986.3215812601084</v>
      </c>
      <c r="D138" s="3">
        <f t="shared" si="54"/>
        <v>3707.0328353832369</v>
      </c>
      <c r="E138" s="3">
        <f t="shared" si="58"/>
        <v>9693.3544166433458</v>
      </c>
      <c r="F138" s="3">
        <f t="shared" si="56"/>
        <v>930527.23683134711</v>
      </c>
    </row>
    <row r="139" spans="1:6" ht="15.75" customHeight="1">
      <c r="A139" s="9">
        <v>45627</v>
      </c>
      <c r="B139" s="3">
        <f t="shared" si="57"/>
        <v>930527.23683134711</v>
      </c>
      <c r="C139" s="3">
        <f t="shared" si="53"/>
        <v>6010.0174375192637</v>
      </c>
      <c r="D139" s="3">
        <f t="shared" si="54"/>
        <v>3683.3369791240825</v>
      </c>
      <c r="E139" s="3">
        <f t="shared" si="58"/>
        <v>9693.3544166433458</v>
      </c>
      <c r="F139" s="6">
        <f t="shared" si="56"/>
        <v>924517.21939382784</v>
      </c>
    </row>
    <row r="140" spans="1:6" ht="15.75" customHeight="1">
      <c r="A140" s="7" t="s">
        <v>68</v>
      </c>
      <c r="B140" s="8"/>
      <c r="C140" s="6">
        <f t="shared" ref="C140:D140" si="59">SUM(C128:C139)</f>
        <v>70576.65532947694</v>
      </c>
      <c r="D140" s="6">
        <f t="shared" si="59"/>
        <v>45743.597670243209</v>
      </c>
    </row>
    <row r="141" spans="1:6" ht="15.75" customHeight="1">
      <c r="B141" s="2"/>
      <c r="C141" s="3"/>
      <c r="D141" s="3"/>
      <c r="E141" s="3"/>
      <c r="F141" s="3"/>
    </row>
    <row r="142" spans="1:6" ht="15.75" customHeight="1">
      <c r="A142" s="9">
        <v>45658</v>
      </c>
      <c r="B142" s="3">
        <f t="shared" ref="B142" si="60">+F139</f>
        <v>924517.21939382784</v>
      </c>
      <c r="C142" s="3">
        <f t="shared" ref="C142:C153" si="61">+E142-D142</f>
        <v>6033.8070898761107</v>
      </c>
      <c r="D142" s="3">
        <f t="shared" ref="D142:D153" si="62">B142*$I$2</f>
        <v>3659.5473267672355</v>
      </c>
      <c r="E142" s="3">
        <f t="shared" ref="E142:E205" si="63">-$I$8</f>
        <v>9693.3544166433458</v>
      </c>
      <c r="F142" s="3">
        <f t="shared" ref="F142:F153" si="64">+B142-C142</f>
        <v>918483.41230395169</v>
      </c>
    </row>
    <row r="143" spans="1:6" ht="15.75" customHeight="1">
      <c r="A143" s="9">
        <v>45689</v>
      </c>
      <c r="B143" s="3">
        <f t="shared" ref="B143:B153" si="65">+F142</f>
        <v>918483.41230395169</v>
      </c>
      <c r="C143" s="3">
        <f t="shared" si="61"/>
        <v>6057.6909096068703</v>
      </c>
      <c r="D143" s="3">
        <f t="shared" si="62"/>
        <v>3635.6635070364759</v>
      </c>
      <c r="E143" s="3">
        <f t="shared" si="63"/>
        <v>9693.3544166433458</v>
      </c>
      <c r="F143" s="3">
        <f t="shared" si="64"/>
        <v>912425.72139434482</v>
      </c>
    </row>
    <row r="144" spans="1:6" ht="15.75" customHeight="1">
      <c r="A144" s="9">
        <v>45717</v>
      </c>
      <c r="B144" s="3">
        <f t="shared" si="65"/>
        <v>912425.72139434482</v>
      </c>
      <c r="C144" s="3">
        <f t="shared" si="61"/>
        <v>6081.6692694573976</v>
      </c>
      <c r="D144" s="3">
        <f t="shared" si="62"/>
        <v>3611.6851471859486</v>
      </c>
      <c r="E144" s="3">
        <f t="shared" si="63"/>
        <v>9693.3544166433458</v>
      </c>
      <c r="F144" s="3">
        <f t="shared" si="64"/>
        <v>906344.05212488747</v>
      </c>
    </row>
    <row r="145" spans="1:6" ht="15.75" customHeight="1">
      <c r="A145" s="9">
        <v>45748</v>
      </c>
      <c r="B145" s="3">
        <f t="shared" si="65"/>
        <v>906344.05212488747</v>
      </c>
      <c r="C145" s="3">
        <f t="shared" si="61"/>
        <v>6105.7425436489993</v>
      </c>
      <c r="D145" s="3">
        <f t="shared" si="62"/>
        <v>3587.6118729943464</v>
      </c>
      <c r="E145" s="3">
        <f t="shared" si="63"/>
        <v>9693.3544166433458</v>
      </c>
      <c r="F145" s="3">
        <f t="shared" si="64"/>
        <v>900238.30958123843</v>
      </c>
    </row>
    <row r="146" spans="1:6" ht="15.75" customHeight="1">
      <c r="A146" s="9">
        <v>45778</v>
      </c>
      <c r="B146" s="3">
        <f t="shared" si="65"/>
        <v>900238.30958123843</v>
      </c>
      <c r="C146" s="3">
        <f t="shared" si="61"/>
        <v>6129.9111078842761</v>
      </c>
      <c r="D146" s="3">
        <f t="shared" si="62"/>
        <v>3563.4433087590692</v>
      </c>
      <c r="E146" s="3">
        <f t="shared" si="63"/>
        <v>9693.3544166433458</v>
      </c>
      <c r="F146" s="3">
        <f t="shared" si="64"/>
        <v>894108.39847335417</v>
      </c>
    </row>
    <row r="147" spans="1:6" ht="15.75" customHeight="1">
      <c r="A147" s="9">
        <v>45809</v>
      </c>
      <c r="B147" s="3">
        <f t="shared" si="65"/>
        <v>894108.39847335417</v>
      </c>
      <c r="C147" s="3">
        <f t="shared" si="61"/>
        <v>6154.1753393529852</v>
      </c>
      <c r="D147" s="3">
        <f t="shared" si="62"/>
        <v>3539.1790772903605</v>
      </c>
      <c r="E147" s="3">
        <f t="shared" si="63"/>
        <v>9693.3544166433458</v>
      </c>
      <c r="F147" s="3">
        <f t="shared" si="64"/>
        <v>887954.22313400113</v>
      </c>
    </row>
    <row r="148" spans="1:6" ht="15.75" customHeight="1">
      <c r="A148" s="9">
        <v>45839</v>
      </c>
      <c r="B148" s="3">
        <f t="shared" si="65"/>
        <v>887954.22313400113</v>
      </c>
      <c r="C148" s="3">
        <f t="shared" si="61"/>
        <v>6178.5356167379241</v>
      </c>
      <c r="D148" s="3">
        <f t="shared" si="62"/>
        <v>3514.8187999054217</v>
      </c>
      <c r="E148" s="3">
        <f t="shared" si="63"/>
        <v>9693.3544166433458</v>
      </c>
      <c r="F148" s="3">
        <f t="shared" si="64"/>
        <v>881775.68751726323</v>
      </c>
    </row>
    <row r="149" spans="1:6" ht="15.75" customHeight="1">
      <c r="A149" s="9">
        <v>45870</v>
      </c>
      <c r="B149" s="3">
        <f t="shared" si="65"/>
        <v>881775.68751726323</v>
      </c>
      <c r="C149" s="3">
        <f t="shared" si="61"/>
        <v>6202.9923202208447</v>
      </c>
      <c r="D149" s="3">
        <f t="shared" si="62"/>
        <v>3490.3620964225006</v>
      </c>
      <c r="E149" s="3">
        <f t="shared" si="63"/>
        <v>9693.3544166433458</v>
      </c>
      <c r="F149" s="3">
        <f t="shared" si="64"/>
        <v>875572.69519704243</v>
      </c>
    </row>
    <row r="150" spans="1:6" ht="15.75" customHeight="1">
      <c r="A150" s="9">
        <v>45901</v>
      </c>
      <c r="B150" s="3">
        <f t="shared" si="65"/>
        <v>875572.69519704243</v>
      </c>
      <c r="C150" s="3">
        <f t="shared" si="61"/>
        <v>6227.5458314883854</v>
      </c>
      <c r="D150" s="3">
        <f t="shared" si="62"/>
        <v>3465.8085851549599</v>
      </c>
      <c r="E150" s="3">
        <f t="shared" si="63"/>
        <v>9693.3544166433458</v>
      </c>
      <c r="F150" s="3">
        <f t="shared" si="64"/>
        <v>869345.1493655541</v>
      </c>
    </row>
    <row r="151" spans="1:6" ht="15.75" customHeight="1">
      <c r="A151" s="9">
        <v>45931</v>
      </c>
      <c r="B151" s="3">
        <f t="shared" si="65"/>
        <v>869345.1493655541</v>
      </c>
      <c r="C151" s="3">
        <f t="shared" si="61"/>
        <v>6252.196533738027</v>
      </c>
      <c r="D151" s="3">
        <f t="shared" si="62"/>
        <v>3441.1578829053187</v>
      </c>
      <c r="E151" s="3">
        <f t="shared" si="63"/>
        <v>9693.3544166433458</v>
      </c>
      <c r="F151" s="3">
        <f t="shared" si="64"/>
        <v>863092.95283181604</v>
      </c>
    </row>
    <row r="152" spans="1:6" ht="15.75" customHeight="1">
      <c r="A152" s="9">
        <v>45962</v>
      </c>
      <c r="B152" s="3">
        <f t="shared" si="65"/>
        <v>863092.95283181604</v>
      </c>
      <c r="C152" s="3">
        <f t="shared" si="61"/>
        <v>6276.944811684074</v>
      </c>
      <c r="D152" s="3">
        <f t="shared" si="62"/>
        <v>3416.4096049592722</v>
      </c>
      <c r="E152" s="3">
        <f t="shared" si="63"/>
        <v>9693.3544166433458</v>
      </c>
      <c r="F152" s="3">
        <f t="shared" si="64"/>
        <v>856816.00802013197</v>
      </c>
    </row>
    <row r="153" spans="1:6" ht="15.75" customHeight="1">
      <c r="A153" s="9">
        <v>45992</v>
      </c>
      <c r="B153" s="3">
        <f t="shared" si="65"/>
        <v>856816.00802013197</v>
      </c>
      <c r="C153" s="3">
        <f t="shared" si="61"/>
        <v>6301.7910515636559</v>
      </c>
      <c r="D153" s="3">
        <f t="shared" si="62"/>
        <v>3391.5633650796894</v>
      </c>
      <c r="E153" s="3">
        <f t="shared" si="63"/>
        <v>9693.3544166433458</v>
      </c>
      <c r="F153" s="6">
        <f t="shared" si="64"/>
        <v>850514.21696856827</v>
      </c>
    </row>
    <row r="154" spans="1:6" ht="15.75" customHeight="1">
      <c r="A154" s="7" t="s">
        <v>68</v>
      </c>
      <c r="B154" s="8"/>
      <c r="C154" s="6">
        <f t="shared" ref="C154" si="66">SUM(C142:C153)</f>
        <v>74003.002425259561</v>
      </c>
      <c r="D154" s="6">
        <f t="shared" ref="D154" si="67">SUM(D142:D153)</f>
        <v>42317.250574460595</v>
      </c>
    </row>
    <row r="155" spans="1:6" ht="15.75" customHeight="1">
      <c r="B155" s="2"/>
      <c r="C155" s="3"/>
      <c r="D155" s="3"/>
      <c r="E155" s="3"/>
      <c r="F155" s="3"/>
    </row>
    <row r="156" spans="1:6" ht="15.75" customHeight="1">
      <c r="A156" s="9">
        <v>46023</v>
      </c>
      <c r="B156" s="3">
        <f t="shared" ref="B156" si="68">+F153</f>
        <v>850514.21696856827</v>
      </c>
      <c r="C156" s="3">
        <f t="shared" ref="C156:C167" si="69">+E156-D156</f>
        <v>6326.7356411427627</v>
      </c>
      <c r="D156" s="3">
        <f t="shared" ref="D156:D167" si="70">B156*$I$2</f>
        <v>3366.6187755005831</v>
      </c>
      <c r="E156" s="3">
        <f t="shared" si="63"/>
        <v>9693.3544166433458</v>
      </c>
      <c r="F156" s="3">
        <f t="shared" ref="F156:F167" si="71">+B156-C156</f>
        <v>844187.48132742546</v>
      </c>
    </row>
    <row r="157" spans="1:6" ht="15.75" customHeight="1">
      <c r="A157" s="9">
        <v>46054</v>
      </c>
      <c r="B157" s="3">
        <f t="shared" ref="B157:B167" si="72">+F156</f>
        <v>844187.48132742546</v>
      </c>
      <c r="C157" s="3">
        <f t="shared" si="69"/>
        <v>6351.778969722287</v>
      </c>
      <c r="D157" s="3">
        <f t="shared" si="70"/>
        <v>3341.5754469210592</v>
      </c>
      <c r="E157" s="3">
        <f t="shared" si="63"/>
        <v>9693.3544166433458</v>
      </c>
      <c r="F157" s="3">
        <f t="shared" si="71"/>
        <v>837835.70235770312</v>
      </c>
    </row>
    <row r="158" spans="1:6" ht="15.75" customHeight="1">
      <c r="A158" s="9">
        <v>46082</v>
      </c>
      <c r="B158" s="3">
        <f t="shared" si="72"/>
        <v>837835.70235770312</v>
      </c>
      <c r="C158" s="3">
        <f t="shared" si="69"/>
        <v>6376.9214281441036</v>
      </c>
      <c r="D158" s="3">
        <f t="shared" si="70"/>
        <v>3316.4329884992417</v>
      </c>
      <c r="E158" s="3">
        <f t="shared" si="63"/>
        <v>9693.3544166433458</v>
      </c>
      <c r="F158" s="3">
        <f t="shared" si="71"/>
        <v>831458.78092955903</v>
      </c>
    </row>
    <row r="159" spans="1:6" ht="15.75" customHeight="1">
      <c r="A159" s="9">
        <v>46113</v>
      </c>
      <c r="B159" s="3">
        <f t="shared" si="72"/>
        <v>831458.78092955903</v>
      </c>
      <c r="C159" s="3">
        <f t="shared" si="69"/>
        <v>6402.1634087971743</v>
      </c>
      <c r="D159" s="3">
        <f t="shared" si="70"/>
        <v>3291.1910078461715</v>
      </c>
      <c r="E159" s="3">
        <f t="shared" si="63"/>
        <v>9693.3544166433458</v>
      </c>
      <c r="F159" s="3">
        <f t="shared" si="71"/>
        <v>825056.61752076191</v>
      </c>
    </row>
    <row r="160" spans="1:6" ht="15.75" customHeight="1">
      <c r="A160" s="9">
        <v>46143</v>
      </c>
      <c r="B160" s="3">
        <f t="shared" si="72"/>
        <v>825056.61752076191</v>
      </c>
      <c r="C160" s="3">
        <f t="shared" si="69"/>
        <v>6427.5053056236629</v>
      </c>
      <c r="D160" s="3">
        <f t="shared" si="70"/>
        <v>3265.8491110196828</v>
      </c>
      <c r="E160" s="3">
        <f t="shared" si="63"/>
        <v>9693.3544166433458</v>
      </c>
      <c r="F160" s="3">
        <f t="shared" si="71"/>
        <v>818629.11221513827</v>
      </c>
    </row>
    <row r="161" spans="1:6" ht="15.75" customHeight="1">
      <c r="A161" s="9">
        <v>46174</v>
      </c>
      <c r="B161" s="3">
        <f t="shared" si="72"/>
        <v>818629.11221513827</v>
      </c>
      <c r="C161" s="3">
        <f t="shared" si="69"/>
        <v>6452.9475141250896</v>
      </c>
      <c r="D161" s="3">
        <f t="shared" si="70"/>
        <v>3240.4069025182557</v>
      </c>
      <c r="E161" s="3">
        <f t="shared" si="63"/>
        <v>9693.3544166433458</v>
      </c>
      <c r="F161" s="3">
        <f t="shared" si="71"/>
        <v>812176.16470101313</v>
      </c>
    </row>
    <row r="162" spans="1:6" ht="15.75" customHeight="1">
      <c r="A162" s="9">
        <v>46204</v>
      </c>
      <c r="B162" s="3">
        <f t="shared" si="72"/>
        <v>812176.16470101313</v>
      </c>
      <c r="C162" s="3">
        <f t="shared" si="69"/>
        <v>6478.490431368502</v>
      </c>
      <c r="D162" s="3">
        <f t="shared" si="70"/>
        <v>3214.8639852748438</v>
      </c>
      <c r="E162" s="3">
        <f t="shared" si="63"/>
        <v>9693.3544166433458</v>
      </c>
      <c r="F162" s="3">
        <f t="shared" si="71"/>
        <v>805697.67426964466</v>
      </c>
    </row>
    <row r="163" spans="1:6" ht="15.75" customHeight="1">
      <c r="A163" s="9">
        <v>46235</v>
      </c>
      <c r="B163" s="3">
        <f t="shared" si="72"/>
        <v>805697.67426964466</v>
      </c>
      <c r="C163" s="3">
        <f t="shared" si="69"/>
        <v>6504.1344559926692</v>
      </c>
      <c r="D163" s="3">
        <f t="shared" si="70"/>
        <v>3189.219960650677</v>
      </c>
      <c r="E163" s="3">
        <f t="shared" si="63"/>
        <v>9693.3544166433458</v>
      </c>
      <c r="F163" s="3">
        <f t="shared" si="71"/>
        <v>799193.53981365194</v>
      </c>
    </row>
    <row r="164" spans="1:6" ht="15.75" customHeight="1">
      <c r="A164" s="9">
        <v>46266</v>
      </c>
      <c r="B164" s="3">
        <f t="shared" si="72"/>
        <v>799193.53981365194</v>
      </c>
      <c r="C164" s="3">
        <f t="shared" si="69"/>
        <v>6529.8799882143066</v>
      </c>
      <c r="D164" s="3">
        <f t="shared" si="70"/>
        <v>3163.4744284290391</v>
      </c>
      <c r="E164" s="3">
        <f t="shared" si="63"/>
        <v>9693.3544166433458</v>
      </c>
      <c r="F164" s="3">
        <f t="shared" si="71"/>
        <v>792663.65982543759</v>
      </c>
    </row>
    <row r="165" spans="1:6" ht="15.75" customHeight="1">
      <c r="A165" s="9">
        <v>46296</v>
      </c>
      <c r="B165" s="3">
        <f t="shared" si="72"/>
        <v>792663.65982543759</v>
      </c>
      <c r="C165" s="3">
        <f t="shared" si="69"/>
        <v>6555.7274298343218</v>
      </c>
      <c r="D165" s="3">
        <f t="shared" si="70"/>
        <v>3137.6269868090239</v>
      </c>
      <c r="E165" s="3">
        <f t="shared" si="63"/>
        <v>9693.3544166433458</v>
      </c>
      <c r="F165" s="3">
        <f t="shared" si="71"/>
        <v>786107.93239560327</v>
      </c>
    </row>
    <row r="166" spans="1:6" ht="15.75" customHeight="1">
      <c r="A166" s="9">
        <v>46327</v>
      </c>
      <c r="B166" s="3">
        <f t="shared" si="72"/>
        <v>786107.93239560327</v>
      </c>
      <c r="C166" s="3">
        <f t="shared" si="69"/>
        <v>6581.677184244083</v>
      </c>
      <c r="D166" s="3">
        <f t="shared" si="70"/>
        <v>3111.6772323992632</v>
      </c>
      <c r="E166" s="3">
        <f t="shared" si="63"/>
        <v>9693.3544166433458</v>
      </c>
      <c r="F166" s="3">
        <f t="shared" si="71"/>
        <v>779526.25521135924</v>
      </c>
    </row>
    <row r="167" spans="1:6" ht="15.75" customHeight="1">
      <c r="A167" s="9">
        <v>46357</v>
      </c>
      <c r="B167" s="3">
        <f t="shared" si="72"/>
        <v>779526.25521135924</v>
      </c>
      <c r="C167" s="3">
        <f t="shared" si="69"/>
        <v>6607.7296564317148</v>
      </c>
      <c r="D167" s="3">
        <f t="shared" si="70"/>
        <v>3085.6247602116305</v>
      </c>
      <c r="E167" s="3">
        <f t="shared" si="63"/>
        <v>9693.3544166433458</v>
      </c>
      <c r="F167" s="6">
        <f t="shared" si="71"/>
        <v>772918.52555492753</v>
      </c>
    </row>
    <row r="168" spans="1:6" ht="15.75" customHeight="1">
      <c r="A168" s="7" t="s">
        <v>68</v>
      </c>
      <c r="B168" s="8"/>
      <c r="C168" s="6">
        <f t="shared" ref="C168" si="73">SUM(C156:C167)</f>
        <v>77595.691413640685</v>
      </c>
      <c r="D168" s="6">
        <f t="shared" ref="D168" si="74">SUM(D156:D167)</f>
        <v>38724.561586079471</v>
      </c>
    </row>
    <row r="169" spans="1:6" ht="15.75" customHeight="1">
      <c r="B169" s="2"/>
      <c r="C169" s="3"/>
      <c r="D169" s="3"/>
      <c r="E169" s="3"/>
      <c r="F169" s="3"/>
    </row>
    <row r="170" spans="1:6" ht="15.75" customHeight="1">
      <c r="A170" s="9">
        <v>46388</v>
      </c>
      <c r="B170" s="3">
        <f t="shared" ref="B170" si="75">+F167</f>
        <v>772918.52555492753</v>
      </c>
      <c r="C170" s="3">
        <f t="shared" ref="C170:C181" si="76">+E170-D170</f>
        <v>6633.8852529884243</v>
      </c>
      <c r="D170" s="3">
        <f t="shared" ref="D170:D181" si="77">B170*$I$2</f>
        <v>3059.4691636549219</v>
      </c>
      <c r="E170" s="3">
        <f t="shared" si="63"/>
        <v>9693.3544166433458</v>
      </c>
      <c r="F170" s="3">
        <f t="shared" ref="F170:F181" si="78">+B170-C170</f>
        <v>766284.6403019391</v>
      </c>
    </row>
    <row r="171" spans="1:6" ht="15.75" customHeight="1">
      <c r="A171" s="9">
        <v>46419</v>
      </c>
      <c r="B171" s="3">
        <f t="shared" ref="B171:B181" si="79">+F170</f>
        <v>766284.6403019391</v>
      </c>
      <c r="C171" s="3">
        <f t="shared" si="76"/>
        <v>6660.1443821148368</v>
      </c>
      <c r="D171" s="3">
        <f t="shared" si="77"/>
        <v>3033.2100345285094</v>
      </c>
      <c r="E171" s="3">
        <f t="shared" si="63"/>
        <v>9693.3544166433458</v>
      </c>
      <c r="F171" s="3">
        <f t="shared" si="78"/>
        <v>759624.49591982423</v>
      </c>
    </row>
    <row r="172" spans="1:6" ht="15.75" customHeight="1">
      <c r="A172" s="9">
        <v>46447</v>
      </c>
      <c r="B172" s="3">
        <f t="shared" si="79"/>
        <v>759624.49591982423</v>
      </c>
      <c r="C172" s="3">
        <f t="shared" si="76"/>
        <v>6686.5074536273751</v>
      </c>
      <c r="D172" s="3">
        <f t="shared" si="77"/>
        <v>3006.8469630159711</v>
      </c>
      <c r="E172" s="3">
        <f t="shared" si="63"/>
        <v>9693.3544166433458</v>
      </c>
      <c r="F172" s="3">
        <f t="shared" si="78"/>
        <v>752937.98846619681</v>
      </c>
    </row>
    <row r="173" spans="1:6" ht="15.75" customHeight="1">
      <c r="A173" s="9">
        <v>46478</v>
      </c>
      <c r="B173" s="3">
        <f t="shared" si="79"/>
        <v>752937.98846619681</v>
      </c>
      <c r="C173" s="3">
        <f t="shared" si="76"/>
        <v>6712.9748789646492</v>
      </c>
      <c r="D173" s="3">
        <f t="shared" si="77"/>
        <v>2980.3795376786961</v>
      </c>
      <c r="E173" s="3">
        <f t="shared" si="63"/>
        <v>9693.3544166433458</v>
      </c>
      <c r="F173" s="3">
        <f t="shared" si="78"/>
        <v>746225.01358723221</v>
      </c>
    </row>
    <row r="174" spans="1:6" ht="15.75" customHeight="1">
      <c r="A174" s="9">
        <v>46508</v>
      </c>
      <c r="B174" s="3">
        <f t="shared" si="79"/>
        <v>746225.01358723221</v>
      </c>
      <c r="C174" s="3">
        <f t="shared" si="76"/>
        <v>6739.5470711938851</v>
      </c>
      <c r="D174" s="3">
        <f t="shared" si="77"/>
        <v>2953.8073454494611</v>
      </c>
      <c r="E174" s="3">
        <f t="shared" si="63"/>
        <v>9693.3544166433458</v>
      </c>
      <c r="F174" s="3">
        <f t="shared" si="78"/>
        <v>739485.46651603829</v>
      </c>
    </row>
    <row r="175" spans="1:6" ht="15.75" customHeight="1">
      <c r="A175" s="9">
        <v>46539</v>
      </c>
      <c r="B175" s="3">
        <f t="shared" si="79"/>
        <v>739485.46651603829</v>
      </c>
      <c r="C175" s="3">
        <f t="shared" si="76"/>
        <v>6766.2244450173603</v>
      </c>
      <c r="D175" s="3">
        <f t="shared" si="77"/>
        <v>2927.129971625985</v>
      </c>
      <c r="E175" s="3">
        <f t="shared" si="63"/>
        <v>9693.3544166433458</v>
      </c>
      <c r="F175" s="3">
        <f t="shared" si="78"/>
        <v>732719.24207102088</v>
      </c>
    </row>
    <row r="176" spans="1:6" ht="15.75" customHeight="1">
      <c r="A176" s="9">
        <v>46569</v>
      </c>
      <c r="B176" s="3">
        <f t="shared" si="79"/>
        <v>732719.24207102088</v>
      </c>
      <c r="C176" s="3">
        <f t="shared" si="76"/>
        <v>6793.007416778888</v>
      </c>
      <c r="D176" s="3">
        <f t="shared" si="77"/>
        <v>2900.3469998644578</v>
      </c>
      <c r="E176" s="3">
        <f t="shared" si="63"/>
        <v>9693.3544166433458</v>
      </c>
      <c r="F176" s="3">
        <f t="shared" si="78"/>
        <v>725926.23465424194</v>
      </c>
    </row>
    <row r="177" spans="1:6" ht="15.75" customHeight="1">
      <c r="A177" s="9">
        <v>46600</v>
      </c>
      <c r="B177" s="3">
        <f t="shared" si="79"/>
        <v>725926.23465424194</v>
      </c>
      <c r="C177" s="3">
        <f t="shared" si="76"/>
        <v>6819.8964044703043</v>
      </c>
      <c r="D177" s="3">
        <f t="shared" si="77"/>
        <v>2873.4580121730414</v>
      </c>
      <c r="E177" s="3">
        <f t="shared" si="63"/>
        <v>9693.3544166433458</v>
      </c>
      <c r="F177" s="3">
        <f t="shared" si="78"/>
        <v>719106.33824977162</v>
      </c>
    </row>
    <row r="178" spans="1:6" ht="15.75" customHeight="1">
      <c r="A178" s="9">
        <v>46631</v>
      </c>
      <c r="B178" s="3">
        <f t="shared" si="79"/>
        <v>719106.33824977162</v>
      </c>
      <c r="C178" s="3">
        <f t="shared" si="76"/>
        <v>6846.8918277379998</v>
      </c>
      <c r="D178" s="3">
        <f t="shared" si="77"/>
        <v>2846.4625889053464</v>
      </c>
      <c r="E178" s="3">
        <f t="shared" si="63"/>
        <v>9693.3544166433458</v>
      </c>
      <c r="F178" s="3">
        <f t="shared" si="78"/>
        <v>712259.44642203359</v>
      </c>
    </row>
    <row r="179" spans="1:6" ht="15.75" customHeight="1">
      <c r="A179" s="9">
        <v>46661</v>
      </c>
      <c r="B179" s="3">
        <f t="shared" si="79"/>
        <v>712259.44642203359</v>
      </c>
      <c r="C179" s="3">
        <f t="shared" si="76"/>
        <v>6873.9941078894626</v>
      </c>
      <c r="D179" s="3">
        <f t="shared" si="77"/>
        <v>2819.3603087538831</v>
      </c>
      <c r="E179" s="3">
        <f t="shared" si="63"/>
        <v>9693.3544166433458</v>
      </c>
      <c r="F179" s="3">
        <f t="shared" si="78"/>
        <v>705385.45231414412</v>
      </c>
    </row>
    <row r="180" spans="1:6" ht="15.75" customHeight="1">
      <c r="A180" s="9">
        <v>46692</v>
      </c>
      <c r="B180" s="3">
        <f t="shared" si="79"/>
        <v>705385.45231414412</v>
      </c>
      <c r="C180" s="3">
        <f t="shared" si="76"/>
        <v>6901.2036678998584</v>
      </c>
      <c r="D180" s="3">
        <f t="shared" si="77"/>
        <v>2792.1507487434874</v>
      </c>
      <c r="E180" s="3">
        <f t="shared" si="63"/>
        <v>9693.3544166433458</v>
      </c>
      <c r="F180" s="3">
        <f t="shared" si="78"/>
        <v>698484.24864624429</v>
      </c>
    </row>
    <row r="181" spans="1:6" ht="15.75" customHeight="1">
      <c r="A181" s="9">
        <v>46722</v>
      </c>
      <c r="B181" s="3">
        <f t="shared" si="79"/>
        <v>698484.24864624429</v>
      </c>
      <c r="C181" s="3">
        <f t="shared" si="76"/>
        <v>6928.5209324186289</v>
      </c>
      <c r="D181" s="3">
        <f t="shared" si="77"/>
        <v>2764.8334842247173</v>
      </c>
      <c r="E181" s="3">
        <f t="shared" si="63"/>
        <v>9693.3544166433458</v>
      </c>
      <c r="F181" s="6">
        <f t="shared" si="78"/>
        <v>691555.72771382565</v>
      </c>
    </row>
    <row r="182" spans="1:6" ht="15.75" customHeight="1">
      <c r="A182" s="7" t="s">
        <v>68</v>
      </c>
      <c r="B182" s="8"/>
      <c r="C182" s="6">
        <f t="shared" ref="C182" si="80">SUM(C170:C181)</f>
        <v>81362.797841101667</v>
      </c>
      <c r="D182" s="6">
        <f t="shared" ref="D182" si="81">SUM(D170:D181)</f>
        <v>34957.455158618483</v>
      </c>
    </row>
    <row r="183" spans="1:6" ht="15.75" customHeight="1">
      <c r="B183" s="2"/>
      <c r="C183" s="3"/>
      <c r="D183" s="3"/>
      <c r="E183" s="3"/>
      <c r="F183" s="3"/>
    </row>
    <row r="184" spans="1:6" ht="15.75" customHeight="1">
      <c r="A184" s="9">
        <v>46753</v>
      </c>
      <c r="B184" s="3">
        <f t="shared" ref="B184" si="82">+F181</f>
        <v>691555.72771382565</v>
      </c>
      <c r="C184" s="3">
        <f t="shared" ref="C184:C195" si="83">+E184-D184</f>
        <v>6955.9463277761188</v>
      </c>
      <c r="D184" s="3">
        <f t="shared" ref="D184:D195" si="84">B184*$I$2</f>
        <v>2737.4080888672265</v>
      </c>
      <c r="E184" s="3">
        <f t="shared" si="63"/>
        <v>9693.3544166433458</v>
      </c>
      <c r="F184" s="3">
        <f t="shared" ref="F184:F195" si="85">+B184-C184</f>
        <v>684599.78138604958</v>
      </c>
    </row>
    <row r="185" spans="1:6" ht="15.75" customHeight="1">
      <c r="A185" s="9">
        <v>46784</v>
      </c>
      <c r="B185" s="3">
        <f t="shared" ref="B185:B195" si="86">+F184</f>
        <v>684599.78138604958</v>
      </c>
      <c r="C185" s="3">
        <f t="shared" si="83"/>
        <v>6983.4802819902325</v>
      </c>
      <c r="D185" s="3">
        <f t="shared" si="84"/>
        <v>2709.8741346531133</v>
      </c>
      <c r="E185" s="3">
        <f t="shared" si="63"/>
        <v>9693.3544166433458</v>
      </c>
      <c r="F185" s="3">
        <f t="shared" si="85"/>
        <v>677616.30110405933</v>
      </c>
    </row>
    <row r="186" spans="1:6" ht="15.75" customHeight="1">
      <c r="A186" s="9">
        <v>46813</v>
      </c>
      <c r="B186" s="3">
        <f t="shared" si="86"/>
        <v>677616.30110405933</v>
      </c>
      <c r="C186" s="3">
        <f t="shared" si="83"/>
        <v>7011.1232247731114</v>
      </c>
      <c r="D186" s="3">
        <f t="shared" si="84"/>
        <v>2682.2311918702349</v>
      </c>
      <c r="E186" s="3">
        <f t="shared" si="63"/>
        <v>9693.3544166433458</v>
      </c>
      <c r="F186" s="3">
        <f t="shared" si="85"/>
        <v>670605.17787928623</v>
      </c>
    </row>
    <row r="187" spans="1:6" ht="15.75" customHeight="1">
      <c r="A187" s="9">
        <v>46844</v>
      </c>
      <c r="B187" s="3">
        <f t="shared" si="86"/>
        <v>670605.17787928623</v>
      </c>
      <c r="C187" s="3">
        <f t="shared" si="83"/>
        <v>7038.8755875378374</v>
      </c>
      <c r="D187" s="3">
        <f t="shared" si="84"/>
        <v>2654.4788291055083</v>
      </c>
      <c r="E187" s="3">
        <f t="shared" si="63"/>
        <v>9693.3544166433458</v>
      </c>
      <c r="F187" s="3">
        <f t="shared" si="85"/>
        <v>663566.30229174835</v>
      </c>
    </row>
    <row r="188" spans="1:6" ht="15.75" customHeight="1">
      <c r="A188" s="9">
        <v>46874</v>
      </c>
      <c r="B188" s="3">
        <f t="shared" si="86"/>
        <v>663566.30229174835</v>
      </c>
      <c r="C188" s="3">
        <f t="shared" si="83"/>
        <v>7066.7378034051744</v>
      </c>
      <c r="D188" s="3">
        <f t="shared" si="84"/>
        <v>2626.6166132381709</v>
      </c>
      <c r="E188" s="3">
        <f t="shared" si="63"/>
        <v>9693.3544166433458</v>
      </c>
      <c r="F188" s="3">
        <f t="shared" si="85"/>
        <v>656499.5644883432</v>
      </c>
    </row>
    <row r="189" spans="1:6" ht="15.75" customHeight="1">
      <c r="A189" s="9">
        <v>46905</v>
      </c>
      <c r="B189" s="3">
        <f t="shared" si="86"/>
        <v>656499.5644883432</v>
      </c>
      <c r="C189" s="3">
        <f t="shared" si="83"/>
        <v>7094.71030721032</v>
      </c>
      <c r="D189" s="3">
        <f t="shared" si="84"/>
        <v>2598.6441094330253</v>
      </c>
      <c r="E189" s="3">
        <f t="shared" si="63"/>
        <v>9693.3544166433458</v>
      </c>
      <c r="F189" s="3">
        <f t="shared" si="85"/>
        <v>649404.85418113286</v>
      </c>
    </row>
    <row r="190" spans="1:6" ht="15.75" customHeight="1">
      <c r="A190" s="9">
        <v>46935</v>
      </c>
      <c r="B190" s="3">
        <f t="shared" si="86"/>
        <v>649404.85418113286</v>
      </c>
      <c r="C190" s="3">
        <f t="shared" si="83"/>
        <v>7122.7935355096943</v>
      </c>
      <c r="D190" s="3">
        <f t="shared" si="84"/>
        <v>2570.560881133651</v>
      </c>
      <c r="E190" s="3">
        <f t="shared" si="63"/>
        <v>9693.3544166433458</v>
      </c>
      <c r="F190" s="3">
        <f t="shared" si="85"/>
        <v>642282.06064562313</v>
      </c>
    </row>
    <row r="191" spans="1:6" ht="15.75" customHeight="1">
      <c r="A191" s="9">
        <v>46966</v>
      </c>
      <c r="B191" s="3">
        <f t="shared" si="86"/>
        <v>642282.06064562313</v>
      </c>
      <c r="C191" s="3">
        <f t="shared" si="83"/>
        <v>7150.9879265877535</v>
      </c>
      <c r="D191" s="3">
        <f t="shared" si="84"/>
        <v>2542.3664900555918</v>
      </c>
      <c r="E191" s="3">
        <f t="shared" si="63"/>
        <v>9693.3544166433458</v>
      </c>
      <c r="F191" s="3">
        <f t="shared" si="85"/>
        <v>635131.07271903544</v>
      </c>
    </row>
    <row r="192" spans="1:6" ht="15.75" customHeight="1">
      <c r="A192" s="9">
        <v>46997</v>
      </c>
      <c r="B192" s="3">
        <f t="shared" si="86"/>
        <v>635131.07271903544</v>
      </c>
      <c r="C192" s="3">
        <f t="shared" si="83"/>
        <v>7179.2939204638296</v>
      </c>
      <c r="D192" s="3">
        <f t="shared" si="84"/>
        <v>2514.0604961795157</v>
      </c>
      <c r="E192" s="3">
        <f t="shared" si="63"/>
        <v>9693.3544166433458</v>
      </c>
      <c r="F192" s="3">
        <f t="shared" si="85"/>
        <v>627951.77879857155</v>
      </c>
    </row>
    <row r="193" spans="1:6" ht="15.75" customHeight="1">
      <c r="A193" s="9">
        <v>47027</v>
      </c>
      <c r="B193" s="3">
        <f t="shared" si="86"/>
        <v>627951.77879857155</v>
      </c>
      <c r="C193" s="3">
        <f t="shared" si="83"/>
        <v>7207.7119588989999</v>
      </c>
      <c r="D193" s="3">
        <f t="shared" si="84"/>
        <v>2485.6424577443458</v>
      </c>
      <c r="E193" s="3">
        <f t="shared" si="63"/>
        <v>9693.3544166433458</v>
      </c>
      <c r="F193" s="3">
        <f t="shared" si="85"/>
        <v>620744.06683967251</v>
      </c>
    </row>
    <row r="194" spans="1:6" ht="15.75" customHeight="1">
      <c r="A194" s="9">
        <v>47058</v>
      </c>
      <c r="B194" s="3">
        <f t="shared" si="86"/>
        <v>620744.06683967251</v>
      </c>
      <c r="C194" s="3">
        <f t="shared" si="83"/>
        <v>7236.242485402975</v>
      </c>
      <c r="D194" s="3">
        <f t="shared" si="84"/>
        <v>2457.1119312403707</v>
      </c>
      <c r="E194" s="3">
        <f t="shared" si="63"/>
        <v>9693.3544166433458</v>
      </c>
      <c r="F194" s="3">
        <f t="shared" si="85"/>
        <v>613507.82435426954</v>
      </c>
    </row>
    <row r="195" spans="1:6" ht="15.75" customHeight="1">
      <c r="A195" s="9">
        <v>47088</v>
      </c>
      <c r="B195" s="3">
        <f t="shared" si="86"/>
        <v>613507.82435426954</v>
      </c>
      <c r="C195" s="3">
        <f t="shared" si="83"/>
        <v>7264.8859452410288</v>
      </c>
      <c r="D195" s="3">
        <f t="shared" si="84"/>
        <v>2428.4684714023169</v>
      </c>
      <c r="E195" s="3">
        <f t="shared" si="63"/>
        <v>9693.3544166433458</v>
      </c>
      <c r="F195" s="6">
        <f t="shared" si="85"/>
        <v>606242.93840902846</v>
      </c>
    </row>
    <row r="196" spans="1:6" ht="15.75" customHeight="1">
      <c r="A196" s="7" t="s">
        <v>68</v>
      </c>
      <c r="B196" s="8"/>
      <c r="C196" s="6">
        <f t="shared" ref="C196" si="87">SUM(C184:C195)</f>
        <v>85312.789304797072</v>
      </c>
      <c r="D196" s="6">
        <f t="shared" ref="D196" si="88">SUM(D184:D195)</f>
        <v>31007.463694923073</v>
      </c>
    </row>
    <row r="197" spans="1:6" ht="15.75" customHeight="1">
      <c r="B197" s="2"/>
      <c r="C197" s="3"/>
      <c r="D197" s="3"/>
      <c r="E197" s="3"/>
      <c r="F197" s="3"/>
    </row>
    <row r="198" spans="1:6" ht="15.75" customHeight="1">
      <c r="A198" s="9">
        <v>47119</v>
      </c>
      <c r="B198" s="3">
        <f t="shared" ref="B198" si="89">+F195</f>
        <v>606242.93840902846</v>
      </c>
      <c r="C198" s="3">
        <f t="shared" ref="C198:C209" si="90">+E198-D198</f>
        <v>7293.6427854409412</v>
      </c>
      <c r="D198" s="3">
        <f t="shared" ref="D198:D209" si="91">B198*$I$2</f>
        <v>2399.7116312024045</v>
      </c>
      <c r="E198" s="3">
        <f t="shared" si="63"/>
        <v>9693.3544166433458</v>
      </c>
      <c r="F198" s="3">
        <f t="shared" ref="F198:F209" si="92">+B198-C198</f>
        <v>598949.29562358756</v>
      </c>
    </row>
    <row r="199" spans="1:6" ht="15.75" customHeight="1">
      <c r="A199" s="9">
        <v>47150</v>
      </c>
      <c r="B199" s="3">
        <f t="shared" ref="B199:B209" si="93">+F198</f>
        <v>598949.29562358756</v>
      </c>
      <c r="C199" s="3">
        <f t="shared" si="90"/>
        <v>7322.5134547999787</v>
      </c>
      <c r="D199" s="3">
        <f t="shared" si="91"/>
        <v>2370.8409618433675</v>
      </c>
      <c r="E199" s="3">
        <f t="shared" si="63"/>
        <v>9693.3544166433458</v>
      </c>
      <c r="F199" s="3">
        <f t="shared" si="92"/>
        <v>591626.78216878755</v>
      </c>
    </row>
    <row r="200" spans="1:6" ht="15.75" customHeight="1">
      <c r="A200" s="9">
        <v>47178</v>
      </c>
      <c r="B200" s="3">
        <f t="shared" si="93"/>
        <v>591626.78216878755</v>
      </c>
      <c r="C200" s="3">
        <f t="shared" si="90"/>
        <v>7351.4984038918947</v>
      </c>
      <c r="D200" s="3">
        <f t="shared" si="91"/>
        <v>2341.8560127514511</v>
      </c>
      <c r="E200" s="3">
        <f t="shared" si="63"/>
        <v>9693.3544166433458</v>
      </c>
      <c r="F200" s="3">
        <f t="shared" si="92"/>
        <v>584275.28376489563</v>
      </c>
    </row>
    <row r="201" spans="1:6" ht="15.75" customHeight="1">
      <c r="A201" s="9">
        <v>47209</v>
      </c>
      <c r="B201" s="3">
        <f t="shared" si="93"/>
        <v>584275.28376489563</v>
      </c>
      <c r="C201" s="3">
        <f t="shared" si="90"/>
        <v>7380.598085073967</v>
      </c>
      <c r="D201" s="3">
        <f t="shared" si="91"/>
        <v>2312.7563315693787</v>
      </c>
      <c r="E201" s="3">
        <f t="shared" si="63"/>
        <v>9693.3544166433458</v>
      </c>
      <c r="F201" s="3">
        <f t="shared" si="92"/>
        <v>576894.68567982165</v>
      </c>
    </row>
    <row r="202" spans="1:6" ht="15.75" customHeight="1">
      <c r="A202" s="9">
        <v>47239</v>
      </c>
      <c r="B202" s="3">
        <f t="shared" si="93"/>
        <v>576894.68567982165</v>
      </c>
      <c r="C202" s="3">
        <f t="shared" si="90"/>
        <v>7409.8129524940514</v>
      </c>
      <c r="D202" s="3">
        <f t="shared" si="91"/>
        <v>2283.5414641492944</v>
      </c>
      <c r="E202" s="3">
        <f t="shared" si="63"/>
        <v>9693.3544166433458</v>
      </c>
      <c r="F202" s="3">
        <f t="shared" si="92"/>
        <v>569484.87272732763</v>
      </c>
    </row>
    <row r="203" spans="1:6" ht="15.75" customHeight="1">
      <c r="A203" s="9">
        <v>47270</v>
      </c>
      <c r="B203" s="3">
        <f t="shared" si="93"/>
        <v>569484.87272732763</v>
      </c>
      <c r="C203" s="3">
        <f t="shared" si="90"/>
        <v>7439.1434620976743</v>
      </c>
      <c r="D203" s="3">
        <f t="shared" si="91"/>
        <v>2254.2109545456719</v>
      </c>
      <c r="E203" s="3">
        <f t="shared" si="63"/>
        <v>9693.3544166433458</v>
      </c>
      <c r="F203" s="3">
        <f t="shared" si="92"/>
        <v>562045.72926523001</v>
      </c>
    </row>
    <row r="204" spans="1:6" ht="15.75" customHeight="1">
      <c r="A204" s="9">
        <v>47300</v>
      </c>
      <c r="B204" s="3">
        <f t="shared" si="93"/>
        <v>562045.72926523001</v>
      </c>
      <c r="C204" s="3">
        <f t="shared" si="90"/>
        <v>7468.5900716351434</v>
      </c>
      <c r="D204" s="3">
        <f t="shared" si="91"/>
        <v>2224.7643450082023</v>
      </c>
      <c r="E204" s="3">
        <f t="shared" si="63"/>
        <v>9693.3544166433458</v>
      </c>
      <c r="F204" s="3">
        <f t="shared" si="92"/>
        <v>554577.13919359492</v>
      </c>
    </row>
    <row r="205" spans="1:6" ht="15.75" customHeight="1">
      <c r="A205" s="9">
        <v>47331</v>
      </c>
      <c r="B205" s="3">
        <f t="shared" si="93"/>
        <v>554577.13919359492</v>
      </c>
      <c r="C205" s="3">
        <f t="shared" si="90"/>
        <v>7498.1532406686983</v>
      </c>
      <c r="D205" s="3">
        <f t="shared" si="91"/>
        <v>2195.201175974647</v>
      </c>
      <c r="E205" s="3">
        <f t="shared" si="63"/>
        <v>9693.3544166433458</v>
      </c>
      <c r="F205" s="3">
        <f t="shared" si="92"/>
        <v>547078.98595292622</v>
      </c>
    </row>
    <row r="206" spans="1:6" ht="15.75" customHeight="1">
      <c r="A206" s="9">
        <v>47362</v>
      </c>
      <c r="B206" s="3">
        <f t="shared" si="93"/>
        <v>547078.98595292622</v>
      </c>
      <c r="C206" s="3">
        <f t="shared" si="90"/>
        <v>7527.8334305796798</v>
      </c>
      <c r="D206" s="3">
        <f t="shared" si="91"/>
        <v>2165.5209860636664</v>
      </c>
      <c r="E206" s="3">
        <f t="shared" ref="E206:E265" si="94">-$I$8</f>
        <v>9693.3544166433458</v>
      </c>
      <c r="F206" s="3">
        <f t="shared" si="92"/>
        <v>539551.15252234659</v>
      </c>
    </row>
    <row r="207" spans="1:6" ht="15.75" customHeight="1">
      <c r="A207" s="9">
        <v>47392</v>
      </c>
      <c r="B207" s="3">
        <f t="shared" si="93"/>
        <v>539551.15252234659</v>
      </c>
      <c r="C207" s="3">
        <f t="shared" si="90"/>
        <v>7557.6311045757238</v>
      </c>
      <c r="D207" s="3">
        <f t="shared" si="91"/>
        <v>2135.7233120676219</v>
      </c>
      <c r="E207" s="3">
        <f t="shared" si="94"/>
        <v>9693.3544166433458</v>
      </c>
      <c r="F207" s="3">
        <f t="shared" si="92"/>
        <v>531993.52141777088</v>
      </c>
    </row>
    <row r="208" spans="1:6" ht="15.75" customHeight="1">
      <c r="A208" s="9">
        <v>47423</v>
      </c>
      <c r="B208" s="3">
        <f t="shared" si="93"/>
        <v>531993.52141777088</v>
      </c>
      <c r="C208" s="3">
        <f t="shared" si="90"/>
        <v>7587.5467276980025</v>
      </c>
      <c r="D208" s="3">
        <f t="shared" si="91"/>
        <v>2105.8076889453432</v>
      </c>
      <c r="E208" s="3">
        <f t="shared" si="94"/>
        <v>9693.3544166433458</v>
      </c>
      <c r="F208" s="3">
        <f t="shared" si="92"/>
        <v>524405.97469007294</v>
      </c>
    </row>
    <row r="209" spans="1:6" ht="15.75" customHeight="1">
      <c r="A209" s="9">
        <v>47453</v>
      </c>
      <c r="B209" s="3">
        <f t="shared" si="93"/>
        <v>524405.97469007294</v>
      </c>
      <c r="C209" s="3">
        <f t="shared" si="90"/>
        <v>7617.5807668284733</v>
      </c>
      <c r="D209" s="3">
        <f t="shared" si="91"/>
        <v>2075.7736498148724</v>
      </c>
      <c r="E209" s="3">
        <f t="shared" si="94"/>
        <v>9693.3544166433458</v>
      </c>
      <c r="F209" s="6">
        <f t="shared" si="92"/>
        <v>516788.39392324444</v>
      </c>
    </row>
    <row r="210" spans="1:6" ht="15.75" customHeight="1">
      <c r="A210" s="7" t="s">
        <v>68</v>
      </c>
      <c r="B210" s="8"/>
      <c r="C210" s="6">
        <f t="shared" ref="C210" si="95">SUM(C198:C209)</f>
        <v>89454.544485784223</v>
      </c>
      <c r="D210" s="6">
        <f t="shared" ref="D210" si="96">SUM(D198:D209)</f>
        <v>26865.708513935919</v>
      </c>
    </row>
    <row r="211" spans="1:6" ht="15.75" customHeight="1">
      <c r="B211" s="2"/>
      <c r="C211" s="3"/>
      <c r="D211" s="3"/>
      <c r="E211" s="3"/>
      <c r="F211" s="3"/>
    </row>
    <row r="212" spans="1:6" ht="15.75" customHeight="1">
      <c r="A212" s="9">
        <v>47484</v>
      </c>
      <c r="B212" s="3">
        <f t="shared" ref="B212" si="97">+F209</f>
        <v>516788.39392324444</v>
      </c>
      <c r="C212" s="3">
        <f t="shared" ref="C212:C223" si="98">+E212-D212</f>
        <v>7647.7336906971695</v>
      </c>
      <c r="D212" s="3">
        <f t="shared" ref="D212:D223" si="99">B212*$I$2</f>
        <v>2045.620725946176</v>
      </c>
      <c r="E212" s="3">
        <f t="shared" ref="E212:E275" si="100">-$I$8</f>
        <v>9693.3544166433458</v>
      </c>
      <c r="F212" s="3">
        <f t="shared" ref="F212:F223" si="101">+B212-C212</f>
        <v>509140.66023254726</v>
      </c>
    </row>
    <row r="213" spans="1:6" ht="15.75" customHeight="1">
      <c r="A213" s="9">
        <v>47515</v>
      </c>
      <c r="B213" s="3">
        <f t="shared" ref="B213:B223" si="102">+F212</f>
        <v>509140.66023254726</v>
      </c>
      <c r="C213" s="3">
        <f t="shared" si="98"/>
        <v>7678.0059698895129</v>
      </c>
      <c r="D213" s="3">
        <f t="shared" si="99"/>
        <v>2015.3484467538331</v>
      </c>
      <c r="E213" s="3">
        <f t="shared" si="100"/>
        <v>9693.3544166433458</v>
      </c>
      <c r="F213" s="3">
        <f t="shared" si="101"/>
        <v>501462.65426265774</v>
      </c>
    </row>
    <row r="214" spans="1:6" ht="15.75" customHeight="1">
      <c r="A214" s="9">
        <v>47543</v>
      </c>
      <c r="B214" s="3">
        <f t="shared" si="102"/>
        <v>501462.65426265774</v>
      </c>
      <c r="C214" s="3">
        <f t="shared" si="98"/>
        <v>7708.3980768536585</v>
      </c>
      <c r="D214" s="3">
        <f t="shared" si="99"/>
        <v>1984.956339789687</v>
      </c>
      <c r="E214" s="3">
        <f t="shared" si="100"/>
        <v>9693.3544166433458</v>
      </c>
      <c r="F214" s="3">
        <f t="shared" si="101"/>
        <v>493754.25618580409</v>
      </c>
    </row>
    <row r="215" spans="1:6" ht="15.75" customHeight="1">
      <c r="A215" s="9">
        <v>47574</v>
      </c>
      <c r="B215" s="3">
        <f t="shared" si="102"/>
        <v>493754.25618580409</v>
      </c>
      <c r="C215" s="3">
        <f t="shared" si="98"/>
        <v>7738.9104859078707</v>
      </c>
      <c r="D215" s="3">
        <f t="shared" si="99"/>
        <v>1954.4439307354746</v>
      </c>
      <c r="E215" s="3">
        <f t="shared" si="100"/>
        <v>9693.3544166433458</v>
      </c>
      <c r="F215" s="3">
        <f t="shared" si="101"/>
        <v>486015.34569989622</v>
      </c>
    </row>
    <row r="216" spans="1:6" ht="15.75" customHeight="1">
      <c r="A216" s="9">
        <v>47604</v>
      </c>
      <c r="B216" s="3">
        <f t="shared" si="102"/>
        <v>486015.34569989622</v>
      </c>
      <c r="C216" s="3">
        <f t="shared" si="98"/>
        <v>7769.5436732479229</v>
      </c>
      <c r="D216" s="3">
        <f t="shared" si="99"/>
        <v>1923.8107433954226</v>
      </c>
      <c r="E216" s="3">
        <f t="shared" si="100"/>
        <v>9693.3544166433458</v>
      </c>
      <c r="F216" s="3">
        <f t="shared" si="101"/>
        <v>478245.80202664831</v>
      </c>
    </row>
    <row r="217" spans="1:6" ht="15.75" customHeight="1">
      <c r="A217" s="9">
        <v>47635</v>
      </c>
      <c r="B217" s="3">
        <f t="shared" si="102"/>
        <v>478245.80202664831</v>
      </c>
      <c r="C217" s="3">
        <f t="shared" si="98"/>
        <v>7800.2981169545292</v>
      </c>
      <c r="D217" s="3">
        <f t="shared" si="99"/>
        <v>1893.0562996888164</v>
      </c>
      <c r="E217" s="3">
        <f t="shared" si="100"/>
        <v>9693.3544166433458</v>
      </c>
      <c r="F217" s="3">
        <f t="shared" si="101"/>
        <v>470445.5039096938</v>
      </c>
    </row>
    <row r="218" spans="1:6" ht="15.75" customHeight="1">
      <c r="A218" s="9">
        <v>47665</v>
      </c>
      <c r="B218" s="3">
        <f t="shared" si="102"/>
        <v>470445.5039096938</v>
      </c>
      <c r="C218" s="3">
        <f t="shared" si="98"/>
        <v>7831.1742970008072</v>
      </c>
      <c r="D218" s="3">
        <f t="shared" si="99"/>
        <v>1862.1801196425381</v>
      </c>
      <c r="E218" s="3">
        <f t="shared" si="100"/>
        <v>9693.3544166433458</v>
      </c>
      <c r="F218" s="3">
        <f t="shared" si="101"/>
        <v>462614.32961269299</v>
      </c>
    </row>
    <row r="219" spans="1:6" ht="15.75" customHeight="1">
      <c r="A219" s="9">
        <v>47696</v>
      </c>
      <c r="B219" s="3">
        <f t="shared" si="102"/>
        <v>462614.32961269299</v>
      </c>
      <c r="C219" s="3">
        <f t="shared" si="98"/>
        <v>7862.1726952597692</v>
      </c>
      <c r="D219" s="3">
        <f t="shared" si="99"/>
        <v>1831.1817213835766</v>
      </c>
      <c r="E219" s="3">
        <f t="shared" si="100"/>
        <v>9693.3544166433458</v>
      </c>
      <c r="F219" s="3">
        <f t="shared" si="101"/>
        <v>454752.1569174332</v>
      </c>
    </row>
    <row r="220" spans="1:6" ht="15.75" customHeight="1">
      <c r="A220" s="9">
        <v>47727</v>
      </c>
      <c r="B220" s="3">
        <f t="shared" si="102"/>
        <v>454752.1569174332</v>
      </c>
      <c r="C220" s="3">
        <f t="shared" si="98"/>
        <v>7893.2937955118396</v>
      </c>
      <c r="D220" s="3">
        <f t="shared" si="99"/>
        <v>1800.0606211315067</v>
      </c>
      <c r="E220" s="3">
        <f t="shared" si="94"/>
        <v>9693.3544166433458</v>
      </c>
      <c r="F220" s="3">
        <f t="shared" si="101"/>
        <v>446858.86312192137</v>
      </c>
    </row>
    <row r="221" spans="1:6" ht="15.75" customHeight="1">
      <c r="A221" s="9">
        <v>47757</v>
      </c>
      <c r="B221" s="3">
        <f t="shared" si="102"/>
        <v>446858.86312192137</v>
      </c>
      <c r="C221" s="3">
        <f t="shared" si="98"/>
        <v>7924.5380834524067</v>
      </c>
      <c r="D221" s="3">
        <f t="shared" si="99"/>
        <v>1768.8163331909388</v>
      </c>
      <c r="E221" s="3">
        <f t="shared" si="94"/>
        <v>9693.3544166433458</v>
      </c>
      <c r="F221" s="3">
        <f t="shared" si="101"/>
        <v>438934.32503846899</v>
      </c>
    </row>
    <row r="222" spans="1:6" ht="15.75" customHeight="1">
      <c r="A222" s="9">
        <v>47788</v>
      </c>
      <c r="B222" s="3">
        <f t="shared" si="102"/>
        <v>438934.32503846899</v>
      </c>
      <c r="C222" s="3">
        <f t="shared" si="98"/>
        <v>7955.906046699406</v>
      </c>
      <c r="D222" s="3">
        <f t="shared" si="99"/>
        <v>1737.44836994394</v>
      </c>
      <c r="E222" s="3">
        <f t="shared" si="94"/>
        <v>9693.3544166433458</v>
      </c>
      <c r="F222" s="3">
        <f t="shared" si="101"/>
        <v>430978.41899176961</v>
      </c>
    </row>
    <row r="223" spans="1:6" ht="15.75" customHeight="1">
      <c r="A223" s="9">
        <v>47818</v>
      </c>
      <c r="B223" s="3">
        <f t="shared" si="102"/>
        <v>430978.41899176961</v>
      </c>
      <c r="C223" s="3">
        <f t="shared" si="98"/>
        <v>7987.3981748009246</v>
      </c>
      <c r="D223" s="3">
        <f t="shared" si="99"/>
        <v>1705.9562418424216</v>
      </c>
      <c r="E223" s="3">
        <f t="shared" si="94"/>
        <v>9693.3544166433458</v>
      </c>
      <c r="F223" s="6">
        <f t="shared" si="101"/>
        <v>422991.0208169687</v>
      </c>
    </row>
    <row r="224" spans="1:6" ht="15.75" customHeight="1">
      <c r="A224" s="7" t="s">
        <v>68</v>
      </c>
      <c r="B224" s="8"/>
      <c r="C224" s="6">
        <f t="shared" ref="C224" si="103">SUM(C212:C223)</f>
        <v>93797.373106275816</v>
      </c>
      <c r="D224" s="6">
        <f t="shared" ref="D224" si="104">SUM(D212:D223)</f>
        <v>22522.879893444333</v>
      </c>
    </row>
    <row r="225" spans="1:6" ht="15.75" customHeight="1">
      <c r="B225" s="2"/>
      <c r="C225" s="3"/>
      <c r="D225" s="3"/>
      <c r="E225" s="3"/>
      <c r="F225" s="3"/>
    </row>
    <row r="226" spans="1:6" ht="15.75" customHeight="1">
      <c r="A226" s="9">
        <v>47849</v>
      </c>
      <c r="B226" s="3">
        <f t="shared" ref="B226" si="105">+F223</f>
        <v>422991.0208169687</v>
      </c>
      <c r="C226" s="3">
        <f t="shared" ref="C226:C237" si="106">+E226-D226</f>
        <v>8019.0149592428443</v>
      </c>
      <c r="D226" s="3">
        <f t="shared" ref="D226:D237" si="107">B226*$I$2</f>
        <v>1674.3394574005013</v>
      </c>
      <c r="E226" s="3">
        <f t="shared" si="100"/>
        <v>9693.3544166433458</v>
      </c>
      <c r="F226" s="3">
        <f t="shared" ref="F226:F237" si="108">+B226-C226</f>
        <v>414972.00585772586</v>
      </c>
    </row>
    <row r="227" spans="1:6" ht="15.75" customHeight="1">
      <c r="A227" s="9">
        <v>47880</v>
      </c>
      <c r="B227" s="3">
        <f t="shared" ref="B227:B237" si="109">+F226</f>
        <v>414972.00585772586</v>
      </c>
      <c r="C227" s="3">
        <f t="shared" si="106"/>
        <v>8050.7568934565143</v>
      </c>
      <c r="D227" s="3">
        <f t="shared" si="107"/>
        <v>1642.5975231868317</v>
      </c>
      <c r="E227" s="3">
        <f t="shared" si="100"/>
        <v>9693.3544166433458</v>
      </c>
      <c r="F227" s="3">
        <f t="shared" si="108"/>
        <v>406921.24896426935</v>
      </c>
    </row>
    <row r="228" spans="1:6" ht="15.75" customHeight="1">
      <c r="A228" s="9">
        <v>47908</v>
      </c>
      <c r="B228" s="3">
        <f t="shared" si="109"/>
        <v>406921.24896426935</v>
      </c>
      <c r="C228" s="3">
        <f t="shared" si="106"/>
        <v>8082.6244728264464</v>
      </c>
      <c r="D228" s="3">
        <f t="shared" si="107"/>
        <v>1610.7299438168998</v>
      </c>
      <c r="E228" s="3">
        <f t="shared" si="100"/>
        <v>9693.3544166433458</v>
      </c>
      <c r="F228" s="3">
        <f t="shared" si="108"/>
        <v>398838.62449144293</v>
      </c>
    </row>
    <row r="229" spans="1:6" ht="15.75" customHeight="1">
      <c r="A229" s="9">
        <v>47939</v>
      </c>
      <c r="B229" s="3">
        <f t="shared" si="109"/>
        <v>398838.62449144293</v>
      </c>
      <c r="C229" s="3">
        <f t="shared" si="106"/>
        <v>8114.6181946980505</v>
      </c>
      <c r="D229" s="3">
        <f t="shared" si="107"/>
        <v>1578.736221945295</v>
      </c>
      <c r="E229" s="3">
        <f t="shared" si="100"/>
        <v>9693.3544166433458</v>
      </c>
      <c r="F229" s="3">
        <f t="shared" si="108"/>
        <v>390724.00629674486</v>
      </c>
    </row>
    <row r="230" spans="1:6" ht="15.75" customHeight="1">
      <c r="A230" s="9">
        <v>47969</v>
      </c>
      <c r="B230" s="3">
        <f t="shared" si="109"/>
        <v>390724.00629674486</v>
      </c>
      <c r="C230" s="3">
        <f t="shared" si="106"/>
        <v>8146.7385583853975</v>
      </c>
      <c r="D230" s="3">
        <f t="shared" si="107"/>
        <v>1546.6158582579485</v>
      </c>
      <c r="E230" s="3">
        <f t="shared" si="100"/>
        <v>9693.3544166433458</v>
      </c>
      <c r="F230" s="3">
        <f t="shared" si="108"/>
        <v>382577.26773835946</v>
      </c>
    </row>
    <row r="231" spans="1:6" ht="15.75" customHeight="1">
      <c r="A231" s="9">
        <v>48000</v>
      </c>
      <c r="B231" s="3">
        <f t="shared" si="109"/>
        <v>382577.26773835946</v>
      </c>
      <c r="C231" s="3">
        <f t="shared" si="106"/>
        <v>8178.9860651790059</v>
      </c>
      <c r="D231" s="3">
        <f t="shared" si="107"/>
        <v>1514.3683514643396</v>
      </c>
      <c r="E231" s="3">
        <f t="shared" si="100"/>
        <v>9693.3544166433458</v>
      </c>
      <c r="F231" s="3">
        <f t="shared" si="108"/>
        <v>374398.28167318046</v>
      </c>
    </row>
    <row r="232" spans="1:6" ht="15.75" customHeight="1">
      <c r="A232" s="9">
        <v>48030</v>
      </c>
      <c r="B232" s="3">
        <f t="shared" si="109"/>
        <v>374398.28167318046</v>
      </c>
      <c r="C232" s="3">
        <f t="shared" si="106"/>
        <v>8211.3612183536734</v>
      </c>
      <c r="D232" s="3">
        <f t="shared" si="107"/>
        <v>1481.9931982896728</v>
      </c>
      <c r="E232" s="3">
        <f t="shared" si="100"/>
        <v>9693.3544166433458</v>
      </c>
      <c r="F232" s="3">
        <f t="shared" si="108"/>
        <v>366186.92045482679</v>
      </c>
    </row>
    <row r="233" spans="1:6" ht="15.75" customHeight="1">
      <c r="A233" s="9">
        <v>48061</v>
      </c>
      <c r="B233" s="3">
        <f t="shared" si="109"/>
        <v>366186.92045482679</v>
      </c>
      <c r="C233" s="3">
        <f t="shared" si="106"/>
        <v>8243.8645231763221</v>
      </c>
      <c r="D233" s="3">
        <f t="shared" si="107"/>
        <v>1449.4898934670227</v>
      </c>
      <c r="E233" s="3">
        <f t="shared" si="100"/>
        <v>9693.3544166433458</v>
      </c>
      <c r="F233" s="3">
        <f t="shared" si="108"/>
        <v>357943.05593165045</v>
      </c>
    </row>
    <row r="234" spans="1:6" ht="15.75" customHeight="1">
      <c r="A234" s="9">
        <v>48092</v>
      </c>
      <c r="B234" s="3">
        <f t="shared" si="109"/>
        <v>357943.05593165045</v>
      </c>
      <c r="C234" s="3">
        <f t="shared" si="106"/>
        <v>8276.4964869138967</v>
      </c>
      <c r="D234" s="3">
        <f t="shared" si="107"/>
        <v>1416.8579297294498</v>
      </c>
      <c r="E234" s="3">
        <f t="shared" si="94"/>
        <v>9693.3544166433458</v>
      </c>
      <c r="F234" s="3">
        <f t="shared" si="108"/>
        <v>349666.55944473657</v>
      </c>
    </row>
    <row r="235" spans="1:6" ht="15.75" customHeight="1">
      <c r="A235" s="9">
        <v>48122</v>
      </c>
      <c r="B235" s="3">
        <f t="shared" si="109"/>
        <v>349666.55944473657</v>
      </c>
      <c r="C235" s="3">
        <f t="shared" si="106"/>
        <v>8309.257618841264</v>
      </c>
      <c r="D235" s="3">
        <f t="shared" si="107"/>
        <v>1384.0967978020824</v>
      </c>
      <c r="E235" s="3">
        <f t="shared" si="94"/>
        <v>9693.3544166433458</v>
      </c>
      <c r="F235" s="3">
        <f t="shared" si="108"/>
        <v>341357.30182589532</v>
      </c>
    </row>
    <row r="236" spans="1:6" ht="15.75" customHeight="1">
      <c r="A236" s="9">
        <v>48153</v>
      </c>
      <c r="B236" s="3">
        <f t="shared" si="109"/>
        <v>341357.30182589532</v>
      </c>
      <c r="C236" s="3">
        <f t="shared" si="106"/>
        <v>8342.1484302491772</v>
      </c>
      <c r="D236" s="3">
        <f t="shared" si="107"/>
        <v>1351.205986394169</v>
      </c>
      <c r="E236" s="3">
        <f t="shared" si="94"/>
        <v>9693.3544166433458</v>
      </c>
      <c r="F236" s="3">
        <f t="shared" si="108"/>
        <v>333015.15339564614</v>
      </c>
    </row>
    <row r="237" spans="1:6" ht="15.75" customHeight="1">
      <c r="A237" s="9">
        <v>48183</v>
      </c>
      <c r="B237" s="3">
        <f t="shared" si="109"/>
        <v>333015.15339564614</v>
      </c>
      <c r="C237" s="3">
        <f t="shared" si="106"/>
        <v>8375.1694344522457</v>
      </c>
      <c r="D237" s="3">
        <f t="shared" si="107"/>
        <v>1318.1849821910994</v>
      </c>
      <c r="E237" s="3">
        <f t="shared" si="94"/>
        <v>9693.3544166433458</v>
      </c>
      <c r="F237" s="6">
        <f t="shared" si="108"/>
        <v>324639.98396119388</v>
      </c>
    </row>
    <row r="238" spans="1:6" ht="15.75" customHeight="1">
      <c r="A238" s="7" t="s">
        <v>68</v>
      </c>
      <c r="B238" s="8"/>
      <c r="C238" s="6">
        <f t="shared" ref="C238" si="110">SUM(C226:C237)</f>
        <v>98351.03685577483</v>
      </c>
      <c r="D238" s="6">
        <f t="shared" ref="D238" si="111">SUM(D226:D237)</f>
        <v>17969.216143945308</v>
      </c>
    </row>
    <row r="239" spans="1:6" ht="15.75" customHeight="1">
      <c r="B239" s="2"/>
      <c r="C239" s="3"/>
      <c r="D239" s="3"/>
      <c r="E239" s="3"/>
      <c r="F239" s="3"/>
    </row>
    <row r="240" spans="1:6" ht="15.75" customHeight="1">
      <c r="A240" s="9">
        <v>48214</v>
      </c>
      <c r="B240" s="3">
        <f t="shared" ref="B240" si="112">+F237</f>
        <v>324639.98396119388</v>
      </c>
      <c r="C240" s="3">
        <f t="shared" ref="C240:C251" si="113">+E240-D240</f>
        <v>8408.3211467969522</v>
      </c>
      <c r="D240" s="3">
        <f t="shared" ref="D240:D251" si="114">B240*$I$2</f>
        <v>1285.0332698463926</v>
      </c>
      <c r="E240" s="3">
        <f t="shared" si="100"/>
        <v>9693.3544166433458</v>
      </c>
      <c r="F240" s="3">
        <f t="shared" ref="F240:F251" si="115">+B240-C240</f>
        <v>316231.6628143969</v>
      </c>
    </row>
    <row r="241" spans="1:6" ht="15.75" customHeight="1">
      <c r="A241" s="9">
        <v>48245</v>
      </c>
      <c r="B241" s="3">
        <f t="shared" ref="B241:B251" si="116">+F240</f>
        <v>316231.6628143969</v>
      </c>
      <c r="C241" s="3">
        <f t="shared" si="113"/>
        <v>8441.6040846696906</v>
      </c>
      <c r="D241" s="3">
        <f t="shared" si="114"/>
        <v>1251.7503319736545</v>
      </c>
      <c r="E241" s="3">
        <f t="shared" si="100"/>
        <v>9693.3544166433458</v>
      </c>
      <c r="F241" s="3">
        <f t="shared" si="115"/>
        <v>307790.05872972723</v>
      </c>
    </row>
    <row r="242" spans="1:6" ht="15.75" customHeight="1">
      <c r="A242" s="9">
        <v>48274</v>
      </c>
      <c r="B242" s="3">
        <f t="shared" si="116"/>
        <v>307790.05872972723</v>
      </c>
      <c r="C242" s="3">
        <f t="shared" si="113"/>
        <v>8475.0187675048419</v>
      </c>
      <c r="D242" s="3">
        <f t="shared" si="114"/>
        <v>1218.3356491385036</v>
      </c>
      <c r="E242" s="3">
        <f t="shared" si="100"/>
        <v>9693.3544166433458</v>
      </c>
      <c r="F242" s="3">
        <f t="shared" si="115"/>
        <v>299315.03996222239</v>
      </c>
    </row>
    <row r="243" spans="1:6" ht="15.75" customHeight="1">
      <c r="A243" s="9">
        <v>48305</v>
      </c>
      <c r="B243" s="3">
        <f t="shared" si="116"/>
        <v>299315.03996222239</v>
      </c>
      <c r="C243" s="3">
        <f t="shared" si="113"/>
        <v>8508.5657167928821</v>
      </c>
      <c r="D243" s="3">
        <f t="shared" si="114"/>
        <v>1184.7886998504637</v>
      </c>
      <c r="E243" s="3">
        <f t="shared" si="100"/>
        <v>9693.3544166433458</v>
      </c>
      <c r="F243" s="3">
        <f t="shared" si="115"/>
        <v>290806.4742454295</v>
      </c>
    </row>
    <row r="244" spans="1:6" ht="15.75" customHeight="1">
      <c r="A244" s="9">
        <v>48335</v>
      </c>
      <c r="B244" s="3">
        <f t="shared" si="116"/>
        <v>290806.4742454295</v>
      </c>
      <c r="C244" s="3">
        <f t="shared" si="113"/>
        <v>8542.2454560885199</v>
      </c>
      <c r="D244" s="3">
        <f t="shared" si="114"/>
        <v>1151.1089605548252</v>
      </c>
      <c r="E244" s="3">
        <f t="shared" si="100"/>
        <v>9693.3544166433458</v>
      </c>
      <c r="F244" s="3">
        <f t="shared" si="115"/>
        <v>282264.228789341</v>
      </c>
    </row>
    <row r="245" spans="1:6" ht="15.75" customHeight="1">
      <c r="A245" s="9">
        <v>48366</v>
      </c>
      <c r="B245" s="3">
        <f t="shared" si="116"/>
        <v>282264.228789341</v>
      </c>
      <c r="C245" s="3">
        <f t="shared" si="113"/>
        <v>8576.0585110188713</v>
      </c>
      <c r="D245" s="3">
        <f t="shared" si="114"/>
        <v>1117.2959056244749</v>
      </c>
      <c r="E245" s="3">
        <f t="shared" si="100"/>
        <v>9693.3544166433458</v>
      </c>
      <c r="F245" s="3">
        <f t="shared" si="115"/>
        <v>273688.17027832213</v>
      </c>
    </row>
    <row r="246" spans="1:6" ht="15.75" customHeight="1">
      <c r="A246" s="9">
        <v>48396</v>
      </c>
      <c r="B246" s="3">
        <f t="shared" si="116"/>
        <v>273688.17027832213</v>
      </c>
      <c r="C246" s="3">
        <f t="shared" si="113"/>
        <v>8610.0054092916544</v>
      </c>
      <c r="D246" s="3">
        <f t="shared" si="114"/>
        <v>1083.3490073516919</v>
      </c>
      <c r="E246" s="3">
        <f t="shared" si="100"/>
        <v>9693.3544166433458</v>
      </c>
      <c r="F246" s="3">
        <f t="shared" si="115"/>
        <v>265078.16486903047</v>
      </c>
    </row>
    <row r="247" spans="1:6" ht="15.75" customHeight="1">
      <c r="A247" s="9">
        <v>48427</v>
      </c>
      <c r="B247" s="3">
        <f t="shared" si="116"/>
        <v>265078.16486903047</v>
      </c>
      <c r="C247" s="3">
        <f t="shared" si="113"/>
        <v>8644.0866807034326</v>
      </c>
      <c r="D247" s="3">
        <f t="shared" si="114"/>
        <v>1049.2677359399124</v>
      </c>
      <c r="E247" s="3">
        <f t="shared" si="100"/>
        <v>9693.3544166433458</v>
      </c>
      <c r="F247" s="3">
        <f t="shared" si="115"/>
        <v>256434.07818832702</v>
      </c>
    </row>
    <row r="248" spans="1:6" ht="15.75" customHeight="1">
      <c r="A248" s="9">
        <v>48458</v>
      </c>
      <c r="B248" s="3">
        <f t="shared" si="116"/>
        <v>256434.07818832702</v>
      </c>
      <c r="C248" s="3">
        <f t="shared" si="113"/>
        <v>8678.3028571478844</v>
      </c>
      <c r="D248" s="3">
        <f t="shared" si="114"/>
        <v>1015.0515594954612</v>
      </c>
      <c r="E248" s="3">
        <f t="shared" si="94"/>
        <v>9693.3544166433458</v>
      </c>
      <c r="F248" s="3">
        <f t="shared" si="115"/>
        <v>247755.77533117915</v>
      </c>
    </row>
    <row r="249" spans="1:6" ht="15.75" customHeight="1">
      <c r="A249" s="9">
        <v>48488</v>
      </c>
      <c r="B249" s="3">
        <f t="shared" si="116"/>
        <v>247755.77533117915</v>
      </c>
      <c r="C249" s="3">
        <f t="shared" si="113"/>
        <v>8712.6544726240954</v>
      </c>
      <c r="D249" s="3">
        <f t="shared" si="114"/>
        <v>980.69994401925089</v>
      </c>
      <c r="E249" s="3">
        <f t="shared" si="94"/>
        <v>9693.3544166433458</v>
      </c>
      <c r="F249" s="3">
        <f t="shared" si="115"/>
        <v>239043.12085855505</v>
      </c>
    </row>
    <row r="250" spans="1:6" ht="15.75" customHeight="1">
      <c r="A250" s="9">
        <v>48519</v>
      </c>
      <c r="B250" s="3">
        <f t="shared" si="116"/>
        <v>239043.12085855505</v>
      </c>
      <c r="C250" s="3">
        <f t="shared" si="113"/>
        <v>8747.142063244899</v>
      </c>
      <c r="D250" s="3">
        <f t="shared" si="114"/>
        <v>946.21235339844714</v>
      </c>
      <c r="E250" s="3">
        <f t="shared" si="94"/>
        <v>9693.3544166433458</v>
      </c>
      <c r="F250" s="3">
        <f t="shared" si="115"/>
        <v>230295.97879531016</v>
      </c>
    </row>
    <row r="251" spans="1:6" ht="15.75" customHeight="1">
      <c r="A251" s="9">
        <v>48549</v>
      </c>
      <c r="B251" s="3">
        <f t="shared" si="116"/>
        <v>230295.97879531016</v>
      </c>
      <c r="C251" s="3">
        <f t="shared" si="113"/>
        <v>8781.7661672452432</v>
      </c>
      <c r="D251" s="3">
        <f t="shared" si="114"/>
        <v>911.58824939810279</v>
      </c>
      <c r="E251" s="3">
        <f t="shared" si="94"/>
        <v>9693.3544166433458</v>
      </c>
      <c r="F251" s="6">
        <f t="shared" si="115"/>
        <v>221514.21262806491</v>
      </c>
    </row>
    <row r="252" spans="1:6" ht="15.75" customHeight="1">
      <c r="A252" s="7" t="s">
        <v>68</v>
      </c>
      <c r="B252" s="8"/>
      <c r="C252" s="6">
        <f t="shared" ref="C252" si="117">SUM(C240:C251)</f>
        <v>103125.77133312896</v>
      </c>
      <c r="D252" s="6">
        <f t="shared" ref="D252" si="118">SUM(D240:D251)</f>
        <v>13194.48166659118</v>
      </c>
    </row>
    <row r="253" spans="1:6" ht="15.75" customHeight="1">
      <c r="B253" s="2"/>
      <c r="C253" s="3"/>
      <c r="D253" s="3"/>
      <c r="E253" s="3"/>
      <c r="F253" s="3"/>
    </row>
    <row r="254" spans="1:6" ht="15.75" customHeight="1">
      <c r="A254" s="9">
        <v>48580</v>
      </c>
      <c r="B254" s="3">
        <f t="shared" ref="B254" si="119">+F251</f>
        <v>221514.21262806491</v>
      </c>
      <c r="C254" s="3">
        <f t="shared" ref="C254:C265" si="120">+E254-D254</f>
        <v>8816.5273249905895</v>
      </c>
      <c r="D254" s="3">
        <f t="shared" ref="D254:D265" si="121">B254*$I$2</f>
        <v>876.82709165275696</v>
      </c>
      <c r="E254" s="3">
        <f t="shared" si="100"/>
        <v>9693.3544166433458</v>
      </c>
      <c r="F254" s="3">
        <f t="shared" ref="F254:F265" si="122">+B254-C254</f>
        <v>212697.68530307431</v>
      </c>
    </row>
    <row r="255" spans="1:6" ht="15.75" customHeight="1">
      <c r="A255" s="9">
        <v>48611</v>
      </c>
      <c r="B255" s="3">
        <f t="shared" ref="B255:B265" si="123">+F254</f>
        <v>212697.68530307431</v>
      </c>
      <c r="C255" s="3">
        <f t="shared" si="120"/>
        <v>8851.4260789853433</v>
      </c>
      <c r="D255" s="3">
        <f t="shared" si="121"/>
        <v>841.92833765800253</v>
      </c>
      <c r="E255" s="3">
        <f t="shared" si="100"/>
        <v>9693.3544166433458</v>
      </c>
      <c r="F255" s="3">
        <f t="shared" si="122"/>
        <v>203846.25922408898</v>
      </c>
    </row>
    <row r="256" spans="1:6" ht="15.75" customHeight="1">
      <c r="A256" s="9">
        <v>48639</v>
      </c>
      <c r="B256" s="3">
        <f t="shared" si="123"/>
        <v>203846.25922408898</v>
      </c>
      <c r="C256" s="3">
        <f t="shared" si="120"/>
        <v>8886.4629738813273</v>
      </c>
      <c r="D256" s="3">
        <f t="shared" si="121"/>
        <v>806.89144276201898</v>
      </c>
      <c r="E256" s="3">
        <f t="shared" si="100"/>
        <v>9693.3544166433458</v>
      </c>
      <c r="F256" s="3">
        <f t="shared" si="122"/>
        <v>194959.79625020764</v>
      </c>
    </row>
    <row r="257" spans="1:6" ht="15.75" customHeight="1">
      <c r="A257" s="9">
        <v>48670</v>
      </c>
      <c r="B257" s="3">
        <f t="shared" si="123"/>
        <v>194959.79625020764</v>
      </c>
      <c r="C257" s="3">
        <f t="shared" si="120"/>
        <v>8921.638556486274</v>
      </c>
      <c r="D257" s="3">
        <f t="shared" si="121"/>
        <v>771.71586015707203</v>
      </c>
      <c r="E257" s="3">
        <f t="shared" si="100"/>
        <v>9693.3544166433458</v>
      </c>
      <c r="F257" s="3">
        <f t="shared" si="122"/>
        <v>186038.15769372135</v>
      </c>
    </row>
    <row r="258" spans="1:6" ht="15.75" customHeight="1">
      <c r="A258" s="9">
        <v>48700</v>
      </c>
      <c r="B258" s="3">
        <f t="shared" si="123"/>
        <v>186038.15769372135</v>
      </c>
      <c r="C258" s="3">
        <f t="shared" si="120"/>
        <v>8956.9533757723657</v>
      </c>
      <c r="D258" s="3">
        <f t="shared" si="121"/>
        <v>736.40104087098041</v>
      </c>
      <c r="E258" s="3">
        <f t="shared" si="100"/>
        <v>9693.3544166433458</v>
      </c>
      <c r="F258" s="3">
        <f t="shared" si="122"/>
        <v>177081.20431794898</v>
      </c>
    </row>
    <row r="259" spans="1:6" ht="15.75" customHeight="1">
      <c r="A259" s="9">
        <v>48731</v>
      </c>
      <c r="B259" s="3">
        <f t="shared" si="123"/>
        <v>177081.20431794898</v>
      </c>
      <c r="C259" s="3">
        <f t="shared" si="120"/>
        <v>8992.4079828847971</v>
      </c>
      <c r="D259" s="3">
        <f t="shared" si="121"/>
        <v>700.9464337585481</v>
      </c>
      <c r="E259" s="3">
        <f t="shared" si="100"/>
        <v>9693.3544166433458</v>
      </c>
      <c r="F259" s="3">
        <f t="shared" si="122"/>
        <v>168088.79633506419</v>
      </c>
    </row>
    <row r="260" spans="1:6" ht="15.75" customHeight="1">
      <c r="A260" s="9">
        <v>48761</v>
      </c>
      <c r="B260" s="3">
        <f t="shared" si="123"/>
        <v>168088.79633506419</v>
      </c>
      <c r="C260" s="3">
        <f t="shared" si="120"/>
        <v>9028.002931150384</v>
      </c>
      <c r="D260" s="3">
        <f t="shared" si="121"/>
        <v>665.35148549296252</v>
      </c>
      <c r="E260" s="3">
        <f t="shared" si="100"/>
        <v>9693.3544166433458</v>
      </c>
      <c r="F260" s="3">
        <f t="shared" si="122"/>
        <v>159060.79340391382</v>
      </c>
    </row>
    <row r="261" spans="1:6" ht="15.75" customHeight="1">
      <c r="A261" s="9">
        <v>48792</v>
      </c>
      <c r="B261" s="3">
        <f t="shared" si="123"/>
        <v>159060.79340391382</v>
      </c>
      <c r="C261" s="3">
        <f t="shared" si="120"/>
        <v>9063.7387760861875</v>
      </c>
      <c r="D261" s="3">
        <f t="shared" si="121"/>
        <v>629.61564055715894</v>
      </c>
      <c r="E261" s="3">
        <f t="shared" si="100"/>
        <v>9693.3544166433458</v>
      </c>
      <c r="F261" s="3">
        <f t="shared" si="122"/>
        <v>149997.05462782763</v>
      </c>
    </row>
    <row r="262" spans="1:6" ht="15.75" customHeight="1">
      <c r="A262" s="9">
        <v>48823</v>
      </c>
      <c r="B262" s="3">
        <f t="shared" si="123"/>
        <v>149997.05462782763</v>
      </c>
      <c r="C262" s="3">
        <f t="shared" si="120"/>
        <v>9099.6160754081939</v>
      </c>
      <c r="D262" s="3">
        <f t="shared" si="121"/>
        <v>593.7383412351511</v>
      </c>
      <c r="E262" s="3">
        <f t="shared" si="94"/>
        <v>9693.3544166433458</v>
      </c>
      <c r="F262" s="3">
        <f t="shared" si="122"/>
        <v>140897.43855241942</v>
      </c>
    </row>
    <row r="263" spans="1:6" ht="15.75" customHeight="1">
      <c r="A263" s="9">
        <v>48853</v>
      </c>
      <c r="B263" s="3">
        <f t="shared" si="123"/>
        <v>140897.43855241942</v>
      </c>
      <c r="C263" s="3">
        <f t="shared" si="120"/>
        <v>9135.6353890400187</v>
      </c>
      <c r="D263" s="3">
        <f t="shared" si="121"/>
        <v>557.71902760332694</v>
      </c>
      <c r="E263" s="3">
        <f t="shared" si="94"/>
        <v>9693.3544166433458</v>
      </c>
      <c r="F263" s="3">
        <f t="shared" si="122"/>
        <v>131761.8031633794</v>
      </c>
    </row>
    <row r="264" spans="1:6" ht="15.75" customHeight="1">
      <c r="A264" s="9">
        <v>48884</v>
      </c>
      <c r="B264" s="3">
        <f t="shared" si="123"/>
        <v>131761.8031633794</v>
      </c>
      <c r="C264" s="3">
        <f t="shared" si="120"/>
        <v>9171.7972791216362</v>
      </c>
      <c r="D264" s="3">
        <f t="shared" si="121"/>
        <v>521.55713752171016</v>
      </c>
      <c r="E264" s="3">
        <f t="shared" si="94"/>
        <v>9693.3544166433458</v>
      </c>
      <c r="F264" s="3">
        <f t="shared" si="122"/>
        <v>122590.00588425777</v>
      </c>
    </row>
    <row r="265" spans="1:6" ht="15.75" customHeight="1">
      <c r="A265" s="9">
        <v>48914</v>
      </c>
      <c r="B265" s="3">
        <f t="shared" si="123"/>
        <v>122590.00588425777</v>
      </c>
      <c r="C265" s="3">
        <f t="shared" si="120"/>
        <v>9208.1023100181592</v>
      </c>
      <c r="D265" s="3">
        <f t="shared" si="121"/>
        <v>485.25210662518703</v>
      </c>
      <c r="E265" s="3">
        <f t="shared" si="94"/>
        <v>9693.3544166433458</v>
      </c>
      <c r="F265" s="6">
        <f t="shared" si="122"/>
        <v>113381.90357423961</v>
      </c>
    </row>
    <row r="266" spans="1:6" ht="15.75" customHeight="1">
      <c r="A266" s="7" t="s">
        <v>68</v>
      </c>
      <c r="B266" s="8"/>
      <c r="C266" s="6">
        <f t="shared" ref="C266" si="124">SUM(C254:C265)</f>
        <v>108132.30905382527</v>
      </c>
      <c r="D266" s="6">
        <f t="shared" ref="D266" si="125">SUM(D254:D265)</f>
        <v>8187.9439458948764</v>
      </c>
    </row>
    <row r="267" spans="1:6" ht="15.75" customHeight="1">
      <c r="B267" s="2"/>
      <c r="C267" s="3"/>
      <c r="D267" s="3"/>
      <c r="E267" s="3"/>
      <c r="F267" s="3"/>
    </row>
    <row r="268" spans="1:6" ht="15.75" customHeight="1">
      <c r="A268" s="9">
        <v>48945</v>
      </c>
      <c r="B268" s="3">
        <f t="shared" ref="B268" si="126">+F265</f>
        <v>113381.90357423961</v>
      </c>
      <c r="C268" s="3">
        <f t="shared" ref="C268:C279" si="127">+E268-D268</f>
        <v>9244.5510483286471</v>
      </c>
      <c r="D268" s="3">
        <f t="shared" ref="D268:D279" si="128">B268*$I$2</f>
        <v>448.8033683146985</v>
      </c>
      <c r="E268" s="3">
        <f t="shared" si="100"/>
        <v>9693.3544166433458</v>
      </c>
      <c r="F268" s="3">
        <f t="shared" ref="F268:F279" si="129">+B268-C268</f>
        <v>104137.35252591096</v>
      </c>
    </row>
    <row r="269" spans="1:6" ht="15.75" customHeight="1">
      <c r="A269" s="9">
        <v>48976</v>
      </c>
      <c r="B269" s="3">
        <f t="shared" ref="B269:B279" si="130">+F268</f>
        <v>104137.35252591096</v>
      </c>
      <c r="C269" s="3">
        <f t="shared" si="127"/>
        <v>9281.1440628949476</v>
      </c>
      <c r="D269" s="3">
        <f t="shared" si="128"/>
        <v>412.21035374839761</v>
      </c>
      <c r="E269" s="3">
        <f t="shared" si="100"/>
        <v>9693.3544166433458</v>
      </c>
      <c r="F269" s="3">
        <f t="shared" si="129"/>
        <v>94856.20846301601</v>
      </c>
    </row>
    <row r="270" spans="1:6" ht="15.75" customHeight="1">
      <c r="A270" s="9">
        <v>49004</v>
      </c>
      <c r="B270" s="3">
        <f t="shared" si="130"/>
        <v>94856.20846301601</v>
      </c>
      <c r="C270" s="3">
        <f t="shared" si="127"/>
        <v>9317.8819248105738</v>
      </c>
      <c r="D270" s="3">
        <f t="shared" si="128"/>
        <v>375.47249183277171</v>
      </c>
      <c r="E270" s="3">
        <f t="shared" si="100"/>
        <v>9693.3544166433458</v>
      </c>
      <c r="F270" s="3">
        <f t="shared" si="129"/>
        <v>85538.326538205438</v>
      </c>
    </row>
    <row r="271" spans="1:6" ht="15.75" customHeight="1">
      <c r="A271" s="9">
        <v>49035</v>
      </c>
      <c r="B271" s="3">
        <f t="shared" si="130"/>
        <v>85538.326538205438</v>
      </c>
      <c r="C271" s="3">
        <f t="shared" si="127"/>
        <v>9354.7652074296166</v>
      </c>
      <c r="D271" s="3">
        <f t="shared" si="128"/>
        <v>338.58920921372987</v>
      </c>
      <c r="E271" s="3">
        <f t="shared" si="100"/>
        <v>9693.3544166433458</v>
      </c>
      <c r="F271" s="3">
        <f t="shared" si="129"/>
        <v>76183.561330775818</v>
      </c>
    </row>
    <row r="272" spans="1:6" ht="15.75" customHeight="1">
      <c r="A272" s="9">
        <v>49065</v>
      </c>
      <c r="B272" s="3">
        <f t="shared" si="130"/>
        <v>76183.561330775818</v>
      </c>
      <c r="C272" s="3">
        <f t="shared" si="127"/>
        <v>9391.7944863756911</v>
      </c>
      <c r="D272" s="3">
        <f t="shared" si="128"/>
        <v>301.55993026765429</v>
      </c>
      <c r="E272" s="3">
        <f t="shared" si="100"/>
        <v>9693.3544166433458</v>
      </c>
      <c r="F272" s="3">
        <f t="shared" si="129"/>
        <v>66791.766844400132</v>
      </c>
    </row>
    <row r="273" spans="1:6" ht="15.75" customHeight="1">
      <c r="A273" s="9">
        <v>49096</v>
      </c>
      <c r="B273" s="3">
        <f t="shared" si="130"/>
        <v>66791.766844400132</v>
      </c>
      <c r="C273" s="3">
        <f t="shared" si="127"/>
        <v>9428.9703395509277</v>
      </c>
      <c r="D273" s="3">
        <f t="shared" si="128"/>
        <v>264.38407709241721</v>
      </c>
      <c r="E273" s="3">
        <f t="shared" si="100"/>
        <v>9693.3544166433458</v>
      </c>
      <c r="F273" s="3">
        <f t="shared" si="129"/>
        <v>57362.796504849204</v>
      </c>
    </row>
    <row r="274" spans="1:6" ht="15.75" customHeight="1">
      <c r="A274" s="9">
        <v>49126</v>
      </c>
      <c r="B274" s="3">
        <f t="shared" si="130"/>
        <v>57362.796504849204</v>
      </c>
      <c r="C274" s="3">
        <f t="shared" si="127"/>
        <v>9466.2933471449851</v>
      </c>
      <c r="D274" s="3">
        <f t="shared" si="128"/>
        <v>227.06106949836146</v>
      </c>
      <c r="E274" s="3">
        <f t="shared" si="100"/>
        <v>9693.3544166433458</v>
      </c>
      <c r="F274" s="3">
        <f t="shared" si="129"/>
        <v>47896.503157704217</v>
      </c>
    </row>
    <row r="275" spans="1:6" ht="15.75" customHeight="1">
      <c r="A275" s="9">
        <v>49157</v>
      </c>
      <c r="B275" s="3">
        <f t="shared" si="130"/>
        <v>47896.503157704217</v>
      </c>
      <c r="C275" s="3">
        <f t="shared" si="127"/>
        <v>9503.7640916440996</v>
      </c>
      <c r="D275" s="3">
        <f t="shared" si="128"/>
        <v>189.59032499924587</v>
      </c>
      <c r="E275" s="3">
        <f t="shared" si="100"/>
        <v>9693.3544166433458</v>
      </c>
      <c r="F275" s="3">
        <f t="shared" si="129"/>
        <v>38392.739066060116</v>
      </c>
    </row>
    <row r="276" spans="1:6" ht="15.75" customHeight="1">
      <c r="A276" s="9">
        <v>49188</v>
      </c>
      <c r="B276" s="3">
        <f t="shared" si="130"/>
        <v>38392.739066060116</v>
      </c>
      <c r="C276" s="3">
        <f t="shared" si="127"/>
        <v>9541.3831578401914</v>
      </c>
      <c r="D276" s="3">
        <f t="shared" si="128"/>
        <v>151.97125880315463</v>
      </c>
      <c r="E276" s="3">
        <f t="shared" ref="E276:E279" si="131">-$I$8</f>
        <v>9693.3544166433458</v>
      </c>
      <c r="F276" s="3">
        <f t="shared" si="129"/>
        <v>28851.355908219924</v>
      </c>
    </row>
    <row r="277" spans="1:6" ht="15.75" customHeight="1">
      <c r="A277" s="9">
        <v>49218</v>
      </c>
      <c r="B277" s="3">
        <f t="shared" si="130"/>
        <v>28851.355908219924</v>
      </c>
      <c r="C277" s="3">
        <f t="shared" si="127"/>
        <v>9579.1511328399756</v>
      </c>
      <c r="D277" s="3">
        <f t="shared" si="128"/>
        <v>114.20328380337054</v>
      </c>
      <c r="E277" s="3">
        <f t="shared" si="131"/>
        <v>9693.3544166433458</v>
      </c>
      <c r="F277" s="3">
        <f t="shared" si="129"/>
        <v>19272.204775379949</v>
      </c>
    </row>
    <row r="278" spans="1:6" ht="15.75" customHeight="1">
      <c r="A278" s="9">
        <v>49249</v>
      </c>
      <c r="B278" s="3">
        <f t="shared" si="130"/>
        <v>19272.204775379949</v>
      </c>
      <c r="C278" s="3">
        <f t="shared" si="127"/>
        <v>9617.0686060741336</v>
      </c>
      <c r="D278" s="3">
        <f t="shared" si="128"/>
        <v>76.285810569212302</v>
      </c>
      <c r="E278" s="3">
        <f t="shared" si="131"/>
        <v>9693.3544166433458</v>
      </c>
      <c r="F278" s="3">
        <f t="shared" si="129"/>
        <v>9655.1361693058152</v>
      </c>
    </row>
    <row r="279" spans="1:6" ht="15.75" customHeight="1">
      <c r="A279" s="9">
        <v>49279</v>
      </c>
      <c r="B279" s="3">
        <f t="shared" si="130"/>
        <v>9655.1361693058152</v>
      </c>
      <c r="C279" s="3">
        <f t="shared" si="127"/>
        <v>9655.1361693065101</v>
      </c>
      <c r="D279" s="3">
        <f t="shared" si="128"/>
        <v>38.218247336835525</v>
      </c>
      <c r="E279" s="3">
        <f t="shared" si="131"/>
        <v>9693.3544166433458</v>
      </c>
      <c r="F279" s="6">
        <f t="shared" si="129"/>
        <v>-6.9485395215451717E-10</v>
      </c>
    </row>
    <row r="280" spans="1:6" ht="15.75" customHeight="1">
      <c r="A280" s="7" t="s">
        <v>68</v>
      </c>
      <c r="B280" s="8"/>
      <c r="C280" s="6">
        <f t="shared" ref="C280" si="132">SUM(C268:C279)</f>
        <v>113381.90357424031</v>
      </c>
      <c r="D280" s="6">
        <f t="shared" ref="D280" si="133">SUM(D268:D279)</f>
        <v>2938.3494254798497</v>
      </c>
    </row>
    <row r="281" spans="1:6" ht="15.75" customHeight="1">
      <c r="B281" s="2"/>
      <c r="C281" s="3"/>
      <c r="D281" s="3"/>
      <c r="E281" s="3"/>
      <c r="F281" s="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 Year Forecast</vt:lpstr>
      <vt:lpstr>Mortgage Loan</vt:lpstr>
      <vt:lpstr>6 Year Bankruptcy</vt:lpstr>
      <vt:lpstr>Mortgage Loan Bankruptcy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2014-07-17T16:24:51Z</dcterms:created>
  <dcterms:modified xsi:type="dcterms:W3CDTF">2019-08-22T21:47:16Z</dcterms:modified>
</cp:coreProperties>
</file>